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Ejercicios\"/>
    </mc:Choice>
  </mc:AlternateContent>
  <xr:revisionPtr revIDLastSave="9" documentId="8_{2FDF3F13-0436-4D6A-9AE9-F321AA7C414E}" xr6:coauthVersionLast="36" xr6:coauthVersionMax="40" xr10:uidLastSave="{29AD2F28-9B48-492C-B2C2-BB7067A16E9E}"/>
  <bookViews>
    <workbookView xWindow="30360" yWindow="510" windowWidth="23955" windowHeight="14460" activeTab="2" xr2:uid="{4C026079-70AE-4F4B-A1F0-0C794C0C7906}"/>
  </bookViews>
  <sheets>
    <sheet name="6_Clases" sheetId="5" r:id="rId1"/>
    <sheet name="7_Clases" sheetId="2" r:id="rId2"/>
    <sheet name="8_Clases" sheetId="1" r:id="rId3"/>
    <sheet name="9_Clases" sheetId="3" r:id="rId4"/>
    <sheet name="10_Clases" sheetId="4" r:id="rId5"/>
  </sheets>
  <definedNames>
    <definedName name="borrame" localSheetId="4">#REF!</definedName>
    <definedName name="borrame" localSheetId="0">#REF!</definedName>
    <definedName name="borrame" localSheetId="1">#REF!</definedName>
    <definedName name="borrame" localSheetId="2">#REF!</definedName>
    <definedName name="borrame" localSheetId="3">#REF!</definedName>
    <definedName name="_xlnm.Database" localSheetId="4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Print_Area" localSheetId="4">'10_Clases'!$B$1:$Q$43</definedName>
    <definedName name="_xlnm.Print_Area" localSheetId="0">'6_Clases'!$B$1:$Q$39</definedName>
    <definedName name="_xlnm.Print_Area" localSheetId="1">'7_Clases'!$B$1:$Q$40</definedName>
    <definedName name="_xlnm.Print_Area" localSheetId="2">'8_Clases'!$B$1:$Q$41</definedName>
    <definedName name="_xlnm.Print_Area" localSheetId="3">'9_Clases'!$B$1:$Q$42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3" i="1" l="1"/>
  <c r="Y34" i="1"/>
  <c r="Y31" i="5" l="1"/>
  <c r="X28" i="5"/>
  <c r="X27" i="5"/>
  <c r="X26" i="5"/>
  <c r="X25" i="5"/>
  <c r="X24" i="5"/>
  <c r="X23" i="5"/>
  <c r="X22" i="5"/>
  <c r="H22" i="5"/>
  <c r="X21" i="5"/>
  <c r="X20" i="5"/>
  <c r="I16" i="5"/>
  <c r="K15" i="5" s="1"/>
  <c r="B11" i="5"/>
  <c r="J10" i="5"/>
  <c r="J11" i="5" s="1"/>
  <c r="J12" i="5" s="1"/>
  <c r="J13" i="5" s="1"/>
  <c r="J14" i="5" s="1"/>
  <c r="J15" i="5" s="1"/>
  <c r="D10" i="5"/>
  <c r="D11" i="5" s="1"/>
  <c r="D12" i="5" s="1"/>
  <c r="D13" i="5" s="1"/>
  <c r="D14" i="5" s="1"/>
  <c r="D15" i="5" s="1"/>
  <c r="B9" i="5"/>
  <c r="J18" i="4"/>
  <c r="J19" i="4" s="1"/>
  <c r="K18" i="4"/>
  <c r="Y35" i="4"/>
  <c r="X32" i="4"/>
  <c r="X31" i="4"/>
  <c r="X30" i="4"/>
  <c r="X29" i="4"/>
  <c r="X28" i="4"/>
  <c r="X27" i="4"/>
  <c r="X26" i="4"/>
  <c r="H26" i="4"/>
  <c r="X25" i="4"/>
  <c r="X24" i="4"/>
  <c r="I20" i="4"/>
  <c r="H28" i="4" s="1"/>
  <c r="K17" i="4"/>
  <c r="K16" i="4"/>
  <c r="K15" i="4"/>
  <c r="K14" i="4"/>
  <c r="D11" i="4"/>
  <c r="D12" i="4" s="1"/>
  <c r="D13" i="4" s="1"/>
  <c r="D14" i="4" s="1"/>
  <c r="D15" i="4" s="1"/>
  <c r="D16" i="4" s="1"/>
  <c r="D17" i="4" s="1"/>
  <c r="D18" i="4" s="1"/>
  <c r="D19" i="4" s="1"/>
  <c r="B11" i="4"/>
  <c r="B12" i="4" s="1"/>
  <c r="B13" i="4" s="1"/>
  <c r="B14" i="4" s="1"/>
  <c r="B15" i="4" s="1"/>
  <c r="B16" i="4" s="1"/>
  <c r="B17" i="4" s="1"/>
  <c r="B18" i="4" s="1"/>
  <c r="B19" i="4" s="1"/>
  <c r="K10" i="4"/>
  <c r="L10" i="4" s="1"/>
  <c r="J10" i="4"/>
  <c r="J11" i="4" s="1"/>
  <c r="J12" i="4" s="1"/>
  <c r="J13" i="4" s="1"/>
  <c r="J14" i="4" s="1"/>
  <c r="J15" i="4" s="1"/>
  <c r="J16" i="4" s="1"/>
  <c r="J17" i="4" s="1"/>
  <c r="D10" i="4"/>
  <c r="D9" i="4"/>
  <c r="B9" i="4"/>
  <c r="J17" i="3"/>
  <c r="J18" i="3" s="1"/>
  <c r="K17" i="3"/>
  <c r="Y34" i="3"/>
  <c r="X31" i="3"/>
  <c r="X30" i="3"/>
  <c r="X29" i="3"/>
  <c r="X28" i="3"/>
  <c r="X27" i="3"/>
  <c r="X26" i="3"/>
  <c r="X25" i="3"/>
  <c r="H25" i="3"/>
  <c r="X24" i="3"/>
  <c r="X23" i="3"/>
  <c r="I19" i="3"/>
  <c r="H27" i="3" s="1"/>
  <c r="K15" i="3"/>
  <c r="K14" i="3"/>
  <c r="K13" i="3"/>
  <c r="K12" i="3"/>
  <c r="B11" i="3"/>
  <c r="B12" i="3" s="1"/>
  <c r="B13" i="3" s="1"/>
  <c r="B14" i="3" s="1"/>
  <c r="B15" i="3" s="1"/>
  <c r="B16" i="3" s="1"/>
  <c r="B17" i="3" s="1"/>
  <c r="B18" i="3" s="1"/>
  <c r="K10" i="3"/>
  <c r="L10" i="3" s="1"/>
  <c r="J10" i="3"/>
  <c r="J11" i="3" s="1"/>
  <c r="J12" i="3" s="1"/>
  <c r="J13" i="3" s="1"/>
  <c r="J14" i="3" s="1"/>
  <c r="J15" i="3" s="1"/>
  <c r="J16" i="3" s="1"/>
  <c r="D10" i="3"/>
  <c r="D11" i="3" s="1"/>
  <c r="D12" i="3" s="1"/>
  <c r="D13" i="3" s="1"/>
  <c r="D14" i="3" s="1"/>
  <c r="D15" i="3" s="1"/>
  <c r="D16" i="3" s="1"/>
  <c r="D17" i="3" s="1"/>
  <c r="D18" i="3" s="1"/>
  <c r="B9" i="3"/>
  <c r="J16" i="2"/>
  <c r="Y32" i="2"/>
  <c r="X29" i="2"/>
  <c r="X28" i="2"/>
  <c r="X27" i="2"/>
  <c r="X26" i="2"/>
  <c r="X25" i="2"/>
  <c r="X24" i="2"/>
  <c r="X23" i="2"/>
  <c r="H23" i="2"/>
  <c r="X22" i="2"/>
  <c r="X21" i="2"/>
  <c r="I17" i="2"/>
  <c r="K13" i="2" s="1"/>
  <c r="B11" i="2"/>
  <c r="B12" i="2" s="1"/>
  <c r="B13" i="2" s="1"/>
  <c r="B14" i="2" s="1"/>
  <c r="B15" i="2" s="1"/>
  <c r="B16" i="2" s="1"/>
  <c r="J10" i="2"/>
  <c r="J11" i="2" s="1"/>
  <c r="J12" i="2" s="1"/>
  <c r="J13" i="2" s="1"/>
  <c r="J14" i="2" s="1"/>
  <c r="J15" i="2" s="1"/>
  <c r="D10" i="2"/>
  <c r="D11" i="2" s="1"/>
  <c r="D12" i="2" s="1"/>
  <c r="D13" i="2" s="1"/>
  <c r="D14" i="2" s="1"/>
  <c r="D15" i="2" s="1"/>
  <c r="D16" i="2" s="1"/>
  <c r="B9" i="2"/>
  <c r="X30" i="1"/>
  <c r="X29" i="1"/>
  <c r="X28" i="1"/>
  <c r="X27" i="1"/>
  <c r="X26" i="1"/>
  <c r="X25" i="1"/>
  <c r="X24" i="1"/>
  <c r="H24" i="1"/>
  <c r="X23" i="1"/>
  <c r="X22" i="1"/>
  <c r="I18" i="1"/>
  <c r="H26" i="1" s="1"/>
  <c r="K16" i="1"/>
  <c r="K14" i="1"/>
  <c r="K12" i="1"/>
  <c r="B11" i="1"/>
  <c r="G10" i="1" s="1"/>
  <c r="K10" i="1"/>
  <c r="L10" i="1" s="1"/>
  <c r="J10" i="1"/>
  <c r="J11" i="1" s="1"/>
  <c r="J12" i="1" s="1"/>
  <c r="J13" i="1" s="1"/>
  <c r="J14" i="1" s="1"/>
  <c r="J15" i="1" s="1"/>
  <c r="J16" i="1" s="1"/>
  <c r="J17" i="1" s="1"/>
  <c r="D10" i="1"/>
  <c r="D11" i="1" s="1"/>
  <c r="D12" i="1" s="1"/>
  <c r="D13" i="1" s="1"/>
  <c r="D14" i="1" s="1"/>
  <c r="D15" i="1" s="1"/>
  <c r="D16" i="1" s="1"/>
  <c r="D17" i="1" s="1"/>
  <c r="B9" i="1"/>
  <c r="Y35" i="1"/>
  <c r="G10" i="3" l="1"/>
  <c r="G11" i="3" s="1"/>
  <c r="G12" i="3" s="1"/>
  <c r="G13" i="3" s="1"/>
  <c r="G14" i="3" s="1"/>
  <c r="G15" i="3" s="1"/>
  <c r="G16" i="3" s="1"/>
  <c r="G17" i="3" s="1"/>
  <c r="G18" i="3" s="1"/>
  <c r="D9" i="1"/>
  <c r="B12" i="1"/>
  <c r="B13" i="1" s="1"/>
  <c r="B14" i="1" s="1"/>
  <c r="B15" i="1" s="1"/>
  <c r="B16" i="1" s="1"/>
  <c r="B17" i="1" s="1"/>
  <c r="D9" i="5"/>
  <c r="G10" i="5"/>
  <c r="G11" i="5" s="1"/>
  <c r="G12" i="5" s="1"/>
  <c r="G13" i="5" s="1"/>
  <c r="K10" i="5"/>
  <c r="K12" i="5"/>
  <c r="K14" i="5"/>
  <c r="B12" i="5"/>
  <c r="B13" i="5" s="1"/>
  <c r="B14" i="5" s="1"/>
  <c r="B15" i="5" s="1"/>
  <c r="H24" i="5"/>
  <c r="K11" i="5"/>
  <c r="K13" i="5"/>
  <c r="K11" i="4"/>
  <c r="K12" i="4"/>
  <c r="K20" i="4" s="1"/>
  <c r="K19" i="4"/>
  <c r="K13" i="4"/>
  <c r="G10" i="4"/>
  <c r="L11" i="4"/>
  <c r="K16" i="3"/>
  <c r="K18" i="3"/>
  <c r="K11" i="3"/>
  <c r="L11" i="3"/>
  <c r="L12" i="3" s="1"/>
  <c r="L13" i="3" s="1"/>
  <c r="K19" i="3"/>
  <c r="D9" i="3"/>
  <c r="K16" i="2"/>
  <c r="K10" i="2"/>
  <c r="L10" i="2" s="1"/>
  <c r="L11" i="2" s="1"/>
  <c r="L12" i="2" s="1"/>
  <c r="L13" i="2" s="1"/>
  <c r="AD23" i="2" s="1"/>
  <c r="K11" i="2"/>
  <c r="K12" i="2"/>
  <c r="G10" i="2"/>
  <c r="K15" i="2"/>
  <c r="D9" i="2"/>
  <c r="H25" i="2"/>
  <c r="K14" i="2"/>
  <c r="G11" i="1"/>
  <c r="G12" i="1" s="1"/>
  <c r="G13" i="1" s="1"/>
  <c r="E10" i="1"/>
  <c r="K13" i="1"/>
  <c r="K18" i="1" s="1"/>
  <c r="K11" i="1"/>
  <c r="L11" i="1" s="1"/>
  <c r="K15" i="1"/>
  <c r="K17" i="1"/>
  <c r="Y37" i="4"/>
  <c r="Y32" i="5"/>
  <c r="Y36" i="1"/>
  <c r="Y35" i="3"/>
  <c r="Y33" i="5"/>
  <c r="Y33" i="2"/>
  <c r="Y36" i="3"/>
  <c r="Y38" i="4"/>
  <c r="Y36" i="4"/>
  <c r="Y35" i="2"/>
  <c r="Y34" i="2"/>
  <c r="Y37" i="3"/>
  <c r="Y34" i="5"/>
  <c r="E10" i="5" l="1"/>
  <c r="E11" i="5" s="1"/>
  <c r="E10" i="3"/>
  <c r="L10" i="5"/>
  <c r="K16" i="5"/>
  <c r="G14" i="5"/>
  <c r="G15" i="5" s="1"/>
  <c r="L12" i="4"/>
  <c r="L13" i="4" s="1"/>
  <c r="L14" i="4" s="1"/>
  <c r="G11" i="4"/>
  <c r="G12" i="4" s="1"/>
  <c r="G13" i="4" s="1"/>
  <c r="G14" i="4" s="1"/>
  <c r="G15" i="4" s="1"/>
  <c r="G16" i="4" s="1"/>
  <c r="G17" i="4" s="1"/>
  <c r="E10" i="4"/>
  <c r="L15" i="4"/>
  <c r="AD29" i="4"/>
  <c r="AD30" i="4"/>
  <c r="AD25" i="4"/>
  <c r="AD27" i="4"/>
  <c r="AD28" i="4"/>
  <c r="AD26" i="4"/>
  <c r="AD24" i="4"/>
  <c r="AD26" i="3"/>
  <c r="AD29" i="3"/>
  <c r="L14" i="3"/>
  <c r="AD25" i="3" s="1"/>
  <c r="AD30" i="3"/>
  <c r="AD24" i="3"/>
  <c r="AD28" i="3"/>
  <c r="E11" i="3"/>
  <c r="E9" i="3"/>
  <c r="H10" i="3"/>
  <c r="G9" i="3"/>
  <c r="AD27" i="3"/>
  <c r="H35" i="3"/>
  <c r="AD25" i="2"/>
  <c r="L14" i="2"/>
  <c r="AD26" i="2"/>
  <c r="AD24" i="2"/>
  <c r="AD27" i="2"/>
  <c r="AD21" i="2"/>
  <c r="AD22" i="2"/>
  <c r="G11" i="2"/>
  <c r="G12" i="2" s="1"/>
  <c r="G13" i="2" s="1"/>
  <c r="G14" i="2" s="1"/>
  <c r="G15" i="2" s="1"/>
  <c r="E10" i="2"/>
  <c r="L15" i="2"/>
  <c r="L16" i="2" s="1"/>
  <c r="K17" i="2"/>
  <c r="L12" i="1"/>
  <c r="L13" i="1" s="1"/>
  <c r="E9" i="1"/>
  <c r="H10" i="1"/>
  <c r="E11" i="1"/>
  <c r="G9" i="1"/>
  <c r="G14" i="1"/>
  <c r="G15" i="1" s="1"/>
  <c r="G16" i="1" s="1"/>
  <c r="G17" i="1" s="1"/>
  <c r="H34" i="1" s="1"/>
  <c r="Y38" i="3"/>
  <c r="Y37" i="1"/>
  <c r="Y35" i="5"/>
  <c r="H32" i="1" l="1"/>
  <c r="G9" i="5"/>
  <c r="E9" i="5"/>
  <c r="H10" i="5"/>
  <c r="O10" i="5" s="1"/>
  <c r="H32" i="5"/>
  <c r="H36" i="4"/>
  <c r="G18" i="4"/>
  <c r="G19" i="4" s="1"/>
  <c r="G16" i="2"/>
  <c r="H33" i="2" s="1"/>
  <c r="E12" i="5"/>
  <c r="H11" i="5"/>
  <c r="L11" i="5"/>
  <c r="L12" i="5" s="1"/>
  <c r="L13" i="5" s="1"/>
  <c r="H10" i="4"/>
  <c r="G9" i="4"/>
  <c r="E9" i="4"/>
  <c r="E11" i="4"/>
  <c r="L16" i="4"/>
  <c r="AD23" i="3"/>
  <c r="O10" i="3"/>
  <c r="N10" i="3"/>
  <c r="H9" i="3"/>
  <c r="L15" i="3"/>
  <c r="E12" i="3"/>
  <c r="H11" i="3"/>
  <c r="AD28" i="2"/>
  <c r="G9" i="2"/>
  <c r="E11" i="2"/>
  <c r="E9" i="2"/>
  <c r="H10" i="2"/>
  <c r="AD29" i="2"/>
  <c r="H9" i="1"/>
  <c r="O10" i="1"/>
  <c r="N10" i="1"/>
  <c r="H11" i="1"/>
  <c r="E12" i="1"/>
  <c r="L14" i="1"/>
  <c r="AD24" i="1"/>
  <c r="AD25" i="1"/>
  <c r="AD23" i="1"/>
  <c r="AD26" i="1"/>
  <c r="AD27" i="1"/>
  <c r="AD28" i="1"/>
  <c r="AD22" i="1"/>
  <c r="AD29" i="1"/>
  <c r="Y36" i="2"/>
  <c r="Y38" i="1"/>
  <c r="Y36" i="5"/>
  <c r="Y39" i="3"/>
  <c r="Y39" i="4"/>
  <c r="H9" i="5" l="1"/>
  <c r="N10" i="5"/>
  <c r="H31" i="5"/>
  <c r="O11" i="5"/>
  <c r="N11" i="5"/>
  <c r="L14" i="5"/>
  <c r="AD26" i="5"/>
  <c r="AD25" i="5"/>
  <c r="AD23" i="5"/>
  <c r="AD24" i="5"/>
  <c r="AD20" i="5"/>
  <c r="AD21" i="5"/>
  <c r="AD22" i="5"/>
  <c r="H12" i="5"/>
  <c r="E13" i="5"/>
  <c r="E12" i="4"/>
  <c r="H11" i="4"/>
  <c r="O10" i="4"/>
  <c r="N10" i="4"/>
  <c r="H9" i="4"/>
  <c r="L17" i="4"/>
  <c r="H34" i="3"/>
  <c r="L16" i="3"/>
  <c r="O11" i="3"/>
  <c r="N11" i="3"/>
  <c r="E13" i="3"/>
  <c r="H12" i="3"/>
  <c r="O10" i="2"/>
  <c r="H9" i="2"/>
  <c r="N10" i="2"/>
  <c r="E12" i="2"/>
  <c r="H11" i="2"/>
  <c r="Y28" i="2"/>
  <c r="Y22" i="2"/>
  <c r="Y29" i="2"/>
  <c r="Y21" i="2"/>
  <c r="Y27" i="2"/>
  <c r="H33" i="1"/>
  <c r="O11" i="1"/>
  <c r="N11" i="1"/>
  <c r="E13" i="1"/>
  <c r="H12" i="1"/>
  <c r="L15" i="1"/>
  <c r="Y40" i="4"/>
  <c r="Y37" i="2"/>
  <c r="E14" i="5" l="1"/>
  <c r="H13" i="5"/>
  <c r="H20" i="5"/>
  <c r="H30" i="5" s="1"/>
  <c r="O12" i="5"/>
  <c r="N12" i="5"/>
  <c r="L15" i="5"/>
  <c r="L18" i="4"/>
  <c r="AD31" i="4"/>
  <c r="H35" i="4"/>
  <c r="O11" i="4"/>
  <c r="N11" i="4"/>
  <c r="H12" i="4"/>
  <c r="E13" i="4"/>
  <c r="AD31" i="3"/>
  <c r="L17" i="3"/>
  <c r="L18" i="3" s="1"/>
  <c r="O12" i="3"/>
  <c r="N12" i="3"/>
  <c r="E14" i="3"/>
  <c r="H13" i="3"/>
  <c r="H23" i="3"/>
  <c r="H33" i="3" s="1"/>
  <c r="Y29" i="3"/>
  <c r="H32" i="2"/>
  <c r="Y24" i="2"/>
  <c r="Y23" i="2"/>
  <c r="Y26" i="2"/>
  <c r="O11" i="2"/>
  <c r="N11" i="2"/>
  <c r="Y25" i="2"/>
  <c r="H12" i="2"/>
  <c r="E13" i="2"/>
  <c r="H13" i="1"/>
  <c r="E14" i="1"/>
  <c r="H22" i="1"/>
  <c r="L16" i="1"/>
  <c r="AD30" i="1"/>
  <c r="O12" i="1"/>
  <c r="N12" i="1"/>
  <c r="Z23" i="2"/>
  <c r="Z24" i="2"/>
  <c r="AB25" i="2"/>
  <c r="AB21" i="2"/>
  <c r="Z22" i="2"/>
  <c r="Z21" i="2"/>
  <c r="AA24" i="2"/>
  <c r="AA22" i="2"/>
  <c r="AB26" i="2"/>
  <c r="Z25" i="2"/>
  <c r="AB23" i="2"/>
  <c r="AA26" i="2"/>
  <c r="AA25" i="2"/>
  <c r="AB24" i="2"/>
  <c r="AA27" i="2"/>
  <c r="AA23" i="2"/>
  <c r="Z26" i="2"/>
  <c r="AB22" i="2"/>
  <c r="AB28" i="2"/>
  <c r="AA28" i="2"/>
  <c r="AB27" i="2"/>
  <c r="Z27" i="2"/>
  <c r="AA29" i="2"/>
  <c r="AA21" i="2"/>
  <c r="AB29" i="2"/>
  <c r="N13" i="5" l="1"/>
  <c r="O13" i="5"/>
  <c r="H14" i="5"/>
  <c r="E15" i="5"/>
  <c r="Y24" i="5"/>
  <c r="AD28" i="5"/>
  <c r="AD27" i="5"/>
  <c r="L19" i="4"/>
  <c r="AD32" i="4"/>
  <c r="Y32" i="4"/>
  <c r="Y30" i="4"/>
  <c r="Y25" i="4"/>
  <c r="E14" i="4"/>
  <c r="H13" i="4"/>
  <c r="H24" i="4"/>
  <c r="H34" i="4" s="1"/>
  <c r="N12" i="4"/>
  <c r="O12" i="4"/>
  <c r="Y26" i="3"/>
  <c r="Y28" i="3"/>
  <c r="Y24" i="3"/>
  <c r="Y27" i="3"/>
  <c r="O13" i="3"/>
  <c r="N13" i="3"/>
  <c r="E15" i="3"/>
  <c r="H14" i="3"/>
  <c r="Y23" i="3"/>
  <c r="Y31" i="3"/>
  <c r="Y25" i="3"/>
  <c r="Y30" i="3"/>
  <c r="N12" i="2"/>
  <c r="O12" i="2"/>
  <c r="E14" i="2"/>
  <c r="H13" i="2"/>
  <c r="H21" i="2"/>
  <c r="H31" i="2" s="1"/>
  <c r="AC21" i="2"/>
  <c r="N29" i="2" s="1"/>
  <c r="AC25" i="2"/>
  <c r="N33" i="2" s="1"/>
  <c r="AC23" i="2"/>
  <c r="N31" i="2" s="1"/>
  <c r="AC27" i="2"/>
  <c r="N35" i="2" s="1"/>
  <c r="AC24" i="2"/>
  <c r="N32" i="2" s="1"/>
  <c r="L17" i="1"/>
  <c r="Y27" i="1"/>
  <c r="Y22" i="1"/>
  <c r="Y30" i="1"/>
  <c r="Y25" i="1"/>
  <c r="Y24" i="1"/>
  <c r="Y23" i="1"/>
  <c r="Y26" i="1"/>
  <c r="Y28" i="1"/>
  <c r="Y29" i="1"/>
  <c r="E15" i="1"/>
  <c r="H14" i="1"/>
  <c r="O13" i="1"/>
  <c r="N13" i="1"/>
  <c r="AA30" i="4"/>
  <c r="AB29" i="3"/>
  <c r="AB32" i="4"/>
  <c r="AA32" i="4"/>
  <c r="Z28" i="2"/>
  <c r="AB30" i="4"/>
  <c r="AB25" i="4"/>
  <c r="Z29" i="3"/>
  <c r="Z25" i="4"/>
  <c r="AA25" i="4"/>
  <c r="Z30" i="4"/>
  <c r="AA29" i="3"/>
  <c r="AC28" i="2" l="1"/>
  <c r="N36" i="2" s="1"/>
  <c r="Y22" i="5"/>
  <c r="H15" i="5"/>
  <c r="Y20" i="5"/>
  <c r="O14" i="5"/>
  <c r="N14" i="5"/>
  <c r="Y26" i="5"/>
  <c r="Y27" i="5"/>
  <c r="Y28" i="5"/>
  <c r="Y21" i="5"/>
  <c r="Y25" i="5"/>
  <c r="Y23" i="5"/>
  <c r="AC25" i="4"/>
  <c r="N33" i="4" s="1"/>
  <c r="AC30" i="4"/>
  <c r="N38" i="4" s="1"/>
  <c r="Y27" i="4"/>
  <c r="Y28" i="4"/>
  <c r="Y29" i="4"/>
  <c r="Y26" i="4"/>
  <c r="Y24" i="4"/>
  <c r="Y31" i="4"/>
  <c r="H14" i="4"/>
  <c r="E15" i="4"/>
  <c r="N13" i="4"/>
  <c r="O13" i="4"/>
  <c r="AC29" i="3"/>
  <c r="N37" i="3" s="1"/>
  <c r="O14" i="3"/>
  <c r="N14" i="3"/>
  <c r="H15" i="3"/>
  <c r="E16" i="3"/>
  <c r="E17" i="3" s="1"/>
  <c r="AC22" i="2"/>
  <c r="N30" i="2" s="1"/>
  <c r="O13" i="2"/>
  <c r="N13" i="2"/>
  <c r="AC26" i="2"/>
  <c r="N34" i="2" s="1"/>
  <c r="E15" i="2"/>
  <c r="H14" i="2"/>
  <c r="O14" i="1"/>
  <c r="N14" i="1"/>
  <c r="H15" i="1"/>
  <c r="E16" i="1"/>
  <c r="AA27" i="4"/>
  <c r="AB24" i="4"/>
  <c r="AB23" i="3"/>
  <c r="Z23" i="1"/>
  <c r="AA24" i="1"/>
  <c r="AA28" i="1"/>
  <c r="AB29" i="1"/>
  <c r="AB30" i="1"/>
  <c r="AA31" i="4"/>
  <c r="Z28" i="3"/>
  <c r="AA25" i="1"/>
  <c r="AB31" i="4"/>
  <c r="AA23" i="3"/>
  <c r="AB22" i="1"/>
  <c r="AB23" i="1"/>
  <c r="AB27" i="4"/>
  <c r="Z24" i="4"/>
  <c r="Z31" i="3"/>
  <c r="Z30" i="3"/>
  <c r="AB26" i="1"/>
  <c r="AA26" i="3"/>
  <c r="Z25" i="1"/>
  <c r="Z28" i="1"/>
  <c r="AA29" i="4"/>
  <c r="AB29" i="4"/>
  <c r="AB24" i="3"/>
  <c r="AA26" i="4"/>
  <c r="Z28" i="4"/>
  <c r="AB27" i="3"/>
  <c r="Z26" i="3"/>
  <c r="Z29" i="1"/>
  <c r="Z27" i="3"/>
  <c r="AA22" i="1"/>
  <c r="AA27" i="3"/>
  <c r="AA24" i="5"/>
  <c r="AB26" i="4"/>
  <c r="Z25" i="3"/>
  <c r="Z24" i="5"/>
  <c r="AA24" i="4"/>
  <c r="Z30" i="1"/>
  <c r="AB28" i="4"/>
  <c r="AB24" i="1"/>
  <c r="Z24" i="3"/>
  <c r="AA27" i="1"/>
  <c r="AA29" i="1"/>
  <c r="Z31" i="4"/>
  <c r="AB31" i="3"/>
  <c r="Z23" i="3"/>
  <c r="Z22" i="1"/>
  <c r="AB30" i="3"/>
  <c r="Z24" i="1"/>
  <c r="Z27" i="1"/>
  <c r="Z27" i="4"/>
  <c r="AA31" i="3"/>
  <c r="AB27" i="1"/>
  <c r="AA28" i="4"/>
  <c r="AA24" i="3"/>
  <c r="AB26" i="3"/>
  <c r="AB28" i="1"/>
  <c r="AA30" i="1"/>
  <c r="Z29" i="4"/>
  <c r="AB28" i="3"/>
  <c r="AB25" i="1"/>
  <c r="AB24" i="5"/>
  <c r="Z26" i="4"/>
  <c r="AB25" i="3"/>
  <c r="AA26" i="1"/>
  <c r="AA23" i="1"/>
  <c r="Z26" i="1"/>
  <c r="AA25" i="3"/>
  <c r="AA30" i="3"/>
  <c r="Z29" i="2"/>
  <c r="AA28" i="3"/>
  <c r="H17" i="3" l="1"/>
  <c r="E18" i="3"/>
  <c r="H18" i="3" s="1"/>
  <c r="AC29" i="2"/>
  <c r="N37" i="2" s="1"/>
  <c r="H15" i="2"/>
  <c r="E16" i="2"/>
  <c r="H16" i="2" s="1"/>
  <c r="AC24" i="5"/>
  <c r="N32" i="5" s="1"/>
  <c r="N15" i="5"/>
  <c r="O15" i="5"/>
  <c r="O16" i="5" s="1"/>
  <c r="AC24" i="4"/>
  <c r="N32" i="4" s="1"/>
  <c r="AC26" i="4"/>
  <c r="N34" i="4" s="1"/>
  <c r="AC31" i="4"/>
  <c r="N39" i="4" s="1"/>
  <c r="AC29" i="4"/>
  <c r="N37" i="4" s="1"/>
  <c r="AC28" i="4"/>
  <c r="N36" i="4" s="1"/>
  <c r="AC27" i="4"/>
  <c r="N35" i="4" s="1"/>
  <c r="H32" i="4"/>
  <c r="E16" i="4"/>
  <c r="H15" i="4"/>
  <c r="N14" i="4"/>
  <c r="O14" i="4"/>
  <c r="AC23" i="3"/>
  <c r="N31" i="3" s="1"/>
  <c r="AC31" i="3"/>
  <c r="N39" i="3" s="1"/>
  <c r="AC25" i="3"/>
  <c r="N33" i="3" s="1"/>
  <c r="AC26" i="3"/>
  <c r="N34" i="3" s="1"/>
  <c r="AC30" i="3"/>
  <c r="N38" i="3" s="1"/>
  <c r="AC27" i="3"/>
  <c r="N35" i="3" s="1"/>
  <c r="AC28" i="3"/>
  <c r="N36" i="3" s="1"/>
  <c r="AC24" i="3"/>
  <c r="H16" i="3"/>
  <c r="H29" i="2"/>
  <c r="O15" i="3"/>
  <c r="N15" i="3"/>
  <c r="N14" i="2"/>
  <c r="O14" i="2"/>
  <c r="AC28" i="1"/>
  <c r="N36" i="1" s="1"/>
  <c r="AC24" i="1"/>
  <c r="N32" i="1" s="1"/>
  <c r="AC22" i="1"/>
  <c r="N30" i="1" s="1"/>
  <c r="AC29" i="1"/>
  <c r="N37" i="1" s="1"/>
  <c r="AC26" i="1"/>
  <c r="N34" i="1" s="1"/>
  <c r="AC23" i="1"/>
  <c r="AC25" i="1"/>
  <c r="N33" i="1" s="1"/>
  <c r="AC30" i="1"/>
  <c r="N38" i="1" s="1"/>
  <c r="AC27" i="1"/>
  <c r="N35" i="1" s="1"/>
  <c r="E17" i="1"/>
  <c r="H17" i="1" s="1"/>
  <c r="H16" i="1"/>
  <c r="O15" i="1"/>
  <c r="N15" i="1"/>
  <c r="AA23" i="5"/>
  <c r="AB23" i="5"/>
  <c r="AB27" i="5"/>
  <c r="AA22" i="5"/>
  <c r="AB25" i="5"/>
  <c r="AA21" i="5"/>
  <c r="Z20" i="5"/>
  <c r="AA25" i="5"/>
  <c r="AA28" i="5"/>
  <c r="AB28" i="5"/>
  <c r="Z28" i="5"/>
  <c r="Z23" i="5"/>
  <c r="AB20" i="5"/>
  <c r="AA27" i="5"/>
  <c r="AB22" i="5"/>
  <c r="Z26" i="5"/>
  <c r="Z22" i="5"/>
  <c r="Z27" i="5"/>
  <c r="AB21" i="5"/>
  <c r="Z25" i="5"/>
  <c r="AA26" i="5"/>
  <c r="AA20" i="5"/>
  <c r="Z21" i="5"/>
  <c r="AB26" i="5"/>
  <c r="N18" i="3" l="1"/>
  <c r="O18" i="3"/>
  <c r="N17" i="3"/>
  <c r="O17" i="3"/>
  <c r="O16" i="2"/>
  <c r="N16" i="2"/>
  <c r="O15" i="2"/>
  <c r="O17" i="2" s="1"/>
  <c r="N15" i="2"/>
  <c r="AC22" i="5"/>
  <c r="N30" i="5" s="1"/>
  <c r="AC25" i="5"/>
  <c r="N33" i="5" s="1"/>
  <c r="AC27" i="5"/>
  <c r="N35" i="5" s="1"/>
  <c r="AC28" i="5"/>
  <c r="N36" i="5" s="1"/>
  <c r="AC21" i="5"/>
  <c r="AC26" i="5"/>
  <c r="N34" i="5" s="1"/>
  <c r="AC20" i="5"/>
  <c r="N28" i="5" s="1"/>
  <c r="AC23" i="5"/>
  <c r="N31" i="5" s="1"/>
  <c r="N16" i="5"/>
  <c r="H26" i="5" s="1"/>
  <c r="E17" i="4"/>
  <c r="E18" i="4" s="1"/>
  <c r="H16" i="4"/>
  <c r="N15" i="4"/>
  <c r="O15" i="4"/>
  <c r="N32" i="3"/>
  <c r="H31" i="3"/>
  <c r="N16" i="3"/>
  <c r="O16" i="3"/>
  <c r="N31" i="1"/>
  <c r="H30" i="1"/>
  <c r="O17" i="1"/>
  <c r="N17" i="1"/>
  <c r="O16" i="1"/>
  <c r="N16" i="1"/>
  <c r="Z32" i="4"/>
  <c r="N17" i="2" l="1"/>
  <c r="H27" i="2" s="1"/>
  <c r="P13" i="2" s="1"/>
  <c r="AC32" i="4"/>
  <c r="N40" i="4" s="1"/>
  <c r="H18" i="4"/>
  <c r="E19" i="4"/>
  <c r="H19" i="4" s="1"/>
  <c r="N18" i="1"/>
  <c r="H28" i="1" s="1"/>
  <c r="Q17" i="1" s="1"/>
  <c r="O18" i="1"/>
  <c r="N29" i="5"/>
  <c r="H28" i="5"/>
  <c r="Q10" i="5"/>
  <c r="P10" i="5"/>
  <c r="P11" i="5"/>
  <c r="Q11" i="5"/>
  <c r="P12" i="5"/>
  <c r="Q12" i="5"/>
  <c r="P13" i="5"/>
  <c r="Q13" i="5"/>
  <c r="Q14" i="5"/>
  <c r="P14" i="5"/>
  <c r="Q15" i="5"/>
  <c r="P15" i="5"/>
  <c r="H34" i="5"/>
  <c r="H36" i="5" s="1"/>
  <c r="H38" i="5" s="1"/>
  <c r="N16" i="4"/>
  <c r="O16" i="4"/>
  <c r="H17" i="4"/>
  <c r="N19" i="3"/>
  <c r="H29" i="3" s="1"/>
  <c r="O19" i="3"/>
  <c r="Q16" i="1"/>
  <c r="Q10" i="1"/>
  <c r="P10" i="1"/>
  <c r="Q11" i="1"/>
  <c r="P11" i="1"/>
  <c r="P12" i="1"/>
  <c r="Q12" i="1"/>
  <c r="P13" i="1"/>
  <c r="Q14" i="1"/>
  <c r="P14" i="1"/>
  <c r="P15" i="1"/>
  <c r="Q15" i="1"/>
  <c r="P16" i="1"/>
  <c r="H36" i="1"/>
  <c r="H38" i="1" s="1"/>
  <c r="H40" i="1" s="1"/>
  <c r="P17" i="1"/>
  <c r="Q15" i="2" l="1"/>
  <c r="Q17" i="2" s="1"/>
  <c r="P25" i="2" s="1"/>
  <c r="Q11" i="2"/>
  <c r="Q12" i="2"/>
  <c r="P15" i="2"/>
  <c r="Q13" i="2"/>
  <c r="Q10" i="2"/>
  <c r="Q14" i="2"/>
  <c r="P14" i="2"/>
  <c r="P16" i="2"/>
  <c r="P10" i="2"/>
  <c r="Q16" i="2"/>
  <c r="P11" i="2"/>
  <c r="P12" i="2"/>
  <c r="H35" i="2"/>
  <c r="H37" i="2" s="1"/>
  <c r="H39" i="2" s="1"/>
  <c r="O19" i="4"/>
  <c r="N19" i="4"/>
  <c r="N18" i="4"/>
  <c r="O18" i="4"/>
  <c r="O20" i="4" s="1"/>
  <c r="Q13" i="1"/>
  <c r="P16" i="5"/>
  <c r="P21" i="5" s="1"/>
  <c r="Q16" i="5"/>
  <c r="P24" i="5" s="1"/>
  <c r="N17" i="4"/>
  <c r="N20" i="4" s="1"/>
  <c r="H30" i="4" s="1"/>
  <c r="O17" i="4"/>
  <c r="P17" i="3"/>
  <c r="Q17" i="3"/>
  <c r="P18" i="3"/>
  <c r="Q18" i="3"/>
  <c r="H37" i="3"/>
  <c r="H39" i="3" s="1"/>
  <c r="H41" i="3" s="1"/>
  <c r="Q10" i="3"/>
  <c r="P10" i="3"/>
  <c r="Q11" i="3"/>
  <c r="P11" i="3"/>
  <c r="Q12" i="3"/>
  <c r="P12" i="3"/>
  <c r="Q13" i="3"/>
  <c r="P13" i="3"/>
  <c r="Q14" i="3"/>
  <c r="P14" i="3"/>
  <c r="P15" i="3"/>
  <c r="Q15" i="3"/>
  <c r="Q16" i="3"/>
  <c r="P16" i="3"/>
  <c r="P18" i="1"/>
  <c r="P23" i="1" s="1"/>
  <c r="Q18" i="1"/>
  <c r="P26" i="1" s="1"/>
  <c r="P17" i="2" l="1"/>
  <c r="P22" i="2" s="1"/>
  <c r="H38" i="4"/>
  <c r="H40" i="4" s="1"/>
  <c r="H42" i="4" s="1"/>
  <c r="P18" i="4"/>
  <c r="P19" i="4"/>
  <c r="Q19" i="4"/>
  <c r="Q18" i="4"/>
  <c r="Q17" i="4"/>
  <c r="P10" i="4"/>
  <c r="P14" i="4"/>
  <c r="Q15" i="4"/>
  <c r="P11" i="4"/>
  <c r="P15" i="4"/>
  <c r="P12" i="4"/>
  <c r="Q16" i="4"/>
  <c r="P17" i="4"/>
  <c r="Q11" i="4"/>
  <c r="Q12" i="4"/>
  <c r="P16" i="4"/>
  <c r="Q13" i="4"/>
  <c r="Q14" i="4"/>
  <c r="Q10" i="4"/>
  <c r="P13" i="4"/>
  <c r="P19" i="3"/>
  <c r="P24" i="3" s="1"/>
  <c r="Q19" i="3"/>
  <c r="P27" i="3" s="1"/>
  <c r="Q20" i="4" l="1"/>
  <c r="P28" i="4" s="1"/>
  <c r="P20" i="4"/>
  <c r="P25" i="4" s="1"/>
</calcChain>
</file>

<file path=xl/sharedStrings.xml><?xml version="1.0" encoding="utf-8"?>
<sst xmlns="http://schemas.openxmlformats.org/spreadsheetml/2006/main" count="600" uniqueCount="92">
  <si>
    <t>En una calle de la ciudad se midió con radar la velocidad de 55 automóviles</t>
  </si>
  <si>
    <t>Construir una tabla de frecuencias descriptiva de estos datos utilizando ocho clases, y sus gráficas.</t>
  </si>
  <si>
    <t>c =</t>
  </si>
  <si>
    <t xml:space="preserve">  Precisión:</t>
  </si>
  <si>
    <t>Columnas auxiliares para el cálculo</t>
  </si>
  <si>
    <t>INTERVALOS DE CLASE</t>
  </si>
  <si>
    <t>FRONTERAS DE CLASE</t>
  </si>
  <si>
    <t>MARCAS DE CLASE</t>
  </si>
  <si>
    <t>FRECUENCIA</t>
  </si>
  <si>
    <t>FRECUENCIA ACUMULADA</t>
  </si>
  <si>
    <t>FRECUENCIA RELATIVA</t>
  </si>
  <si>
    <t>FRECUENCIA RELATIVA ACUMULADA</t>
  </si>
  <si>
    <t>Clase:</t>
  </si>
  <si>
    <t>Linf</t>
  </si>
  <si>
    <t>g1</t>
  </si>
  <si>
    <t>Lsup</t>
  </si>
  <si>
    <t>Límite
inferior</t>
  </si>
  <si>
    <t>g2</t>
  </si>
  <si>
    <t>Límite
superior</t>
  </si>
  <si>
    <r>
      <t>x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</si>
  <si>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</si>
  <si>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</si>
  <si>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</si>
  <si>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</si>
  <si>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*x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</si>
  <si>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2</t>
    </r>
  </si>
  <si>
    <r>
      <t xml:space="preserve"> 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-X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3</t>
    </r>
  </si>
  <si>
    <r>
      <t>f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*</t>
    </r>
    <r>
      <rPr>
        <b/>
        <sz val="16"/>
        <rFont val="Times New Roman"/>
        <family val="1"/>
      </rPr>
      <t>(</t>
    </r>
    <r>
      <rPr>
        <b/>
        <i/>
        <sz val="16"/>
        <rFont val="Times New Roman"/>
        <family val="1"/>
      </rPr>
      <t>x</t>
    </r>
    <r>
      <rPr>
        <b/>
        <i/>
        <vertAlign val="subscript"/>
        <sz val="16"/>
        <rFont val="Times New Roman"/>
        <family val="1"/>
      </rPr>
      <t>i</t>
    </r>
    <r>
      <rPr>
        <b/>
        <i/>
        <sz val="16"/>
        <rFont val="Times New Roman"/>
        <family val="1"/>
      </rPr>
      <t>-X</t>
    </r>
    <r>
      <rPr>
        <b/>
        <sz val="16"/>
        <rFont val="Times New Roman"/>
        <family val="1"/>
      </rPr>
      <t>)</t>
    </r>
    <r>
      <rPr>
        <b/>
        <vertAlign val="superscript"/>
        <sz val="16"/>
        <rFont val="Times New Roman"/>
        <family val="1"/>
      </rPr>
      <t>4</t>
    </r>
  </si>
  <si>
    <t>-</t>
  </si>
  <si>
    <t>SUMAS:</t>
  </si>
  <si>
    <t>Fracción</t>
  </si>
  <si>
    <t>Clase</t>
  </si>
  <si>
    <t>Límite inferior</t>
  </si>
  <si>
    <t>Frecuencia absoluta</t>
  </si>
  <si>
    <t>Frecuencia acumulada anterior</t>
  </si>
  <si>
    <t>Fractil</t>
  </si>
  <si>
    <t>Longitud de clase</t>
  </si>
  <si>
    <t>c</t>
  </si>
  <si>
    <t>=</t>
  </si>
  <si>
    <t>COEFICIENTE DE SESGO</t>
  </si>
  <si>
    <t>Clase que contiene al Q1</t>
  </si>
  <si>
    <t>Q1</t>
  </si>
  <si>
    <t>(Tercer momento estandarizado)</t>
  </si>
  <si>
    <r>
      <t>a</t>
    </r>
    <r>
      <rPr>
        <b/>
        <i/>
        <vertAlign val="subscript"/>
        <sz val="12"/>
        <rFont val="Arial"/>
        <family val="2"/>
      </rPr>
      <t>3</t>
    </r>
    <r>
      <rPr>
        <b/>
        <i/>
        <sz val="12"/>
        <rFont val="Arial"/>
        <family val="2"/>
      </rPr>
      <t xml:space="preserve"> =</t>
    </r>
  </si>
  <si>
    <t>Clase que contiene a la mediana:</t>
  </si>
  <si>
    <t>Q2</t>
  </si>
  <si>
    <t>Número de clases</t>
  </si>
  <si>
    <t>m</t>
  </si>
  <si>
    <t>Clase que contiene al Q3</t>
  </si>
  <si>
    <t>Q3</t>
  </si>
  <si>
    <t>COEFICIENTE DE CURTOSIS</t>
  </si>
  <si>
    <t>D1</t>
  </si>
  <si>
    <t>Total de datos</t>
  </si>
  <si>
    <t>N</t>
  </si>
  <si>
    <t>(Cuarto momento estandarizado)</t>
  </si>
  <si>
    <r>
      <t>a</t>
    </r>
    <r>
      <rPr>
        <b/>
        <i/>
        <vertAlign val="subscript"/>
        <sz val="12"/>
        <rFont val="Arial"/>
        <family val="2"/>
      </rPr>
      <t>4</t>
    </r>
    <r>
      <rPr>
        <b/>
        <i/>
        <sz val="12"/>
        <rFont val="Arial"/>
        <family val="2"/>
      </rPr>
      <t xml:space="preserve"> =</t>
    </r>
  </si>
  <si>
    <t>D2</t>
  </si>
  <si>
    <t>D3</t>
  </si>
  <si>
    <t>MEDIA</t>
  </si>
  <si>
    <t>X</t>
  </si>
  <si>
    <t>D7</t>
  </si>
  <si>
    <t>ALGUNOS FRACTILES:</t>
  </si>
  <si>
    <t>D8</t>
  </si>
  <si>
    <t>MEDIANA</t>
  </si>
  <si>
    <r>
      <t>Q</t>
    </r>
    <r>
      <rPr>
        <vertAlign val="subscript"/>
        <sz val="12"/>
        <rFont val="Arial"/>
        <family val="2"/>
      </rPr>
      <t>1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25</t>
    </r>
    <r>
      <rPr>
        <sz val="12"/>
        <rFont val="Arial"/>
        <family val="2"/>
      </rPr>
      <t xml:space="preserve"> =</t>
    </r>
  </si>
  <si>
    <t>D9</t>
  </si>
  <si>
    <r>
      <t>Q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50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=</t>
    </r>
  </si>
  <si>
    <t>MODA</t>
  </si>
  <si>
    <t>Mo</t>
  </si>
  <si>
    <r>
      <t>Q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= P</t>
    </r>
    <r>
      <rPr>
        <vertAlign val="subscript"/>
        <sz val="12"/>
        <rFont val="Arial"/>
        <family val="2"/>
      </rPr>
      <t>75</t>
    </r>
    <r>
      <rPr>
        <sz val="12"/>
        <rFont val="Arial"/>
        <family val="2"/>
      </rPr>
      <t xml:space="preserve"> =</t>
    </r>
  </si>
  <si>
    <r>
      <t xml:space="preserve">ó </t>
    </r>
    <r>
      <rPr>
        <i/>
        <sz val="12"/>
        <rFont val="Times New Roman"/>
        <family val="1"/>
      </rPr>
      <t>x</t>
    </r>
    <r>
      <rPr>
        <vertAlign val="subscript"/>
        <sz val="10"/>
        <rFont val="Arial"/>
        <family val="2"/>
      </rPr>
      <t>mo</t>
    </r>
  </si>
  <si>
    <r>
      <t>P</t>
    </r>
    <r>
      <rPr>
        <vertAlign val="subscript"/>
        <sz val="12"/>
        <rFont val="Arial"/>
        <family val="2"/>
      </rPr>
      <t>10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1</t>
    </r>
    <r>
      <rPr>
        <sz val="12"/>
        <rFont val="Arial"/>
        <family val="2"/>
      </rPr>
      <t xml:space="preserve"> =</t>
    </r>
  </si>
  <si>
    <t>Clase que contiene a la moda</t>
  </si>
  <si>
    <t>RANGO:</t>
  </si>
  <si>
    <t>R</t>
  </si>
  <si>
    <r>
      <t>P</t>
    </r>
    <r>
      <rPr>
        <vertAlign val="subscript"/>
        <sz val="12"/>
        <rFont val="Arial"/>
        <family val="2"/>
      </rPr>
      <t>20</t>
    </r>
    <r>
      <rPr>
        <sz val="12"/>
        <rFont val="Arial"/>
        <family val="2"/>
      </rPr>
      <t xml:space="preserve"> = 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=</t>
    </r>
  </si>
  <si>
    <t>Frecuencia de la clase modal</t>
  </si>
  <si>
    <r>
      <t>P</t>
    </r>
    <r>
      <rPr>
        <vertAlign val="subscript"/>
        <sz val="12"/>
        <rFont val="Arial"/>
        <family val="2"/>
      </rPr>
      <t>30</t>
    </r>
    <r>
      <rPr>
        <sz val="12"/>
        <rFont val="Arial"/>
        <family val="2"/>
      </rPr>
      <t xml:space="preserve"> =</t>
    </r>
  </si>
  <si>
    <t>Frecuencia de la clase anterior a la modal</t>
  </si>
  <si>
    <t>VARIANZA</t>
  </si>
  <si>
    <r>
      <t>S</t>
    </r>
    <r>
      <rPr>
        <b/>
        <i/>
        <vertAlign val="superscript"/>
        <sz val="12"/>
        <rFont val="Times New Roman"/>
        <family val="1"/>
      </rPr>
      <t>2</t>
    </r>
  </si>
  <si>
    <r>
      <t>P</t>
    </r>
    <r>
      <rPr>
        <vertAlign val="subscript"/>
        <sz val="12"/>
        <rFont val="Arial"/>
        <family val="2"/>
      </rPr>
      <t>70</t>
    </r>
    <r>
      <rPr>
        <sz val="12"/>
        <rFont val="Arial"/>
        <family val="2"/>
      </rPr>
      <t xml:space="preserve"> =</t>
    </r>
  </si>
  <si>
    <t>Frecuencia de la clase posterior a la modal</t>
  </si>
  <si>
    <r>
      <t>P</t>
    </r>
    <r>
      <rPr>
        <vertAlign val="subscript"/>
        <sz val="12"/>
        <rFont val="Arial"/>
        <family val="2"/>
      </rPr>
      <t>80</t>
    </r>
    <r>
      <rPr>
        <sz val="12"/>
        <rFont val="Arial"/>
        <family val="2"/>
      </rPr>
      <t xml:space="preserve"> =</t>
    </r>
  </si>
  <si>
    <t>Límite inferior de la clase modal:</t>
  </si>
  <si>
    <t>DESV. EST.</t>
  </si>
  <si>
    <t>S</t>
  </si>
  <si>
    <r>
      <t>P</t>
    </r>
    <r>
      <rPr>
        <vertAlign val="subscript"/>
        <sz val="12"/>
        <rFont val="Arial"/>
        <family val="2"/>
      </rPr>
      <t>90</t>
    </r>
    <r>
      <rPr>
        <sz val="12"/>
        <rFont val="Arial"/>
        <family val="2"/>
      </rPr>
      <t xml:space="preserve"> =</t>
    </r>
  </si>
  <si>
    <t>Marca de la clase que contiene a la moda:</t>
  </si>
  <si>
    <t>COEF. DE VARIACIÓN</t>
  </si>
  <si>
    <t>CV</t>
  </si>
  <si>
    <t>Nota: estas medidas están calculadas bajo el supuesto de que el conjunto de datos es una población.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</si>
</sst>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b/>
      <i/>
      <sz val="16"/>
      <name val="Times New Roman"/>
      <family val="1"/>
    </font>
    <font>
      <b/>
      <i/>
      <vertAlign val="subscript"/>
      <sz val="16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i/>
      <sz val="12"/>
      <name val="Times New Roman"/>
      <family val="1"/>
    </font>
    <font>
      <b/>
      <sz val="11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i/>
      <sz val="12"/>
      <name val="Times New Roman"/>
      <family val="1"/>
    </font>
    <font>
      <vertAlign val="subscript"/>
      <sz val="10"/>
      <name val="Arial"/>
      <family val="2"/>
    </font>
    <font>
      <b/>
      <i/>
      <vertAlign val="superscript"/>
      <sz val="12"/>
      <name val="Times New Roman"/>
      <family val="1"/>
    </font>
    <font>
      <i/>
      <sz val="13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1" fillId="0" borderId="0" xfId="1"/>
    <xf numFmtId="0" fontId="0" fillId="0" borderId="0" xfId="0" quotePrefix="1" applyAlignment="1">
      <alignment horizontal="left"/>
    </xf>
    <xf numFmtId="0" fontId="1" fillId="0" borderId="1" xfId="1" applyBorder="1"/>
    <xf numFmtId="0" fontId="1" fillId="0" borderId="2" xfId="1" applyBorder="1"/>
    <xf numFmtId="0" fontId="1" fillId="2" borderId="3" xfId="1" applyFill="1" applyBorder="1"/>
    <xf numFmtId="0" fontId="1" fillId="0" borderId="0" xfId="1" quotePrefix="1" applyAlignment="1">
      <alignment horizontal="left"/>
    </xf>
    <xf numFmtId="2" fontId="2" fillId="2" borderId="0" xfId="1" applyNumberFormat="1" applyFont="1" applyFill="1"/>
    <xf numFmtId="0" fontId="1" fillId="0" borderId="0" xfId="1" applyAlignment="1">
      <alignment horizontal="centerContinuous"/>
    </xf>
    <xf numFmtId="0" fontId="2" fillId="0" borderId="4" xfId="1" applyFont="1" applyBorder="1" applyAlignment="1">
      <alignment horizontal="centerContinuous" vertical="center" wrapText="1"/>
    </xf>
    <xf numFmtId="0" fontId="2" fillId="0" borderId="5" xfId="1" applyFont="1" applyBorder="1" applyAlignment="1">
      <alignment horizontal="centerContinuous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horizontal="center"/>
    </xf>
    <xf numFmtId="0" fontId="3" fillId="0" borderId="9" xfId="1" quotePrefix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quotePrefix="1" applyFont="1" applyAlignment="1">
      <alignment horizontal="center" vertical="center" wrapText="1"/>
    </xf>
    <xf numFmtId="0" fontId="2" fillId="0" borderId="9" xfId="1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horizontal="center" vertical="center" wrapText="1"/>
    </xf>
    <xf numFmtId="0" fontId="5" fillId="0" borderId="9" xfId="1" quotePrefix="1" applyFont="1" applyBorder="1" applyAlignment="1">
      <alignment horizontal="center" wrapText="1"/>
    </xf>
    <xf numFmtId="0" fontId="5" fillId="0" borderId="9" xfId="1" quotePrefix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5" fillId="0" borderId="7" xfId="1" quotePrefix="1" applyFont="1" applyBorder="1" applyAlignment="1">
      <alignment horizontal="center" vertical="center" wrapText="1"/>
    </xf>
    <xf numFmtId="0" fontId="5" fillId="0" borderId="7" xfId="1" quotePrefix="1" applyFont="1" applyBorder="1" applyAlignment="1">
      <alignment horizontal="center" vertical="center"/>
    </xf>
    <xf numFmtId="0" fontId="1" fillId="0" borderId="0" xfId="1" applyAlignment="1">
      <alignment wrapText="1"/>
    </xf>
    <xf numFmtId="0" fontId="3" fillId="0" borderId="0" xfId="1" applyFont="1" applyAlignment="1">
      <alignment horizontal="center"/>
    </xf>
    <xf numFmtId="2" fontId="3" fillId="0" borderId="11" xfId="1" applyNumberFormat="1" applyFont="1" applyBorder="1" applyAlignment="1">
      <alignment horizontal="centerContinuous" wrapText="1"/>
    </xf>
    <xf numFmtId="0" fontId="3" fillId="0" borderId="12" xfId="1" applyFont="1" applyBorder="1" applyAlignment="1">
      <alignment horizontal="center" wrapText="1"/>
    </xf>
    <xf numFmtId="2" fontId="3" fillId="0" borderId="12" xfId="1" applyNumberFormat="1" applyFont="1" applyBorder="1" applyAlignment="1">
      <alignment horizontal="centerContinuous" wrapText="1"/>
    </xf>
    <xf numFmtId="164" fontId="3" fillId="0" borderId="11" xfId="1" applyNumberFormat="1" applyFont="1" applyBorder="1" applyAlignment="1">
      <alignment horizontal="center" wrapText="1"/>
    </xf>
    <xf numFmtId="164" fontId="3" fillId="0" borderId="12" xfId="1" applyNumberFormat="1" applyFont="1" applyBorder="1" applyAlignment="1">
      <alignment horizontal="center" wrapText="1"/>
    </xf>
    <xf numFmtId="164" fontId="3" fillId="0" borderId="11" xfId="1" quotePrefix="1" applyNumberFormat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4" fillId="3" borderId="7" xfId="1" applyFont="1" applyFill="1" applyBorder="1" applyAlignment="1">
      <alignment horizontal="center" wrapText="1"/>
    </xf>
    <xf numFmtId="0" fontId="1" fillId="0" borderId="14" xfId="1" applyBorder="1"/>
    <xf numFmtId="0" fontId="1" fillId="0" borderId="0" xfId="1" applyAlignment="1">
      <alignment horizontal="center" vertical="center"/>
    </xf>
    <xf numFmtId="1" fontId="1" fillId="2" borderId="9" xfId="1" applyNumberFormat="1" applyFill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65" fontId="1" fillId="0" borderId="9" xfId="1" quotePrefix="1" applyNumberForma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" fillId="0" borderId="9" xfId="1" applyBorder="1" applyAlignment="1">
      <alignment horizontal="center" vertical="center"/>
    </xf>
    <xf numFmtId="1" fontId="1" fillId="0" borderId="9" xfId="1" applyNumberFormat="1" applyBorder="1" applyAlignment="1">
      <alignment horizontal="center" vertical="center"/>
    </xf>
    <xf numFmtId="164" fontId="1" fillId="0" borderId="9" xfId="1" applyNumberFormat="1" applyBorder="1" applyAlignment="1">
      <alignment horizontal="center" vertical="center"/>
    </xf>
    <xf numFmtId="164" fontId="1" fillId="0" borderId="10" xfId="1" applyNumberFormat="1" applyBorder="1" applyAlignment="1">
      <alignment horizontal="center" vertical="center"/>
    </xf>
    <xf numFmtId="164" fontId="1" fillId="3" borderId="7" xfId="1" applyNumberFormat="1" applyFill="1" applyBorder="1" applyAlignment="1">
      <alignment horizontal="center" vertical="center"/>
    </xf>
    <xf numFmtId="0" fontId="1" fillId="0" borderId="0" xfId="1" applyAlignment="1">
      <alignment vertical="center"/>
    </xf>
    <xf numFmtId="165" fontId="1" fillId="0" borderId="9" xfId="1" applyNumberFormat="1" applyBorder="1" applyAlignment="1">
      <alignment horizontal="center" vertical="center"/>
    </xf>
    <xf numFmtId="1" fontId="1" fillId="0" borderId="15" xfId="1" applyNumberFormat="1" applyBorder="1" applyAlignment="1">
      <alignment horizontal="center" vertical="center"/>
    </xf>
    <xf numFmtId="2" fontId="1" fillId="0" borderId="16" xfId="1" applyNumberFormat="1" applyBorder="1" applyAlignment="1">
      <alignment horizontal="center" vertical="center"/>
    </xf>
    <xf numFmtId="1" fontId="1" fillId="0" borderId="16" xfId="1" applyNumberFormat="1" applyBorder="1" applyAlignment="1">
      <alignment horizontal="center" vertical="center"/>
    </xf>
    <xf numFmtId="165" fontId="1" fillId="0" borderId="15" xfId="1" applyNumberFormat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165" fontId="1" fillId="0" borderId="16" xfId="1" applyNumberFormat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164" fontId="1" fillId="0" borderId="17" xfId="1" applyNumberFormat="1" applyBorder="1" applyAlignment="1">
      <alignment horizontal="center" vertical="center"/>
    </xf>
    <xf numFmtId="164" fontId="1" fillId="3" borderId="18" xfId="1" applyNumberForma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13" xfId="1" applyFont="1" applyBorder="1" applyAlignment="1">
      <alignment horizontal="center" vertical="center"/>
    </xf>
    <xf numFmtId="164" fontId="1" fillId="0" borderId="19" xfId="1" applyNumberFormat="1" applyBorder="1" applyAlignment="1">
      <alignment horizontal="center" vertical="center"/>
    </xf>
    <xf numFmtId="164" fontId="11" fillId="0" borderId="13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/>
    </xf>
    <xf numFmtId="0" fontId="1" fillId="0" borderId="0" xfId="1" applyAlignment="1">
      <alignment horizontal="right"/>
    </xf>
    <xf numFmtId="0" fontId="12" fillId="4" borderId="1" xfId="1" quotePrefix="1" applyFont="1" applyFill="1" applyBorder="1" applyAlignment="1">
      <alignment horizontal="left"/>
    </xf>
    <xf numFmtId="0" fontId="12" fillId="4" borderId="2" xfId="1" applyFont="1" applyFill="1" applyBorder="1"/>
    <xf numFmtId="0" fontId="12" fillId="4" borderId="2" xfId="1" applyFont="1" applyFill="1" applyBorder="1" applyAlignment="1">
      <alignment horizontal="right"/>
    </xf>
    <xf numFmtId="0" fontId="12" fillId="4" borderId="3" xfId="1" applyFont="1" applyFill="1" applyBorder="1"/>
    <xf numFmtId="0" fontId="1" fillId="0" borderId="4" xfId="1" applyBorder="1"/>
    <xf numFmtId="0" fontId="1" fillId="0" borderId="5" xfId="1" applyBorder="1"/>
    <xf numFmtId="0" fontId="1" fillId="0" borderId="8" xfId="1" applyBorder="1"/>
    <xf numFmtId="0" fontId="1" fillId="0" borderId="5" xfId="1" applyBorder="1" applyAlignment="1">
      <alignment horizontal="right"/>
    </xf>
    <xf numFmtId="2" fontId="1" fillId="0" borderId="5" xfId="1" applyNumberFormat="1" applyBorder="1" applyAlignment="1">
      <alignment horizontal="left"/>
    </xf>
    <xf numFmtId="0" fontId="13" fillId="0" borderId="0" xfId="1" quotePrefix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2" fontId="1" fillId="0" borderId="9" xfId="1" applyNumberFormat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" fillId="0" borderId="0" xfId="1" quotePrefix="1" applyAlignment="1">
      <alignment horizontal="center"/>
    </xf>
    <xf numFmtId="2" fontId="15" fillId="0" borderId="0" xfId="1" applyNumberFormat="1" applyFont="1" applyAlignment="1">
      <alignment horizontal="left"/>
    </xf>
    <xf numFmtId="0" fontId="1" fillId="0" borderId="7" xfId="1" applyBorder="1"/>
    <xf numFmtId="1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0" fontId="1" fillId="0" borderId="9" xfId="1" applyBorder="1"/>
    <xf numFmtId="0" fontId="14" fillId="0" borderId="0" xfId="1" applyFont="1" applyAlignment="1">
      <alignment horizontal="center" vertical="center"/>
    </xf>
    <xf numFmtId="0" fontId="11" fillId="0" borderId="0" xfId="1" applyFont="1"/>
    <xf numFmtId="0" fontId="16" fillId="0" borderId="0" xfId="1" quotePrefix="1" applyFont="1" applyAlignment="1">
      <alignment horizontal="right"/>
    </xf>
    <xf numFmtId="166" fontId="15" fillId="0" borderId="0" xfId="1" applyNumberFormat="1" applyFont="1" applyAlignment="1">
      <alignment horizontal="left"/>
    </xf>
    <xf numFmtId="0" fontId="1" fillId="0" borderId="9" xfId="1" applyBorder="1" applyAlignment="1">
      <alignment horizontal="left"/>
    </xf>
    <xf numFmtId="0" fontId="15" fillId="0" borderId="0" xfId="1" applyFont="1" applyAlignment="1">
      <alignment horizontal="left"/>
    </xf>
    <xf numFmtId="0" fontId="1" fillId="0" borderId="12" xfId="1" applyBorder="1"/>
    <xf numFmtId="0" fontId="1" fillId="0" borderId="12" xfId="1" applyBorder="1" applyAlignment="1">
      <alignment horizontal="center"/>
    </xf>
    <xf numFmtId="1" fontId="1" fillId="0" borderId="12" xfId="1" applyNumberFormat="1" applyBorder="1" applyAlignment="1">
      <alignment horizontal="center"/>
    </xf>
    <xf numFmtId="166" fontId="1" fillId="0" borderId="12" xfId="1" applyNumberFormat="1" applyBorder="1" applyAlignment="1">
      <alignment horizontal="center"/>
    </xf>
    <xf numFmtId="0" fontId="1" fillId="0" borderId="9" xfId="1" quotePrefix="1" applyBorder="1" applyAlignment="1">
      <alignment horizontal="left"/>
    </xf>
    <xf numFmtId="1" fontId="15" fillId="0" borderId="0" xfId="1" applyNumberFormat="1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9" xfId="1" applyFont="1" applyBorder="1"/>
    <xf numFmtId="164" fontId="15" fillId="0" borderId="0" xfId="1" applyNumberFormat="1" applyFont="1" applyAlignment="1">
      <alignment horizontal="left"/>
    </xf>
    <xf numFmtId="0" fontId="1" fillId="0" borderId="7" xfId="1" applyBorder="1" applyAlignment="1">
      <alignment horizontal="left"/>
    </xf>
    <xf numFmtId="0" fontId="19" fillId="0" borderId="0" xfId="1" quotePrefix="1" applyFont="1" applyAlignment="1">
      <alignment horizontal="right"/>
    </xf>
    <xf numFmtId="0" fontId="0" fillId="0" borderId="0" xfId="0" quotePrefix="1" applyAlignment="1">
      <alignment horizontal="right"/>
    </xf>
    <xf numFmtId="0" fontId="14" fillId="0" borderId="0" xfId="1" quotePrefix="1" applyFont="1" applyAlignment="1">
      <alignment horizontal="center"/>
    </xf>
    <xf numFmtId="0" fontId="1" fillId="0" borderId="11" xfId="1" applyBorder="1"/>
    <xf numFmtId="0" fontId="14" fillId="0" borderId="12" xfId="1" applyFont="1" applyBorder="1" applyAlignment="1">
      <alignment horizontal="center"/>
    </xf>
    <xf numFmtId="0" fontId="11" fillId="0" borderId="12" xfId="1" applyFont="1" applyBorder="1" applyAlignment="1">
      <alignment horizontal="left"/>
    </xf>
    <xf numFmtId="0" fontId="1" fillId="0" borderId="0" xfId="1" applyAlignment="1">
      <alignment horizontal="left"/>
    </xf>
    <xf numFmtId="0" fontId="24" fillId="0" borderId="0" xfId="1" quotePrefix="1" applyFont="1" applyAlignment="1">
      <alignment horizontal="right"/>
    </xf>
    <xf numFmtId="0" fontId="25" fillId="0" borderId="0" xfId="1" applyFont="1" applyAlignment="1">
      <alignment horizontal="right"/>
    </xf>
    <xf numFmtId="164" fontId="1" fillId="0" borderId="13" xfId="1" applyNumberFormat="1" applyBorder="1" applyAlignment="1">
      <alignment horizontal="center" vertical="center"/>
    </xf>
    <xf numFmtId="164" fontId="1" fillId="0" borderId="15" xfId="1" applyNumberFormat="1" applyBorder="1" applyAlignment="1">
      <alignment horizontal="center" vertical="center"/>
    </xf>
    <xf numFmtId="0" fontId="2" fillId="2" borderId="0" xfId="1" applyNumberFormat="1" applyFont="1" applyFill="1"/>
    <xf numFmtId="165" fontId="1" fillId="2" borderId="9" xfId="1" applyNumberFormat="1" applyFill="1" applyBorder="1" applyAlignment="1">
      <alignment horizontal="center" vertical="center"/>
    </xf>
    <xf numFmtId="2" fontId="1" fillId="0" borderId="9" xfId="1" quotePrefix="1" applyNumberFormat="1" applyBorder="1" applyAlignment="1">
      <alignment horizontal="center" vertical="center"/>
    </xf>
    <xf numFmtId="2" fontId="1" fillId="0" borderId="9" xfId="1" applyNumberFormat="1" applyBorder="1" applyAlignment="1">
      <alignment horizontal="center" vertical="center"/>
    </xf>
    <xf numFmtId="2" fontId="1" fillId="0" borderId="15" xfId="1" applyNumberFormat="1" applyBorder="1" applyAlignment="1">
      <alignment horizontal="center" vertical="center"/>
    </xf>
  </cellXfs>
  <cellStyles count="2">
    <cellStyle name="Normal" xfId="0" builtinId="0"/>
    <cellStyle name="Normal_FormulasEstadDescr" xfId="1" xr:uid="{993A41DB-7E4F-4ED0-9AF6-3CD4772E41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825889DA-48DB-443F-9F63-5EA6DE6753C6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8B795A58-ADB7-4D47-98DB-F0A3CDD87833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25</xdr:row>
      <xdr:rowOff>9525</xdr:rowOff>
    </xdr:from>
    <xdr:to>
      <xdr:col>5</xdr:col>
      <xdr:colOff>190500</xdr:colOff>
      <xdr:row>25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32A2610F-E757-4982-852F-27A2151E47DC}"/>
            </a:ext>
          </a:extLst>
        </xdr:cNvPr>
        <xdr:cNvSpPr>
          <a:spLocks noChangeShapeType="1"/>
        </xdr:cNvSpPr>
      </xdr:nvSpPr>
      <xdr:spPr bwMode="auto">
        <a:xfrm>
          <a:off x="2114550" y="557212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26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F15FD6C4-D534-45D9-836E-86B16A7A5FC1}"/>
            </a:ext>
          </a:extLst>
        </xdr:cNvPr>
        <xdr:cNvSpPr txBox="1">
          <a:spLocks noChangeArrowheads="1"/>
        </xdr:cNvSpPr>
      </xdr:nvSpPr>
      <xdr:spPr bwMode="auto">
        <a:xfrm>
          <a:off x="2124075" y="587692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C3885E62-63E6-48C3-9AA5-2DFE9B757443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19788DE-030D-4D4B-B5A4-9D6117E453EB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26</xdr:row>
      <xdr:rowOff>9525</xdr:rowOff>
    </xdr:from>
    <xdr:to>
      <xdr:col>5</xdr:col>
      <xdr:colOff>190500</xdr:colOff>
      <xdr:row>26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DCF6E54-EF4F-43D1-996E-64D7A252EA71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27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8B3F4C9-90D4-4420-8938-868826221063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88924092-D933-4EFF-A4A0-3C077B1B67FD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87D645F6-8A50-402B-86D7-A444AAF8A0F1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27</xdr:row>
      <xdr:rowOff>9525</xdr:rowOff>
    </xdr:from>
    <xdr:to>
      <xdr:col>5</xdr:col>
      <xdr:colOff>190500</xdr:colOff>
      <xdr:row>27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B4418F49-5C5A-4497-81A3-17C54EFF9BAA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28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F4013FEE-BA6E-43BE-B6AD-8455C97B1FD4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3F152D37-B266-4861-BB04-0AC80B4F72D0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65BB307-337E-4401-9337-88DDC5BA2B61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28</xdr:row>
      <xdr:rowOff>9525</xdr:rowOff>
    </xdr:from>
    <xdr:to>
      <xdr:col>5</xdr:col>
      <xdr:colOff>190500</xdr:colOff>
      <xdr:row>28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99FF88AB-FBD9-46C4-BA19-F152EBCE6936}"/>
            </a:ext>
          </a:extLst>
        </xdr:cNvPr>
        <xdr:cNvSpPr>
          <a:spLocks noChangeShapeType="1"/>
        </xdr:cNvSpPr>
      </xdr:nvSpPr>
      <xdr:spPr bwMode="auto">
        <a:xfrm>
          <a:off x="2114550" y="581977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29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8E1AE0F6-806F-48EB-8A1A-C30F1A17E07E}"/>
            </a:ext>
          </a:extLst>
        </xdr:cNvPr>
        <xdr:cNvSpPr txBox="1">
          <a:spLocks noChangeArrowheads="1"/>
        </xdr:cNvSpPr>
      </xdr:nvSpPr>
      <xdr:spPr bwMode="auto">
        <a:xfrm>
          <a:off x="2124075" y="612457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7</xdr:row>
      <xdr:rowOff>47625</xdr:rowOff>
    </xdr:from>
    <xdr:to>
      <xdr:col>15</xdr:col>
      <xdr:colOff>857250</xdr:colOff>
      <xdr:row>7</xdr:row>
      <xdr:rowOff>47625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8E3CCC8-EF9A-4B7C-BAB0-324C1CE343ED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704850</xdr:colOff>
      <xdr:row>7</xdr:row>
      <xdr:rowOff>57150</xdr:rowOff>
    </xdr:from>
    <xdr:to>
      <xdr:col>16</xdr:col>
      <xdr:colOff>828675</xdr:colOff>
      <xdr:row>7</xdr:row>
      <xdr:rowOff>57150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D298FF1A-F9F5-4A21-B221-6F5565FFD5C4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29</xdr:row>
      <xdr:rowOff>9525</xdr:rowOff>
    </xdr:from>
    <xdr:to>
      <xdr:col>5</xdr:col>
      <xdr:colOff>190500</xdr:colOff>
      <xdr:row>29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1E96BC6A-E919-4634-B8D8-AD36B31E8C3C}"/>
            </a:ext>
          </a:extLst>
        </xdr:cNvPr>
        <xdr:cNvSpPr>
          <a:spLocks noChangeShapeType="1"/>
        </xdr:cNvSpPr>
      </xdr:nvSpPr>
      <xdr:spPr bwMode="auto">
        <a:xfrm>
          <a:off x="2114550" y="6067425"/>
          <a:ext cx="1333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66675</xdr:colOff>
      <xdr:row>30</xdr:row>
      <xdr:rowOff>114300</xdr:rowOff>
    </xdr:from>
    <xdr:ext cx="123303" cy="22955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D0AC6090-5EE5-48D4-B35F-B61601D8343D}"/>
            </a:ext>
          </a:extLst>
        </xdr:cNvPr>
        <xdr:cNvSpPr txBox="1">
          <a:spLocks noChangeArrowheads="1"/>
        </xdr:cNvSpPr>
      </xdr:nvSpPr>
      <xdr:spPr bwMode="auto">
        <a:xfrm>
          <a:off x="2124075" y="6372225"/>
          <a:ext cx="123303" cy="22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~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E473-49CB-41AB-9A30-3ADC739F6415}">
  <sheetPr>
    <pageSetUpPr fitToPage="1"/>
  </sheetPr>
  <dimension ref="A1:AD55"/>
  <sheetViews>
    <sheetView showGridLines="0" zoomScale="75" workbookViewId="0">
      <selection activeCell="Z11" sqref="Z11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115">
        <v>0.1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20.100000000000001</v>
      </c>
      <c r="C9" s="32" t="s">
        <v>28</v>
      </c>
      <c r="D9" s="33">
        <f>D10-D4</f>
        <v>30</v>
      </c>
      <c r="E9" s="34">
        <f>E10-D4</f>
        <v>20.049999999999997</v>
      </c>
      <c r="F9" s="32" t="s">
        <v>28</v>
      </c>
      <c r="G9" s="35">
        <f>E10</f>
        <v>30.049999999999997</v>
      </c>
      <c r="H9" s="36">
        <f>H10-D4</f>
        <v>25.049999999999997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116">
        <v>30.1</v>
      </c>
      <c r="C10" s="46" t="s">
        <v>28</v>
      </c>
      <c r="D10" s="46">
        <f>B10+D4-G4</f>
        <v>40</v>
      </c>
      <c r="E10" s="117">
        <f>G10-$D$4</f>
        <v>30.049999999999997</v>
      </c>
      <c r="F10" s="43" t="s">
        <v>28</v>
      </c>
      <c r="G10" s="43">
        <f>(B11+D10)/2</f>
        <v>40.049999999999997</v>
      </c>
      <c r="H10" s="53">
        <f t="shared" ref="H10:H15" si="0">(E10+G10)/2</f>
        <v>35.049999999999997</v>
      </c>
      <c r="I10" s="47">
        <v>5</v>
      </c>
      <c r="J10" s="48">
        <f t="shared" ref="J10:J15" si="1">J9+I10</f>
        <v>5</v>
      </c>
      <c r="K10" s="49">
        <f t="shared" ref="K10:K15" si="2">I10/$I$16</f>
        <v>9.4339622641509441E-2</v>
      </c>
      <c r="L10" s="50">
        <f>K10</f>
        <v>9.4339622641509441E-2</v>
      </c>
      <c r="M10" s="51"/>
      <c r="N10" s="50">
        <f t="shared" ref="N10:N15" si="3">H10*I10</f>
        <v>175.25</v>
      </c>
      <c r="O10" s="50">
        <f t="shared" ref="O10:O15" si="4">(H10^2)*I10</f>
        <v>6142.5124999999989</v>
      </c>
      <c r="P10" s="50">
        <f t="shared" ref="P10:P15" si="5">I10*(H10-$H$26)^3</f>
        <v>-39999.999999999956</v>
      </c>
      <c r="Q10" s="50">
        <f t="shared" ref="Q10:Q15" si="6">I10*(H10-$H$26)^4</f>
        <v>799999.99999999884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53">
        <f t="shared" ref="B11:B15" si="7">B10+$D$4</f>
        <v>40.1</v>
      </c>
      <c r="C11" s="46" t="s">
        <v>28</v>
      </c>
      <c r="D11" s="46">
        <f t="shared" ref="D11:E15" si="8">D10+$D$4</f>
        <v>50</v>
      </c>
      <c r="E11" s="118">
        <f t="shared" si="8"/>
        <v>40.049999999999997</v>
      </c>
      <c r="F11" s="43" t="s">
        <v>28</v>
      </c>
      <c r="G11" s="43">
        <f t="shared" ref="G11:G15" si="9">G10+$D$4</f>
        <v>50.05</v>
      </c>
      <c r="H11" s="53">
        <f t="shared" si="0"/>
        <v>45.05</v>
      </c>
      <c r="I11" s="47">
        <v>17</v>
      </c>
      <c r="J11" s="48">
        <f t="shared" si="1"/>
        <v>22</v>
      </c>
      <c r="K11" s="49">
        <f t="shared" si="2"/>
        <v>0.32075471698113206</v>
      </c>
      <c r="L11" s="50">
        <f t="shared" ref="L11:L15" si="10">L10+K11</f>
        <v>0.41509433962264153</v>
      </c>
      <c r="M11" s="51"/>
      <c r="N11" s="50">
        <f t="shared" si="3"/>
        <v>765.84999999999991</v>
      </c>
      <c r="O11" s="50">
        <f t="shared" si="4"/>
        <v>34501.542499999996</v>
      </c>
      <c r="P11" s="50">
        <f t="shared" si="5"/>
        <v>-16999.999999999964</v>
      </c>
      <c r="Q11" s="50">
        <f t="shared" si="6"/>
        <v>169999.99999999951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53">
        <f t="shared" si="7"/>
        <v>50.1</v>
      </c>
      <c r="C12" s="46" t="s">
        <v>28</v>
      </c>
      <c r="D12" s="46">
        <f t="shared" si="8"/>
        <v>60</v>
      </c>
      <c r="E12" s="118">
        <f t="shared" si="8"/>
        <v>50.05</v>
      </c>
      <c r="F12" s="43" t="s">
        <v>28</v>
      </c>
      <c r="G12" s="43">
        <f t="shared" si="9"/>
        <v>60.05</v>
      </c>
      <c r="H12" s="53">
        <f t="shared" si="0"/>
        <v>55.05</v>
      </c>
      <c r="I12" s="47">
        <v>16</v>
      </c>
      <c r="J12" s="48">
        <f t="shared" si="1"/>
        <v>38</v>
      </c>
      <c r="K12" s="49">
        <f t="shared" si="2"/>
        <v>0.30188679245283018</v>
      </c>
      <c r="L12" s="50">
        <f t="shared" si="10"/>
        <v>0.71698113207547176</v>
      </c>
      <c r="M12" s="51"/>
      <c r="N12" s="50">
        <f t="shared" si="3"/>
        <v>880.8</v>
      </c>
      <c r="O12" s="50">
        <f t="shared" si="4"/>
        <v>48488.039999999994</v>
      </c>
      <c r="P12" s="50">
        <f t="shared" si="5"/>
        <v>5.7397185098744507E-42</v>
      </c>
      <c r="Q12" s="50">
        <f t="shared" si="6"/>
        <v>4.0783152924990778E-56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53">
        <f t="shared" si="7"/>
        <v>60.1</v>
      </c>
      <c r="C13" s="46" t="s">
        <v>28</v>
      </c>
      <c r="D13" s="46">
        <f t="shared" si="8"/>
        <v>70</v>
      </c>
      <c r="E13" s="118">
        <f t="shared" si="8"/>
        <v>60.05</v>
      </c>
      <c r="F13" s="43" t="s">
        <v>28</v>
      </c>
      <c r="G13" s="43">
        <f t="shared" si="9"/>
        <v>70.05</v>
      </c>
      <c r="H13" s="53">
        <f t="shared" si="0"/>
        <v>65.05</v>
      </c>
      <c r="I13" s="47">
        <v>7</v>
      </c>
      <c r="J13" s="48">
        <f t="shared" si="1"/>
        <v>45</v>
      </c>
      <c r="K13" s="49">
        <f t="shared" si="2"/>
        <v>0.13207547169811321</v>
      </c>
      <c r="L13" s="50">
        <f t="shared" si="10"/>
        <v>0.84905660377358494</v>
      </c>
      <c r="M13" s="51"/>
      <c r="N13" s="50">
        <f t="shared" si="3"/>
        <v>455.34999999999997</v>
      </c>
      <c r="O13" s="50">
        <f t="shared" si="4"/>
        <v>29620.517499999998</v>
      </c>
      <c r="P13" s="50">
        <f t="shared" si="5"/>
        <v>7000.0000000000155</v>
      </c>
      <c r="Q13" s="50">
        <f t="shared" si="6"/>
        <v>70000.000000000204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53">
        <f t="shared" si="7"/>
        <v>70.099999999999994</v>
      </c>
      <c r="C14" s="46" t="s">
        <v>28</v>
      </c>
      <c r="D14" s="46">
        <f t="shared" si="8"/>
        <v>80</v>
      </c>
      <c r="E14" s="118">
        <f t="shared" si="8"/>
        <v>70.05</v>
      </c>
      <c r="F14" s="43" t="s">
        <v>28</v>
      </c>
      <c r="G14" s="43">
        <f t="shared" si="9"/>
        <v>80.05</v>
      </c>
      <c r="H14" s="53">
        <f t="shared" si="0"/>
        <v>75.05</v>
      </c>
      <c r="I14" s="47">
        <v>4</v>
      </c>
      <c r="J14" s="48">
        <f t="shared" si="1"/>
        <v>49</v>
      </c>
      <c r="K14" s="49">
        <f t="shared" si="2"/>
        <v>7.5471698113207544E-2</v>
      </c>
      <c r="L14" s="50">
        <f t="shared" si="10"/>
        <v>0.92452830188679247</v>
      </c>
      <c r="M14" s="51"/>
      <c r="N14" s="50">
        <f t="shared" si="3"/>
        <v>300.2</v>
      </c>
      <c r="O14" s="50">
        <f t="shared" si="4"/>
        <v>22530.01</v>
      </c>
      <c r="P14" s="50">
        <f t="shared" si="5"/>
        <v>32000.000000000033</v>
      </c>
      <c r="Q14" s="50">
        <f t="shared" si="6"/>
        <v>640000.00000000093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thickBot="1" x14ac:dyDescent="0.25">
      <c r="A15" s="41">
        <v>6</v>
      </c>
      <c r="B15" s="57">
        <f t="shared" si="7"/>
        <v>80.099999999999994</v>
      </c>
      <c r="C15" s="59" t="s">
        <v>28</v>
      </c>
      <c r="D15" s="59">
        <f t="shared" si="8"/>
        <v>90</v>
      </c>
      <c r="E15" s="119">
        <f t="shared" si="8"/>
        <v>80.05</v>
      </c>
      <c r="F15" s="55" t="s">
        <v>28</v>
      </c>
      <c r="G15" s="55">
        <f t="shared" si="9"/>
        <v>90.05</v>
      </c>
      <c r="H15" s="57">
        <f t="shared" si="0"/>
        <v>85.05</v>
      </c>
      <c r="I15" s="60">
        <v>4</v>
      </c>
      <c r="J15" s="54">
        <f t="shared" si="1"/>
        <v>53</v>
      </c>
      <c r="K15" s="114">
        <f t="shared" si="2"/>
        <v>7.5471698113207544E-2</v>
      </c>
      <c r="L15" s="61">
        <f t="shared" si="10"/>
        <v>1</v>
      </c>
      <c r="M15" s="62"/>
      <c r="N15" s="61">
        <f t="shared" si="3"/>
        <v>340.2</v>
      </c>
      <c r="O15" s="61">
        <f t="shared" si="4"/>
        <v>28934.01</v>
      </c>
      <c r="P15" s="61">
        <f t="shared" si="5"/>
        <v>108000.00000000009</v>
      </c>
      <c r="Q15" s="61">
        <f t="shared" si="6"/>
        <v>3240000.0000000033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8.75" customHeight="1" thickTop="1" x14ac:dyDescent="0.2">
      <c r="A16" s="52"/>
      <c r="B16" s="52"/>
      <c r="C16" s="52"/>
      <c r="D16" s="52"/>
      <c r="E16" s="52"/>
      <c r="F16" s="52"/>
      <c r="G16" s="52"/>
      <c r="H16" s="63" t="s">
        <v>29</v>
      </c>
      <c r="I16" s="64">
        <f>SUM(I10:I15)</f>
        <v>53</v>
      </c>
      <c r="J16" s="41"/>
      <c r="K16" s="113">
        <f>SUM(K9:K15)</f>
        <v>1</v>
      </c>
      <c r="L16" s="41"/>
      <c r="M16" s="41"/>
      <c r="N16" s="66">
        <f>SUM(N10:N15)</f>
        <v>2917.6499999999996</v>
      </c>
      <c r="O16" s="67">
        <f>SUM(O10:O15)</f>
        <v>170216.63250000001</v>
      </c>
      <c r="P16" s="67">
        <f>SUM(P10:P15)</f>
        <v>90000.000000000218</v>
      </c>
      <c r="Q16" s="67">
        <f>SUM(Q10:Q15)</f>
        <v>4920000.0000000028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2:30" ht="6" customHeight="1" x14ac:dyDescent="0.2">
      <c r="K17" s="68"/>
    </row>
    <row r="18" spans="2:30" ht="18.75" customHeight="1" x14ac:dyDescent="0.2">
      <c r="B18" s="69" t="s">
        <v>91</v>
      </c>
      <c r="C18" s="70"/>
      <c r="D18" s="70"/>
      <c r="E18" s="70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2"/>
    </row>
    <row r="19" spans="2:30" ht="25.5" customHeight="1" x14ac:dyDescent="0.2">
      <c r="B19" s="73"/>
      <c r="C19" s="74"/>
      <c r="D19" s="74"/>
      <c r="E19" s="74"/>
      <c r="F19" s="74"/>
      <c r="G19" s="74"/>
      <c r="H19" s="74"/>
      <c r="I19" s="75"/>
      <c r="J19" s="74"/>
      <c r="K19" s="76"/>
      <c r="L19" s="77"/>
      <c r="M19" s="74"/>
      <c r="N19" s="74"/>
      <c r="O19" s="74"/>
      <c r="P19" s="74"/>
      <c r="Q19" s="75"/>
      <c r="X19" s="78" t="s">
        <v>30</v>
      </c>
      <c r="Y19" s="79" t="s">
        <v>31</v>
      </c>
      <c r="Z19" s="79" t="s">
        <v>32</v>
      </c>
      <c r="AA19" s="78" t="s">
        <v>33</v>
      </c>
      <c r="AB19" s="79" t="s">
        <v>34</v>
      </c>
      <c r="AC19" s="79" t="s">
        <v>35</v>
      </c>
    </row>
    <row r="20" spans="2:30" ht="15.75" x14ac:dyDescent="0.25">
      <c r="B20" s="80" t="s">
        <v>36</v>
      </c>
      <c r="F20" s="81" t="s">
        <v>37</v>
      </c>
      <c r="G20" s="82" t="s">
        <v>38</v>
      </c>
      <c r="H20" s="83">
        <f>G13-E13</f>
        <v>10</v>
      </c>
      <c r="I20" s="84"/>
      <c r="K20" s="6" t="s">
        <v>39</v>
      </c>
      <c r="Q20" s="84"/>
      <c r="T20" s="6" t="s">
        <v>40</v>
      </c>
      <c r="W20" s="1" t="s">
        <v>41</v>
      </c>
      <c r="X20" s="16">
        <f>1/4</f>
        <v>0.25</v>
      </c>
      <c r="Y20" s="85">
        <f>COUNTIF(L10:L15,"&lt;=0.25")+1</f>
        <v>2</v>
      </c>
      <c r="Z20" s="16">
        <f t="shared" ref="Z20:Z28" ca="1" si="11">INDIRECT(ADDRESS(9+$Y20,5))</f>
        <v>40.049999999999997</v>
      </c>
      <c r="AA20" s="16">
        <f t="shared" ref="AA20:AA28" ca="1" si="12">INDIRECT(ADDRESS(9+$Y20,9))</f>
        <v>17</v>
      </c>
      <c r="AB20" s="16">
        <f t="shared" ref="AB20:AB28" ca="1" si="13">INDIRECT(ADDRESS(9+$Y20-1,10))</f>
        <v>5</v>
      </c>
      <c r="AC20" s="86">
        <f t="shared" ref="AC20:AC28" ca="1" si="14">Z20+(  ($H$24*X20)-AB20  )*$H$20/AA20</f>
        <v>44.902941176470584</v>
      </c>
      <c r="AD20" s="1">
        <f t="shared" ref="AD20:AD28" si="15">MATCH(X20,$L$10:$L$15,1)+1</f>
        <v>2</v>
      </c>
    </row>
    <row r="21" spans="2:30" ht="18" x14ac:dyDescent="0.3">
      <c r="B21" s="87"/>
      <c r="C21" s="52"/>
      <c r="D21" s="43"/>
      <c r="E21" s="43"/>
      <c r="F21" s="88"/>
      <c r="G21" s="43"/>
      <c r="H21" s="89"/>
      <c r="I21" s="84"/>
      <c r="K21" s="6" t="s">
        <v>42</v>
      </c>
      <c r="O21" s="90" t="s">
        <v>43</v>
      </c>
      <c r="P21" s="91">
        <f>(P16/I16)/(H36^3)</f>
        <v>0.6965841601612035</v>
      </c>
      <c r="Q21" s="84"/>
      <c r="T21" s="6" t="s">
        <v>44</v>
      </c>
      <c r="W21" s="1" t="s">
        <v>45</v>
      </c>
      <c r="X21" s="16">
        <f>1/2</f>
        <v>0.5</v>
      </c>
      <c r="Y21" s="85">
        <f>COUNTIF(L10:L15,"&lt;=0.5")+1</f>
        <v>3</v>
      </c>
      <c r="Z21" s="16">
        <f t="shared" ca="1" si="11"/>
        <v>50.05</v>
      </c>
      <c r="AA21" s="16">
        <f t="shared" ca="1" si="12"/>
        <v>16</v>
      </c>
      <c r="AB21" s="16">
        <f t="shared" ca="1" si="13"/>
        <v>22</v>
      </c>
      <c r="AC21" s="86">
        <f t="shared" ca="1" si="14"/>
        <v>52.862499999999997</v>
      </c>
      <c r="AD21" s="1">
        <f t="shared" si="15"/>
        <v>3</v>
      </c>
    </row>
    <row r="22" spans="2:30" ht="15.75" x14ac:dyDescent="0.25">
      <c r="B22" s="92" t="s">
        <v>46</v>
      </c>
      <c r="F22" s="81" t="s">
        <v>47</v>
      </c>
      <c r="G22" s="82" t="s">
        <v>38</v>
      </c>
      <c r="H22" s="93">
        <f>COUNT(I10:I15)</f>
        <v>6</v>
      </c>
      <c r="I22" s="84"/>
      <c r="Q22" s="84"/>
      <c r="T22" s="6" t="s">
        <v>48</v>
      </c>
      <c r="W22" s="94" t="s">
        <v>49</v>
      </c>
      <c r="X22" s="95">
        <f>3/4</f>
        <v>0.75</v>
      </c>
      <c r="Y22" s="96">
        <f>COUNTIF(L10:L15,"&lt;=0.75")+1</f>
        <v>4</v>
      </c>
      <c r="Z22" s="95">
        <f t="shared" ca="1" si="11"/>
        <v>60.05</v>
      </c>
      <c r="AA22" s="95">
        <f t="shared" ca="1" si="12"/>
        <v>7</v>
      </c>
      <c r="AB22" s="95">
        <f t="shared" ca="1" si="13"/>
        <v>38</v>
      </c>
      <c r="AC22" s="97">
        <f t="shared" ca="1" si="14"/>
        <v>62.55</v>
      </c>
      <c r="AD22" s="1">
        <f t="shared" si="15"/>
        <v>4</v>
      </c>
    </row>
    <row r="23" spans="2:30" ht="15.75" x14ac:dyDescent="0.25">
      <c r="B23" s="92"/>
      <c r="F23" s="81"/>
      <c r="H23" s="89"/>
      <c r="I23" s="84"/>
      <c r="K23" s="6" t="s">
        <v>50</v>
      </c>
      <c r="Q23" s="84"/>
      <c r="W23" s="1" t="s">
        <v>51</v>
      </c>
      <c r="X23" s="16">
        <f>1/10</f>
        <v>0.1</v>
      </c>
      <c r="Y23" s="85">
        <f>COUNTIF(L10:L15,"&lt;=0.1")+1</f>
        <v>2</v>
      </c>
      <c r="Z23" s="16">
        <f t="shared" ca="1" si="11"/>
        <v>40.049999999999997</v>
      </c>
      <c r="AA23" s="16">
        <f t="shared" ca="1" si="12"/>
        <v>17</v>
      </c>
      <c r="AB23" s="16">
        <f t="shared" ca="1" si="13"/>
        <v>5</v>
      </c>
      <c r="AC23" s="86">
        <f t="shared" ca="1" si="14"/>
        <v>40.226470588235294</v>
      </c>
      <c r="AD23" s="1">
        <f t="shared" si="15"/>
        <v>2</v>
      </c>
    </row>
    <row r="24" spans="2:30" ht="18" x14ac:dyDescent="0.3">
      <c r="B24" s="98" t="s">
        <v>52</v>
      </c>
      <c r="F24" s="81" t="s">
        <v>53</v>
      </c>
      <c r="G24" s="82" t="s">
        <v>38</v>
      </c>
      <c r="H24" s="99">
        <f>I16</f>
        <v>53</v>
      </c>
      <c r="I24" s="84"/>
      <c r="K24" s="6" t="s">
        <v>54</v>
      </c>
      <c r="O24" s="90" t="s">
        <v>55</v>
      </c>
      <c r="P24" s="91">
        <f>(Q16/I16)/(H34^2)</f>
        <v>2.8294270833332837</v>
      </c>
      <c r="Q24" s="84"/>
      <c r="W24" s="1" t="s">
        <v>56</v>
      </c>
      <c r="X24" s="16">
        <f>2/10</f>
        <v>0.2</v>
      </c>
      <c r="Y24" s="85">
        <f>COUNTIF(L10:L15,"&lt;=0.20")+1</f>
        <v>2</v>
      </c>
      <c r="Z24" s="16">
        <f t="shared" ca="1" si="11"/>
        <v>40.049999999999997</v>
      </c>
      <c r="AA24" s="16">
        <f t="shared" ca="1" si="12"/>
        <v>17</v>
      </c>
      <c r="AB24" s="16">
        <f t="shared" ca="1" si="13"/>
        <v>5</v>
      </c>
      <c r="AC24" s="86">
        <f t="shared" ca="1" si="14"/>
        <v>43.344117647058823</v>
      </c>
      <c r="AD24" s="1">
        <f t="shared" si="15"/>
        <v>2</v>
      </c>
    </row>
    <row r="25" spans="2:30" ht="15.75" x14ac:dyDescent="0.25">
      <c r="B25" s="87"/>
      <c r="F25" s="81"/>
      <c r="H25" s="100"/>
      <c r="I25" s="84"/>
      <c r="Q25" s="84"/>
      <c r="W25" s="1" t="s">
        <v>57</v>
      </c>
      <c r="X25" s="16">
        <f>3/10</f>
        <v>0.3</v>
      </c>
      <c r="Y25" s="85">
        <f>COUNTIF(L10:L15,"&lt;=0.30")+1</f>
        <v>2</v>
      </c>
      <c r="Z25" s="16">
        <f t="shared" ca="1" si="11"/>
        <v>40.049999999999997</v>
      </c>
      <c r="AA25" s="16">
        <f t="shared" ca="1" si="12"/>
        <v>17</v>
      </c>
      <c r="AB25" s="16">
        <f t="shared" ca="1" si="13"/>
        <v>5</v>
      </c>
      <c r="AC25" s="86">
        <f t="shared" ca="1" si="14"/>
        <v>46.461764705882352</v>
      </c>
      <c r="AD25" s="1">
        <f t="shared" si="15"/>
        <v>2</v>
      </c>
    </row>
    <row r="26" spans="2:30" ht="15.75" x14ac:dyDescent="0.25">
      <c r="B26" s="101" t="s">
        <v>58</v>
      </c>
      <c r="F26" s="81" t="s">
        <v>59</v>
      </c>
      <c r="G26" s="82" t="s">
        <v>38</v>
      </c>
      <c r="H26" s="102">
        <f>N16/I16</f>
        <v>55.04999999999999</v>
      </c>
      <c r="I26" s="84"/>
      <c r="L26" s="6"/>
      <c r="P26" s="16"/>
      <c r="Q26" s="84"/>
      <c r="W26" s="1" t="s">
        <v>60</v>
      </c>
      <c r="X26" s="16">
        <f>7/10</f>
        <v>0.7</v>
      </c>
      <c r="Y26" s="85">
        <f>COUNTIF(L10:L15,"&lt;=0.70")+1</f>
        <v>3</v>
      </c>
      <c r="Z26" s="16">
        <f t="shared" ca="1" si="11"/>
        <v>50.05</v>
      </c>
      <c r="AA26" s="16">
        <f t="shared" ca="1" si="12"/>
        <v>16</v>
      </c>
      <c r="AB26" s="16">
        <f t="shared" ca="1" si="13"/>
        <v>22</v>
      </c>
      <c r="AC26" s="86">
        <f t="shared" ca="1" si="14"/>
        <v>59.487499999999997</v>
      </c>
      <c r="AD26" s="1">
        <f t="shared" si="15"/>
        <v>3</v>
      </c>
    </row>
    <row r="27" spans="2:30" ht="15.75" x14ac:dyDescent="0.25">
      <c r="B27" s="101"/>
      <c r="F27" s="81"/>
      <c r="H27" s="100"/>
      <c r="I27" s="84"/>
      <c r="K27" s="6" t="s">
        <v>61</v>
      </c>
      <c r="Q27" s="103"/>
      <c r="W27" s="1" t="s">
        <v>62</v>
      </c>
      <c r="X27" s="16">
        <f>8/10</f>
        <v>0.8</v>
      </c>
      <c r="Y27" s="85">
        <f>COUNTIF(L10:L15,"&lt;=0.80")+1</f>
        <v>4</v>
      </c>
      <c r="Z27" s="16">
        <f t="shared" ca="1" si="11"/>
        <v>60.05</v>
      </c>
      <c r="AA27" s="16">
        <f t="shared" ca="1" si="12"/>
        <v>7</v>
      </c>
      <c r="AB27" s="16">
        <f t="shared" ca="1" si="13"/>
        <v>38</v>
      </c>
      <c r="AC27" s="86">
        <f t="shared" ca="1" si="14"/>
        <v>66.335714285714289</v>
      </c>
      <c r="AD27" s="1">
        <f t="shared" si="15"/>
        <v>4</v>
      </c>
    </row>
    <row r="28" spans="2:30" ht="19.5" x14ac:dyDescent="0.35">
      <c r="B28" s="87" t="s">
        <v>63</v>
      </c>
      <c r="F28" s="81" t="s">
        <v>59</v>
      </c>
      <c r="G28" s="82" t="s">
        <v>38</v>
      </c>
      <c r="H28" s="91">
        <f ca="1">AC21</f>
        <v>52.862499999999997</v>
      </c>
      <c r="I28" s="84"/>
      <c r="L28" s="104" t="s">
        <v>64</v>
      </c>
      <c r="N28" s="91">
        <f ca="1">AC20</f>
        <v>44.902941176470584</v>
      </c>
      <c r="Q28" s="103"/>
      <c r="W28" s="1" t="s">
        <v>65</v>
      </c>
      <c r="X28" s="16">
        <f>9/10</f>
        <v>0.9</v>
      </c>
      <c r="Y28" s="85">
        <f>COUNTIF(L10:L15,"&lt;=0.90")+1</f>
        <v>5</v>
      </c>
      <c r="Z28" s="16">
        <f t="shared" ca="1" si="11"/>
        <v>70.05</v>
      </c>
      <c r="AA28" s="16">
        <f t="shared" ca="1" si="12"/>
        <v>4</v>
      </c>
      <c r="AB28" s="16">
        <f t="shared" ca="1" si="13"/>
        <v>45</v>
      </c>
      <c r="AC28" s="86">
        <f t="shared" ca="1" si="14"/>
        <v>76.800000000000011</v>
      </c>
      <c r="AD28" s="1">
        <f t="shared" si="15"/>
        <v>5</v>
      </c>
    </row>
    <row r="29" spans="2:30" ht="19.5" x14ac:dyDescent="0.35">
      <c r="B29" s="87"/>
      <c r="F29" s="81"/>
      <c r="H29" s="100"/>
      <c r="I29" s="84"/>
      <c r="L29" s="104" t="s">
        <v>66</v>
      </c>
      <c r="N29" s="91">
        <f t="shared" ref="N29:N36" ca="1" si="16">AC21</f>
        <v>52.862499999999997</v>
      </c>
      <c r="Q29" s="84"/>
      <c r="Z29" s="16"/>
    </row>
    <row r="30" spans="2:30" ht="19.5" x14ac:dyDescent="0.35">
      <c r="B30" s="87" t="s">
        <v>67</v>
      </c>
      <c r="F30" s="81" t="s">
        <v>68</v>
      </c>
      <c r="G30" s="82" t="s">
        <v>38</v>
      </c>
      <c r="H30" s="91">
        <f ca="1">Y35+ (  $H$20*(Y32-Y33) / ((Y32-Y33)+(Y32-Y34))  )</f>
        <v>49.280769230769224</v>
      </c>
      <c r="I30" s="84"/>
      <c r="L30" s="104" t="s">
        <v>69</v>
      </c>
      <c r="N30" s="91">
        <f t="shared" ca="1" si="16"/>
        <v>62.55</v>
      </c>
      <c r="Q30" s="84"/>
      <c r="Z30" s="16"/>
    </row>
    <row r="31" spans="2:30" ht="19.5" x14ac:dyDescent="0.35">
      <c r="B31" s="87"/>
      <c r="E31"/>
      <c r="F31" s="105" t="s">
        <v>70</v>
      </c>
      <c r="G31" s="82" t="s">
        <v>38</v>
      </c>
      <c r="H31" s="102">
        <f ca="1">Y36</f>
        <v>45.05</v>
      </c>
      <c r="I31" s="84"/>
      <c r="L31" s="104" t="s">
        <v>71</v>
      </c>
      <c r="N31" s="91">
        <f t="shared" ca="1" si="16"/>
        <v>40.226470588235294</v>
      </c>
      <c r="Q31" s="84"/>
      <c r="T31" s="1" t="s">
        <v>72</v>
      </c>
      <c r="Y31" s="16">
        <f>MATCH(MAX(I10:I15),I10:I15,0)</f>
        <v>2</v>
      </c>
      <c r="Z31" s="16"/>
    </row>
    <row r="32" spans="2:30" ht="19.5" x14ac:dyDescent="0.35">
      <c r="B32" s="92" t="s">
        <v>73</v>
      </c>
      <c r="D32" s="6"/>
      <c r="F32" s="81" t="s">
        <v>74</v>
      </c>
      <c r="G32" s="82" t="s">
        <v>38</v>
      </c>
      <c r="H32" s="83">
        <f>G15-E10</f>
        <v>60</v>
      </c>
      <c r="I32" s="84"/>
      <c r="L32" s="104" t="s">
        <v>75</v>
      </c>
      <c r="N32" s="91">
        <f t="shared" ca="1" si="16"/>
        <v>43.344117647058823</v>
      </c>
      <c r="Q32" s="84"/>
      <c r="T32" s="1" t="s">
        <v>76</v>
      </c>
      <c r="Y32" s="16">
        <f ca="1">INDIRECT(ADDRESS(9+$Y$31,9))</f>
        <v>17</v>
      </c>
      <c r="Z32" s="16"/>
    </row>
    <row r="33" spans="2:25" ht="19.5" x14ac:dyDescent="0.35">
      <c r="B33" s="87"/>
      <c r="F33" s="81"/>
      <c r="H33" s="100"/>
      <c r="I33" s="84"/>
      <c r="L33" s="104" t="s">
        <v>77</v>
      </c>
      <c r="N33" s="91">
        <f t="shared" ca="1" si="16"/>
        <v>46.461764705882352</v>
      </c>
      <c r="Q33" s="84"/>
      <c r="T33" s="6" t="s">
        <v>78</v>
      </c>
      <c r="Y33" s="16">
        <f ca="1">INDIRECT(ADDRESS(9+$Y$31-1,9))</f>
        <v>5</v>
      </c>
    </row>
    <row r="34" spans="2:25" ht="20.25" x14ac:dyDescent="0.35">
      <c r="B34" s="87" t="s">
        <v>79</v>
      </c>
      <c r="F34" s="106" t="s">
        <v>80</v>
      </c>
      <c r="G34" s="82" t="s">
        <v>38</v>
      </c>
      <c r="H34" s="91">
        <f>(O16-I16*(H26^2))/I16</f>
        <v>181.13207547169975</v>
      </c>
      <c r="I34" s="84"/>
      <c r="L34" s="104" t="s">
        <v>81</v>
      </c>
      <c r="N34" s="91">
        <f t="shared" ca="1" si="16"/>
        <v>59.487499999999997</v>
      </c>
      <c r="Q34" s="84"/>
      <c r="T34" s="6" t="s">
        <v>82</v>
      </c>
      <c r="Y34" s="16">
        <f ca="1">INDIRECT(ADDRESS(9+$Y$31+1,9))</f>
        <v>16</v>
      </c>
    </row>
    <row r="35" spans="2:25" ht="19.5" x14ac:dyDescent="0.35">
      <c r="B35" s="87"/>
      <c r="F35" s="81"/>
      <c r="H35" s="100"/>
      <c r="I35" s="84"/>
      <c r="L35" s="104" t="s">
        <v>83</v>
      </c>
      <c r="N35" s="91">
        <f t="shared" ca="1" si="16"/>
        <v>66.335714285714289</v>
      </c>
      <c r="Q35" s="84"/>
      <c r="T35" s="1" t="s">
        <v>84</v>
      </c>
      <c r="Y35" s="16">
        <f ca="1">INDIRECT(ADDRESS(9+$Y$31,5))</f>
        <v>40.049999999999997</v>
      </c>
    </row>
    <row r="36" spans="2:25" ht="19.5" x14ac:dyDescent="0.35">
      <c r="B36" s="87" t="s">
        <v>85</v>
      </c>
      <c r="F36" s="81" t="s">
        <v>86</v>
      </c>
      <c r="G36" s="82" t="s">
        <v>38</v>
      </c>
      <c r="H36" s="91">
        <f>SQRT(H34)</f>
        <v>13.458531698209123</v>
      </c>
      <c r="I36" s="84"/>
      <c r="L36" s="104" t="s">
        <v>87</v>
      </c>
      <c r="N36" s="91">
        <f t="shared" ca="1" si="16"/>
        <v>76.800000000000011</v>
      </c>
      <c r="Q36" s="84"/>
      <c r="T36" s="1" t="s">
        <v>88</v>
      </c>
      <c r="Y36" s="16">
        <f ca="1">INDIRECT(ADDRESS(9+$Y$31,8))</f>
        <v>45.05</v>
      </c>
    </row>
    <row r="37" spans="2:25" x14ac:dyDescent="0.2">
      <c r="B37" s="87"/>
      <c r="I37" s="84"/>
      <c r="Q37" s="84"/>
    </row>
    <row r="38" spans="2:25" ht="15.75" x14ac:dyDescent="0.25">
      <c r="B38" s="87" t="s">
        <v>89</v>
      </c>
      <c r="F38" s="81" t="s">
        <v>90</v>
      </c>
      <c r="G38" s="82" t="s">
        <v>38</v>
      </c>
      <c r="H38" s="91">
        <f>H36/H26</f>
        <v>0.2444783233098842</v>
      </c>
      <c r="I38" s="84"/>
      <c r="Q38" s="84"/>
    </row>
    <row r="39" spans="2:25" ht="15.75" x14ac:dyDescent="0.25">
      <c r="B39" s="107"/>
      <c r="C39" s="94"/>
      <c r="D39" s="94"/>
      <c r="E39" s="94"/>
      <c r="F39" s="108"/>
      <c r="G39" s="94"/>
      <c r="H39" s="109"/>
      <c r="I39" s="40"/>
      <c r="J39" s="94"/>
      <c r="K39" s="94"/>
      <c r="L39" s="94"/>
      <c r="M39" s="94"/>
      <c r="N39" s="94"/>
      <c r="O39" s="94"/>
      <c r="P39" s="94"/>
      <c r="Q39" s="40"/>
    </row>
    <row r="41" spans="2:25" ht="12.75" customHeight="1" x14ac:dyDescent="0.2">
      <c r="B41" s="110"/>
      <c r="C41" s="110"/>
      <c r="D41" s="68"/>
      <c r="E41" s="110"/>
      <c r="F41" s="110"/>
      <c r="G41" s="110"/>
      <c r="H41" s="110"/>
    </row>
    <row r="42" spans="2:25" ht="15.75" customHeight="1" x14ac:dyDescent="0.25">
      <c r="D42" s="111"/>
    </row>
    <row r="43" spans="2:25" ht="15.75" customHeight="1" x14ac:dyDescent="0.2">
      <c r="D43" s="112"/>
    </row>
    <row r="46" spans="2:25" ht="12.75" customHeight="1" x14ac:dyDescent="0.2">
      <c r="B46" s="89"/>
    </row>
    <row r="47" spans="2:25" ht="12.75" customHeight="1" x14ac:dyDescent="0.2">
      <c r="B47" s="89"/>
    </row>
    <row r="48" spans="2:25" ht="12.75" customHeight="1" x14ac:dyDescent="0.2">
      <c r="B48" s="89"/>
    </row>
    <row r="55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F5C-F7B4-4577-89F9-EC6D4D0F2FC1}">
  <sheetPr>
    <pageSetUpPr fitToPage="1"/>
  </sheetPr>
  <dimension ref="A1:AD56"/>
  <sheetViews>
    <sheetView showGridLines="0" zoomScale="75" workbookViewId="0">
      <selection activeCell="D5" sqref="D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115">
        <v>0.1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110</v>
      </c>
      <c r="C9" s="32" t="s">
        <v>28</v>
      </c>
      <c r="D9" s="33">
        <f>D10-D4</f>
        <v>119.9</v>
      </c>
      <c r="E9" s="34">
        <f>E10-D4</f>
        <v>109.94999999999999</v>
      </c>
      <c r="F9" s="32" t="s">
        <v>28</v>
      </c>
      <c r="G9" s="35">
        <f>E10</f>
        <v>119.94999999999999</v>
      </c>
      <c r="H9" s="36">
        <f>H10-D4</f>
        <v>114.94999999999999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120</v>
      </c>
      <c r="C10" s="43" t="s">
        <v>28</v>
      </c>
      <c r="D10" s="44">
        <f>B10+D4-G4</f>
        <v>129.9</v>
      </c>
      <c r="E10" s="45">
        <f>G10-$D$4</f>
        <v>119.94999999999999</v>
      </c>
      <c r="F10" s="41" t="s">
        <v>28</v>
      </c>
      <c r="G10" s="46">
        <f>(B11+D10)/2</f>
        <v>129.94999999999999</v>
      </c>
      <c r="H10" s="47">
        <f t="shared" ref="H10:H15" si="0">(E10+G10)/2</f>
        <v>124.94999999999999</v>
      </c>
      <c r="I10" s="47">
        <v>5</v>
      </c>
      <c r="J10" s="48">
        <f t="shared" ref="J10:J15" si="1">J9+I10</f>
        <v>5</v>
      </c>
      <c r="K10" s="49">
        <f t="shared" ref="K10:K16" si="2">I10/$I$17</f>
        <v>8.6206896551724144E-2</v>
      </c>
      <c r="L10" s="50">
        <f>K10</f>
        <v>8.6206896551724144E-2</v>
      </c>
      <c r="M10" s="51"/>
      <c r="N10" s="50">
        <f t="shared" ref="N10:N15" si="3">H10*I10</f>
        <v>624.75</v>
      </c>
      <c r="O10" s="50">
        <f t="shared" ref="O10:O15" si="4">(H10^2)*I10</f>
        <v>78062.512499999983</v>
      </c>
      <c r="P10" s="50">
        <f t="shared" ref="P10:P16" si="5">I10*(H10-$H$27)^3</f>
        <v>-64461.847554225169</v>
      </c>
      <c r="Q10" s="50">
        <f t="shared" ref="Q10:Q16" si="6">I10*(H10-$H$27)^4</f>
        <v>1511519.1840301068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6" si="7">B10+$D$4</f>
        <v>130</v>
      </c>
      <c r="C11" s="43" t="s">
        <v>28</v>
      </c>
      <c r="D11" s="44">
        <f t="shared" ref="D11:E16" si="8">D10+$D$4</f>
        <v>139.9</v>
      </c>
      <c r="E11" s="53">
        <f t="shared" si="8"/>
        <v>129.94999999999999</v>
      </c>
      <c r="F11" s="41" t="s">
        <v>28</v>
      </c>
      <c r="G11" s="46">
        <f t="shared" ref="G11:G16" si="9">G10+$D$4</f>
        <v>139.94999999999999</v>
      </c>
      <c r="H11" s="47">
        <f t="shared" si="0"/>
        <v>134.94999999999999</v>
      </c>
      <c r="I11" s="47">
        <v>17</v>
      </c>
      <c r="J11" s="48">
        <f t="shared" si="1"/>
        <v>22</v>
      </c>
      <c r="K11" s="49">
        <f t="shared" si="2"/>
        <v>0.29310344827586204</v>
      </c>
      <c r="L11" s="50">
        <f t="shared" ref="L11:L15" si="10">L10+K11</f>
        <v>0.37931034482758619</v>
      </c>
      <c r="M11" s="51"/>
      <c r="N11" s="50">
        <f t="shared" si="3"/>
        <v>2294.1499999999996</v>
      </c>
      <c r="O11" s="50">
        <f t="shared" si="4"/>
        <v>309595.54249999998</v>
      </c>
      <c r="P11" s="50">
        <f t="shared" si="5"/>
        <v>-41347.451720037614</v>
      </c>
      <c r="Q11" s="50">
        <f t="shared" si="6"/>
        <v>556051.93692464323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140</v>
      </c>
      <c r="C12" s="43" t="s">
        <v>28</v>
      </c>
      <c r="D12" s="44">
        <f t="shared" si="8"/>
        <v>149.9</v>
      </c>
      <c r="E12" s="53">
        <f t="shared" si="8"/>
        <v>139.94999999999999</v>
      </c>
      <c r="F12" s="41" t="s">
        <v>28</v>
      </c>
      <c r="G12" s="46">
        <f t="shared" si="9"/>
        <v>149.94999999999999</v>
      </c>
      <c r="H12" s="47">
        <f t="shared" si="0"/>
        <v>144.94999999999999</v>
      </c>
      <c r="I12" s="47">
        <v>16</v>
      </c>
      <c r="J12" s="48">
        <f t="shared" si="1"/>
        <v>38</v>
      </c>
      <c r="K12" s="49">
        <f t="shared" si="2"/>
        <v>0.27586206896551724</v>
      </c>
      <c r="L12" s="50">
        <f t="shared" si="10"/>
        <v>0.65517241379310343</v>
      </c>
      <c r="M12" s="51"/>
      <c r="N12" s="50">
        <f t="shared" si="3"/>
        <v>2319.1999999999998</v>
      </c>
      <c r="O12" s="50">
        <f t="shared" si="4"/>
        <v>336168.03999999992</v>
      </c>
      <c r="P12" s="50">
        <f t="shared" si="5"/>
        <v>-656.03345770633632</v>
      </c>
      <c r="Q12" s="50">
        <f t="shared" si="6"/>
        <v>2262.184336918393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150</v>
      </c>
      <c r="C13" s="43" t="s">
        <v>28</v>
      </c>
      <c r="D13" s="44">
        <f t="shared" si="8"/>
        <v>159.9</v>
      </c>
      <c r="E13" s="53">
        <f t="shared" si="8"/>
        <v>149.94999999999999</v>
      </c>
      <c r="F13" s="41" t="s">
        <v>28</v>
      </c>
      <c r="G13" s="46">
        <f t="shared" si="9"/>
        <v>159.94999999999999</v>
      </c>
      <c r="H13" s="47">
        <f t="shared" si="0"/>
        <v>154.94999999999999</v>
      </c>
      <c r="I13" s="47">
        <v>7</v>
      </c>
      <c r="J13" s="48">
        <f t="shared" si="1"/>
        <v>45</v>
      </c>
      <c r="K13" s="49">
        <f t="shared" si="2"/>
        <v>0.1206896551724138</v>
      </c>
      <c r="L13" s="50">
        <f t="shared" si="10"/>
        <v>0.77586206896551724</v>
      </c>
      <c r="M13" s="51"/>
      <c r="N13" s="50">
        <f t="shared" si="3"/>
        <v>1084.6499999999999</v>
      </c>
      <c r="O13" s="50">
        <f t="shared" si="4"/>
        <v>168066.51749999996</v>
      </c>
      <c r="P13" s="50">
        <f t="shared" si="5"/>
        <v>1968.6334003034262</v>
      </c>
      <c r="Q13" s="50">
        <f t="shared" si="6"/>
        <v>12897.942967505227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160</v>
      </c>
      <c r="C14" s="43" t="s">
        <v>28</v>
      </c>
      <c r="D14" s="44">
        <f t="shared" si="8"/>
        <v>169.9</v>
      </c>
      <c r="E14" s="53">
        <f t="shared" si="8"/>
        <v>159.94999999999999</v>
      </c>
      <c r="F14" s="41" t="s">
        <v>28</v>
      </c>
      <c r="G14" s="46">
        <f t="shared" si="9"/>
        <v>169.95</v>
      </c>
      <c r="H14" s="47">
        <f t="shared" si="0"/>
        <v>164.95</v>
      </c>
      <c r="I14" s="47">
        <v>4</v>
      </c>
      <c r="J14" s="48">
        <f t="shared" si="1"/>
        <v>49</v>
      </c>
      <c r="K14" s="49">
        <f t="shared" si="2"/>
        <v>6.8965517241379309E-2</v>
      </c>
      <c r="L14" s="50">
        <f t="shared" si="10"/>
        <v>0.84482758620689657</v>
      </c>
      <c r="M14" s="51"/>
      <c r="N14" s="50">
        <f t="shared" si="3"/>
        <v>659.8</v>
      </c>
      <c r="O14" s="50">
        <f t="shared" si="4"/>
        <v>108834.00999999998</v>
      </c>
      <c r="P14" s="50">
        <f t="shared" si="5"/>
        <v>18138.013038665009</v>
      </c>
      <c r="Q14" s="50">
        <f t="shared" si="6"/>
        <v>300215.3882261797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170</v>
      </c>
      <c r="C15" s="43" t="s">
        <v>28</v>
      </c>
      <c r="D15" s="44">
        <f t="shared" si="8"/>
        <v>179.9</v>
      </c>
      <c r="E15" s="53">
        <f t="shared" si="8"/>
        <v>169.95</v>
      </c>
      <c r="F15" s="41" t="s">
        <v>28</v>
      </c>
      <c r="G15" s="46">
        <f t="shared" si="9"/>
        <v>179.95</v>
      </c>
      <c r="H15" s="47">
        <f t="shared" si="0"/>
        <v>174.95</v>
      </c>
      <c r="I15" s="47">
        <v>4</v>
      </c>
      <c r="J15" s="48">
        <f t="shared" si="1"/>
        <v>53</v>
      </c>
      <c r="K15" s="49">
        <f t="shared" si="2"/>
        <v>6.8965517241379309E-2</v>
      </c>
      <c r="L15" s="50">
        <f t="shared" si="10"/>
        <v>0.91379310344827591</v>
      </c>
      <c r="M15" s="51"/>
      <c r="N15" s="50">
        <f t="shared" si="3"/>
        <v>699.8</v>
      </c>
      <c r="O15" s="50">
        <f t="shared" si="4"/>
        <v>122430.00999999998</v>
      </c>
      <c r="P15" s="50">
        <f t="shared" si="5"/>
        <v>74875.230636762572</v>
      </c>
      <c r="Q15" s="50">
        <f t="shared" si="6"/>
        <v>1988066.4686312829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thickBot="1" x14ac:dyDescent="0.25">
      <c r="A16" s="41">
        <v>7</v>
      </c>
      <c r="B16" s="54">
        <f t="shared" si="7"/>
        <v>180</v>
      </c>
      <c r="C16" s="55" t="s">
        <v>28</v>
      </c>
      <c r="D16" s="56">
        <f t="shared" si="8"/>
        <v>189.9</v>
      </c>
      <c r="E16" s="57">
        <f t="shared" si="8"/>
        <v>179.95</v>
      </c>
      <c r="F16" s="58" t="s">
        <v>28</v>
      </c>
      <c r="G16" s="59">
        <f t="shared" si="9"/>
        <v>189.95</v>
      </c>
      <c r="H16" s="60">
        <f t="shared" ref="H16" si="11">(E16+G16)/2</f>
        <v>184.95</v>
      </c>
      <c r="I16" s="60">
        <v>5</v>
      </c>
      <c r="J16" s="54">
        <f t="shared" ref="J16" si="12">J15+I16</f>
        <v>58</v>
      </c>
      <c r="K16" s="114">
        <f t="shared" si="2"/>
        <v>8.6206896551724144E-2</v>
      </c>
      <c r="L16" s="61">
        <f t="shared" ref="L16" si="13">L15+K16</f>
        <v>1</v>
      </c>
      <c r="M16" s="62"/>
      <c r="N16" s="61">
        <f t="shared" ref="N16" si="14">H16*I16</f>
        <v>924.75</v>
      </c>
      <c r="O16" s="61">
        <f t="shared" ref="O16" si="15">(H16^2)*I16</f>
        <v>171032.51249999998</v>
      </c>
      <c r="P16" s="61">
        <f t="shared" si="5"/>
        <v>244170.73270736833</v>
      </c>
      <c r="Q16" s="61">
        <f t="shared" si="6"/>
        <v>8924861.2644762248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8.75" customHeight="1" thickTop="1" x14ac:dyDescent="0.2">
      <c r="A17" s="52"/>
      <c r="B17" s="52"/>
      <c r="C17" s="52"/>
      <c r="D17" s="52"/>
      <c r="E17" s="52"/>
      <c r="F17" s="52"/>
      <c r="G17" s="52"/>
      <c r="H17" s="63" t="s">
        <v>29</v>
      </c>
      <c r="I17" s="64">
        <f>SUM(I10:I16)</f>
        <v>58</v>
      </c>
      <c r="J17" s="41"/>
      <c r="K17" s="113">
        <f>SUM(K9:K16)</f>
        <v>1</v>
      </c>
      <c r="L17" s="41"/>
      <c r="M17" s="41"/>
      <c r="N17" s="66">
        <f>SUM(N10:N16)</f>
        <v>8607.0999999999985</v>
      </c>
      <c r="O17" s="67">
        <f>SUM(O10:O16)</f>
        <v>1294189.1449999998</v>
      </c>
      <c r="P17" s="67">
        <f>SUM(P10:P16)</f>
        <v>232687.27705113022</v>
      </c>
      <c r="Q17" s="67">
        <f>SUM(Q10:Q16)</f>
        <v>13295874.36959286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6" customHeight="1" x14ac:dyDescent="0.2">
      <c r="K18" s="68"/>
    </row>
    <row r="19" spans="1:30" ht="18.75" customHeight="1" x14ac:dyDescent="0.2">
      <c r="B19" s="69" t="s">
        <v>91</v>
      </c>
      <c r="C19" s="70"/>
      <c r="D19" s="70"/>
      <c r="E19" s="70"/>
      <c r="F19" s="70"/>
      <c r="G19" s="70"/>
      <c r="H19" s="70"/>
      <c r="I19" s="70"/>
      <c r="J19" s="70"/>
      <c r="K19" s="71"/>
      <c r="L19" s="70"/>
      <c r="M19" s="70"/>
      <c r="N19" s="70"/>
      <c r="O19" s="70"/>
      <c r="P19" s="70"/>
      <c r="Q19" s="72"/>
    </row>
    <row r="20" spans="1:30" ht="25.5" customHeight="1" x14ac:dyDescent="0.2">
      <c r="B20" s="73"/>
      <c r="C20" s="74"/>
      <c r="D20" s="74"/>
      <c r="E20" s="74"/>
      <c r="F20" s="74"/>
      <c r="G20" s="74"/>
      <c r="H20" s="74"/>
      <c r="I20" s="75"/>
      <c r="J20" s="74"/>
      <c r="K20" s="76"/>
      <c r="L20" s="77"/>
      <c r="M20" s="74"/>
      <c r="N20" s="74"/>
      <c r="O20" s="74"/>
      <c r="P20" s="74"/>
      <c r="Q20" s="75"/>
      <c r="X20" s="78" t="s">
        <v>30</v>
      </c>
      <c r="Y20" s="79" t="s">
        <v>31</v>
      </c>
      <c r="Z20" s="79" t="s">
        <v>32</v>
      </c>
      <c r="AA20" s="78" t="s">
        <v>33</v>
      </c>
      <c r="AB20" s="79" t="s">
        <v>34</v>
      </c>
      <c r="AC20" s="79" t="s">
        <v>35</v>
      </c>
    </row>
    <row r="21" spans="1:30" ht="15.75" x14ac:dyDescent="0.25">
      <c r="B21" s="80" t="s">
        <v>36</v>
      </c>
      <c r="F21" s="81" t="s">
        <v>37</v>
      </c>
      <c r="G21" s="82" t="s">
        <v>38</v>
      </c>
      <c r="H21" s="83">
        <f>G13-E13</f>
        <v>10</v>
      </c>
      <c r="I21" s="84"/>
      <c r="K21" s="6" t="s">
        <v>39</v>
      </c>
      <c r="Q21" s="84"/>
      <c r="T21" s="6" t="s">
        <v>40</v>
      </c>
      <c r="W21" s="1" t="s">
        <v>41</v>
      </c>
      <c r="X21" s="16">
        <f>1/4</f>
        <v>0.25</v>
      </c>
      <c r="Y21" s="85">
        <f>COUNTIF(L10:L16,"&lt;=0.25")+1</f>
        <v>2</v>
      </c>
      <c r="Z21" s="16">
        <f t="shared" ref="Z21:Z29" ca="1" si="16">INDIRECT(ADDRESS(9+$Y21,5))</f>
        <v>129.94999999999999</v>
      </c>
      <c r="AA21" s="16">
        <f t="shared" ref="AA21:AA29" ca="1" si="17">INDIRECT(ADDRESS(9+$Y21,9))</f>
        <v>17</v>
      </c>
      <c r="AB21" s="16">
        <f t="shared" ref="AB21:AB29" ca="1" si="18">INDIRECT(ADDRESS(9+$Y21-1,10))</f>
        <v>5</v>
      </c>
      <c r="AC21" s="86">
        <f t="shared" ref="AC21:AC29" ca="1" si="19">Z21+(  ($H$25*X21)-AB21  )*$H$21/AA21</f>
        <v>135.53823529411764</v>
      </c>
      <c r="AD21" s="1">
        <f t="shared" ref="AD21:AD29" si="20">MATCH(X21,$L$10:$L$16,1)+1</f>
        <v>2</v>
      </c>
    </row>
    <row r="22" spans="1:30" ht="18" x14ac:dyDescent="0.3">
      <c r="B22" s="87"/>
      <c r="C22" s="52"/>
      <c r="D22" s="43"/>
      <c r="E22" s="43"/>
      <c r="F22" s="88"/>
      <c r="G22" s="43"/>
      <c r="H22" s="89"/>
      <c r="I22" s="84"/>
      <c r="K22" s="6" t="s">
        <v>42</v>
      </c>
      <c r="O22" s="90" t="s">
        <v>43</v>
      </c>
      <c r="P22" s="91">
        <f>(P17/I17)/(H37^3)</f>
        <v>0.80585691851590924</v>
      </c>
      <c r="Q22" s="84"/>
      <c r="T22" s="6" t="s">
        <v>44</v>
      </c>
      <c r="W22" s="1" t="s">
        <v>45</v>
      </c>
      <c r="X22" s="16">
        <f>1/2</f>
        <v>0.5</v>
      </c>
      <c r="Y22" s="85">
        <f>COUNTIF(L10:L16,"&lt;=0.5")+1</f>
        <v>3</v>
      </c>
      <c r="Z22" s="16">
        <f t="shared" ca="1" si="16"/>
        <v>139.94999999999999</v>
      </c>
      <c r="AA22" s="16">
        <f t="shared" ca="1" si="17"/>
        <v>16</v>
      </c>
      <c r="AB22" s="16">
        <f t="shared" ca="1" si="18"/>
        <v>22</v>
      </c>
      <c r="AC22" s="86">
        <f t="shared" ca="1" si="19"/>
        <v>144.32499999999999</v>
      </c>
      <c r="AD22" s="1">
        <f t="shared" si="20"/>
        <v>3</v>
      </c>
    </row>
    <row r="23" spans="1:30" ht="15.75" x14ac:dyDescent="0.25">
      <c r="B23" s="92" t="s">
        <v>46</v>
      </c>
      <c r="F23" s="81" t="s">
        <v>47</v>
      </c>
      <c r="G23" s="82" t="s">
        <v>38</v>
      </c>
      <c r="H23" s="93">
        <f>COUNT(I10:I16)</f>
        <v>7</v>
      </c>
      <c r="I23" s="84"/>
      <c r="Q23" s="84"/>
      <c r="T23" s="6" t="s">
        <v>48</v>
      </c>
      <c r="W23" s="94" t="s">
        <v>49</v>
      </c>
      <c r="X23" s="95">
        <f>3/4</f>
        <v>0.75</v>
      </c>
      <c r="Y23" s="96">
        <f>COUNTIF(L10:L16,"&lt;=0.75")+1</f>
        <v>4</v>
      </c>
      <c r="Z23" s="95">
        <f t="shared" ca="1" si="16"/>
        <v>149.94999999999999</v>
      </c>
      <c r="AA23" s="95">
        <f t="shared" ca="1" si="17"/>
        <v>7</v>
      </c>
      <c r="AB23" s="95">
        <f t="shared" ca="1" si="18"/>
        <v>38</v>
      </c>
      <c r="AC23" s="97">
        <f t="shared" ca="1" si="19"/>
        <v>157.80714285714285</v>
      </c>
      <c r="AD23" s="1">
        <f t="shared" si="20"/>
        <v>4</v>
      </c>
    </row>
    <row r="24" spans="1:30" ht="15.75" x14ac:dyDescent="0.25">
      <c r="B24" s="92"/>
      <c r="F24" s="81"/>
      <c r="H24" s="89"/>
      <c r="I24" s="84"/>
      <c r="K24" s="6" t="s">
        <v>50</v>
      </c>
      <c r="Q24" s="84"/>
      <c r="W24" s="1" t="s">
        <v>51</v>
      </c>
      <c r="X24" s="16">
        <f>1/10</f>
        <v>0.1</v>
      </c>
      <c r="Y24" s="85">
        <f>COUNTIF(L10:L16,"&lt;=0.1")+1</f>
        <v>2</v>
      </c>
      <c r="Z24" s="16">
        <f t="shared" ca="1" si="16"/>
        <v>129.94999999999999</v>
      </c>
      <c r="AA24" s="16">
        <f t="shared" ca="1" si="17"/>
        <v>17</v>
      </c>
      <c r="AB24" s="16">
        <f t="shared" ca="1" si="18"/>
        <v>5</v>
      </c>
      <c r="AC24" s="86">
        <f t="shared" ca="1" si="19"/>
        <v>130.4205882352941</v>
      </c>
      <c r="AD24" s="1">
        <f t="shared" si="20"/>
        <v>2</v>
      </c>
    </row>
    <row r="25" spans="1:30" ht="18" x14ac:dyDescent="0.3">
      <c r="B25" s="98" t="s">
        <v>52</v>
      </c>
      <c r="F25" s="81" t="s">
        <v>53</v>
      </c>
      <c r="G25" s="82" t="s">
        <v>38</v>
      </c>
      <c r="H25" s="99">
        <f>I17</f>
        <v>58</v>
      </c>
      <c r="I25" s="84"/>
      <c r="K25" s="6" t="s">
        <v>54</v>
      </c>
      <c r="O25" s="90" t="s">
        <v>55</v>
      </c>
      <c r="P25" s="91">
        <f>(Q17/I17)/(H35^2)</f>
        <v>2.6967455404782918</v>
      </c>
      <c r="Q25" s="84"/>
      <c r="W25" s="1" t="s">
        <v>56</v>
      </c>
      <c r="X25" s="16">
        <f>2/10</f>
        <v>0.2</v>
      </c>
      <c r="Y25" s="85">
        <f>COUNTIF(L10:L16,"&lt;=0.20")+1</f>
        <v>2</v>
      </c>
      <c r="Z25" s="16">
        <f t="shared" ca="1" si="16"/>
        <v>129.94999999999999</v>
      </c>
      <c r="AA25" s="16">
        <f t="shared" ca="1" si="17"/>
        <v>17</v>
      </c>
      <c r="AB25" s="16">
        <f t="shared" ca="1" si="18"/>
        <v>5</v>
      </c>
      <c r="AC25" s="86">
        <f t="shared" ca="1" si="19"/>
        <v>133.83235294117645</v>
      </c>
      <c r="AD25" s="1">
        <f t="shared" si="20"/>
        <v>2</v>
      </c>
    </row>
    <row r="26" spans="1:30" ht="15.75" x14ac:dyDescent="0.25">
      <c r="B26" s="87"/>
      <c r="F26" s="81"/>
      <c r="H26" s="100"/>
      <c r="I26" s="84"/>
      <c r="Q26" s="84"/>
      <c r="W26" s="1" t="s">
        <v>57</v>
      </c>
      <c r="X26" s="16">
        <f>3/10</f>
        <v>0.3</v>
      </c>
      <c r="Y26" s="85">
        <f>COUNTIF(L10:L16,"&lt;=0.30")+1</f>
        <v>2</v>
      </c>
      <c r="Z26" s="16">
        <f t="shared" ca="1" si="16"/>
        <v>129.94999999999999</v>
      </c>
      <c r="AA26" s="16">
        <f t="shared" ca="1" si="17"/>
        <v>17</v>
      </c>
      <c r="AB26" s="16">
        <f t="shared" ca="1" si="18"/>
        <v>5</v>
      </c>
      <c r="AC26" s="86">
        <f t="shared" ca="1" si="19"/>
        <v>137.2441176470588</v>
      </c>
      <c r="AD26" s="1">
        <f t="shared" si="20"/>
        <v>2</v>
      </c>
    </row>
    <row r="27" spans="1:30" ht="15.75" x14ac:dyDescent="0.25">
      <c r="B27" s="101" t="s">
        <v>58</v>
      </c>
      <c r="F27" s="81" t="s">
        <v>59</v>
      </c>
      <c r="G27" s="82" t="s">
        <v>38</v>
      </c>
      <c r="H27" s="102">
        <f>N17/I17</f>
        <v>148.39827586206894</v>
      </c>
      <c r="I27" s="84"/>
      <c r="L27" s="6"/>
      <c r="P27" s="16"/>
      <c r="Q27" s="84"/>
      <c r="W27" s="1" t="s">
        <v>60</v>
      </c>
      <c r="X27" s="16">
        <f>7/10</f>
        <v>0.7</v>
      </c>
      <c r="Y27" s="85">
        <f>COUNTIF(L10:L16,"&lt;=0.70")+1</f>
        <v>4</v>
      </c>
      <c r="Z27" s="16">
        <f t="shared" ca="1" si="16"/>
        <v>149.94999999999999</v>
      </c>
      <c r="AA27" s="16">
        <f t="shared" ca="1" si="17"/>
        <v>7</v>
      </c>
      <c r="AB27" s="16">
        <f t="shared" ca="1" si="18"/>
        <v>38</v>
      </c>
      <c r="AC27" s="86">
        <f t="shared" ca="1" si="19"/>
        <v>153.66428571428568</v>
      </c>
      <c r="AD27" s="1">
        <f t="shared" si="20"/>
        <v>4</v>
      </c>
    </row>
    <row r="28" spans="1:30" ht="15.75" x14ac:dyDescent="0.25">
      <c r="B28" s="101"/>
      <c r="F28" s="81"/>
      <c r="H28" s="100"/>
      <c r="I28" s="84"/>
      <c r="K28" s="6" t="s">
        <v>61</v>
      </c>
      <c r="Q28" s="103"/>
      <c r="W28" s="1" t="s">
        <v>62</v>
      </c>
      <c r="X28" s="16">
        <f>8/10</f>
        <v>0.8</v>
      </c>
      <c r="Y28" s="85">
        <f>COUNTIF(L10:L16,"&lt;=0.80")+1</f>
        <v>5</v>
      </c>
      <c r="Z28" s="16">
        <f t="shared" ca="1" si="16"/>
        <v>159.94999999999999</v>
      </c>
      <c r="AA28" s="16">
        <f t="shared" ca="1" si="17"/>
        <v>4</v>
      </c>
      <c r="AB28" s="16">
        <f t="shared" ca="1" si="18"/>
        <v>45</v>
      </c>
      <c r="AC28" s="86">
        <f t="shared" ca="1" si="19"/>
        <v>163.44999999999999</v>
      </c>
      <c r="AD28" s="1">
        <f t="shared" si="20"/>
        <v>5</v>
      </c>
    </row>
    <row r="29" spans="1:30" ht="19.5" x14ac:dyDescent="0.35">
      <c r="B29" s="87" t="s">
        <v>63</v>
      </c>
      <c r="F29" s="81" t="s">
        <v>59</v>
      </c>
      <c r="G29" s="82" t="s">
        <v>38</v>
      </c>
      <c r="H29" s="91">
        <f ca="1">AC22</f>
        <v>144.32499999999999</v>
      </c>
      <c r="I29" s="84"/>
      <c r="L29" s="104" t="s">
        <v>64</v>
      </c>
      <c r="N29" s="91">
        <f ca="1">AC21</f>
        <v>135.53823529411764</v>
      </c>
      <c r="Q29" s="103"/>
      <c r="W29" s="1" t="s">
        <v>65</v>
      </c>
      <c r="X29" s="16">
        <f>9/10</f>
        <v>0.9</v>
      </c>
      <c r="Y29" s="85">
        <f>COUNTIF(L10:L16,"&lt;=0.90")+1</f>
        <v>6</v>
      </c>
      <c r="Z29" s="16">
        <f t="shared" ca="1" si="16"/>
        <v>169.95</v>
      </c>
      <c r="AA29" s="16">
        <f t="shared" ca="1" si="17"/>
        <v>4</v>
      </c>
      <c r="AB29" s="16">
        <f t="shared" ca="1" si="18"/>
        <v>49</v>
      </c>
      <c r="AC29" s="86">
        <f t="shared" ca="1" si="19"/>
        <v>177.95</v>
      </c>
      <c r="AD29" s="1">
        <f t="shared" si="20"/>
        <v>6</v>
      </c>
    </row>
    <row r="30" spans="1:30" ht="19.5" x14ac:dyDescent="0.35">
      <c r="B30" s="87"/>
      <c r="F30" s="81"/>
      <c r="H30" s="100"/>
      <c r="I30" s="84"/>
      <c r="L30" s="104" t="s">
        <v>66</v>
      </c>
      <c r="N30" s="91">
        <f t="shared" ref="N30:N37" ca="1" si="21">AC22</f>
        <v>144.32499999999999</v>
      </c>
      <c r="Q30" s="84"/>
      <c r="Z30" s="16"/>
    </row>
    <row r="31" spans="1:30" ht="19.5" x14ac:dyDescent="0.35">
      <c r="B31" s="87" t="s">
        <v>67</v>
      </c>
      <c r="F31" s="81" t="s">
        <v>68</v>
      </c>
      <c r="G31" s="82" t="s">
        <v>38</v>
      </c>
      <c r="H31" s="91">
        <f ca="1">Y36+ (  $H$21*(Y33-Y34) / ((Y33-Y34)+(Y33-Y35))  )</f>
        <v>139.18076923076922</v>
      </c>
      <c r="I31" s="84"/>
      <c r="L31" s="104" t="s">
        <v>69</v>
      </c>
      <c r="N31" s="91">
        <f t="shared" ca="1" si="21"/>
        <v>157.80714285714285</v>
      </c>
      <c r="Q31" s="84"/>
      <c r="Z31" s="16"/>
    </row>
    <row r="32" spans="1:30" ht="19.5" x14ac:dyDescent="0.35">
      <c r="B32" s="87"/>
      <c r="E32"/>
      <c r="F32" s="105" t="s">
        <v>70</v>
      </c>
      <c r="G32" s="82" t="s">
        <v>38</v>
      </c>
      <c r="H32" s="102">
        <f ca="1">Y37</f>
        <v>134.94999999999999</v>
      </c>
      <c r="I32" s="84"/>
      <c r="L32" s="104" t="s">
        <v>71</v>
      </c>
      <c r="N32" s="91">
        <f t="shared" ca="1" si="21"/>
        <v>130.4205882352941</v>
      </c>
      <c r="Q32" s="84"/>
      <c r="T32" s="1" t="s">
        <v>72</v>
      </c>
      <c r="Y32" s="16">
        <f>MATCH(MAX(I10:I16),I10:I16,0)</f>
        <v>2</v>
      </c>
      <c r="Z32" s="16"/>
    </row>
    <row r="33" spans="2:26" ht="19.5" x14ac:dyDescent="0.35">
      <c r="B33" s="92" t="s">
        <v>73</v>
      </c>
      <c r="D33" s="6"/>
      <c r="F33" s="81" t="s">
        <v>74</v>
      </c>
      <c r="G33" s="82" t="s">
        <v>38</v>
      </c>
      <c r="H33" s="83">
        <f>G16-E10</f>
        <v>70</v>
      </c>
      <c r="I33" s="84"/>
      <c r="L33" s="104" t="s">
        <v>75</v>
      </c>
      <c r="N33" s="91">
        <f t="shared" ca="1" si="21"/>
        <v>133.83235294117645</v>
      </c>
      <c r="Q33" s="84"/>
      <c r="T33" s="1" t="s">
        <v>76</v>
      </c>
      <c r="Y33" s="16">
        <f ca="1">INDIRECT(ADDRESS(9+$Y$32,9))</f>
        <v>17</v>
      </c>
      <c r="Z33" s="16"/>
    </row>
    <row r="34" spans="2:26" ht="19.5" x14ac:dyDescent="0.35">
      <c r="B34" s="87"/>
      <c r="F34" s="81"/>
      <c r="H34" s="100"/>
      <c r="I34" s="84"/>
      <c r="L34" s="104" t="s">
        <v>77</v>
      </c>
      <c r="N34" s="91">
        <f t="shared" ca="1" si="21"/>
        <v>137.2441176470588</v>
      </c>
      <c r="Q34" s="84"/>
      <c r="T34" s="6" t="s">
        <v>78</v>
      </c>
      <c r="Y34" s="16">
        <f ca="1">INDIRECT(ADDRESS(9+$Y$32-1,9))</f>
        <v>5</v>
      </c>
    </row>
    <row r="35" spans="2:26" ht="20.25" x14ac:dyDescent="0.35">
      <c r="B35" s="87" t="s">
        <v>79</v>
      </c>
      <c r="F35" s="106" t="s">
        <v>80</v>
      </c>
      <c r="G35" s="82" t="s">
        <v>38</v>
      </c>
      <c r="H35" s="91">
        <f>(O17-I17*(H27^2))/I17</f>
        <v>291.55766944114345</v>
      </c>
      <c r="I35" s="84"/>
      <c r="L35" s="104" t="s">
        <v>81</v>
      </c>
      <c r="N35" s="91">
        <f t="shared" ca="1" si="21"/>
        <v>153.66428571428568</v>
      </c>
      <c r="Q35" s="84"/>
      <c r="T35" s="6" t="s">
        <v>82</v>
      </c>
      <c r="Y35" s="16">
        <f ca="1">INDIRECT(ADDRESS(9+$Y$32+1,9))</f>
        <v>16</v>
      </c>
    </row>
    <row r="36" spans="2:26" ht="19.5" x14ac:dyDescent="0.35">
      <c r="B36" s="87"/>
      <c r="F36" s="81"/>
      <c r="H36" s="100"/>
      <c r="I36" s="84"/>
      <c r="L36" s="104" t="s">
        <v>83</v>
      </c>
      <c r="N36" s="91">
        <f t="shared" ca="1" si="21"/>
        <v>163.44999999999999</v>
      </c>
      <c r="Q36" s="84"/>
      <c r="T36" s="1" t="s">
        <v>84</v>
      </c>
      <c r="Y36" s="16">
        <f ca="1">INDIRECT(ADDRESS(9+$Y$32,5))</f>
        <v>129.94999999999999</v>
      </c>
    </row>
    <row r="37" spans="2:26" ht="19.5" x14ac:dyDescent="0.35">
      <c r="B37" s="87" t="s">
        <v>85</v>
      </c>
      <c r="F37" s="81" t="s">
        <v>86</v>
      </c>
      <c r="G37" s="82" t="s">
        <v>38</v>
      </c>
      <c r="H37" s="91">
        <f>SQRT(H35)</f>
        <v>17.075059866399986</v>
      </c>
      <c r="I37" s="84"/>
      <c r="L37" s="104" t="s">
        <v>87</v>
      </c>
      <c r="N37" s="91">
        <f t="shared" ca="1" si="21"/>
        <v>177.95</v>
      </c>
      <c r="Q37" s="84"/>
      <c r="T37" s="1" t="s">
        <v>88</v>
      </c>
      <c r="Y37" s="16">
        <f ca="1">INDIRECT(ADDRESS(9+$Y$32,8))</f>
        <v>134.94999999999999</v>
      </c>
    </row>
    <row r="38" spans="2:26" x14ac:dyDescent="0.2">
      <c r="B38" s="87"/>
      <c r="I38" s="84"/>
      <c r="Q38" s="84"/>
    </row>
    <row r="39" spans="2:26" ht="15.75" x14ac:dyDescent="0.25">
      <c r="B39" s="87" t="s">
        <v>89</v>
      </c>
      <c r="F39" s="81" t="s">
        <v>90</v>
      </c>
      <c r="G39" s="82" t="s">
        <v>38</v>
      </c>
      <c r="H39" s="91">
        <f>H37/H27</f>
        <v>0.11506238712820803</v>
      </c>
      <c r="I39" s="84"/>
      <c r="Q39" s="84"/>
    </row>
    <row r="40" spans="2:26" ht="15.75" x14ac:dyDescent="0.25">
      <c r="B40" s="107"/>
      <c r="C40" s="94"/>
      <c r="D40" s="94"/>
      <c r="E40" s="94"/>
      <c r="F40" s="108"/>
      <c r="G40" s="94"/>
      <c r="H40" s="109"/>
      <c r="I40" s="40"/>
      <c r="J40" s="94"/>
      <c r="K40" s="94"/>
      <c r="L40" s="94"/>
      <c r="M40" s="94"/>
      <c r="N40" s="94"/>
      <c r="O40" s="94"/>
      <c r="P40" s="94"/>
      <c r="Q40" s="40"/>
    </row>
    <row r="42" spans="2:26" ht="12.75" customHeight="1" x14ac:dyDescent="0.2">
      <c r="B42" s="110"/>
      <c r="C42" s="110"/>
      <c r="D42" s="68"/>
      <c r="E42" s="110"/>
      <c r="F42" s="110"/>
      <c r="G42" s="110"/>
      <c r="H42" s="110"/>
    </row>
    <row r="43" spans="2:26" ht="15.75" customHeight="1" x14ac:dyDescent="0.25">
      <c r="D43" s="111"/>
    </row>
    <row r="44" spans="2:26" ht="15.75" customHeight="1" x14ac:dyDescent="0.2">
      <c r="D44" s="112"/>
    </row>
    <row r="47" spans="2:26" ht="12.75" customHeight="1" x14ac:dyDescent="0.2">
      <c r="B47" s="89"/>
    </row>
    <row r="48" spans="2:26" ht="12.75" customHeight="1" x14ac:dyDescent="0.2">
      <c r="B48" s="89"/>
    </row>
    <row r="49" spans="2:2" ht="12.75" customHeight="1" x14ac:dyDescent="0.2">
      <c r="B49" s="89"/>
    </row>
    <row r="56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9621-B075-4CF1-BCAF-76608EBA9FDB}">
  <sheetPr>
    <pageSetUpPr fitToPage="1"/>
  </sheetPr>
  <dimension ref="A1:AD57"/>
  <sheetViews>
    <sheetView showGridLines="0" tabSelected="1" topLeftCell="A19" zoomScale="75" workbookViewId="0">
      <selection activeCell="H32" sqref="H32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8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8</v>
      </c>
      <c r="C9" s="32" t="s">
        <v>28</v>
      </c>
      <c r="D9" s="33">
        <f>D10-D4</f>
        <v>15</v>
      </c>
      <c r="E9" s="34">
        <f>E10-D4</f>
        <v>7.5</v>
      </c>
      <c r="F9" s="32" t="s">
        <v>28</v>
      </c>
      <c r="G9" s="35">
        <f>E10</f>
        <v>15.5</v>
      </c>
      <c r="H9" s="36">
        <f>H10-D4</f>
        <v>11.5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23</v>
      </c>
      <c r="E10" s="45">
        <f>G10-$D$4</f>
        <v>15.5</v>
      </c>
      <c r="F10" s="41" t="s">
        <v>28</v>
      </c>
      <c r="G10" s="46">
        <f>(B11+D10)/2</f>
        <v>23.5</v>
      </c>
      <c r="H10" s="47">
        <f t="shared" ref="H10:H17" si="0">(E10+G10)/2</f>
        <v>19.5</v>
      </c>
      <c r="I10" s="47">
        <v>5</v>
      </c>
      <c r="J10" s="48">
        <f t="shared" ref="J10:J17" si="1">J9+I10</f>
        <v>5</v>
      </c>
      <c r="K10" s="49">
        <f t="shared" ref="K10:K17" si="2">I10/$I$18</f>
        <v>9.0909090909090912E-2</v>
      </c>
      <c r="L10" s="50">
        <f>K10</f>
        <v>9.0909090909090912E-2</v>
      </c>
      <c r="M10" s="51"/>
      <c r="N10" s="50">
        <f t="shared" ref="N10:N17" si="3">H10*I10</f>
        <v>97.5</v>
      </c>
      <c r="O10" s="50">
        <f t="shared" ref="O10:O17" si="4">(H10^2)*I10</f>
        <v>1901.25</v>
      </c>
      <c r="P10" s="50">
        <f t="shared" ref="P10:P17" si="5">I10*(H10-$H$28)^3</f>
        <v>-25929.418722764854</v>
      </c>
      <c r="Q10" s="50">
        <f t="shared" ref="Q10:Q17" si="6">I10*(H10-$H$28)^4</f>
        <v>448814.66589222086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7" si="7">B10+$D$4</f>
        <v>24</v>
      </c>
      <c r="C11" s="43" t="s">
        <v>28</v>
      </c>
      <c r="D11" s="44">
        <f t="shared" ref="D11:E17" si="8">D10+$D$4</f>
        <v>31</v>
      </c>
      <c r="E11" s="53">
        <f t="shared" si="8"/>
        <v>23.5</v>
      </c>
      <c r="F11" s="41" t="s">
        <v>28</v>
      </c>
      <c r="G11" s="46">
        <f t="shared" ref="G11:G17" si="9">G10+$D$4</f>
        <v>31.5</v>
      </c>
      <c r="H11" s="47">
        <f t="shared" si="0"/>
        <v>27.5</v>
      </c>
      <c r="I11" s="47">
        <v>17</v>
      </c>
      <c r="J11" s="48">
        <f t="shared" si="1"/>
        <v>22</v>
      </c>
      <c r="K11" s="49">
        <f t="shared" si="2"/>
        <v>0.30909090909090908</v>
      </c>
      <c r="L11" s="50">
        <f t="shared" ref="L11:L17" si="10">L10+K11</f>
        <v>0.4</v>
      </c>
      <c r="M11" s="51"/>
      <c r="N11" s="50">
        <f t="shared" si="3"/>
        <v>467.5</v>
      </c>
      <c r="O11" s="50">
        <f t="shared" si="4"/>
        <v>12856.25</v>
      </c>
      <c r="P11" s="50">
        <f t="shared" si="5"/>
        <v>-13714.208120210384</v>
      </c>
      <c r="Q11" s="50">
        <f t="shared" si="6"/>
        <v>127666.81013723125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32</v>
      </c>
      <c r="C12" s="43" t="s">
        <v>28</v>
      </c>
      <c r="D12" s="44">
        <f t="shared" si="8"/>
        <v>39</v>
      </c>
      <c r="E12" s="53">
        <f t="shared" si="8"/>
        <v>31.5</v>
      </c>
      <c r="F12" s="41" t="s">
        <v>28</v>
      </c>
      <c r="G12" s="46">
        <f t="shared" si="9"/>
        <v>39.5</v>
      </c>
      <c r="H12" s="47">
        <f t="shared" si="0"/>
        <v>35.5</v>
      </c>
      <c r="I12" s="47">
        <v>16</v>
      </c>
      <c r="J12" s="48">
        <f t="shared" si="1"/>
        <v>38</v>
      </c>
      <c r="K12" s="49">
        <f t="shared" si="2"/>
        <v>0.29090909090909089</v>
      </c>
      <c r="L12" s="50">
        <f t="shared" si="10"/>
        <v>0.69090909090909092</v>
      </c>
      <c r="M12" s="51"/>
      <c r="N12" s="50">
        <f t="shared" si="3"/>
        <v>568</v>
      </c>
      <c r="O12" s="50">
        <f t="shared" si="4"/>
        <v>20164</v>
      </c>
      <c r="P12" s="50">
        <f t="shared" si="5"/>
        <v>-35.894623591285004</v>
      </c>
      <c r="Q12" s="50">
        <f t="shared" si="6"/>
        <v>46.989325428591386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40</v>
      </c>
      <c r="C13" s="43" t="s">
        <v>28</v>
      </c>
      <c r="D13" s="44">
        <f t="shared" si="8"/>
        <v>47</v>
      </c>
      <c r="E13" s="53">
        <f t="shared" si="8"/>
        <v>39.5</v>
      </c>
      <c r="F13" s="41" t="s">
        <v>28</v>
      </c>
      <c r="G13" s="46">
        <f t="shared" si="9"/>
        <v>47.5</v>
      </c>
      <c r="H13" s="47">
        <f t="shared" si="0"/>
        <v>43.5</v>
      </c>
      <c r="I13" s="47">
        <v>7</v>
      </c>
      <c r="J13" s="48">
        <f t="shared" si="1"/>
        <v>45</v>
      </c>
      <c r="K13" s="49">
        <f t="shared" si="2"/>
        <v>0.12727272727272726</v>
      </c>
      <c r="L13" s="50">
        <f t="shared" si="10"/>
        <v>0.81818181818181812</v>
      </c>
      <c r="M13" s="51"/>
      <c r="N13" s="50">
        <f t="shared" si="3"/>
        <v>304.5</v>
      </c>
      <c r="O13" s="50">
        <f t="shared" si="4"/>
        <v>13245.75</v>
      </c>
      <c r="P13" s="50">
        <f t="shared" si="5"/>
        <v>2096.7827137490581</v>
      </c>
      <c r="Q13" s="50">
        <f t="shared" si="6"/>
        <v>14029.382521084599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48</v>
      </c>
      <c r="C14" s="43" t="s">
        <v>28</v>
      </c>
      <c r="D14" s="44">
        <f t="shared" si="8"/>
        <v>55</v>
      </c>
      <c r="E14" s="53">
        <f t="shared" si="8"/>
        <v>47.5</v>
      </c>
      <c r="F14" s="41" t="s">
        <v>28</v>
      </c>
      <c r="G14" s="46">
        <f t="shared" si="9"/>
        <v>55.5</v>
      </c>
      <c r="H14" s="47">
        <f t="shared" si="0"/>
        <v>51.5</v>
      </c>
      <c r="I14" s="47">
        <v>4</v>
      </c>
      <c r="J14" s="48">
        <f t="shared" si="1"/>
        <v>49</v>
      </c>
      <c r="K14" s="49">
        <f t="shared" si="2"/>
        <v>7.2727272727272724E-2</v>
      </c>
      <c r="L14" s="50">
        <f t="shared" si="10"/>
        <v>0.89090909090909087</v>
      </c>
      <c r="M14" s="51"/>
      <c r="N14" s="50">
        <f t="shared" si="3"/>
        <v>206</v>
      </c>
      <c r="O14" s="50">
        <f t="shared" si="4"/>
        <v>10609</v>
      </c>
      <c r="P14" s="50">
        <f t="shared" si="5"/>
        <v>12682.533120961674</v>
      </c>
      <c r="Q14" s="50">
        <f t="shared" si="6"/>
        <v>186317.94112249147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56</v>
      </c>
      <c r="C15" s="43" t="s">
        <v>28</v>
      </c>
      <c r="D15" s="44">
        <f t="shared" si="8"/>
        <v>63</v>
      </c>
      <c r="E15" s="53">
        <f t="shared" si="8"/>
        <v>55.5</v>
      </c>
      <c r="F15" s="41" t="s">
        <v>28</v>
      </c>
      <c r="G15" s="46">
        <f t="shared" si="9"/>
        <v>63.5</v>
      </c>
      <c r="H15" s="47">
        <f t="shared" si="0"/>
        <v>59.5</v>
      </c>
      <c r="I15" s="47">
        <v>4</v>
      </c>
      <c r="J15" s="48">
        <f t="shared" si="1"/>
        <v>53</v>
      </c>
      <c r="K15" s="49">
        <f t="shared" si="2"/>
        <v>7.2727272727272724E-2</v>
      </c>
      <c r="L15" s="50">
        <f t="shared" si="10"/>
        <v>0.96363636363636362</v>
      </c>
      <c r="M15" s="51"/>
      <c r="N15" s="50">
        <f t="shared" si="3"/>
        <v>238</v>
      </c>
      <c r="O15" s="50">
        <f t="shared" si="4"/>
        <v>14161</v>
      </c>
      <c r="P15" s="50">
        <f t="shared" si="5"/>
        <v>46732.141054845961</v>
      </c>
      <c r="Q15" s="50">
        <f t="shared" si="6"/>
        <v>1060394.76429905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64</v>
      </c>
      <c r="C16" s="43" t="s">
        <v>28</v>
      </c>
      <c r="D16" s="44">
        <f t="shared" si="8"/>
        <v>71</v>
      </c>
      <c r="E16" s="53">
        <f t="shared" si="8"/>
        <v>63.5</v>
      </c>
      <c r="F16" s="41" t="s">
        <v>28</v>
      </c>
      <c r="G16" s="46">
        <f t="shared" si="9"/>
        <v>71.5</v>
      </c>
      <c r="H16" s="47">
        <f t="shared" si="0"/>
        <v>67.5</v>
      </c>
      <c r="I16" s="47">
        <v>1</v>
      </c>
      <c r="J16" s="48">
        <f t="shared" si="1"/>
        <v>54</v>
      </c>
      <c r="K16" s="49">
        <f t="shared" si="2"/>
        <v>1.8181818181818181E-2</v>
      </c>
      <c r="L16" s="50">
        <f t="shared" si="10"/>
        <v>0.98181818181818181</v>
      </c>
      <c r="M16" s="51"/>
      <c r="N16" s="50">
        <f t="shared" si="3"/>
        <v>67.5</v>
      </c>
      <c r="O16" s="50">
        <f t="shared" si="4"/>
        <v>4556.25</v>
      </c>
      <c r="P16" s="50">
        <f t="shared" si="5"/>
        <v>28908.746338091649</v>
      </c>
      <c r="Q16" s="50">
        <f t="shared" si="6"/>
        <v>887235.70579452184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thickBot="1" x14ac:dyDescent="0.25">
      <c r="A17" s="41">
        <v>8</v>
      </c>
      <c r="B17" s="54">
        <f t="shared" si="7"/>
        <v>72</v>
      </c>
      <c r="C17" s="55" t="s">
        <v>28</v>
      </c>
      <c r="D17" s="56">
        <f t="shared" si="8"/>
        <v>79</v>
      </c>
      <c r="E17" s="57">
        <f t="shared" si="8"/>
        <v>71.5</v>
      </c>
      <c r="F17" s="58" t="s">
        <v>28</v>
      </c>
      <c r="G17" s="59">
        <f t="shared" si="9"/>
        <v>79.5</v>
      </c>
      <c r="H17" s="60">
        <f t="shared" si="0"/>
        <v>75.5</v>
      </c>
      <c r="I17" s="60">
        <v>1</v>
      </c>
      <c r="J17" s="54">
        <f t="shared" si="1"/>
        <v>55</v>
      </c>
      <c r="K17" s="49">
        <f t="shared" si="2"/>
        <v>1.8181818181818181E-2</v>
      </c>
      <c r="L17" s="61">
        <f t="shared" si="10"/>
        <v>1</v>
      </c>
      <c r="M17" s="62"/>
      <c r="N17" s="61">
        <f t="shared" si="3"/>
        <v>75.5</v>
      </c>
      <c r="O17" s="61">
        <f t="shared" si="4"/>
        <v>5700.25</v>
      </c>
      <c r="P17" s="61">
        <f t="shared" si="5"/>
        <v>57919.766503380903</v>
      </c>
      <c r="Q17" s="61">
        <f t="shared" si="6"/>
        <v>2240968.4203489916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8.75" customHeight="1" thickTop="1" x14ac:dyDescent="0.2">
      <c r="A18" s="52"/>
      <c r="B18" s="52"/>
      <c r="C18" s="52"/>
      <c r="D18" s="52"/>
      <c r="E18" s="52"/>
      <c r="F18" s="52"/>
      <c r="G18" s="52"/>
      <c r="H18" s="63" t="s">
        <v>29</v>
      </c>
      <c r="I18" s="64">
        <f>SUM(I10:I17)</f>
        <v>55</v>
      </c>
      <c r="J18" s="41"/>
      <c r="K18" s="65">
        <f>SUM(K9:K17)</f>
        <v>1</v>
      </c>
      <c r="L18" s="41"/>
      <c r="M18" s="41"/>
      <c r="N18" s="66">
        <f>SUM(N10:N17)</f>
        <v>2024.5</v>
      </c>
      <c r="O18" s="67">
        <f>SUM(O10:O17)</f>
        <v>83193.75</v>
      </c>
      <c r="P18" s="67">
        <f>SUM(P10:P17)</f>
        <v>108660.44826446273</v>
      </c>
      <c r="Q18" s="67">
        <f>SUM(Q10:Q17)</f>
        <v>4965474.6794410199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6" customHeight="1" x14ac:dyDescent="0.2">
      <c r="K19" s="68"/>
    </row>
    <row r="20" spans="1:30" ht="18.75" customHeight="1" x14ac:dyDescent="0.2">
      <c r="B20" s="69" t="s">
        <v>91</v>
      </c>
      <c r="C20" s="70"/>
      <c r="D20" s="70"/>
      <c r="E20" s="70"/>
      <c r="F20" s="70"/>
      <c r="G20" s="70"/>
      <c r="H20" s="70"/>
      <c r="I20" s="70"/>
      <c r="J20" s="70"/>
      <c r="K20" s="71"/>
      <c r="L20" s="70"/>
      <c r="M20" s="70"/>
      <c r="N20" s="70"/>
      <c r="O20" s="70"/>
      <c r="P20" s="70"/>
      <c r="Q20" s="72"/>
    </row>
    <row r="21" spans="1:30" ht="25.5" customHeight="1" x14ac:dyDescent="0.2">
      <c r="B21" s="73"/>
      <c r="C21" s="74"/>
      <c r="D21" s="74"/>
      <c r="E21" s="74"/>
      <c r="F21" s="74"/>
      <c r="G21" s="74"/>
      <c r="H21" s="74"/>
      <c r="I21" s="75"/>
      <c r="J21" s="74"/>
      <c r="K21" s="76"/>
      <c r="L21" s="77"/>
      <c r="M21" s="74"/>
      <c r="N21" s="74"/>
      <c r="O21" s="74"/>
      <c r="P21" s="74"/>
      <c r="Q21" s="75"/>
      <c r="X21" s="78" t="s">
        <v>30</v>
      </c>
      <c r="Y21" s="79" t="s">
        <v>31</v>
      </c>
      <c r="Z21" s="79" t="s">
        <v>32</v>
      </c>
      <c r="AA21" s="78" t="s">
        <v>33</v>
      </c>
      <c r="AB21" s="79" t="s">
        <v>34</v>
      </c>
      <c r="AC21" s="79" t="s">
        <v>35</v>
      </c>
    </row>
    <row r="22" spans="1:30" ht="15.75" x14ac:dyDescent="0.25">
      <c r="B22" s="80" t="s">
        <v>36</v>
      </c>
      <c r="F22" s="81" t="s">
        <v>37</v>
      </c>
      <c r="G22" s="82" t="s">
        <v>38</v>
      </c>
      <c r="H22" s="83">
        <f>G13-E13</f>
        <v>8</v>
      </c>
      <c r="I22" s="84"/>
      <c r="K22" s="6" t="s">
        <v>39</v>
      </c>
      <c r="Q22" s="84"/>
      <c r="T22" s="6" t="s">
        <v>40</v>
      </c>
      <c r="W22" s="1" t="s">
        <v>41</v>
      </c>
      <c r="X22" s="16">
        <f>1/4</f>
        <v>0.25</v>
      </c>
      <c r="Y22" s="85">
        <f>COUNTIF(L10:L17,"&lt;=0.25")+1</f>
        <v>2</v>
      </c>
      <c r="Z22" s="16">
        <f t="shared" ref="Z22:Z30" ca="1" si="11">INDIRECT(ADDRESS(9+$Y22,5))</f>
        <v>23.5</v>
      </c>
      <c r="AA22" s="16">
        <f t="shared" ref="AA22:AA30" ca="1" si="12">INDIRECT(ADDRESS(9+$Y22,9))</f>
        <v>17</v>
      </c>
      <c r="AB22" s="16">
        <f t="shared" ref="AB22:AB30" ca="1" si="13">INDIRECT(ADDRESS(9+$Y22-1,10))</f>
        <v>5</v>
      </c>
      <c r="AC22" s="86">
        <f t="shared" ref="AC22:AC30" ca="1" si="14">Z22+(  ($H$26*X22)-AB22  )*$H$22/AA22</f>
        <v>27.617647058823529</v>
      </c>
      <c r="AD22" s="1">
        <f>MATCH(X22,$L$10:$L$17,1)+1</f>
        <v>2</v>
      </c>
    </row>
    <row r="23" spans="1:30" ht="18" x14ac:dyDescent="0.3">
      <c r="B23" s="87"/>
      <c r="C23" s="52"/>
      <c r="D23" s="43"/>
      <c r="E23" s="43"/>
      <c r="F23" s="88"/>
      <c r="G23" s="43"/>
      <c r="H23" s="89"/>
      <c r="I23" s="84"/>
      <c r="K23" s="6" t="s">
        <v>42</v>
      </c>
      <c r="O23" s="90" t="s">
        <v>43</v>
      </c>
      <c r="P23" s="91">
        <f>(P18/I18)/(H38^3)</f>
        <v>0.9975687311830671</v>
      </c>
      <c r="Q23" s="84"/>
      <c r="T23" s="6" t="s">
        <v>44</v>
      </c>
      <c r="W23" s="1" t="s">
        <v>45</v>
      </c>
      <c r="X23" s="16">
        <f>1/2</f>
        <v>0.5</v>
      </c>
      <c r="Y23" s="85">
        <f>COUNTIF(L10:L17,"&lt;=0.5")+1</f>
        <v>3</v>
      </c>
      <c r="Z23" s="16">
        <f t="shared" ca="1" si="11"/>
        <v>31.5</v>
      </c>
      <c r="AA23" s="16">
        <f t="shared" ca="1" si="12"/>
        <v>16</v>
      </c>
      <c r="AB23" s="16">
        <f t="shared" ca="1" si="13"/>
        <v>22</v>
      </c>
      <c r="AC23" s="86">
        <f t="shared" ca="1" si="14"/>
        <v>34.25</v>
      </c>
      <c r="AD23" s="1">
        <f t="shared" ref="AD23:AD30" si="15">MATCH(X23,$L$10:$L$17,1)+1</f>
        <v>3</v>
      </c>
    </row>
    <row r="24" spans="1:30" ht="15.75" x14ac:dyDescent="0.25">
      <c r="B24" s="92" t="s">
        <v>46</v>
      </c>
      <c r="F24" s="81" t="s">
        <v>47</v>
      </c>
      <c r="G24" s="82" t="s">
        <v>38</v>
      </c>
      <c r="H24" s="93">
        <f>COUNT(I10:I17)</f>
        <v>8</v>
      </c>
      <c r="I24" s="84"/>
      <c r="Q24" s="84"/>
      <c r="T24" s="6" t="s">
        <v>48</v>
      </c>
      <c r="W24" s="94" t="s">
        <v>49</v>
      </c>
      <c r="X24" s="95">
        <f>3/4</f>
        <v>0.75</v>
      </c>
      <c r="Y24" s="96">
        <f>COUNTIF(L10:L17,"&lt;=0.75")+1</f>
        <v>4</v>
      </c>
      <c r="Z24" s="95">
        <f t="shared" ca="1" si="11"/>
        <v>39.5</v>
      </c>
      <c r="AA24" s="95">
        <f t="shared" ca="1" si="12"/>
        <v>7</v>
      </c>
      <c r="AB24" s="95">
        <f t="shared" ca="1" si="13"/>
        <v>38</v>
      </c>
      <c r="AC24" s="97">
        <f t="shared" ca="1" si="14"/>
        <v>43.214285714285715</v>
      </c>
      <c r="AD24" s="1">
        <f t="shared" si="15"/>
        <v>4</v>
      </c>
    </row>
    <row r="25" spans="1:30" ht="15.75" x14ac:dyDescent="0.25">
      <c r="B25" s="92"/>
      <c r="F25" s="81"/>
      <c r="H25" s="89"/>
      <c r="I25" s="84"/>
      <c r="K25" s="6" t="s">
        <v>50</v>
      </c>
      <c r="Q25" s="84"/>
      <c r="W25" s="1" t="s">
        <v>51</v>
      </c>
      <c r="X25" s="16">
        <f>1/10</f>
        <v>0.1</v>
      </c>
      <c r="Y25" s="85">
        <f>COUNTIF(L10:L17,"&lt;=0.1")+1</f>
        <v>2</v>
      </c>
      <c r="Z25" s="16">
        <f t="shared" ca="1" si="11"/>
        <v>23.5</v>
      </c>
      <c r="AA25" s="16">
        <f t="shared" ca="1" si="12"/>
        <v>17</v>
      </c>
      <c r="AB25" s="16">
        <f t="shared" ca="1" si="13"/>
        <v>5</v>
      </c>
      <c r="AC25" s="86">
        <f t="shared" ca="1" si="14"/>
        <v>23.735294117647058</v>
      </c>
      <c r="AD25" s="1">
        <f t="shared" si="15"/>
        <v>2</v>
      </c>
    </row>
    <row r="26" spans="1:30" ht="18" x14ac:dyDescent="0.3">
      <c r="B26" s="98" t="s">
        <v>52</v>
      </c>
      <c r="F26" s="81" t="s">
        <v>53</v>
      </c>
      <c r="G26" s="82" t="s">
        <v>38</v>
      </c>
      <c r="H26" s="99">
        <f>I18</f>
        <v>55</v>
      </c>
      <c r="I26" s="84"/>
      <c r="K26" s="6" t="s">
        <v>54</v>
      </c>
      <c r="O26" s="90" t="s">
        <v>55</v>
      </c>
      <c r="P26" s="91">
        <f>(Q18/I18)/(H36^2)</f>
        <v>3.6300291731150174</v>
      </c>
      <c r="Q26" s="84"/>
      <c r="W26" s="1" t="s">
        <v>56</v>
      </c>
      <c r="X26" s="16">
        <f>2/10</f>
        <v>0.2</v>
      </c>
      <c r="Y26" s="85">
        <f>COUNTIF(L10:L17,"&lt;=0.20")+1</f>
        <v>2</v>
      </c>
      <c r="Z26" s="16">
        <f t="shared" ca="1" si="11"/>
        <v>23.5</v>
      </c>
      <c r="AA26" s="16">
        <f t="shared" ca="1" si="12"/>
        <v>17</v>
      </c>
      <c r="AB26" s="16">
        <f t="shared" ca="1" si="13"/>
        <v>5</v>
      </c>
      <c r="AC26" s="86">
        <f t="shared" ca="1" si="14"/>
        <v>26.323529411764707</v>
      </c>
      <c r="AD26" s="1">
        <f t="shared" si="15"/>
        <v>2</v>
      </c>
    </row>
    <row r="27" spans="1:30" ht="15.75" x14ac:dyDescent="0.25">
      <c r="B27" s="87"/>
      <c r="F27" s="81"/>
      <c r="H27" s="100"/>
      <c r="I27" s="84"/>
      <c r="Q27" s="84"/>
      <c r="W27" s="1" t="s">
        <v>57</v>
      </c>
      <c r="X27" s="16">
        <f>3/10</f>
        <v>0.3</v>
      </c>
      <c r="Y27" s="85">
        <f>COUNTIF(L10:L17,"&lt;=0.30")+1</f>
        <v>2</v>
      </c>
      <c r="Z27" s="16">
        <f t="shared" ca="1" si="11"/>
        <v>23.5</v>
      </c>
      <c r="AA27" s="16">
        <f t="shared" ca="1" si="12"/>
        <v>17</v>
      </c>
      <c r="AB27" s="16">
        <f t="shared" ca="1" si="13"/>
        <v>5</v>
      </c>
      <c r="AC27" s="86">
        <f t="shared" ca="1" si="14"/>
        <v>28.911764705882355</v>
      </c>
      <c r="AD27" s="1">
        <f t="shared" si="15"/>
        <v>2</v>
      </c>
    </row>
    <row r="28" spans="1:30" ht="15.75" x14ac:dyDescent="0.25">
      <c r="B28" s="101" t="s">
        <v>58</v>
      </c>
      <c r="F28" s="81" t="s">
        <v>59</v>
      </c>
      <c r="G28" s="82" t="s">
        <v>38</v>
      </c>
      <c r="H28" s="102">
        <f>N18/I18</f>
        <v>36.809090909090912</v>
      </c>
      <c r="I28" s="84"/>
      <c r="L28" s="6"/>
      <c r="P28" s="16"/>
      <c r="Q28" s="84"/>
      <c r="W28" s="1" t="s">
        <v>60</v>
      </c>
      <c r="X28" s="16">
        <f>7/10</f>
        <v>0.7</v>
      </c>
      <c r="Y28" s="85">
        <f>COUNTIF(L10:L17,"&lt;=0.70")+1</f>
        <v>4</v>
      </c>
      <c r="Z28" s="16">
        <f t="shared" ca="1" si="11"/>
        <v>39.5</v>
      </c>
      <c r="AA28" s="16">
        <f t="shared" ca="1" si="12"/>
        <v>7</v>
      </c>
      <c r="AB28" s="16">
        <f t="shared" ca="1" si="13"/>
        <v>38</v>
      </c>
      <c r="AC28" s="86">
        <f t="shared" ca="1" si="14"/>
        <v>40.071428571428569</v>
      </c>
      <c r="AD28" s="1">
        <f t="shared" si="15"/>
        <v>4</v>
      </c>
    </row>
    <row r="29" spans="1:30" ht="15.75" x14ac:dyDescent="0.25">
      <c r="B29" s="101"/>
      <c r="F29" s="81"/>
      <c r="H29" s="100"/>
      <c r="I29" s="84"/>
      <c r="K29" s="6" t="s">
        <v>61</v>
      </c>
      <c r="Q29" s="103"/>
      <c r="W29" s="1" t="s">
        <v>62</v>
      </c>
      <c r="X29" s="16">
        <f>8/10</f>
        <v>0.8</v>
      </c>
      <c r="Y29" s="85">
        <f>COUNTIF(L10:L17,"&lt;=0.80")+1</f>
        <v>4</v>
      </c>
      <c r="Z29" s="16">
        <f t="shared" ca="1" si="11"/>
        <v>39.5</v>
      </c>
      <c r="AA29" s="16">
        <f t="shared" ca="1" si="12"/>
        <v>7</v>
      </c>
      <c r="AB29" s="16">
        <f t="shared" ca="1" si="13"/>
        <v>38</v>
      </c>
      <c r="AC29" s="86">
        <f t="shared" ca="1" si="14"/>
        <v>46.357142857142854</v>
      </c>
      <c r="AD29" s="1">
        <f t="shared" si="15"/>
        <v>4</v>
      </c>
    </row>
    <row r="30" spans="1:30" ht="19.5" x14ac:dyDescent="0.35">
      <c r="B30" s="87" t="s">
        <v>63</v>
      </c>
      <c r="F30" s="81" t="s">
        <v>59</v>
      </c>
      <c r="G30" s="82" t="s">
        <v>38</v>
      </c>
      <c r="H30" s="91">
        <f ca="1">AC23</f>
        <v>34.25</v>
      </c>
      <c r="I30" s="84"/>
      <c r="L30" s="104" t="s">
        <v>64</v>
      </c>
      <c r="N30" s="91">
        <f ca="1">AC22</f>
        <v>27.617647058823529</v>
      </c>
      <c r="Q30" s="103"/>
      <c r="W30" s="1" t="s">
        <v>65</v>
      </c>
      <c r="X30" s="16">
        <f>9/10</f>
        <v>0.9</v>
      </c>
      <c r="Y30" s="85">
        <f>COUNTIF(L10:L17,"&lt;=0.90")+1</f>
        <v>6</v>
      </c>
      <c r="Z30" s="16">
        <f t="shared" ca="1" si="11"/>
        <v>55.5</v>
      </c>
      <c r="AA30" s="16">
        <f t="shared" ca="1" si="12"/>
        <v>4</v>
      </c>
      <c r="AB30" s="16">
        <f t="shared" ca="1" si="13"/>
        <v>49</v>
      </c>
      <c r="AC30" s="86">
        <f t="shared" ca="1" si="14"/>
        <v>56.5</v>
      </c>
      <c r="AD30" s="1">
        <f t="shared" si="15"/>
        <v>6</v>
      </c>
    </row>
    <row r="31" spans="1:30" ht="19.5" x14ac:dyDescent="0.35">
      <c r="B31" s="87"/>
      <c r="F31" s="81"/>
      <c r="H31" s="100"/>
      <c r="I31" s="84"/>
      <c r="L31" s="104" t="s">
        <v>66</v>
      </c>
      <c r="N31" s="91">
        <f t="shared" ref="N31:N38" ca="1" si="16">AC23</f>
        <v>34.25</v>
      </c>
      <c r="Q31" s="84"/>
      <c r="Z31" s="16"/>
    </row>
    <row r="32" spans="1:30" ht="19.5" x14ac:dyDescent="0.35">
      <c r="B32" s="87" t="s">
        <v>67</v>
      </c>
      <c r="F32" s="81" t="s">
        <v>68</v>
      </c>
      <c r="G32" s="82" t="s">
        <v>38</v>
      </c>
      <c r="H32" s="91">
        <f ca="1">Y37+ (  $H$22*(Y34-Y35) / ((Y34-Y35)+(Y34-Y36))  )</f>
        <v>30.884615384615387</v>
      </c>
      <c r="I32" s="84"/>
      <c r="L32" s="104" t="s">
        <v>69</v>
      </c>
      <c r="N32" s="91">
        <f t="shared" ca="1" si="16"/>
        <v>43.214285714285715</v>
      </c>
      <c r="Q32" s="84"/>
      <c r="Z32" s="16"/>
    </row>
    <row r="33" spans="2:26" ht="19.5" x14ac:dyDescent="0.35">
      <c r="B33" s="87"/>
      <c r="E33"/>
      <c r="F33" s="105" t="s">
        <v>70</v>
      </c>
      <c r="G33" s="82" t="s">
        <v>38</v>
      </c>
      <c r="H33" s="102">
        <f ca="1">Y38</f>
        <v>27.5</v>
      </c>
      <c r="I33" s="84"/>
      <c r="L33" s="104" t="s">
        <v>71</v>
      </c>
      <c r="N33" s="91">
        <f t="shared" ca="1" si="16"/>
        <v>23.735294117647058</v>
      </c>
      <c r="Q33" s="84"/>
      <c r="T33" s="1" t="s">
        <v>72</v>
      </c>
      <c r="Y33" s="16">
        <f>MATCH(MAX(I10:I17),I10:I17,0)</f>
        <v>2</v>
      </c>
      <c r="Z33" s="16"/>
    </row>
    <row r="34" spans="2:26" ht="19.5" x14ac:dyDescent="0.35">
      <c r="B34" s="92" t="s">
        <v>73</v>
      </c>
      <c r="D34" s="6"/>
      <c r="F34" s="81" t="s">
        <v>74</v>
      </c>
      <c r="G34" s="82" t="s">
        <v>38</v>
      </c>
      <c r="H34" s="83">
        <f>G17-E10</f>
        <v>64</v>
      </c>
      <c r="I34" s="84"/>
      <c r="L34" s="104" t="s">
        <v>75</v>
      </c>
      <c r="N34" s="91">
        <f t="shared" ca="1" si="16"/>
        <v>26.323529411764707</v>
      </c>
      <c r="Q34" s="84"/>
      <c r="T34" s="1" t="s">
        <v>76</v>
      </c>
      <c r="Y34" s="16">
        <f ca="1">INDIRECT(ADDRESS(9+$Y$33,9))</f>
        <v>17</v>
      </c>
      <c r="Z34" s="16"/>
    </row>
    <row r="35" spans="2:26" ht="19.5" x14ac:dyDescent="0.35">
      <c r="B35" s="87"/>
      <c r="F35" s="81"/>
      <c r="H35" s="100"/>
      <c r="I35" s="84"/>
      <c r="L35" s="104" t="s">
        <v>77</v>
      </c>
      <c r="N35" s="91">
        <f t="shared" ca="1" si="16"/>
        <v>28.911764705882355</v>
      </c>
      <c r="Q35" s="84"/>
      <c r="T35" s="6" t="s">
        <v>78</v>
      </c>
      <c r="Y35" s="16">
        <f ca="1">INDIRECT(ADDRESS(9+$Y$33-1,9))</f>
        <v>5</v>
      </c>
    </row>
    <row r="36" spans="2:26" ht="20.25" x14ac:dyDescent="0.35">
      <c r="B36" s="87" t="s">
        <v>79</v>
      </c>
      <c r="F36" s="106" t="s">
        <v>80</v>
      </c>
      <c r="G36" s="82" t="s">
        <v>38</v>
      </c>
      <c r="H36" s="91">
        <f>(O18-I18*(H28^2))/I18</f>
        <v>157.70446280991706</v>
      </c>
      <c r="I36" s="84"/>
      <c r="L36" s="104" t="s">
        <v>81</v>
      </c>
      <c r="N36" s="91">
        <f t="shared" ca="1" si="16"/>
        <v>40.071428571428569</v>
      </c>
      <c r="Q36" s="84"/>
      <c r="T36" s="6" t="s">
        <v>82</v>
      </c>
      <c r="Y36" s="16">
        <f ca="1">INDIRECT(ADDRESS(9+$Y$33+1,9))</f>
        <v>16</v>
      </c>
    </row>
    <row r="37" spans="2:26" ht="19.5" x14ac:dyDescent="0.35">
      <c r="B37" s="87"/>
      <c r="F37" s="81"/>
      <c r="H37" s="100"/>
      <c r="I37" s="84"/>
      <c r="L37" s="104" t="s">
        <v>83</v>
      </c>
      <c r="N37" s="91">
        <f t="shared" ca="1" si="16"/>
        <v>46.357142857142854</v>
      </c>
      <c r="Q37" s="84"/>
      <c r="T37" s="1" t="s">
        <v>84</v>
      </c>
      <c r="Y37" s="16">
        <f ca="1">INDIRECT(ADDRESS(9+$Y$33,5))</f>
        <v>23.5</v>
      </c>
    </row>
    <row r="38" spans="2:26" ht="19.5" x14ac:dyDescent="0.35">
      <c r="B38" s="87" t="s">
        <v>85</v>
      </c>
      <c r="F38" s="81" t="s">
        <v>86</v>
      </c>
      <c r="G38" s="82" t="s">
        <v>38</v>
      </c>
      <c r="H38" s="91">
        <f>SQRT(H36)</f>
        <v>12.558043749323263</v>
      </c>
      <c r="I38" s="84"/>
      <c r="L38" s="104" t="s">
        <v>87</v>
      </c>
      <c r="N38" s="91">
        <f t="shared" ca="1" si="16"/>
        <v>56.5</v>
      </c>
      <c r="Q38" s="84"/>
      <c r="T38" s="1" t="s">
        <v>88</v>
      </c>
      <c r="Y38" s="16">
        <f ca="1">INDIRECT(ADDRESS(9+$Y$33,8))</f>
        <v>27.5</v>
      </c>
    </row>
    <row r="39" spans="2:26" x14ac:dyDescent="0.2">
      <c r="B39" s="87"/>
      <c r="I39" s="84"/>
      <c r="Q39" s="84"/>
    </row>
    <row r="40" spans="2:26" ht="15.75" x14ac:dyDescent="0.25">
      <c r="B40" s="87" t="s">
        <v>89</v>
      </c>
      <c r="F40" s="81" t="s">
        <v>90</v>
      </c>
      <c r="G40" s="82" t="s">
        <v>38</v>
      </c>
      <c r="H40" s="91">
        <f>H38/H28</f>
        <v>0.34116690847753983</v>
      </c>
      <c r="I40" s="84"/>
      <c r="Q40" s="84"/>
    </row>
    <row r="41" spans="2:26" ht="15.75" x14ac:dyDescent="0.25">
      <c r="B41" s="107"/>
      <c r="C41" s="94"/>
      <c r="D41" s="94"/>
      <c r="E41" s="94"/>
      <c r="F41" s="108"/>
      <c r="G41" s="94"/>
      <c r="H41" s="109"/>
      <c r="I41" s="40"/>
      <c r="J41" s="94"/>
      <c r="K41" s="94"/>
      <c r="L41" s="94"/>
      <c r="M41" s="94"/>
      <c r="N41" s="94"/>
      <c r="O41" s="94"/>
      <c r="P41" s="94"/>
      <c r="Q41" s="40"/>
    </row>
    <row r="43" spans="2:26" ht="12.75" customHeight="1" x14ac:dyDescent="0.2">
      <c r="B43" s="110"/>
      <c r="C43" s="110"/>
      <c r="D43" s="68"/>
      <c r="E43" s="110"/>
      <c r="F43" s="110"/>
      <c r="G43" s="110"/>
      <c r="H43" s="110"/>
    </row>
    <row r="44" spans="2:26" ht="15.75" customHeight="1" x14ac:dyDescent="0.25">
      <c r="D44" s="111"/>
    </row>
    <row r="45" spans="2:26" ht="15.75" customHeight="1" x14ac:dyDescent="0.2">
      <c r="D45" s="112"/>
    </row>
    <row r="48" spans="2:26" ht="12.75" customHeight="1" x14ac:dyDescent="0.2">
      <c r="B48" s="89"/>
    </row>
    <row r="49" spans="2:2" ht="12.75" customHeight="1" x14ac:dyDescent="0.2">
      <c r="B49" s="89"/>
    </row>
    <row r="50" spans="2:2" ht="12.75" customHeight="1" x14ac:dyDescent="0.2">
      <c r="B50" s="89"/>
    </row>
    <row r="57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A0CF-1A76-41F6-A69A-EDAF971B602E}">
  <sheetPr>
    <pageSetUpPr fitToPage="1"/>
  </sheetPr>
  <dimension ref="A1:AD58"/>
  <sheetViews>
    <sheetView showGridLines="0" zoomScale="75" workbookViewId="0">
      <selection activeCell="D5" sqref="D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9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7</v>
      </c>
      <c r="C9" s="32" t="s">
        <v>28</v>
      </c>
      <c r="D9" s="33">
        <f>D10-D4</f>
        <v>15</v>
      </c>
      <c r="E9" s="34">
        <f>E10-D4</f>
        <v>6.5</v>
      </c>
      <c r="F9" s="32" t="s">
        <v>28</v>
      </c>
      <c r="G9" s="35">
        <f>E10</f>
        <v>15.5</v>
      </c>
      <c r="H9" s="36">
        <f>H10-D4</f>
        <v>11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24</v>
      </c>
      <c r="E10" s="45">
        <f>G10-$D$4</f>
        <v>15.5</v>
      </c>
      <c r="F10" s="41" t="s">
        <v>28</v>
      </c>
      <c r="G10" s="46">
        <f>(B11+D10)/2</f>
        <v>24.5</v>
      </c>
      <c r="H10" s="47">
        <f t="shared" ref="H10:H16" si="0">(E10+G10)/2</f>
        <v>20</v>
      </c>
      <c r="I10" s="47">
        <v>5</v>
      </c>
      <c r="J10" s="48">
        <f t="shared" ref="J10:J16" si="1">J9+I10</f>
        <v>5</v>
      </c>
      <c r="K10" s="49">
        <f t="shared" ref="K10:K16" si="2">I10/$I$19</f>
        <v>8.4745762711864403E-2</v>
      </c>
      <c r="L10" s="50">
        <f>K10</f>
        <v>8.4745762711864403E-2</v>
      </c>
      <c r="M10" s="51"/>
      <c r="N10" s="50">
        <f t="shared" ref="N10:N16" si="3">H10*I10</f>
        <v>100</v>
      </c>
      <c r="O10" s="50">
        <f t="shared" ref="O10:O16" si="4">(H10^2)*I10</f>
        <v>2000</v>
      </c>
      <c r="P10" s="50">
        <f t="shared" ref="P10:P16" si="5">I10*(H10-$H$29)^3</f>
        <v>-59898.407334732372</v>
      </c>
      <c r="Q10" s="50">
        <f t="shared" ref="Q10:Q16" si="6">I10*(H10-$H$29)^4</f>
        <v>1370556.7779981135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8" si="7">B10+$D$4</f>
        <v>25</v>
      </c>
      <c r="C11" s="43" t="s">
        <v>28</v>
      </c>
      <c r="D11" s="44">
        <f t="shared" ref="D11:E16" si="8">D10+$D$4</f>
        <v>33</v>
      </c>
      <c r="E11" s="53">
        <f t="shared" si="8"/>
        <v>24.5</v>
      </c>
      <c r="F11" s="41" t="s">
        <v>28</v>
      </c>
      <c r="G11" s="46">
        <f t="shared" ref="G11:G18" si="9">G10+$D$4</f>
        <v>33.5</v>
      </c>
      <c r="H11" s="47">
        <f t="shared" si="0"/>
        <v>29</v>
      </c>
      <c r="I11" s="47">
        <v>17</v>
      </c>
      <c r="J11" s="48">
        <f t="shared" si="1"/>
        <v>22</v>
      </c>
      <c r="K11" s="49">
        <f t="shared" si="2"/>
        <v>0.28813559322033899</v>
      </c>
      <c r="L11" s="50">
        <f t="shared" ref="L11:L16" si="10">L10+K11</f>
        <v>0.3728813559322034</v>
      </c>
      <c r="M11" s="51"/>
      <c r="N11" s="50">
        <f t="shared" si="3"/>
        <v>493</v>
      </c>
      <c r="O11" s="50">
        <f t="shared" si="4"/>
        <v>14297</v>
      </c>
      <c r="P11" s="50">
        <f t="shared" si="5"/>
        <v>-45472.056067076002</v>
      </c>
      <c r="Q11" s="50">
        <f t="shared" si="6"/>
        <v>631213.79523619078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34</v>
      </c>
      <c r="C12" s="43" t="s">
        <v>28</v>
      </c>
      <c r="D12" s="44">
        <f t="shared" si="8"/>
        <v>42</v>
      </c>
      <c r="E12" s="53">
        <f t="shared" si="8"/>
        <v>33.5</v>
      </c>
      <c r="F12" s="41" t="s">
        <v>28</v>
      </c>
      <c r="G12" s="46">
        <f t="shared" si="9"/>
        <v>42.5</v>
      </c>
      <c r="H12" s="47">
        <f t="shared" si="0"/>
        <v>38</v>
      </c>
      <c r="I12" s="47">
        <v>16</v>
      </c>
      <c r="J12" s="48">
        <f t="shared" si="1"/>
        <v>38</v>
      </c>
      <c r="K12" s="49">
        <f t="shared" si="2"/>
        <v>0.2711864406779661</v>
      </c>
      <c r="L12" s="50">
        <f t="shared" si="10"/>
        <v>0.64406779661016955</v>
      </c>
      <c r="M12" s="51"/>
      <c r="N12" s="50">
        <f t="shared" si="3"/>
        <v>608</v>
      </c>
      <c r="O12" s="50">
        <f t="shared" si="4"/>
        <v>23104</v>
      </c>
      <c r="P12" s="50">
        <f t="shared" si="5"/>
        <v>-1860.9787368718335</v>
      </c>
      <c r="Q12" s="50">
        <f t="shared" si="6"/>
        <v>9084.0995969336964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43</v>
      </c>
      <c r="C13" s="43" t="s">
        <v>28</v>
      </c>
      <c r="D13" s="44">
        <f t="shared" si="8"/>
        <v>51</v>
      </c>
      <c r="E13" s="53">
        <f t="shared" si="8"/>
        <v>42.5</v>
      </c>
      <c r="F13" s="41" t="s">
        <v>28</v>
      </c>
      <c r="G13" s="46">
        <f t="shared" si="9"/>
        <v>51.5</v>
      </c>
      <c r="H13" s="47">
        <f t="shared" si="0"/>
        <v>47</v>
      </c>
      <c r="I13" s="47">
        <v>7</v>
      </c>
      <c r="J13" s="48">
        <f t="shared" si="1"/>
        <v>45</v>
      </c>
      <c r="K13" s="49">
        <f t="shared" si="2"/>
        <v>0.11864406779661017</v>
      </c>
      <c r="L13" s="50">
        <f t="shared" si="10"/>
        <v>0.76271186440677974</v>
      </c>
      <c r="M13" s="51"/>
      <c r="N13" s="50">
        <f t="shared" si="3"/>
        <v>329</v>
      </c>
      <c r="O13" s="50">
        <f t="shared" si="4"/>
        <v>15463</v>
      </c>
      <c r="P13" s="50">
        <f t="shared" si="5"/>
        <v>489.05851620662247</v>
      </c>
      <c r="Q13" s="50">
        <f t="shared" si="6"/>
        <v>2014.2579565798171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52</v>
      </c>
      <c r="C14" s="43" t="s">
        <v>28</v>
      </c>
      <c r="D14" s="44">
        <f t="shared" si="8"/>
        <v>60</v>
      </c>
      <c r="E14" s="53">
        <f t="shared" si="8"/>
        <v>51.5</v>
      </c>
      <c r="F14" s="41" t="s">
        <v>28</v>
      </c>
      <c r="G14" s="46">
        <f t="shared" si="9"/>
        <v>60.5</v>
      </c>
      <c r="H14" s="47">
        <f t="shared" si="0"/>
        <v>56</v>
      </c>
      <c r="I14" s="47">
        <v>4</v>
      </c>
      <c r="J14" s="48">
        <f t="shared" si="1"/>
        <v>49</v>
      </c>
      <c r="K14" s="49">
        <f t="shared" si="2"/>
        <v>6.7796610169491525E-2</v>
      </c>
      <c r="L14" s="50">
        <f t="shared" si="10"/>
        <v>0.8305084745762713</v>
      </c>
      <c r="M14" s="51"/>
      <c r="N14" s="50">
        <f t="shared" si="3"/>
        <v>224</v>
      </c>
      <c r="O14" s="50">
        <f t="shared" si="4"/>
        <v>12544</v>
      </c>
      <c r="P14" s="50">
        <f t="shared" si="5"/>
        <v>9030.8127705364204</v>
      </c>
      <c r="Q14" s="50">
        <f t="shared" si="6"/>
        <v>118472.01837957949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61</v>
      </c>
      <c r="C15" s="43" t="s">
        <v>28</v>
      </c>
      <c r="D15" s="44">
        <f t="shared" si="8"/>
        <v>69</v>
      </c>
      <c r="E15" s="53">
        <f t="shared" si="8"/>
        <v>60.5</v>
      </c>
      <c r="F15" s="41" t="s">
        <v>28</v>
      </c>
      <c r="G15" s="46">
        <f t="shared" si="9"/>
        <v>69.5</v>
      </c>
      <c r="H15" s="47">
        <f t="shared" si="0"/>
        <v>65</v>
      </c>
      <c r="I15" s="47">
        <v>4</v>
      </c>
      <c r="J15" s="48">
        <f t="shared" si="1"/>
        <v>53</v>
      </c>
      <c r="K15" s="49">
        <f t="shared" si="2"/>
        <v>6.7796610169491525E-2</v>
      </c>
      <c r="L15" s="50">
        <f t="shared" si="10"/>
        <v>0.89830508474576287</v>
      </c>
      <c r="M15" s="51"/>
      <c r="N15" s="50">
        <f t="shared" si="3"/>
        <v>260</v>
      </c>
      <c r="O15" s="50">
        <f t="shared" si="4"/>
        <v>16900</v>
      </c>
      <c r="P15" s="50">
        <f t="shared" si="5"/>
        <v>43284.807599608517</v>
      </c>
      <c r="Q15" s="50">
        <f t="shared" si="6"/>
        <v>957401.25283879857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70</v>
      </c>
      <c r="C16" s="43" t="s">
        <v>28</v>
      </c>
      <c r="D16" s="44">
        <f t="shared" si="8"/>
        <v>78</v>
      </c>
      <c r="E16" s="53">
        <f t="shared" si="8"/>
        <v>69.5</v>
      </c>
      <c r="F16" s="41" t="s">
        <v>28</v>
      </c>
      <c r="G16" s="46">
        <f t="shared" si="9"/>
        <v>78.5</v>
      </c>
      <c r="H16" s="47">
        <f t="shared" si="0"/>
        <v>74</v>
      </c>
      <c r="I16" s="47">
        <v>1</v>
      </c>
      <c r="J16" s="48">
        <f t="shared" si="1"/>
        <v>54</v>
      </c>
      <c r="K16" s="49">
        <f t="shared" si="2"/>
        <v>1.6949152542372881E-2</v>
      </c>
      <c r="L16" s="50">
        <f t="shared" si="10"/>
        <v>0.91525423728813571</v>
      </c>
      <c r="M16" s="51"/>
      <c r="N16" s="50">
        <f t="shared" si="3"/>
        <v>74</v>
      </c>
      <c r="O16" s="50">
        <f t="shared" si="4"/>
        <v>5476</v>
      </c>
      <c r="P16" s="50">
        <f t="shared" si="5"/>
        <v>30134.361624119309</v>
      </c>
      <c r="Q16" s="50">
        <f t="shared" si="6"/>
        <v>937740.47359123814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x14ac:dyDescent="0.2">
      <c r="A17" s="41">
        <v>8</v>
      </c>
      <c r="B17" s="48">
        <f t="shared" si="7"/>
        <v>79</v>
      </c>
      <c r="C17" s="43" t="s">
        <v>28</v>
      </c>
      <c r="D17" s="44">
        <f t="shared" ref="D17:E17" si="11">D16+$D$4</f>
        <v>87</v>
      </c>
      <c r="E17" s="53">
        <f t="shared" si="11"/>
        <v>78.5</v>
      </c>
      <c r="F17" s="41" t="s">
        <v>28</v>
      </c>
      <c r="G17" s="46">
        <f t="shared" si="9"/>
        <v>87.5</v>
      </c>
      <c r="H17" s="47">
        <f t="shared" ref="H17:H18" si="12">(E17+G17)/2</f>
        <v>83</v>
      </c>
      <c r="I17" s="47">
        <v>2</v>
      </c>
      <c r="J17" s="48">
        <f t="shared" ref="J17:J18" si="13">J16+I17</f>
        <v>56</v>
      </c>
      <c r="K17" s="49">
        <f t="shared" ref="K17:K18" si="14">I17/$I$19</f>
        <v>3.3898305084745763E-2</v>
      </c>
      <c r="L17" s="50">
        <f t="shared" ref="L17:L18" si="15">L16+K17</f>
        <v>0.94915254237288149</v>
      </c>
      <c r="M17" s="51"/>
      <c r="N17" s="50">
        <f t="shared" ref="N17:N18" si="16">H17*I17</f>
        <v>166</v>
      </c>
      <c r="O17" s="50">
        <f t="shared" ref="O17:O18" si="17">(H17^2)*I17</f>
        <v>13778</v>
      </c>
      <c r="P17" s="50">
        <f t="shared" ref="P17:P18" si="18">I17*(H17-$H$29)^3</f>
        <v>129142.36473057128</v>
      </c>
      <c r="Q17" s="50">
        <f t="shared" ref="Q17:Q18" si="19">I17*(H17-$H$29)^4</f>
        <v>5181016.5646993602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9.5" customHeight="1" thickBot="1" x14ac:dyDescent="0.25">
      <c r="A18" s="41">
        <v>9</v>
      </c>
      <c r="B18" s="54">
        <f t="shared" si="7"/>
        <v>88</v>
      </c>
      <c r="C18" s="55" t="s">
        <v>28</v>
      </c>
      <c r="D18" s="56">
        <f t="shared" ref="D18:E18" si="20">D17+$D$4</f>
        <v>96</v>
      </c>
      <c r="E18" s="57">
        <f t="shared" si="20"/>
        <v>87.5</v>
      </c>
      <c r="F18" s="58" t="s">
        <v>28</v>
      </c>
      <c r="G18" s="59">
        <f t="shared" si="9"/>
        <v>96.5</v>
      </c>
      <c r="H18" s="60">
        <f t="shared" si="12"/>
        <v>92</v>
      </c>
      <c r="I18" s="60">
        <v>3</v>
      </c>
      <c r="J18" s="54">
        <f t="shared" si="13"/>
        <v>59</v>
      </c>
      <c r="K18" s="114">
        <f t="shared" si="14"/>
        <v>5.0847457627118647E-2</v>
      </c>
      <c r="L18" s="61">
        <f t="shared" si="15"/>
        <v>1.0000000000000002</v>
      </c>
      <c r="M18" s="62"/>
      <c r="N18" s="61">
        <f t="shared" si="16"/>
        <v>276</v>
      </c>
      <c r="O18" s="61">
        <f t="shared" si="17"/>
        <v>25392</v>
      </c>
      <c r="P18" s="61">
        <f t="shared" si="18"/>
        <v>355516.99237020331</v>
      </c>
      <c r="Q18" s="61">
        <f t="shared" si="19"/>
        <v>17462512.608285576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8.75" customHeight="1" thickTop="1" x14ac:dyDescent="0.2">
      <c r="A19" s="52"/>
      <c r="B19" s="52"/>
      <c r="C19" s="52"/>
      <c r="D19" s="52"/>
      <c r="E19" s="52"/>
      <c r="F19" s="52"/>
      <c r="G19" s="52"/>
      <c r="H19" s="63" t="s">
        <v>29</v>
      </c>
      <c r="I19" s="64">
        <f>SUM(I10:I18)</f>
        <v>59</v>
      </c>
      <c r="J19" s="41"/>
      <c r="K19" s="113">
        <f>SUM(K9:K18)</f>
        <v>1.0000000000000002</v>
      </c>
      <c r="L19" s="41"/>
      <c r="M19" s="41"/>
      <c r="N19" s="66">
        <f>SUM(N10:N18)</f>
        <v>2530</v>
      </c>
      <c r="O19" s="67">
        <f>SUM(O10:O18)</f>
        <v>128954</v>
      </c>
      <c r="P19" s="67">
        <f>SUM(P10:P18)</f>
        <v>460366.95547256526</v>
      </c>
      <c r="Q19" s="67">
        <f>SUM(Q10:Q18)</f>
        <v>26670011.848582372</v>
      </c>
      <c r="R19" s="52"/>
      <c r="S19" s="52"/>
      <c r="T19"/>
      <c r="U19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ht="6" customHeight="1" x14ac:dyDescent="0.2">
      <c r="K20" s="68"/>
    </row>
    <row r="21" spans="1:30" ht="18.75" customHeight="1" x14ac:dyDescent="0.2">
      <c r="B21" s="69" t="s">
        <v>91</v>
      </c>
      <c r="C21" s="70"/>
      <c r="D21" s="70"/>
      <c r="E21" s="70"/>
      <c r="F21" s="70"/>
      <c r="G21" s="70"/>
      <c r="H21" s="70"/>
      <c r="I21" s="70"/>
      <c r="J21" s="70"/>
      <c r="K21" s="71"/>
      <c r="L21" s="70"/>
      <c r="M21" s="70"/>
      <c r="N21" s="70"/>
      <c r="O21" s="70"/>
      <c r="P21" s="70"/>
      <c r="Q21" s="72"/>
    </row>
    <row r="22" spans="1:30" ht="25.5" customHeight="1" x14ac:dyDescent="0.2">
      <c r="B22" s="73"/>
      <c r="C22" s="74"/>
      <c r="D22" s="74"/>
      <c r="E22" s="74"/>
      <c r="F22" s="74"/>
      <c r="G22" s="74"/>
      <c r="H22" s="74"/>
      <c r="I22" s="75"/>
      <c r="J22" s="74"/>
      <c r="K22" s="76"/>
      <c r="L22" s="77"/>
      <c r="M22" s="74"/>
      <c r="N22" s="74"/>
      <c r="O22" s="74"/>
      <c r="P22" s="74"/>
      <c r="Q22" s="75"/>
      <c r="X22" s="78" t="s">
        <v>30</v>
      </c>
      <c r="Y22" s="79" t="s">
        <v>31</v>
      </c>
      <c r="Z22" s="79" t="s">
        <v>32</v>
      </c>
      <c r="AA22" s="78" t="s">
        <v>33</v>
      </c>
      <c r="AB22" s="79" t="s">
        <v>34</v>
      </c>
      <c r="AC22" s="79" t="s">
        <v>35</v>
      </c>
    </row>
    <row r="23" spans="1:30" ht="15.75" x14ac:dyDescent="0.25">
      <c r="B23" s="80" t="s">
        <v>36</v>
      </c>
      <c r="F23" s="81" t="s">
        <v>37</v>
      </c>
      <c r="G23" s="82" t="s">
        <v>38</v>
      </c>
      <c r="H23" s="83">
        <f>G13-E13</f>
        <v>9</v>
      </c>
      <c r="I23" s="84"/>
      <c r="K23" s="6" t="s">
        <v>39</v>
      </c>
      <c r="Q23" s="84"/>
      <c r="T23" s="6" t="s">
        <v>40</v>
      </c>
      <c r="W23" s="1" t="s">
        <v>41</v>
      </c>
      <c r="X23" s="16">
        <f>1/4</f>
        <v>0.25</v>
      </c>
      <c r="Y23" s="85">
        <f>COUNTIF(L10:L18,"&lt;=0.25")+1</f>
        <v>2</v>
      </c>
      <c r="Z23" s="16">
        <f t="shared" ref="Z23:Z31" ca="1" si="21">INDIRECT(ADDRESS(9+$Y23,5))</f>
        <v>24.5</v>
      </c>
      <c r="AA23" s="16">
        <f t="shared" ref="AA23:AA31" ca="1" si="22">INDIRECT(ADDRESS(9+$Y23,9))</f>
        <v>17</v>
      </c>
      <c r="AB23" s="16">
        <f t="shared" ref="AB23:AB31" ca="1" si="23">INDIRECT(ADDRESS(9+$Y23-1,10))</f>
        <v>5</v>
      </c>
      <c r="AC23" s="86">
        <f t="shared" ref="AC23:AC31" ca="1" si="24">Z23+(  ($H$27*X23)-AB23  )*$H$23/AA23</f>
        <v>29.661764705882355</v>
      </c>
      <c r="AD23" s="1">
        <f t="shared" ref="AD23:AD31" si="25">MATCH(X23,$L$10:$L$18,1)+1</f>
        <v>2</v>
      </c>
    </row>
    <row r="24" spans="1:30" ht="18" x14ac:dyDescent="0.3">
      <c r="B24" s="87"/>
      <c r="C24" s="52"/>
      <c r="D24" s="43"/>
      <c r="E24" s="43"/>
      <c r="F24" s="88"/>
      <c r="G24" s="43"/>
      <c r="H24" s="89"/>
      <c r="I24" s="84"/>
      <c r="K24" s="6" t="s">
        <v>42</v>
      </c>
      <c r="O24" s="90" t="s">
        <v>43</v>
      </c>
      <c r="P24" s="91">
        <f>(P19/I19)/(H39^3)</f>
        <v>1.2079221986855451</v>
      </c>
      <c r="Q24" s="84"/>
      <c r="T24" s="6" t="s">
        <v>44</v>
      </c>
      <c r="W24" s="1" t="s">
        <v>45</v>
      </c>
      <c r="X24" s="16">
        <f>1/2</f>
        <v>0.5</v>
      </c>
      <c r="Y24" s="85">
        <f>COUNTIF(L10:L18,"&lt;=0.5")+1</f>
        <v>3</v>
      </c>
      <c r="Z24" s="16">
        <f t="shared" ca="1" si="21"/>
        <v>33.5</v>
      </c>
      <c r="AA24" s="16">
        <f t="shared" ca="1" si="22"/>
        <v>16</v>
      </c>
      <c r="AB24" s="16">
        <f t="shared" ca="1" si="23"/>
        <v>22</v>
      </c>
      <c r="AC24" s="86">
        <f t="shared" ca="1" si="24"/>
        <v>37.71875</v>
      </c>
      <c r="AD24" s="1">
        <f t="shared" si="25"/>
        <v>3</v>
      </c>
    </row>
    <row r="25" spans="1:30" ht="15.75" x14ac:dyDescent="0.25">
      <c r="B25" s="92" t="s">
        <v>46</v>
      </c>
      <c r="F25" s="81" t="s">
        <v>47</v>
      </c>
      <c r="G25" s="82" t="s">
        <v>38</v>
      </c>
      <c r="H25" s="93">
        <f>COUNT(I10:I18)</f>
        <v>9</v>
      </c>
      <c r="I25" s="84"/>
      <c r="Q25" s="84"/>
      <c r="T25" s="6" t="s">
        <v>48</v>
      </c>
      <c r="W25" s="94" t="s">
        <v>49</v>
      </c>
      <c r="X25" s="95">
        <f>3/4</f>
        <v>0.75</v>
      </c>
      <c r="Y25" s="96">
        <f>COUNTIF(L10:L18,"&lt;=0.75")+1</f>
        <v>4</v>
      </c>
      <c r="Z25" s="95">
        <f t="shared" ca="1" si="21"/>
        <v>42.5</v>
      </c>
      <c r="AA25" s="95">
        <f t="shared" ca="1" si="22"/>
        <v>7</v>
      </c>
      <c r="AB25" s="95">
        <f t="shared" ca="1" si="23"/>
        <v>38</v>
      </c>
      <c r="AC25" s="97">
        <f t="shared" ca="1" si="24"/>
        <v>50.535714285714285</v>
      </c>
      <c r="AD25" s="1">
        <f t="shared" si="25"/>
        <v>4</v>
      </c>
    </row>
    <row r="26" spans="1:30" ht="15.75" x14ac:dyDescent="0.25">
      <c r="B26" s="92"/>
      <c r="F26" s="81"/>
      <c r="H26" s="89"/>
      <c r="I26" s="84"/>
      <c r="K26" s="6" t="s">
        <v>50</v>
      </c>
      <c r="Q26" s="84"/>
      <c r="W26" s="1" t="s">
        <v>51</v>
      </c>
      <c r="X26" s="16">
        <f>1/10</f>
        <v>0.1</v>
      </c>
      <c r="Y26" s="85">
        <f>COUNTIF(L10:L18,"&lt;=0.1")+1</f>
        <v>2</v>
      </c>
      <c r="Z26" s="16">
        <f t="shared" ca="1" si="21"/>
        <v>24.5</v>
      </c>
      <c r="AA26" s="16">
        <f t="shared" ca="1" si="22"/>
        <v>17</v>
      </c>
      <c r="AB26" s="16">
        <f t="shared" ca="1" si="23"/>
        <v>5</v>
      </c>
      <c r="AC26" s="86">
        <f t="shared" ca="1" si="24"/>
        <v>24.976470588235294</v>
      </c>
      <c r="AD26" s="1">
        <f t="shared" si="25"/>
        <v>2</v>
      </c>
    </row>
    <row r="27" spans="1:30" ht="18" x14ac:dyDescent="0.3">
      <c r="B27" s="98" t="s">
        <v>52</v>
      </c>
      <c r="F27" s="81" t="s">
        <v>53</v>
      </c>
      <c r="G27" s="82" t="s">
        <v>38</v>
      </c>
      <c r="H27" s="99">
        <f>I19</f>
        <v>59</v>
      </c>
      <c r="I27" s="84"/>
      <c r="K27" s="6" t="s">
        <v>54</v>
      </c>
      <c r="O27" s="90" t="s">
        <v>55</v>
      </c>
      <c r="P27" s="91">
        <f>(Q19/I19)/(H37^2)</f>
        <v>3.7573960286645556</v>
      </c>
      <c r="Q27" s="84"/>
      <c r="W27" s="1" t="s">
        <v>56</v>
      </c>
      <c r="X27" s="16">
        <f>2/10</f>
        <v>0.2</v>
      </c>
      <c r="Y27" s="85">
        <f>COUNTIF(L10:L18,"&lt;=0.20")+1</f>
        <v>2</v>
      </c>
      <c r="Z27" s="16">
        <f t="shared" ca="1" si="21"/>
        <v>24.5</v>
      </c>
      <c r="AA27" s="16">
        <f t="shared" ca="1" si="22"/>
        <v>17</v>
      </c>
      <c r="AB27" s="16">
        <f t="shared" ca="1" si="23"/>
        <v>5</v>
      </c>
      <c r="AC27" s="86">
        <f t="shared" ca="1" si="24"/>
        <v>28.1</v>
      </c>
      <c r="AD27" s="1">
        <f t="shared" si="25"/>
        <v>2</v>
      </c>
    </row>
    <row r="28" spans="1:30" ht="15.75" x14ac:dyDescent="0.25">
      <c r="B28" s="87"/>
      <c r="F28" s="81"/>
      <c r="H28" s="100"/>
      <c r="I28" s="84"/>
      <c r="Q28" s="84"/>
      <c r="W28" s="1" t="s">
        <v>57</v>
      </c>
      <c r="X28" s="16">
        <f>3/10</f>
        <v>0.3</v>
      </c>
      <c r="Y28" s="85">
        <f>COUNTIF(L10:L18,"&lt;=0.30")+1</f>
        <v>2</v>
      </c>
      <c r="Z28" s="16">
        <f t="shared" ca="1" si="21"/>
        <v>24.5</v>
      </c>
      <c r="AA28" s="16">
        <f t="shared" ca="1" si="22"/>
        <v>17</v>
      </c>
      <c r="AB28" s="16">
        <f t="shared" ca="1" si="23"/>
        <v>5</v>
      </c>
      <c r="AC28" s="86">
        <f t="shared" ca="1" si="24"/>
        <v>31.223529411764705</v>
      </c>
      <c r="AD28" s="1">
        <f t="shared" si="25"/>
        <v>2</v>
      </c>
    </row>
    <row r="29" spans="1:30" ht="15.75" x14ac:dyDescent="0.25">
      <c r="B29" s="101" t="s">
        <v>58</v>
      </c>
      <c r="F29" s="81" t="s">
        <v>59</v>
      </c>
      <c r="G29" s="82" t="s">
        <v>38</v>
      </c>
      <c r="H29" s="102">
        <f>N19/I19</f>
        <v>42.881355932203391</v>
      </c>
      <c r="I29" s="84"/>
      <c r="L29" s="6"/>
      <c r="P29" s="16"/>
      <c r="Q29" s="84"/>
      <c r="W29" s="1" t="s">
        <v>60</v>
      </c>
      <c r="X29" s="16">
        <f>7/10</f>
        <v>0.7</v>
      </c>
      <c r="Y29" s="85">
        <f>COUNTIF(L10:L18,"&lt;=0.70")+1</f>
        <v>4</v>
      </c>
      <c r="Z29" s="16">
        <f t="shared" ca="1" si="21"/>
        <v>42.5</v>
      </c>
      <c r="AA29" s="16">
        <f t="shared" ca="1" si="22"/>
        <v>7</v>
      </c>
      <c r="AB29" s="16">
        <f t="shared" ca="1" si="23"/>
        <v>38</v>
      </c>
      <c r="AC29" s="86">
        <f t="shared" ca="1" si="24"/>
        <v>46.74285714285714</v>
      </c>
      <c r="AD29" s="1">
        <f t="shared" si="25"/>
        <v>4</v>
      </c>
    </row>
    <row r="30" spans="1:30" ht="15.75" x14ac:dyDescent="0.25">
      <c r="B30" s="101"/>
      <c r="F30" s="81"/>
      <c r="H30" s="100"/>
      <c r="I30" s="84"/>
      <c r="K30" s="6" t="s">
        <v>61</v>
      </c>
      <c r="Q30" s="103"/>
      <c r="W30" s="1" t="s">
        <v>62</v>
      </c>
      <c r="X30" s="16">
        <f>8/10</f>
        <v>0.8</v>
      </c>
      <c r="Y30" s="85">
        <f>COUNTIF(L10:L18,"&lt;=0.80")+1</f>
        <v>5</v>
      </c>
      <c r="Z30" s="16">
        <f t="shared" ca="1" si="21"/>
        <v>51.5</v>
      </c>
      <c r="AA30" s="16">
        <f t="shared" ca="1" si="22"/>
        <v>4</v>
      </c>
      <c r="AB30" s="16">
        <f t="shared" ca="1" si="23"/>
        <v>45</v>
      </c>
      <c r="AC30" s="86">
        <f t="shared" ca="1" si="24"/>
        <v>56.45</v>
      </c>
      <c r="AD30" s="1">
        <f t="shared" si="25"/>
        <v>5</v>
      </c>
    </row>
    <row r="31" spans="1:30" ht="19.5" x14ac:dyDescent="0.35">
      <c r="B31" s="87" t="s">
        <v>63</v>
      </c>
      <c r="F31" s="81" t="s">
        <v>59</v>
      </c>
      <c r="G31" s="82" t="s">
        <v>38</v>
      </c>
      <c r="H31" s="91">
        <f ca="1">AC24</f>
        <v>37.71875</v>
      </c>
      <c r="I31" s="84"/>
      <c r="L31" s="104" t="s">
        <v>64</v>
      </c>
      <c r="N31" s="91">
        <f ca="1">AC23</f>
        <v>29.661764705882355</v>
      </c>
      <c r="Q31" s="103"/>
      <c r="W31" s="1" t="s">
        <v>65</v>
      </c>
      <c r="X31" s="16">
        <f>9/10</f>
        <v>0.9</v>
      </c>
      <c r="Y31" s="85">
        <f>COUNTIF(L10:L18,"&lt;=0.90")+1</f>
        <v>7</v>
      </c>
      <c r="Z31" s="16">
        <f t="shared" ca="1" si="21"/>
        <v>69.5</v>
      </c>
      <c r="AA31" s="16">
        <f t="shared" ca="1" si="22"/>
        <v>1</v>
      </c>
      <c r="AB31" s="16">
        <f t="shared" ca="1" si="23"/>
        <v>53</v>
      </c>
      <c r="AC31" s="86">
        <f t="shared" ca="1" si="24"/>
        <v>70.400000000000006</v>
      </c>
      <c r="AD31" s="1">
        <f t="shared" si="25"/>
        <v>7</v>
      </c>
    </row>
    <row r="32" spans="1:30" ht="19.5" x14ac:dyDescent="0.35">
      <c r="B32" s="87"/>
      <c r="F32" s="81"/>
      <c r="H32" s="100"/>
      <c r="I32" s="84"/>
      <c r="L32" s="104" t="s">
        <v>66</v>
      </c>
      <c r="N32" s="91">
        <f t="shared" ref="N32:N39" ca="1" si="26">AC24</f>
        <v>37.71875</v>
      </c>
      <c r="Q32" s="84"/>
      <c r="Z32" s="16"/>
    </row>
    <row r="33" spans="2:26" ht="19.5" x14ac:dyDescent="0.35">
      <c r="B33" s="87" t="s">
        <v>67</v>
      </c>
      <c r="F33" s="81" t="s">
        <v>68</v>
      </c>
      <c r="G33" s="82" t="s">
        <v>38</v>
      </c>
      <c r="H33" s="91">
        <f ca="1">Y38+ (  $H$23*(Y35-Y36) / ((Y35-Y36)+(Y35-Y37))  )</f>
        <v>32.807692307692307</v>
      </c>
      <c r="I33" s="84"/>
      <c r="L33" s="104" t="s">
        <v>69</v>
      </c>
      <c r="N33" s="91">
        <f t="shared" ca="1" si="26"/>
        <v>50.535714285714285</v>
      </c>
      <c r="Q33" s="84"/>
      <c r="Z33" s="16"/>
    </row>
    <row r="34" spans="2:26" ht="19.5" x14ac:dyDescent="0.35">
      <c r="B34" s="87"/>
      <c r="E34"/>
      <c r="F34" s="105" t="s">
        <v>70</v>
      </c>
      <c r="G34" s="82" t="s">
        <v>38</v>
      </c>
      <c r="H34" s="102">
        <f ca="1">Y39</f>
        <v>29</v>
      </c>
      <c r="I34" s="84"/>
      <c r="L34" s="104" t="s">
        <v>71</v>
      </c>
      <c r="N34" s="91">
        <f t="shared" ca="1" si="26"/>
        <v>24.976470588235294</v>
      </c>
      <c r="Q34" s="84"/>
      <c r="T34" s="1" t="s">
        <v>72</v>
      </c>
      <c r="Y34" s="16">
        <f>MATCH(MAX(I10:I18),I10:I18,0)</f>
        <v>2</v>
      </c>
      <c r="Z34" s="16"/>
    </row>
    <row r="35" spans="2:26" ht="19.5" x14ac:dyDescent="0.35">
      <c r="B35" s="92" t="s">
        <v>73</v>
      </c>
      <c r="D35" s="6"/>
      <c r="F35" s="81" t="s">
        <v>74</v>
      </c>
      <c r="G35" s="82" t="s">
        <v>38</v>
      </c>
      <c r="H35" s="83">
        <f>G18-E10</f>
        <v>81</v>
      </c>
      <c r="I35" s="84"/>
      <c r="L35" s="104" t="s">
        <v>75</v>
      </c>
      <c r="N35" s="91">
        <f t="shared" ca="1" si="26"/>
        <v>28.1</v>
      </c>
      <c r="Q35" s="84"/>
      <c r="T35" s="1" t="s">
        <v>76</v>
      </c>
      <c r="Y35" s="16">
        <f ca="1">INDIRECT(ADDRESS(9+$Y$34,9))</f>
        <v>17</v>
      </c>
      <c r="Z35" s="16"/>
    </row>
    <row r="36" spans="2:26" ht="19.5" x14ac:dyDescent="0.35">
      <c r="B36" s="87"/>
      <c r="F36" s="81"/>
      <c r="H36" s="100"/>
      <c r="I36" s="84"/>
      <c r="L36" s="104" t="s">
        <v>77</v>
      </c>
      <c r="N36" s="91">
        <f t="shared" ca="1" si="26"/>
        <v>31.223529411764705</v>
      </c>
      <c r="Q36" s="84"/>
      <c r="T36" s="6" t="s">
        <v>78</v>
      </c>
      <c r="Y36" s="16">
        <f ca="1">INDIRECT(ADDRESS(9+$Y$34-1,9))</f>
        <v>5</v>
      </c>
    </row>
    <row r="37" spans="2:26" ht="20.25" x14ac:dyDescent="0.35">
      <c r="B37" s="87" t="s">
        <v>79</v>
      </c>
      <c r="F37" s="106" t="s">
        <v>80</v>
      </c>
      <c r="G37" s="82" t="s">
        <v>38</v>
      </c>
      <c r="H37" s="91">
        <f>(O19-I19*(H29^2))/I19</f>
        <v>346.85033036483759</v>
      </c>
      <c r="I37" s="84"/>
      <c r="L37" s="104" t="s">
        <v>81</v>
      </c>
      <c r="N37" s="91">
        <f t="shared" ca="1" si="26"/>
        <v>46.74285714285714</v>
      </c>
      <c r="Q37" s="84"/>
      <c r="T37" s="6" t="s">
        <v>82</v>
      </c>
      <c r="Y37" s="16">
        <f ca="1">INDIRECT(ADDRESS(9+$Y$34+1,9))</f>
        <v>16</v>
      </c>
    </row>
    <row r="38" spans="2:26" ht="19.5" x14ac:dyDescent="0.35">
      <c r="B38" s="87"/>
      <c r="F38" s="81"/>
      <c r="H38" s="100"/>
      <c r="I38" s="84"/>
      <c r="L38" s="104" t="s">
        <v>83</v>
      </c>
      <c r="N38" s="91">
        <f t="shared" ca="1" si="26"/>
        <v>56.45</v>
      </c>
      <c r="Q38" s="84"/>
      <c r="T38" s="1" t="s">
        <v>84</v>
      </c>
      <c r="Y38" s="16">
        <f ca="1">INDIRECT(ADDRESS(9+$Y$34,5))</f>
        <v>24.5</v>
      </c>
    </row>
    <row r="39" spans="2:26" ht="19.5" x14ac:dyDescent="0.35">
      <c r="B39" s="87" t="s">
        <v>85</v>
      </c>
      <c r="F39" s="81" t="s">
        <v>86</v>
      </c>
      <c r="G39" s="82" t="s">
        <v>38</v>
      </c>
      <c r="H39" s="91">
        <f>SQRT(H37)</f>
        <v>18.623918233412581</v>
      </c>
      <c r="I39" s="84"/>
      <c r="L39" s="104" t="s">
        <v>87</v>
      </c>
      <c r="N39" s="91">
        <f t="shared" ca="1" si="26"/>
        <v>70.400000000000006</v>
      </c>
      <c r="Q39" s="84"/>
      <c r="T39" s="1" t="s">
        <v>88</v>
      </c>
      <c r="Y39" s="16">
        <f ca="1">INDIRECT(ADDRESS(9+$Y$34,8))</f>
        <v>29</v>
      </c>
    </row>
    <row r="40" spans="2:26" x14ac:dyDescent="0.2">
      <c r="B40" s="87"/>
      <c r="I40" s="84"/>
      <c r="Q40" s="84"/>
    </row>
    <row r="41" spans="2:26" ht="15.75" x14ac:dyDescent="0.25">
      <c r="B41" s="87" t="s">
        <v>89</v>
      </c>
      <c r="F41" s="81" t="s">
        <v>90</v>
      </c>
      <c r="G41" s="82" t="s">
        <v>38</v>
      </c>
      <c r="H41" s="91">
        <f>H39/H29</f>
        <v>0.43431271769618274</v>
      </c>
      <c r="I41" s="84"/>
      <c r="Q41" s="84"/>
    </row>
    <row r="42" spans="2:26" ht="15.75" x14ac:dyDescent="0.25">
      <c r="B42" s="107"/>
      <c r="C42" s="94"/>
      <c r="D42" s="94"/>
      <c r="E42" s="94"/>
      <c r="F42" s="108"/>
      <c r="G42" s="94"/>
      <c r="H42" s="109"/>
      <c r="I42" s="40"/>
      <c r="J42" s="94"/>
      <c r="K42" s="94"/>
      <c r="L42" s="94"/>
      <c r="M42" s="94"/>
      <c r="N42" s="94"/>
      <c r="O42" s="94"/>
      <c r="P42" s="94"/>
      <c r="Q42" s="40"/>
    </row>
    <row r="44" spans="2:26" ht="12.75" customHeight="1" x14ac:dyDescent="0.2">
      <c r="B44" s="110"/>
      <c r="C44" s="110"/>
      <c r="D44" s="68"/>
      <c r="E44" s="110"/>
      <c r="F44" s="110"/>
      <c r="G44" s="110"/>
      <c r="H44" s="110"/>
    </row>
    <row r="45" spans="2:26" ht="15.75" customHeight="1" x14ac:dyDescent="0.25">
      <c r="D45" s="111"/>
    </row>
    <row r="46" spans="2:26" ht="15.75" customHeight="1" x14ac:dyDescent="0.2">
      <c r="D46" s="112"/>
    </row>
    <row r="49" spans="2:2" ht="12.75" customHeight="1" x14ac:dyDescent="0.2">
      <c r="B49" s="89"/>
    </row>
    <row r="50" spans="2:2" ht="12.75" customHeight="1" x14ac:dyDescent="0.2">
      <c r="B50" s="89"/>
    </row>
    <row r="51" spans="2:2" ht="12.75" customHeight="1" x14ac:dyDescent="0.2">
      <c r="B51" s="89"/>
    </row>
    <row r="58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8C9C-85A8-457A-9133-C2E3084E90C6}">
  <sheetPr>
    <pageSetUpPr fitToPage="1"/>
  </sheetPr>
  <dimension ref="A1:AD59"/>
  <sheetViews>
    <sheetView showGridLines="0" zoomScale="75" workbookViewId="0">
      <selection activeCell="X15" sqref="X15"/>
    </sheetView>
  </sheetViews>
  <sheetFormatPr defaultColWidth="7.7109375" defaultRowHeight="12.75" customHeight="1" x14ac:dyDescent="0.2"/>
  <cols>
    <col min="1" max="1" width="8" style="1" customWidth="1"/>
    <col min="2" max="2" width="6.5703125" style="1" customWidth="1"/>
    <col min="3" max="3" width="2.28515625" style="1" customWidth="1"/>
    <col min="4" max="4" width="6.7109375" style="1" customWidth="1"/>
    <col min="5" max="5" width="7.28515625" style="1" customWidth="1"/>
    <col min="6" max="6" width="3.42578125" style="1" customWidth="1"/>
    <col min="7" max="7" width="8.7109375" style="1" customWidth="1"/>
    <col min="8" max="8" width="12.28515625" style="1" customWidth="1"/>
    <col min="9" max="9" width="11.42578125" style="1" customWidth="1"/>
    <col min="10" max="10" width="12.5703125" style="1" bestFit="1" customWidth="1"/>
    <col min="11" max="12" width="11.42578125" style="1" customWidth="1"/>
    <col min="13" max="13" width="1.140625" style="1" customWidth="1"/>
    <col min="14" max="14" width="14.5703125" style="1" customWidth="1"/>
    <col min="15" max="15" width="13.28515625" style="1" customWidth="1"/>
    <col min="16" max="16" width="16" style="1" bestFit="1" customWidth="1"/>
    <col min="17" max="17" width="15.7109375" style="1" customWidth="1"/>
    <col min="18" max="19" width="2" style="1" customWidth="1"/>
    <col min="20" max="20" width="16.5703125" style="1" customWidth="1"/>
    <col min="21" max="21" width="5" style="1" customWidth="1"/>
    <col min="22" max="23" width="7.7109375" style="1" customWidth="1"/>
    <col min="24" max="24" width="8.5703125" style="1" customWidth="1"/>
    <col min="25" max="25" width="10.42578125" style="1" bestFit="1" customWidth="1"/>
    <col min="26" max="26" width="10.42578125" style="1" customWidth="1"/>
    <col min="27" max="28" width="7.7109375" style="1" customWidth="1"/>
    <col min="29" max="29" width="10" style="1" customWidth="1"/>
    <col min="30" max="256" width="7.7109375" style="1"/>
    <col min="257" max="257" width="8" style="1" customWidth="1"/>
    <col min="258" max="258" width="6.5703125" style="1" customWidth="1"/>
    <col min="259" max="259" width="2.28515625" style="1" customWidth="1"/>
    <col min="260" max="260" width="6.7109375" style="1" customWidth="1"/>
    <col min="261" max="261" width="7.28515625" style="1" customWidth="1"/>
    <col min="262" max="262" width="3.42578125" style="1" customWidth="1"/>
    <col min="263" max="263" width="8.7109375" style="1" customWidth="1"/>
    <col min="264" max="264" width="12.28515625" style="1" customWidth="1"/>
    <col min="265" max="265" width="11.42578125" style="1" customWidth="1"/>
    <col min="266" max="266" width="12.5703125" style="1" bestFit="1" customWidth="1"/>
    <col min="267" max="268" width="11.42578125" style="1" customWidth="1"/>
    <col min="269" max="269" width="1.140625" style="1" customWidth="1"/>
    <col min="270" max="270" width="14.5703125" style="1" customWidth="1"/>
    <col min="271" max="271" width="13.28515625" style="1" customWidth="1"/>
    <col min="272" max="272" width="16" style="1" bestFit="1" customWidth="1"/>
    <col min="273" max="273" width="15.7109375" style="1" customWidth="1"/>
    <col min="274" max="275" width="2" style="1" customWidth="1"/>
    <col min="276" max="276" width="16.5703125" style="1" customWidth="1"/>
    <col min="277" max="277" width="5" style="1" customWidth="1"/>
    <col min="278" max="279" width="7.7109375" style="1"/>
    <col min="280" max="280" width="8.5703125" style="1" customWidth="1"/>
    <col min="281" max="281" width="10.42578125" style="1" bestFit="1" customWidth="1"/>
    <col min="282" max="282" width="10.42578125" style="1" customWidth="1"/>
    <col min="283" max="284" width="7.7109375" style="1"/>
    <col min="285" max="285" width="10" style="1" customWidth="1"/>
    <col min="286" max="512" width="7.7109375" style="1"/>
    <col min="513" max="513" width="8" style="1" customWidth="1"/>
    <col min="514" max="514" width="6.5703125" style="1" customWidth="1"/>
    <col min="515" max="515" width="2.28515625" style="1" customWidth="1"/>
    <col min="516" max="516" width="6.7109375" style="1" customWidth="1"/>
    <col min="517" max="517" width="7.28515625" style="1" customWidth="1"/>
    <col min="518" max="518" width="3.42578125" style="1" customWidth="1"/>
    <col min="519" max="519" width="8.7109375" style="1" customWidth="1"/>
    <col min="520" max="520" width="12.28515625" style="1" customWidth="1"/>
    <col min="521" max="521" width="11.42578125" style="1" customWidth="1"/>
    <col min="522" max="522" width="12.5703125" style="1" bestFit="1" customWidth="1"/>
    <col min="523" max="524" width="11.42578125" style="1" customWidth="1"/>
    <col min="525" max="525" width="1.140625" style="1" customWidth="1"/>
    <col min="526" max="526" width="14.5703125" style="1" customWidth="1"/>
    <col min="527" max="527" width="13.28515625" style="1" customWidth="1"/>
    <col min="528" max="528" width="16" style="1" bestFit="1" customWidth="1"/>
    <col min="529" max="529" width="15.7109375" style="1" customWidth="1"/>
    <col min="530" max="531" width="2" style="1" customWidth="1"/>
    <col min="532" max="532" width="16.5703125" style="1" customWidth="1"/>
    <col min="533" max="533" width="5" style="1" customWidth="1"/>
    <col min="534" max="535" width="7.7109375" style="1"/>
    <col min="536" max="536" width="8.5703125" style="1" customWidth="1"/>
    <col min="537" max="537" width="10.42578125" style="1" bestFit="1" customWidth="1"/>
    <col min="538" max="538" width="10.42578125" style="1" customWidth="1"/>
    <col min="539" max="540" width="7.7109375" style="1"/>
    <col min="541" max="541" width="10" style="1" customWidth="1"/>
    <col min="542" max="768" width="7.7109375" style="1"/>
    <col min="769" max="769" width="8" style="1" customWidth="1"/>
    <col min="770" max="770" width="6.5703125" style="1" customWidth="1"/>
    <col min="771" max="771" width="2.28515625" style="1" customWidth="1"/>
    <col min="772" max="772" width="6.7109375" style="1" customWidth="1"/>
    <col min="773" max="773" width="7.28515625" style="1" customWidth="1"/>
    <col min="774" max="774" width="3.42578125" style="1" customWidth="1"/>
    <col min="775" max="775" width="8.7109375" style="1" customWidth="1"/>
    <col min="776" max="776" width="12.28515625" style="1" customWidth="1"/>
    <col min="777" max="777" width="11.42578125" style="1" customWidth="1"/>
    <col min="778" max="778" width="12.5703125" style="1" bestFit="1" customWidth="1"/>
    <col min="779" max="780" width="11.42578125" style="1" customWidth="1"/>
    <col min="781" max="781" width="1.140625" style="1" customWidth="1"/>
    <col min="782" max="782" width="14.5703125" style="1" customWidth="1"/>
    <col min="783" max="783" width="13.28515625" style="1" customWidth="1"/>
    <col min="784" max="784" width="16" style="1" bestFit="1" customWidth="1"/>
    <col min="785" max="785" width="15.7109375" style="1" customWidth="1"/>
    <col min="786" max="787" width="2" style="1" customWidth="1"/>
    <col min="788" max="788" width="16.5703125" style="1" customWidth="1"/>
    <col min="789" max="789" width="5" style="1" customWidth="1"/>
    <col min="790" max="791" width="7.7109375" style="1"/>
    <col min="792" max="792" width="8.5703125" style="1" customWidth="1"/>
    <col min="793" max="793" width="10.42578125" style="1" bestFit="1" customWidth="1"/>
    <col min="794" max="794" width="10.42578125" style="1" customWidth="1"/>
    <col min="795" max="796" width="7.7109375" style="1"/>
    <col min="797" max="797" width="10" style="1" customWidth="1"/>
    <col min="798" max="1024" width="7.7109375" style="1"/>
    <col min="1025" max="1025" width="8" style="1" customWidth="1"/>
    <col min="1026" max="1026" width="6.5703125" style="1" customWidth="1"/>
    <col min="1027" max="1027" width="2.28515625" style="1" customWidth="1"/>
    <col min="1028" max="1028" width="6.7109375" style="1" customWidth="1"/>
    <col min="1029" max="1029" width="7.28515625" style="1" customWidth="1"/>
    <col min="1030" max="1030" width="3.42578125" style="1" customWidth="1"/>
    <col min="1031" max="1031" width="8.7109375" style="1" customWidth="1"/>
    <col min="1032" max="1032" width="12.28515625" style="1" customWidth="1"/>
    <col min="1033" max="1033" width="11.42578125" style="1" customWidth="1"/>
    <col min="1034" max="1034" width="12.5703125" style="1" bestFit="1" customWidth="1"/>
    <col min="1035" max="1036" width="11.42578125" style="1" customWidth="1"/>
    <col min="1037" max="1037" width="1.140625" style="1" customWidth="1"/>
    <col min="1038" max="1038" width="14.5703125" style="1" customWidth="1"/>
    <col min="1039" max="1039" width="13.28515625" style="1" customWidth="1"/>
    <col min="1040" max="1040" width="16" style="1" bestFit="1" customWidth="1"/>
    <col min="1041" max="1041" width="15.7109375" style="1" customWidth="1"/>
    <col min="1042" max="1043" width="2" style="1" customWidth="1"/>
    <col min="1044" max="1044" width="16.5703125" style="1" customWidth="1"/>
    <col min="1045" max="1045" width="5" style="1" customWidth="1"/>
    <col min="1046" max="1047" width="7.7109375" style="1"/>
    <col min="1048" max="1048" width="8.5703125" style="1" customWidth="1"/>
    <col min="1049" max="1049" width="10.42578125" style="1" bestFit="1" customWidth="1"/>
    <col min="1050" max="1050" width="10.42578125" style="1" customWidth="1"/>
    <col min="1051" max="1052" width="7.7109375" style="1"/>
    <col min="1053" max="1053" width="10" style="1" customWidth="1"/>
    <col min="1054" max="1280" width="7.7109375" style="1"/>
    <col min="1281" max="1281" width="8" style="1" customWidth="1"/>
    <col min="1282" max="1282" width="6.5703125" style="1" customWidth="1"/>
    <col min="1283" max="1283" width="2.28515625" style="1" customWidth="1"/>
    <col min="1284" max="1284" width="6.7109375" style="1" customWidth="1"/>
    <col min="1285" max="1285" width="7.28515625" style="1" customWidth="1"/>
    <col min="1286" max="1286" width="3.42578125" style="1" customWidth="1"/>
    <col min="1287" max="1287" width="8.7109375" style="1" customWidth="1"/>
    <col min="1288" max="1288" width="12.28515625" style="1" customWidth="1"/>
    <col min="1289" max="1289" width="11.42578125" style="1" customWidth="1"/>
    <col min="1290" max="1290" width="12.5703125" style="1" bestFit="1" customWidth="1"/>
    <col min="1291" max="1292" width="11.42578125" style="1" customWidth="1"/>
    <col min="1293" max="1293" width="1.140625" style="1" customWidth="1"/>
    <col min="1294" max="1294" width="14.5703125" style="1" customWidth="1"/>
    <col min="1295" max="1295" width="13.28515625" style="1" customWidth="1"/>
    <col min="1296" max="1296" width="16" style="1" bestFit="1" customWidth="1"/>
    <col min="1297" max="1297" width="15.7109375" style="1" customWidth="1"/>
    <col min="1298" max="1299" width="2" style="1" customWidth="1"/>
    <col min="1300" max="1300" width="16.5703125" style="1" customWidth="1"/>
    <col min="1301" max="1301" width="5" style="1" customWidth="1"/>
    <col min="1302" max="1303" width="7.7109375" style="1"/>
    <col min="1304" max="1304" width="8.5703125" style="1" customWidth="1"/>
    <col min="1305" max="1305" width="10.42578125" style="1" bestFit="1" customWidth="1"/>
    <col min="1306" max="1306" width="10.42578125" style="1" customWidth="1"/>
    <col min="1307" max="1308" width="7.7109375" style="1"/>
    <col min="1309" max="1309" width="10" style="1" customWidth="1"/>
    <col min="1310" max="1536" width="7.7109375" style="1"/>
    <col min="1537" max="1537" width="8" style="1" customWidth="1"/>
    <col min="1538" max="1538" width="6.5703125" style="1" customWidth="1"/>
    <col min="1539" max="1539" width="2.28515625" style="1" customWidth="1"/>
    <col min="1540" max="1540" width="6.7109375" style="1" customWidth="1"/>
    <col min="1541" max="1541" width="7.28515625" style="1" customWidth="1"/>
    <col min="1542" max="1542" width="3.42578125" style="1" customWidth="1"/>
    <col min="1543" max="1543" width="8.7109375" style="1" customWidth="1"/>
    <col min="1544" max="1544" width="12.28515625" style="1" customWidth="1"/>
    <col min="1545" max="1545" width="11.42578125" style="1" customWidth="1"/>
    <col min="1546" max="1546" width="12.5703125" style="1" bestFit="1" customWidth="1"/>
    <col min="1547" max="1548" width="11.42578125" style="1" customWidth="1"/>
    <col min="1549" max="1549" width="1.140625" style="1" customWidth="1"/>
    <col min="1550" max="1550" width="14.5703125" style="1" customWidth="1"/>
    <col min="1551" max="1551" width="13.28515625" style="1" customWidth="1"/>
    <col min="1552" max="1552" width="16" style="1" bestFit="1" customWidth="1"/>
    <col min="1553" max="1553" width="15.7109375" style="1" customWidth="1"/>
    <col min="1554" max="1555" width="2" style="1" customWidth="1"/>
    <col min="1556" max="1556" width="16.5703125" style="1" customWidth="1"/>
    <col min="1557" max="1557" width="5" style="1" customWidth="1"/>
    <col min="1558" max="1559" width="7.7109375" style="1"/>
    <col min="1560" max="1560" width="8.5703125" style="1" customWidth="1"/>
    <col min="1561" max="1561" width="10.42578125" style="1" bestFit="1" customWidth="1"/>
    <col min="1562" max="1562" width="10.42578125" style="1" customWidth="1"/>
    <col min="1563" max="1564" width="7.7109375" style="1"/>
    <col min="1565" max="1565" width="10" style="1" customWidth="1"/>
    <col min="1566" max="1792" width="7.7109375" style="1"/>
    <col min="1793" max="1793" width="8" style="1" customWidth="1"/>
    <col min="1794" max="1794" width="6.5703125" style="1" customWidth="1"/>
    <col min="1795" max="1795" width="2.28515625" style="1" customWidth="1"/>
    <col min="1796" max="1796" width="6.7109375" style="1" customWidth="1"/>
    <col min="1797" max="1797" width="7.28515625" style="1" customWidth="1"/>
    <col min="1798" max="1798" width="3.42578125" style="1" customWidth="1"/>
    <col min="1799" max="1799" width="8.7109375" style="1" customWidth="1"/>
    <col min="1800" max="1800" width="12.28515625" style="1" customWidth="1"/>
    <col min="1801" max="1801" width="11.42578125" style="1" customWidth="1"/>
    <col min="1802" max="1802" width="12.5703125" style="1" bestFit="1" customWidth="1"/>
    <col min="1803" max="1804" width="11.42578125" style="1" customWidth="1"/>
    <col min="1805" max="1805" width="1.140625" style="1" customWidth="1"/>
    <col min="1806" max="1806" width="14.5703125" style="1" customWidth="1"/>
    <col min="1807" max="1807" width="13.28515625" style="1" customWidth="1"/>
    <col min="1808" max="1808" width="16" style="1" bestFit="1" customWidth="1"/>
    <col min="1809" max="1809" width="15.7109375" style="1" customWidth="1"/>
    <col min="1810" max="1811" width="2" style="1" customWidth="1"/>
    <col min="1812" max="1812" width="16.5703125" style="1" customWidth="1"/>
    <col min="1813" max="1813" width="5" style="1" customWidth="1"/>
    <col min="1814" max="1815" width="7.7109375" style="1"/>
    <col min="1816" max="1816" width="8.5703125" style="1" customWidth="1"/>
    <col min="1817" max="1817" width="10.42578125" style="1" bestFit="1" customWidth="1"/>
    <col min="1818" max="1818" width="10.42578125" style="1" customWidth="1"/>
    <col min="1819" max="1820" width="7.7109375" style="1"/>
    <col min="1821" max="1821" width="10" style="1" customWidth="1"/>
    <col min="1822" max="2048" width="7.7109375" style="1"/>
    <col min="2049" max="2049" width="8" style="1" customWidth="1"/>
    <col min="2050" max="2050" width="6.5703125" style="1" customWidth="1"/>
    <col min="2051" max="2051" width="2.28515625" style="1" customWidth="1"/>
    <col min="2052" max="2052" width="6.7109375" style="1" customWidth="1"/>
    <col min="2053" max="2053" width="7.28515625" style="1" customWidth="1"/>
    <col min="2054" max="2054" width="3.42578125" style="1" customWidth="1"/>
    <col min="2055" max="2055" width="8.7109375" style="1" customWidth="1"/>
    <col min="2056" max="2056" width="12.28515625" style="1" customWidth="1"/>
    <col min="2057" max="2057" width="11.42578125" style="1" customWidth="1"/>
    <col min="2058" max="2058" width="12.5703125" style="1" bestFit="1" customWidth="1"/>
    <col min="2059" max="2060" width="11.42578125" style="1" customWidth="1"/>
    <col min="2061" max="2061" width="1.140625" style="1" customWidth="1"/>
    <col min="2062" max="2062" width="14.5703125" style="1" customWidth="1"/>
    <col min="2063" max="2063" width="13.28515625" style="1" customWidth="1"/>
    <col min="2064" max="2064" width="16" style="1" bestFit="1" customWidth="1"/>
    <col min="2065" max="2065" width="15.7109375" style="1" customWidth="1"/>
    <col min="2066" max="2067" width="2" style="1" customWidth="1"/>
    <col min="2068" max="2068" width="16.5703125" style="1" customWidth="1"/>
    <col min="2069" max="2069" width="5" style="1" customWidth="1"/>
    <col min="2070" max="2071" width="7.7109375" style="1"/>
    <col min="2072" max="2072" width="8.5703125" style="1" customWidth="1"/>
    <col min="2073" max="2073" width="10.42578125" style="1" bestFit="1" customWidth="1"/>
    <col min="2074" max="2074" width="10.42578125" style="1" customWidth="1"/>
    <col min="2075" max="2076" width="7.7109375" style="1"/>
    <col min="2077" max="2077" width="10" style="1" customWidth="1"/>
    <col min="2078" max="2304" width="7.7109375" style="1"/>
    <col min="2305" max="2305" width="8" style="1" customWidth="1"/>
    <col min="2306" max="2306" width="6.5703125" style="1" customWidth="1"/>
    <col min="2307" max="2307" width="2.28515625" style="1" customWidth="1"/>
    <col min="2308" max="2308" width="6.7109375" style="1" customWidth="1"/>
    <col min="2309" max="2309" width="7.28515625" style="1" customWidth="1"/>
    <col min="2310" max="2310" width="3.42578125" style="1" customWidth="1"/>
    <col min="2311" max="2311" width="8.7109375" style="1" customWidth="1"/>
    <col min="2312" max="2312" width="12.28515625" style="1" customWidth="1"/>
    <col min="2313" max="2313" width="11.42578125" style="1" customWidth="1"/>
    <col min="2314" max="2314" width="12.5703125" style="1" bestFit="1" customWidth="1"/>
    <col min="2315" max="2316" width="11.42578125" style="1" customWidth="1"/>
    <col min="2317" max="2317" width="1.140625" style="1" customWidth="1"/>
    <col min="2318" max="2318" width="14.5703125" style="1" customWidth="1"/>
    <col min="2319" max="2319" width="13.28515625" style="1" customWidth="1"/>
    <col min="2320" max="2320" width="16" style="1" bestFit="1" customWidth="1"/>
    <col min="2321" max="2321" width="15.7109375" style="1" customWidth="1"/>
    <col min="2322" max="2323" width="2" style="1" customWidth="1"/>
    <col min="2324" max="2324" width="16.5703125" style="1" customWidth="1"/>
    <col min="2325" max="2325" width="5" style="1" customWidth="1"/>
    <col min="2326" max="2327" width="7.7109375" style="1"/>
    <col min="2328" max="2328" width="8.5703125" style="1" customWidth="1"/>
    <col min="2329" max="2329" width="10.42578125" style="1" bestFit="1" customWidth="1"/>
    <col min="2330" max="2330" width="10.42578125" style="1" customWidth="1"/>
    <col min="2331" max="2332" width="7.7109375" style="1"/>
    <col min="2333" max="2333" width="10" style="1" customWidth="1"/>
    <col min="2334" max="2560" width="7.7109375" style="1"/>
    <col min="2561" max="2561" width="8" style="1" customWidth="1"/>
    <col min="2562" max="2562" width="6.5703125" style="1" customWidth="1"/>
    <col min="2563" max="2563" width="2.28515625" style="1" customWidth="1"/>
    <col min="2564" max="2564" width="6.7109375" style="1" customWidth="1"/>
    <col min="2565" max="2565" width="7.28515625" style="1" customWidth="1"/>
    <col min="2566" max="2566" width="3.42578125" style="1" customWidth="1"/>
    <col min="2567" max="2567" width="8.7109375" style="1" customWidth="1"/>
    <col min="2568" max="2568" width="12.28515625" style="1" customWidth="1"/>
    <col min="2569" max="2569" width="11.42578125" style="1" customWidth="1"/>
    <col min="2570" max="2570" width="12.5703125" style="1" bestFit="1" customWidth="1"/>
    <col min="2571" max="2572" width="11.42578125" style="1" customWidth="1"/>
    <col min="2573" max="2573" width="1.140625" style="1" customWidth="1"/>
    <col min="2574" max="2574" width="14.5703125" style="1" customWidth="1"/>
    <col min="2575" max="2575" width="13.28515625" style="1" customWidth="1"/>
    <col min="2576" max="2576" width="16" style="1" bestFit="1" customWidth="1"/>
    <col min="2577" max="2577" width="15.7109375" style="1" customWidth="1"/>
    <col min="2578" max="2579" width="2" style="1" customWidth="1"/>
    <col min="2580" max="2580" width="16.5703125" style="1" customWidth="1"/>
    <col min="2581" max="2581" width="5" style="1" customWidth="1"/>
    <col min="2582" max="2583" width="7.7109375" style="1"/>
    <col min="2584" max="2584" width="8.5703125" style="1" customWidth="1"/>
    <col min="2585" max="2585" width="10.42578125" style="1" bestFit="1" customWidth="1"/>
    <col min="2586" max="2586" width="10.42578125" style="1" customWidth="1"/>
    <col min="2587" max="2588" width="7.7109375" style="1"/>
    <col min="2589" max="2589" width="10" style="1" customWidth="1"/>
    <col min="2590" max="2816" width="7.7109375" style="1"/>
    <col min="2817" max="2817" width="8" style="1" customWidth="1"/>
    <col min="2818" max="2818" width="6.5703125" style="1" customWidth="1"/>
    <col min="2819" max="2819" width="2.28515625" style="1" customWidth="1"/>
    <col min="2820" max="2820" width="6.7109375" style="1" customWidth="1"/>
    <col min="2821" max="2821" width="7.28515625" style="1" customWidth="1"/>
    <col min="2822" max="2822" width="3.42578125" style="1" customWidth="1"/>
    <col min="2823" max="2823" width="8.7109375" style="1" customWidth="1"/>
    <col min="2824" max="2824" width="12.28515625" style="1" customWidth="1"/>
    <col min="2825" max="2825" width="11.42578125" style="1" customWidth="1"/>
    <col min="2826" max="2826" width="12.5703125" style="1" bestFit="1" customWidth="1"/>
    <col min="2827" max="2828" width="11.42578125" style="1" customWidth="1"/>
    <col min="2829" max="2829" width="1.140625" style="1" customWidth="1"/>
    <col min="2830" max="2830" width="14.5703125" style="1" customWidth="1"/>
    <col min="2831" max="2831" width="13.28515625" style="1" customWidth="1"/>
    <col min="2832" max="2832" width="16" style="1" bestFit="1" customWidth="1"/>
    <col min="2833" max="2833" width="15.7109375" style="1" customWidth="1"/>
    <col min="2834" max="2835" width="2" style="1" customWidth="1"/>
    <col min="2836" max="2836" width="16.5703125" style="1" customWidth="1"/>
    <col min="2837" max="2837" width="5" style="1" customWidth="1"/>
    <col min="2838" max="2839" width="7.7109375" style="1"/>
    <col min="2840" max="2840" width="8.5703125" style="1" customWidth="1"/>
    <col min="2841" max="2841" width="10.42578125" style="1" bestFit="1" customWidth="1"/>
    <col min="2842" max="2842" width="10.42578125" style="1" customWidth="1"/>
    <col min="2843" max="2844" width="7.7109375" style="1"/>
    <col min="2845" max="2845" width="10" style="1" customWidth="1"/>
    <col min="2846" max="3072" width="7.7109375" style="1"/>
    <col min="3073" max="3073" width="8" style="1" customWidth="1"/>
    <col min="3074" max="3074" width="6.5703125" style="1" customWidth="1"/>
    <col min="3075" max="3075" width="2.28515625" style="1" customWidth="1"/>
    <col min="3076" max="3076" width="6.7109375" style="1" customWidth="1"/>
    <col min="3077" max="3077" width="7.28515625" style="1" customWidth="1"/>
    <col min="3078" max="3078" width="3.42578125" style="1" customWidth="1"/>
    <col min="3079" max="3079" width="8.7109375" style="1" customWidth="1"/>
    <col min="3080" max="3080" width="12.28515625" style="1" customWidth="1"/>
    <col min="3081" max="3081" width="11.42578125" style="1" customWidth="1"/>
    <col min="3082" max="3082" width="12.5703125" style="1" bestFit="1" customWidth="1"/>
    <col min="3083" max="3084" width="11.42578125" style="1" customWidth="1"/>
    <col min="3085" max="3085" width="1.140625" style="1" customWidth="1"/>
    <col min="3086" max="3086" width="14.5703125" style="1" customWidth="1"/>
    <col min="3087" max="3087" width="13.28515625" style="1" customWidth="1"/>
    <col min="3088" max="3088" width="16" style="1" bestFit="1" customWidth="1"/>
    <col min="3089" max="3089" width="15.7109375" style="1" customWidth="1"/>
    <col min="3090" max="3091" width="2" style="1" customWidth="1"/>
    <col min="3092" max="3092" width="16.5703125" style="1" customWidth="1"/>
    <col min="3093" max="3093" width="5" style="1" customWidth="1"/>
    <col min="3094" max="3095" width="7.7109375" style="1"/>
    <col min="3096" max="3096" width="8.5703125" style="1" customWidth="1"/>
    <col min="3097" max="3097" width="10.42578125" style="1" bestFit="1" customWidth="1"/>
    <col min="3098" max="3098" width="10.42578125" style="1" customWidth="1"/>
    <col min="3099" max="3100" width="7.7109375" style="1"/>
    <col min="3101" max="3101" width="10" style="1" customWidth="1"/>
    <col min="3102" max="3328" width="7.7109375" style="1"/>
    <col min="3329" max="3329" width="8" style="1" customWidth="1"/>
    <col min="3330" max="3330" width="6.5703125" style="1" customWidth="1"/>
    <col min="3331" max="3331" width="2.28515625" style="1" customWidth="1"/>
    <col min="3332" max="3332" width="6.7109375" style="1" customWidth="1"/>
    <col min="3333" max="3333" width="7.28515625" style="1" customWidth="1"/>
    <col min="3334" max="3334" width="3.42578125" style="1" customWidth="1"/>
    <col min="3335" max="3335" width="8.7109375" style="1" customWidth="1"/>
    <col min="3336" max="3336" width="12.28515625" style="1" customWidth="1"/>
    <col min="3337" max="3337" width="11.42578125" style="1" customWidth="1"/>
    <col min="3338" max="3338" width="12.5703125" style="1" bestFit="1" customWidth="1"/>
    <col min="3339" max="3340" width="11.42578125" style="1" customWidth="1"/>
    <col min="3341" max="3341" width="1.140625" style="1" customWidth="1"/>
    <col min="3342" max="3342" width="14.5703125" style="1" customWidth="1"/>
    <col min="3343" max="3343" width="13.28515625" style="1" customWidth="1"/>
    <col min="3344" max="3344" width="16" style="1" bestFit="1" customWidth="1"/>
    <col min="3345" max="3345" width="15.7109375" style="1" customWidth="1"/>
    <col min="3346" max="3347" width="2" style="1" customWidth="1"/>
    <col min="3348" max="3348" width="16.5703125" style="1" customWidth="1"/>
    <col min="3349" max="3349" width="5" style="1" customWidth="1"/>
    <col min="3350" max="3351" width="7.7109375" style="1"/>
    <col min="3352" max="3352" width="8.5703125" style="1" customWidth="1"/>
    <col min="3353" max="3353" width="10.42578125" style="1" bestFit="1" customWidth="1"/>
    <col min="3354" max="3354" width="10.42578125" style="1" customWidth="1"/>
    <col min="3355" max="3356" width="7.7109375" style="1"/>
    <col min="3357" max="3357" width="10" style="1" customWidth="1"/>
    <col min="3358" max="3584" width="7.7109375" style="1"/>
    <col min="3585" max="3585" width="8" style="1" customWidth="1"/>
    <col min="3586" max="3586" width="6.5703125" style="1" customWidth="1"/>
    <col min="3587" max="3587" width="2.28515625" style="1" customWidth="1"/>
    <col min="3588" max="3588" width="6.7109375" style="1" customWidth="1"/>
    <col min="3589" max="3589" width="7.28515625" style="1" customWidth="1"/>
    <col min="3590" max="3590" width="3.42578125" style="1" customWidth="1"/>
    <col min="3591" max="3591" width="8.7109375" style="1" customWidth="1"/>
    <col min="3592" max="3592" width="12.28515625" style="1" customWidth="1"/>
    <col min="3593" max="3593" width="11.42578125" style="1" customWidth="1"/>
    <col min="3594" max="3594" width="12.5703125" style="1" bestFit="1" customWidth="1"/>
    <col min="3595" max="3596" width="11.42578125" style="1" customWidth="1"/>
    <col min="3597" max="3597" width="1.140625" style="1" customWidth="1"/>
    <col min="3598" max="3598" width="14.5703125" style="1" customWidth="1"/>
    <col min="3599" max="3599" width="13.28515625" style="1" customWidth="1"/>
    <col min="3600" max="3600" width="16" style="1" bestFit="1" customWidth="1"/>
    <col min="3601" max="3601" width="15.7109375" style="1" customWidth="1"/>
    <col min="3602" max="3603" width="2" style="1" customWidth="1"/>
    <col min="3604" max="3604" width="16.5703125" style="1" customWidth="1"/>
    <col min="3605" max="3605" width="5" style="1" customWidth="1"/>
    <col min="3606" max="3607" width="7.7109375" style="1"/>
    <col min="3608" max="3608" width="8.5703125" style="1" customWidth="1"/>
    <col min="3609" max="3609" width="10.42578125" style="1" bestFit="1" customWidth="1"/>
    <col min="3610" max="3610" width="10.42578125" style="1" customWidth="1"/>
    <col min="3611" max="3612" width="7.7109375" style="1"/>
    <col min="3613" max="3613" width="10" style="1" customWidth="1"/>
    <col min="3614" max="3840" width="7.7109375" style="1"/>
    <col min="3841" max="3841" width="8" style="1" customWidth="1"/>
    <col min="3842" max="3842" width="6.5703125" style="1" customWidth="1"/>
    <col min="3843" max="3843" width="2.28515625" style="1" customWidth="1"/>
    <col min="3844" max="3844" width="6.7109375" style="1" customWidth="1"/>
    <col min="3845" max="3845" width="7.28515625" style="1" customWidth="1"/>
    <col min="3846" max="3846" width="3.42578125" style="1" customWidth="1"/>
    <col min="3847" max="3847" width="8.7109375" style="1" customWidth="1"/>
    <col min="3848" max="3848" width="12.28515625" style="1" customWidth="1"/>
    <col min="3849" max="3849" width="11.42578125" style="1" customWidth="1"/>
    <col min="3850" max="3850" width="12.5703125" style="1" bestFit="1" customWidth="1"/>
    <col min="3851" max="3852" width="11.42578125" style="1" customWidth="1"/>
    <col min="3853" max="3853" width="1.140625" style="1" customWidth="1"/>
    <col min="3854" max="3854" width="14.5703125" style="1" customWidth="1"/>
    <col min="3855" max="3855" width="13.28515625" style="1" customWidth="1"/>
    <col min="3856" max="3856" width="16" style="1" bestFit="1" customWidth="1"/>
    <col min="3857" max="3857" width="15.7109375" style="1" customWidth="1"/>
    <col min="3858" max="3859" width="2" style="1" customWidth="1"/>
    <col min="3860" max="3860" width="16.5703125" style="1" customWidth="1"/>
    <col min="3861" max="3861" width="5" style="1" customWidth="1"/>
    <col min="3862" max="3863" width="7.7109375" style="1"/>
    <col min="3864" max="3864" width="8.5703125" style="1" customWidth="1"/>
    <col min="3865" max="3865" width="10.42578125" style="1" bestFit="1" customWidth="1"/>
    <col min="3866" max="3866" width="10.42578125" style="1" customWidth="1"/>
    <col min="3867" max="3868" width="7.7109375" style="1"/>
    <col min="3869" max="3869" width="10" style="1" customWidth="1"/>
    <col min="3870" max="4096" width="7.7109375" style="1"/>
    <col min="4097" max="4097" width="8" style="1" customWidth="1"/>
    <col min="4098" max="4098" width="6.5703125" style="1" customWidth="1"/>
    <col min="4099" max="4099" width="2.28515625" style="1" customWidth="1"/>
    <col min="4100" max="4100" width="6.7109375" style="1" customWidth="1"/>
    <col min="4101" max="4101" width="7.28515625" style="1" customWidth="1"/>
    <col min="4102" max="4102" width="3.42578125" style="1" customWidth="1"/>
    <col min="4103" max="4103" width="8.7109375" style="1" customWidth="1"/>
    <col min="4104" max="4104" width="12.28515625" style="1" customWidth="1"/>
    <col min="4105" max="4105" width="11.42578125" style="1" customWidth="1"/>
    <col min="4106" max="4106" width="12.5703125" style="1" bestFit="1" customWidth="1"/>
    <col min="4107" max="4108" width="11.42578125" style="1" customWidth="1"/>
    <col min="4109" max="4109" width="1.140625" style="1" customWidth="1"/>
    <col min="4110" max="4110" width="14.5703125" style="1" customWidth="1"/>
    <col min="4111" max="4111" width="13.28515625" style="1" customWidth="1"/>
    <col min="4112" max="4112" width="16" style="1" bestFit="1" customWidth="1"/>
    <col min="4113" max="4113" width="15.7109375" style="1" customWidth="1"/>
    <col min="4114" max="4115" width="2" style="1" customWidth="1"/>
    <col min="4116" max="4116" width="16.5703125" style="1" customWidth="1"/>
    <col min="4117" max="4117" width="5" style="1" customWidth="1"/>
    <col min="4118" max="4119" width="7.7109375" style="1"/>
    <col min="4120" max="4120" width="8.5703125" style="1" customWidth="1"/>
    <col min="4121" max="4121" width="10.42578125" style="1" bestFit="1" customWidth="1"/>
    <col min="4122" max="4122" width="10.42578125" style="1" customWidth="1"/>
    <col min="4123" max="4124" width="7.7109375" style="1"/>
    <col min="4125" max="4125" width="10" style="1" customWidth="1"/>
    <col min="4126" max="4352" width="7.7109375" style="1"/>
    <col min="4353" max="4353" width="8" style="1" customWidth="1"/>
    <col min="4354" max="4354" width="6.5703125" style="1" customWidth="1"/>
    <col min="4355" max="4355" width="2.28515625" style="1" customWidth="1"/>
    <col min="4356" max="4356" width="6.7109375" style="1" customWidth="1"/>
    <col min="4357" max="4357" width="7.28515625" style="1" customWidth="1"/>
    <col min="4358" max="4358" width="3.42578125" style="1" customWidth="1"/>
    <col min="4359" max="4359" width="8.7109375" style="1" customWidth="1"/>
    <col min="4360" max="4360" width="12.28515625" style="1" customWidth="1"/>
    <col min="4361" max="4361" width="11.42578125" style="1" customWidth="1"/>
    <col min="4362" max="4362" width="12.5703125" style="1" bestFit="1" customWidth="1"/>
    <col min="4363" max="4364" width="11.42578125" style="1" customWidth="1"/>
    <col min="4365" max="4365" width="1.140625" style="1" customWidth="1"/>
    <col min="4366" max="4366" width="14.5703125" style="1" customWidth="1"/>
    <col min="4367" max="4367" width="13.28515625" style="1" customWidth="1"/>
    <col min="4368" max="4368" width="16" style="1" bestFit="1" customWidth="1"/>
    <col min="4369" max="4369" width="15.7109375" style="1" customWidth="1"/>
    <col min="4370" max="4371" width="2" style="1" customWidth="1"/>
    <col min="4372" max="4372" width="16.5703125" style="1" customWidth="1"/>
    <col min="4373" max="4373" width="5" style="1" customWidth="1"/>
    <col min="4374" max="4375" width="7.7109375" style="1"/>
    <col min="4376" max="4376" width="8.5703125" style="1" customWidth="1"/>
    <col min="4377" max="4377" width="10.42578125" style="1" bestFit="1" customWidth="1"/>
    <col min="4378" max="4378" width="10.42578125" style="1" customWidth="1"/>
    <col min="4379" max="4380" width="7.7109375" style="1"/>
    <col min="4381" max="4381" width="10" style="1" customWidth="1"/>
    <col min="4382" max="4608" width="7.7109375" style="1"/>
    <col min="4609" max="4609" width="8" style="1" customWidth="1"/>
    <col min="4610" max="4610" width="6.5703125" style="1" customWidth="1"/>
    <col min="4611" max="4611" width="2.28515625" style="1" customWidth="1"/>
    <col min="4612" max="4612" width="6.7109375" style="1" customWidth="1"/>
    <col min="4613" max="4613" width="7.28515625" style="1" customWidth="1"/>
    <col min="4614" max="4614" width="3.42578125" style="1" customWidth="1"/>
    <col min="4615" max="4615" width="8.7109375" style="1" customWidth="1"/>
    <col min="4616" max="4616" width="12.28515625" style="1" customWidth="1"/>
    <col min="4617" max="4617" width="11.42578125" style="1" customWidth="1"/>
    <col min="4618" max="4618" width="12.5703125" style="1" bestFit="1" customWidth="1"/>
    <col min="4619" max="4620" width="11.42578125" style="1" customWidth="1"/>
    <col min="4621" max="4621" width="1.140625" style="1" customWidth="1"/>
    <col min="4622" max="4622" width="14.5703125" style="1" customWidth="1"/>
    <col min="4623" max="4623" width="13.28515625" style="1" customWidth="1"/>
    <col min="4624" max="4624" width="16" style="1" bestFit="1" customWidth="1"/>
    <col min="4625" max="4625" width="15.7109375" style="1" customWidth="1"/>
    <col min="4626" max="4627" width="2" style="1" customWidth="1"/>
    <col min="4628" max="4628" width="16.5703125" style="1" customWidth="1"/>
    <col min="4629" max="4629" width="5" style="1" customWidth="1"/>
    <col min="4630" max="4631" width="7.7109375" style="1"/>
    <col min="4632" max="4632" width="8.5703125" style="1" customWidth="1"/>
    <col min="4633" max="4633" width="10.42578125" style="1" bestFit="1" customWidth="1"/>
    <col min="4634" max="4634" width="10.42578125" style="1" customWidth="1"/>
    <col min="4635" max="4636" width="7.7109375" style="1"/>
    <col min="4637" max="4637" width="10" style="1" customWidth="1"/>
    <col min="4638" max="4864" width="7.7109375" style="1"/>
    <col min="4865" max="4865" width="8" style="1" customWidth="1"/>
    <col min="4866" max="4866" width="6.5703125" style="1" customWidth="1"/>
    <col min="4867" max="4867" width="2.28515625" style="1" customWidth="1"/>
    <col min="4868" max="4868" width="6.7109375" style="1" customWidth="1"/>
    <col min="4869" max="4869" width="7.28515625" style="1" customWidth="1"/>
    <col min="4870" max="4870" width="3.42578125" style="1" customWidth="1"/>
    <col min="4871" max="4871" width="8.7109375" style="1" customWidth="1"/>
    <col min="4872" max="4872" width="12.28515625" style="1" customWidth="1"/>
    <col min="4873" max="4873" width="11.42578125" style="1" customWidth="1"/>
    <col min="4874" max="4874" width="12.5703125" style="1" bestFit="1" customWidth="1"/>
    <col min="4875" max="4876" width="11.42578125" style="1" customWidth="1"/>
    <col min="4877" max="4877" width="1.140625" style="1" customWidth="1"/>
    <col min="4878" max="4878" width="14.5703125" style="1" customWidth="1"/>
    <col min="4879" max="4879" width="13.28515625" style="1" customWidth="1"/>
    <col min="4880" max="4880" width="16" style="1" bestFit="1" customWidth="1"/>
    <col min="4881" max="4881" width="15.7109375" style="1" customWidth="1"/>
    <col min="4882" max="4883" width="2" style="1" customWidth="1"/>
    <col min="4884" max="4884" width="16.5703125" style="1" customWidth="1"/>
    <col min="4885" max="4885" width="5" style="1" customWidth="1"/>
    <col min="4886" max="4887" width="7.7109375" style="1"/>
    <col min="4888" max="4888" width="8.5703125" style="1" customWidth="1"/>
    <col min="4889" max="4889" width="10.42578125" style="1" bestFit="1" customWidth="1"/>
    <col min="4890" max="4890" width="10.42578125" style="1" customWidth="1"/>
    <col min="4891" max="4892" width="7.7109375" style="1"/>
    <col min="4893" max="4893" width="10" style="1" customWidth="1"/>
    <col min="4894" max="5120" width="7.7109375" style="1"/>
    <col min="5121" max="5121" width="8" style="1" customWidth="1"/>
    <col min="5122" max="5122" width="6.5703125" style="1" customWidth="1"/>
    <col min="5123" max="5123" width="2.28515625" style="1" customWidth="1"/>
    <col min="5124" max="5124" width="6.7109375" style="1" customWidth="1"/>
    <col min="5125" max="5125" width="7.28515625" style="1" customWidth="1"/>
    <col min="5126" max="5126" width="3.42578125" style="1" customWidth="1"/>
    <col min="5127" max="5127" width="8.7109375" style="1" customWidth="1"/>
    <col min="5128" max="5128" width="12.28515625" style="1" customWidth="1"/>
    <col min="5129" max="5129" width="11.42578125" style="1" customWidth="1"/>
    <col min="5130" max="5130" width="12.5703125" style="1" bestFit="1" customWidth="1"/>
    <col min="5131" max="5132" width="11.42578125" style="1" customWidth="1"/>
    <col min="5133" max="5133" width="1.140625" style="1" customWidth="1"/>
    <col min="5134" max="5134" width="14.5703125" style="1" customWidth="1"/>
    <col min="5135" max="5135" width="13.28515625" style="1" customWidth="1"/>
    <col min="5136" max="5136" width="16" style="1" bestFit="1" customWidth="1"/>
    <col min="5137" max="5137" width="15.7109375" style="1" customWidth="1"/>
    <col min="5138" max="5139" width="2" style="1" customWidth="1"/>
    <col min="5140" max="5140" width="16.5703125" style="1" customWidth="1"/>
    <col min="5141" max="5141" width="5" style="1" customWidth="1"/>
    <col min="5142" max="5143" width="7.7109375" style="1"/>
    <col min="5144" max="5144" width="8.5703125" style="1" customWidth="1"/>
    <col min="5145" max="5145" width="10.42578125" style="1" bestFit="1" customWidth="1"/>
    <col min="5146" max="5146" width="10.42578125" style="1" customWidth="1"/>
    <col min="5147" max="5148" width="7.7109375" style="1"/>
    <col min="5149" max="5149" width="10" style="1" customWidth="1"/>
    <col min="5150" max="5376" width="7.7109375" style="1"/>
    <col min="5377" max="5377" width="8" style="1" customWidth="1"/>
    <col min="5378" max="5378" width="6.5703125" style="1" customWidth="1"/>
    <col min="5379" max="5379" width="2.28515625" style="1" customWidth="1"/>
    <col min="5380" max="5380" width="6.7109375" style="1" customWidth="1"/>
    <col min="5381" max="5381" width="7.28515625" style="1" customWidth="1"/>
    <col min="5382" max="5382" width="3.42578125" style="1" customWidth="1"/>
    <col min="5383" max="5383" width="8.7109375" style="1" customWidth="1"/>
    <col min="5384" max="5384" width="12.28515625" style="1" customWidth="1"/>
    <col min="5385" max="5385" width="11.42578125" style="1" customWidth="1"/>
    <col min="5386" max="5386" width="12.5703125" style="1" bestFit="1" customWidth="1"/>
    <col min="5387" max="5388" width="11.42578125" style="1" customWidth="1"/>
    <col min="5389" max="5389" width="1.140625" style="1" customWidth="1"/>
    <col min="5390" max="5390" width="14.5703125" style="1" customWidth="1"/>
    <col min="5391" max="5391" width="13.28515625" style="1" customWidth="1"/>
    <col min="5392" max="5392" width="16" style="1" bestFit="1" customWidth="1"/>
    <col min="5393" max="5393" width="15.7109375" style="1" customWidth="1"/>
    <col min="5394" max="5395" width="2" style="1" customWidth="1"/>
    <col min="5396" max="5396" width="16.5703125" style="1" customWidth="1"/>
    <col min="5397" max="5397" width="5" style="1" customWidth="1"/>
    <col min="5398" max="5399" width="7.7109375" style="1"/>
    <col min="5400" max="5400" width="8.5703125" style="1" customWidth="1"/>
    <col min="5401" max="5401" width="10.42578125" style="1" bestFit="1" customWidth="1"/>
    <col min="5402" max="5402" width="10.42578125" style="1" customWidth="1"/>
    <col min="5403" max="5404" width="7.7109375" style="1"/>
    <col min="5405" max="5405" width="10" style="1" customWidth="1"/>
    <col min="5406" max="5632" width="7.7109375" style="1"/>
    <col min="5633" max="5633" width="8" style="1" customWidth="1"/>
    <col min="5634" max="5634" width="6.5703125" style="1" customWidth="1"/>
    <col min="5635" max="5635" width="2.28515625" style="1" customWidth="1"/>
    <col min="5636" max="5636" width="6.7109375" style="1" customWidth="1"/>
    <col min="5637" max="5637" width="7.28515625" style="1" customWidth="1"/>
    <col min="5638" max="5638" width="3.42578125" style="1" customWidth="1"/>
    <col min="5639" max="5639" width="8.7109375" style="1" customWidth="1"/>
    <col min="5640" max="5640" width="12.28515625" style="1" customWidth="1"/>
    <col min="5641" max="5641" width="11.42578125" style="1" customWidth="1"/>
    <col min="5642" max="5642" width="12.5703125" style="1" bestFit="1" customWidth="1"/>
    <col min="5643" max="5644" width="11.42578125" style="1" customWidth="1"/>
    <col min="5645" max="5645" width="1.140625" style="1" customWidth="1"/>
    <col min="5646" max="5646" width="14.5703125" style="1" customWidth="1"/>
    <col min="5647" max="5647" width="13.28515625" style="1" customWidth="1"/>
    <col min="5648" max="5648" width="16" style="1" bestFit="1" customWidth="1"/>
    <col min="5649" max="5649" width="15.7109375" style="1" customWidth="1"/>
    <col min="5650" max="5651" width="2" style="1" customWidth="1"/>
    <col min="5652" max="5652" width="16.5703125" style="1" customWidth="1"/>
    <col min="5653" max="5653" width="5" style="1" customWidth="1"/>
    <col min="5654" max="5655" width="7.7109375" style="1"/>
    <col min="5656" max="5656" width="8.5703125" style="1" customWidth="1"/>
    <col min="5657" max="5657" width="10.42578125" style="1" bestFit="1" customWidth="1"/>
    <col min="5658" max="5658" width="10.42578125" style="1" customWidth="1"/>
    <col min="5659" max="5660" width="7.7109375" style="1"/>
    <col min="5661" max="5661" width="10" style="1" customWidth="1"/>
    <col min="5662" max="5888" width="7.7109375" style="1"/>
    <col min="5889" max="5889" width="8" style="1" customWidth="1"/>
    <col min="5890" max="5890" width="6.5703125" style="1" customWidth="1"/>
    <col min="5891" max="5891" width="2.28515625" style="1" customWidth="1"/>
    <col min="5892" max="5892" width="6.7109375" style="1" customWidth="1"/>
    <col min="5893" max="5893" width="7.28515625" style="1" customWidth="1"/>
    <col min="5894" max="5894" width="3.42578125" style="1" customWidth="1"/>
    <col min="5895" max="5895" width="8.7109375" style="1" customWidth="1"/>
    <col min="5896" max="5896" width="12.28515625" style="1" customWidth="1"/>
    <col min="5897" max="5897" width="11.42578125" style="1" customWidth="1"/>
    <col min="5898" max="5898" width="12.5703125" style="1" bestFit="1" customWidth="1"/>
    <col min="5899" max="5900" width="11.42578125" style="1" customWidth="1"/>
    <col min="5901" max="5901" width="1.140625" style="1" customWidth="1"/>
    <col min="5902" max="5902" width="14.5703125" style="1" customWidth="1"/>
    <col min="5903" max="5903" width="13.28515625" style="1" customWidth="1"/>
    <col min="5904" max="5904" width="16" style="1" bestFit="1" customWidth="1"/>
    <col min="5905" max="5905" width="15.7109375" style="1" customWidth="1"/>
    <col min="5906" max="5907" width="2" style="1" customWidth="1"/>
    <col min="5908" max="5908" width="16.5703125" style="1" customWidth="1"/>
    <col min="5909" max="5909" width="5" style="1" customWidth="1"/>
    <col min="5910" max="5911" width="7.7109375" style="1"/>
    <col min="5912" max="5912" width="8.5703125" style="1" customWidth="1"/>
    <col min="5913" max="5913" width="10.42578125" style="1" bestFit="1" customWidth="1"/>
    <col min="5914" max="5914" width="10.42578125" style="1" customWidth="1"/>
    <col min="5915" max="5916" width="7.7109375" style="1"/>
    <col min="5917" max="5917" width="10" style="1" customWidth="1"/>
    <col min="5918" max="6144" width="7.7109375" style="1"/>
    <col min="6145" max="6145" width="8" style="1" customWidth="1"/>
    <col min="6146" max="6146" width="6.5703125" style="1" customWidth="1"/>
    <col min="6147" max="6147" width="2.28515625" style="1" customWidth="1"/>
    <col min="6148" max="6148" width="6.7109375" style="1" customWidth="1"/>
    <col min="6149" max="6149" width="7.28515625" style="1" customWidth="1"/>
    <col min="6150" max="6150" width="3.42578125" style="1" customWidth="1"/>
    <col min="6151" max="6151" width="8.7109375" style="1" customWidth="1"/>
    <col min="6152" max="6152" width="12.28515625" style="1" customWidth="1"/>
    <col min="6153" max="6153" width="11.42578125" style="1" customWidth="1"/>
    <col min="6154" max="6154" width="12.5703125" style="1" bestFit="1" customWidth="1"/>
    <col min="6155" max="6156" width="11.42578125" style="1" customWidth="1"/>
    <col min="6157" max="6157" width="1.140625" style="1" customWidth="1"/>
    <col min="6158" max="6158" width="14.5703125" style="1" customWidth="1"/>
    <col min="6159" max="6159" width="13.28515625" style="1" customWidth="1"/>
    <col min="6160" max="6160" width="16" style="1" bestFit="1" customWidth="1"/>
    <col min="6161" max="6161" width="15.7109375" style="1" customWidth="1"/>
    <col min="6162" max="6163" width="2" style="1" customWidth="1"/>
    <col min="6164" max="6164" width="16.5703125" style="1" customWidth="1"/>
    <col min="6165" max="6165" width="5" style="1" customWidth="1"/>
    <col min="6166" max="6167" width="7.7109375" style="1"/>
    <col min="6168" max="6168" width="8.5703125" style="1" customWidth="1"/>
    <col min="6169" max="6169" width="10.42578125" style="1" bestFit="1" customWidth="1"/>
    <col min="6170" max="6170" width="10.42578125" style="1" customWidth="1"/>
    <col min="6171" max="6172" width="7.7109375" style="1"/>
    <col min="6173" max="6173" width="10" style="1" customWidth="1"/>
    <col min="6174" max="6400" width="7.7109375" style="1"/>
    <col min="6401" max="6401" width="8" style="1" customWidth="1"/>
    <col min="6402" max="6402" width="6.5703125" style="1" customWidth="1"/>
    <col min="6403" max="6403" width="2.28515625" style="1" customWidth="1"/>
    <col min="6404" max="6404" width="6.7109375" style="1" customWidth="1"/>
    <col min="6405" max="6405" width="7.28515625" style="1" customWidth="1"/>
    <col min="6406" max="6406" width="3.42578125" style="1" customWidth="1"/>
    <col min="6407" max="6407" width="8.7109375" style="1" customWidth="1"/>
    <col min="6408" max="6408" width="12.28515625" style="1" customWidth="1"/>
    <col min="6409" max="6409" width="11.42578125" style="1" customWidth="1"/>
    <col min="6410" max="6410" width="12.5703125" style="1" bestFit="1" customWidth="1"/>
    <col min="6411" max="6412" width="11.42578125" style="1" customWidth="1"/>
    <col min="6413" max="6413" width="1.140625" style="1" customWidth="1"/>
    <col min="6414" max="6414" width="14.5703125" style="1" customWidth="1"/>
    <col min="6415" max="6415" width="13.28515625" style="1" customWidth="1"/>
    <col min="6416" max="6416" width="16" style="1" bestFit="1" customWidth="1"/>
    <col min="6417" max="6417" width="15.7109375" style="1" customWidth="1"/>
    <col min="6418" max="6419" width="2" style="1" customWidth="1"/>
    <col min="6420" max="6420" width="16.5703125" style="1" customWidth="1"/>
    <col min="6421" max="6421" width="5" style="1" customWidth="1"/>
    <col min="6422" max="6423" width="7.7109375" style="1"/>
    <col min="6424" max="6424" width="8.5703125" style="1" customWidth="1"/>
    <col min="6425" max="6425" width="10.42578125" style="1" bestFit="1" customWidth="1"/>
    <col min="6426" max="6426" width="10.42578125" style="1" customWidth="1"/>
    <col min="6427" max="6428" width="7.7109375" style="1"/>
    <col min="6429" max="6429" width="10" style="1" customWidth="1"/>
    <col min="6430" max="6656" width="7.7109375" style="1"/>
    <col min="6657" max="6657" width="8" style="1" customWidth="1"/>
    <col min="6658" max="6658" width="6.5703125" style="1" customWidth="1"/>
    <col min="6659" max="6659" width="2.28515625" style="1" customWidth="1"/>
    <col min="6660" max="6660" width="6.7109375" style="1" customWidth="1"/>
    <col min="6661" max="6661" width="7.28515625" style="1" customWidth="1"/>
    <col min="6662" max="6662" width="3.42578125" style="1" customWidth="1"/>
    <col min="6663" max="6663" width="8.7109375" style="1" customWidth="1"/>
    <col min="6664" max="6664" width="12.28515625" style="1" customWidth="1"/>
    <col min="6665" max="6665" width="11.42578125" style="1" customWidth="1"/>
    <col min="6666" max="6666" width="12.5703125" style="1" bestFit="1" customWidth="1"/>
    <col min="6667" max="6668" width="11.42578125" style="1" customWidth="1"/>
    <col min="6669" max="6669" width="1.140625" style="1" customWidth="1"/>
    <col min="6670" max="6670" width="14.5703125" style="1" customWidth="1"/>
    <col min="6671" max="6671" width="13.28515625" style="1" customWidth="1"/>
    <col min="6672" max="6672" width="16" style="1" bestFit="1" customWidth="1"/>
    <col min="6673" max="6673" width="15.7109375" style="1" customWidth="1"/>
    <col min="6674" max="6675" width="2" style="1" customWidth="1"/>
    <col min="6676" max="6676" width="16.5703125" style="1" customWidth="1"/>
    <col min="6677" max="6677" width="5" style="1" customWidth="1"/>
    <col min="6678" max="6679" width="7.7109375" style="1"/>
    <col min="6680" max="6680" width="8.5703125" style="1" customWidth="1"/>
    <col min="6681" max="6681" width="10.42578125" style="1" bestFit="1" customWidth="1"/>
    <col min="6682" max="6682" width="10.42578125" style="1" customWidth="1"/>
    <col min="6683" max="6684" width="7.7109375" style="1"/>
    <col min="6685" max="6685" width="10" style="1" customWidth="1"/>
    <col min="6686" max="6912" width="7.7109375" style="1"/>
    <col min="6913" max="6913" width="8" style="1" customWidth="1"/>
    <col min="6914" max="6914" width="6.5703125" style="1" customWidth="1"/>
    <col min="6915" max="6915" width="2.28515625" style="1" customWidth="1"/>
    <col min="6916" max="6916" width="6.7109375" style="1" customWidth="1"/>
    <col min="6917" max="6917" width="7.28515625" style="1" customWidth="1"/>
    <col min="6918" max="6918" width="3.42578125" style="1" customWidth="1"/>
    <col min="6919" max="6919" width="8.7109375" style="1" customWidth="1"/>
    <col min="6920" max="6920" width="12.28515625" style="1" customWidth="1"/>
    <col min="6921" max="6921" width="11.42578125" style="1" customWidth="1"/>
    <col min="6922" max="6922" width="12.5703125" style="1" bestFit="1" customWidth="1"/>
    <col min="6923" max="6924" width="11.42578125" style="1" customWidth="1"/>
    <col min="6925" max="6925" width="1.140625" style="1" customWidth="1"/>
    <col min="6926" max="6926" width="14.5703125" style="1" customWidth="1"/>
    <col min="6927" max="6927" width="13.28515625" style="1" customWidth="1"/>
    <col min="6928" max="6928" width="16" style="1" bestFit="1" customWidth="1"/>
    <col min="6929" max="6929" width="15.7109375" style="1" customWidth="1"/>
    <col min="6930" max="6931" width="2" style="1" customWidth="1"/>
    <col min="6932" max="6932" width="16.5703125" style="1" customWidth="1"/>
    <col min="6933" max="6933" width="5" style="1" customWidth="1"/>
    <col min="6934" max="6935" width="7.7109375" style="1"/>
    <col min="6936" max="6936" width="8.5703125" style="1" customWidth="1"/>
    <col min="6937" max="6937" width="10.42578125" style="1" bestFit="1" customWidth="1"/>
    <col min="6938" max="6938" width="10.42578125" style="1" customWidth="1"/>
    <col min="6939" max="6940" width="7.7109375" style="1"/>
    <col min="6941" max="6941" width="10" style="1" customWidth="1"/>
    <col min="6942" max="7168" width="7.7109375" style="1"/>
    <col min="7169" max="7169" width="8" style="1" customWidth="1"/>
    <col min="7170" max="7170" width="6.5703125" style="1" customWidth="1"/>
    <col min="7171" max="7171" width="2.28515625" style="1" customWidth="1"/>
    <col min="7172" max="7172" width="6.7109375" style="1" customWidth="1"/>
    <col min="7173" max="7173" width="7.28515625" style="1" customWidth="1"/>
    <col min="7174" max="7174" width="3.42578125" style="1" customWidth="1"/>
    <col min="7175" max="7175" width="8.7109375" style="1" customWidth="1"/>
    <col min="7176" max="7176" width="12.28515625" style="1" customWidth="1"/>
    <col min="7177" max="7177" width="11.42578125" style="1" customWidth="1"/>
    <col min="7178" max="7178" width="12.5703125" style="1" bestFit="1" customWidth="1"/>
    <col min="7179" max="7180" width="11.42578125" style="1" customWidth="1"/>
    <col min="7181" max="7181" width="1.140625" style="1" customWidth="1"/>
    <col min="7182" max="7182" width="14.5703125" style="1" customWidth="1"/>
    <col min="7183" max="7183" width="13.28515625" style="1" customWidth="1"/>
    <col min="7184" max="7184" width="16" style="1" bestFit="1" customWidth="1"/>
    <col min="7185" max="7185" width="15.7109375" style="1" customWidth="1"/>
    <col min="7186" max="7187" width="2" style="1" customWidth="1"/>
    <col min="7188" max="7188" width="16.5703125" style="1" customWidth="1"/>
    <col min="7189" max="7189" width="5" style="1" customWidth="1"/>
    <col min="7190" max="7191" width="7.7109375" style="1"/>
    <col min="7192" max="7192" width="8.5703125" style="1" customWidth="1"/>
    <col min="7193" max="7193" width="10.42578125" style="1" bestFit="1" customWidth="1"/>
    <col min="7194" max="7194" width="10.42578125" style="1" customWidth="1"/>
    <col min="7195" max="7196" width="7.7109375" style="1"/>
    <col min="7197" max="7197" width="10" style="1" customWidth="1"/>
    <col min="7198" max="7424" width="7.7109375" style="1"/>
    <col min="7425" max="7425" width="8" style="1" customWidth="1"/>
    <col min="7426" max="7426" width="6.5703125" style="1" customWidth="1"/>
    <col min="7427" max="7427" width="2.28515625" style="1" customWidth="1"/>
    <col min="7428" max="7428" width="6.7109375" style="1" customWidth="1"/>
    <col min="7429" max="7429" width="7.28515625" style="1" customWidth="1"/>
    <col min="7430" max="7430" width="3.42578125" style="1" customWidth="1"/>
    <col min="7431" max="7431" width="8.7109375" style="1" customWidth="1"/>
    <col min="7432" max="7432" width="12.28515625" style="1" customWidth="1"/>
    <col min="7433" max="7433" width="11.42578125" style="1" customWidth="1"/>
    <col min="7434" max="7434" width="12.5703125" style="1" bestFit="1" customWidth="1"/>
    <col min="7435" max="7436" width="11.42578125" style="1" customWidth="1"/>
    <col min="7437" max="7437" width="1.140625" style="1" customWidth="1"/>
    <col min="7438" max="7438" width="14.5703125" style="1" customWidth="1"/>
    <col min="7439" max="7439" width="13.28515625" style="1" customWidth="1"/>
    <col min="7440" max="7440" width="16" style="1" bestFit="1" customWidth="1"/>
    <col min="7441" max="7441" width="15.7109375" style="1" customWidth="1"/>
    <col min="7442" max="7443" width="2" style="1" customWidth="1"/>
    <col min="7444" max="7444" width="16.5703125" style="1" customWidth="1"/>
    <col min="7445" max="7445" width="5" style="1" customWidth="1"/>
    <col min="7446" max="7447" width="7.7109375" style="1"/>
    <col min="7448" max="7448" width="8.5703125" style="1" customWidth="1"/>
    <col min="7449" max="7449" width="10.42578125" style="1" bestFit="1" customWidth="1"/>
    <col min="7450" max="7450" width="10.42578125" style="1" customWidth="1"/>
    <col min="7451" max="7452" width="7.7109375" style="1"/>
    <col min="7453" max="7453" width="10" style="1" customWidth="1"/>
    <col min="7454" max="7680" width="7.7109375" style="1"/>
    <col min="7681" max="7681" width="8" style="1" customWidth="1"/>
    <col min="7682" max="7682" width="6.5703125" style="1" customWidth="1"/>
    <col min="7683" max="7683" width="2.28515625" style="1" customWidth="1"/>
    <col min="7684" max="7684" width="6.7109375" style="1" customWidth="1"/>
    <col min="7685" max="7685" width="7.28515625" style="1" customWidth="1"/>
    <col min="7686" max="7686" width="3.42578125" style="1" customWidth="1"/>
    <col min="7687" max="7687" width="8.7109375" style="1" customWidth="1"/>
    <col min="7688" max="7688" width="12.28515625" style="1" customWidth="1"/>
    <col min="7689" max="7689" width="11.42578125" style="1" customWidth="1"/>
    <col min="7690" max="7690" width="12.5703125" style="1" bestFit="1" customWidth="1"/>
    <col min="7691" max="7692" width="11.42578125" style="1" customWidth="1"/>
    <col min="7693" max="7693" width="1.140625" style="1" customWidth="1"/>
    <col min="7694" max="7694" width="14.5703125" style="1" customWidth="1"/>
    <col min="7695" max="7695" width="13.28515625" style="1" customWidth="1"/>
    <col min="7696" max="7696" width="16" style="1" bestFit="1" customWidth="1"/>
    <col min="7697" max="7697" width="15.7109375" style="1" customWidth="1"/>
    <col min="7698" max="7699" width="2" style="1" customWidth="1"/>
    <col min="7700" max="7700" width="16.5703125" style="1" customWidth="1"/>
    <col min="7701" max="7701" width="5" style="1" customWidth="1"/>
    <col min="7702" max="7703" width="7.7109375" style="1"/>
    <col min="7704" max="7704" width="8.5703125" style="1" customWidth="1"/>
    <col min="7705" max="7705" width="10.42578125" style="1" bestFit="1" customWidth="1"/>
    <col min="7706" max="7706" width="10.42578125" style="1" customWidth="1"/>
    <col min="7707" max="7708" width="7.7109375" style="1"/>
    <col min="7709" max="7709" width="10" style="1" customWidth="1"/>
    <col min="7710" max="7936" width="7.7109375" style="1"/>
    <col min="7937" max="7937" width="8" style="1" customWidth="1"/>
    <col min="7938" max="7938" width="6.5703125" style="1" customWidth="1"/>
    <col min="7939" max="7939" width="2.28515625" style="1" customWidth="1"/>
    <col min="7940" max="7940" width="6.7109375" style="1" customWidth="1"/>
    <col min="7941" max="7941" width="7.28515625" style="1" customWidth="1"/>
    <col min="7942" max="7942" width="3.42578125" style="1" customWidth="1"/>
    <col min="7943" max="7943" width="8.7109375" style="1" customWidth="1"/>
    <col min="7944" max="7944" width="12.28515625" style="1" customWidth="1"/>
    <col min="7945" max="7945" width="11.42578125" style="1" customWidth="1"/>
    <col min="7946" max="7946" width="12.5703125" style="1" bestFit="1" customWidth="1"/>
    <col min="7947" max="7948" width="11.42578125" style="1" customWidth="1"/>
    <col min="7949" max="7949" width="1.140625" style="1" customWidth="1"/>
    <col min="7950" max="7950" width="14.5703125" style="1" customWidth="1"/>
    <col min="7951" max="7951" width="13.28515625" style="1" customWidth="1"/>
    <col min="7952" max="7952" width="16" style="1" bestFit="1" customWidth="1"/>
    <col min="7953" max="7953" width="15.7109375" style="1" customWidth="1"/>
    <col min="7954" max="7955" width="2" style="1" customWidth="1"/>
    <col min="7956" max="7956" width="16.5703125" style="1" customWidth="1"/>
    <col min="7957" max="7957" width="5" style="1" customWidth="1"/>
    <col min="7958" max="7959" width="7.7109375" style="1"/>
    <col min="7960" max="7960" width="8.5703125" style="1" customWidth="1"/>
    <col min="7961" max="7961" width="10.42578125" style="1" bestFit="1" customWidth="1"/>
    <col min="7962" max="7962" width="10.42578125" style="1" customWidth="1"/>
    <col min="7963" max="7964" width="7.7109375" style="1"/>
    <col min="7965" max="7965" width="10" style="1" customWidth="1"/>
    <col min="7966" max="8192" width="7.7109375" style="1"/>
    <col min="8193" max="8193" width="8" style="1" customWidth="1"/>
    <col min="8194" max="8194" width="6.5703125" style="1" customWidth="1"/>
    <col min="8195" max="8195" width="2.28515625" style="1" customWidth="1"/>
    <col min="8196" max="8196" width="6.7109375" style="1" customWidth="1"/>
    <col min="8197" max="8197" width="7.28515625" style="1" customWidth="1"/>
    <col min="8198" max="8198" width="3.42578125" style="1" customWidth="1"/>
    <col min="8199" max="8199" width="8.7109375" style="1" customWidth="1"/>
    <col min="8200" max="8200" width="12.28515625" style="1" customWidth="1"/>
    <col min="8201" max="8201" width="11.42578125" style="1" customWidth="1"/>
    <col min="8202" max="8202" width="12.5703125" style="1" bestFit="1" customWidth="1"/>
    <col min="8203" max="8204" width="11.42578125" style="1" customWidth="1"/>
    <col min="8205" max="8205" width="1.140625" style="1" customWidth="1"/>
    <col min="8206" max="8206" width="14.5703125" style="1" customWidth="1"/>
    <col min="8207" max="8207" width="13.28515625" style="1" customWidth="1"/>
    <col min="8208" max="8208" width="16" style="1" bestFit="1" customWidth="1"/>
    <col min="8209" max="8209" width="15.7109375" style="1" customWidth="1"/>
    <col min="8210" max="8211" width="2" style="1" customWidth="1"/>
    <col min="8212" max="8212" width="16.5703125" style="1" customWidth="1"/>
    <col min="8213" max="8213" width="5" style="1" customWidth="1"/>
    <col min="8214" max="8215" width="7.7109375" style="1"/>
    <col min="8216" max="8216" width="8.5703125" style="1" customWidth="1"/>
    <col min="8217" max="8217" width="10.42578125" style="1" bestFit="1" customWidth="1"/>
    <col min="8218" max="8218" width="10.42578125" style="1" customWidth="1"/>
    <col min="8219" max="8220" width="7.7109375" style="1"/>
    <col min="8221" max="8221" width="10" style="1" customWidth="1"/>
    <col min="8222" max="8448" width="7.7109375" style="1"/>
    <col min="8449" max="8449" width="8" style="1" customWidth="1"/>
    <col min="8450" max="8450" width="6.5703125" style="1" customWidth="1"/>
    <col min="8451" max="8451" width="2.28515625" style="1" customWidth="1"/>
    <col min="8452" max="8452" width="6.7109375" style="1" customWidth="1"/>
    <col min="8453" max="8453" width="7.28515625" style="1" customWidth="1"/>
    <col min="8454" max="8454" width="3.42578125" style="1" customWidth="1"/>
    <col min="8455" max="8455" width="8.7109375" style="1" customWidth="1"/>
    <col min="8456" max="8456" width="12.28515625" style="1" customWidth="1"/>
    <col min="8457" max="8457" width="11.42578125" style="1" customWidth="1"/>
    <col min="8458" max="8458" width="12.5703125" style="1" bestFit="1" customWidth="1"/>
    <col min="8459" max="8460" width="11.42578125" style="1" customWidth="1"/>
    <col min="8461" max="8461" width="1.140625" style="1" customWidth="1"/>
    <col min="8462" max="8462" width="14.5703125" style="1" customWidth="1"/>
    <col min="8463" max="8463" width="13.28515625" style="1" customWidth="1"/>
    <col min="8464" max="8464" width="16" style="1" bestFit="1" customWidth="1"/>
    <col min="8465" max="8465" width="15.7109375" style="1" customWidth="1"/>
    <col min="8466" max="8467" width="2" style="1" customWidth="1"/>
    <col min="8468" max="8468" width="16.5703125" style="1" customWidth="1"/>
    <col min="8469" max="8469" width="5" style="1" customWidth="1"/>
    <col min="8470" max="8471" width="7.7109375" style="1"/>
    <col min="8472" max="8472" width="8.5703125" style="1" customWidth="1"/>
    <col min="8473" max="8473" width="10.42578125" style="1" bestFit="1" customWidth="1"/>
    <col min="8474" max="8474" width="10.42578125" style="1" customWidth="1"/>
    <col min="8475" max="8476" width="7.7109375" style="1"/>
    <col min="8477" max="8477" width="10" style="1" customWidth="1"/>
    <col min="8478" max="8704" width="7.7109375" style="1"/>
    <col min="8705" max="8705" width="8" style="1" customWidth="1"/>
    <col min="8706" max="8706" width="6.5703125" style="1" customWidth="1"/>
    <col min="8707" max="8707" width="2.28515625" style="1" customWidth="1"/>
    <col min="8708" max="8708" width="6.7109375" style="1" customWidth="1"/>
    <col min="8709" max="8709" width="7.28515625" style="1" customWidth="1"/>
    <col min="8710" max="8710" width="3.42578125" style="1" customWidth="1"/>
    <col min="8711" max="8711" width="8.7109375" style="1" customWidth="1"/>
    <col min="8712" max="8712" width="12.28515625" style="1" customWidth="1"/>
    <col min="8713" max="8713" width="11.42578125" style="1" customWidth="1"/>
    <col min="8714" max="8714" width="12.5703125" style="1" bestFit="1" customWidth="1"/>
    <col min="8715" max="8716" width="11.42578125" style="1" customWidth="1"/>
    <col min="8717" max="8717" width="1.140625" style="1" customWidth="1"/>
    <col min="8718" max="8718" width="14.5703125" style="1" customWidth="1"/>
    <col min="8719" max="8719" width="13.28515625" style="1" customWidth="1"/>
    <col min="8720" max="8720" width="16" style="1" bestFit="1" customWidth="1"/>
    <col min="8721" max="8721" width="15.7109375" style="1" customWidth="1"/>
    <col min="8722" max="8723" width="2" style="1" customWidth="1"/>
    <col min="8724" max="8724" width="16.5703125" style="1" customWidth="1"/>
    <col min="8725" max="8725" width="5" style="1" customWidth="1"/>
    <col min="8726" max="8727" width="7.7109375" style="1"/>
    <col min="8728" max="8728" width="8.5703125" style="1" customWidth="1"/>
    <col min="8729" max="8729" width="10.42578125" style="1" bestFit="1" customWidth="1"/>
    <col min="8730" max="8730" width="10.42578125" style="1" customWidth="1"/>
    <col min="8731" max="8732" width="7.7109375" style="1"/>
    <col min="8733" max="8733" width="10" style="1" customWidth="1"/>
    <col min="8734" max="8960" width="7.7109375" style="1"/>
    <col min="8961" max="8961" width="8" style="1" customWidth="1"/>
    <col min="8962" max="8962" width="6.5703125" style="1" customWidth="1"/>
    <col min="8963" max="8963" width="2.28515625" style="1" customWidth="1"/>
    <col min="8964" max="8964" width="6.7109375" style="1" customWidth="1"/>
    <col min="8965" max="8965" width="7.28515625" style="1" customWidth="1"/>
    <col min="8966" max="8966" width="3.42578125" style="1" customWidth="1"/>
    <col min="8967" max="8967" width="8.7109375" style="1" customWidth="1"/>
    <col min="8968" max="8968" width="12.28515625" style="1" customWidth="1"/>
    <col min="8969" max="8969" width="11.42578125" style="1" customWidth="1"/>
    <col min="8970" max="8970" width="12.5703125" style="1" bestFit="1" customWidth="1"/>
    <col min="8971" max="8972" width="11.42578125" style="1" customWidth="1"/>
    <col min="8973" max="8973" width="1.140625" style="1" customWidth="1"/>
    <col min="8974" max="8974" width="14.5703125" style="1" customWidth="1"/>
    <col min="8975" max="8975" width="13.28515625" style="1" customWidth="1"/>
    <col min="8976" max="8976" width="16" style="1" bestFit="1" customWidth="1"/>
    <col min="8977" max="8977" width="15.7109375" style="1" customWidth="1"/>
    <col min="8978" max="8979" width="2" style="1" customWidth="1"/>
    <col min="8980" max="8980" width="16.5703125" style="1" customWidth="1"/>
    <col min="8981" max="8981" width="5" style="1" customWidth="1"/>
    <col min="8982" max="8983" width="7.7109375" style="1"/>
    <col min="8984" max="8984" width="8.5703125" style="1" customWidth="1"/>
    <col min="8985" max="8985" width="10.42578125" style="1" bestFit="1" customWidth="1"/>
    <col min="8986" max="8986" width="10.42578125" style="1" customWidth="1"/>
    <col min="8987" max="8988" width="7.7109375" style="1"/>
    <col min="8989" max="8989" width="10" style="1" customWidth="1"/>
    <col min="8990" max="9216" width="7.7109375" style="1"/>
    <col min="9217" max="9217" width="8" style="1" customWidth="1"/>
    <col min="9218" max="9218" width="6.5703125" style="1" customWidth="1"/>
    <col min="9219" max="9219" width="2.28515625" style="1" customWidth="1"/>
    <col min="9220" max="9220" width="6.7109375" style="1" customWidth="1"/>
    <col min="9221" max="9221" width="7.28515625" style="1" customWidth="1"/>
    <col min="9222" max="9222" width="3.42578125" style="1" customWidth="1"/>
    <col min="9223" max="9223" width="8.7109375" style="1" customWidth="1"/>
    <col min="9224" max="9224" width="12.28515625" style="1" customWidth="1"/>
    <col min="9225" max="9225" width="11.42578125" style="1" customWidth="1"/>
    <col min="9226" max="9226" width="12.5703125" style="1" bestFit="1" customWidth="1"/>
    <col min="9227" max="9228" width="11.42578125" style="1" customWidth="1"/>
    <col min="9229" max="9229" width="1.140625" style="1" customWidth="1"/>
    <col min="9230" max="9230" width="14.5703125" style="1" customWidth="1"/>
    <col min="9231" max="9231" width="13.28515625" style="1" customWidth="1"/>
    <col min="9232" max="9232" width="16" style="1" bestFit="1" customWidth="1"/>
    <col min="9233" max="9233" width="15.7109375" style="1" customWidth="1"/>
    <col min="9234" max="9235" width="2" style="1" customWidth="1"/>
    <col min="9236" max="9236" width="16.5703125" style="1" customWidth="1"/>
    <col min="9237" max="9237" width="5" style="1" customWidth="1"/>
    <col min="9238" max="9239" width="7.7109375" style="1"/>
    <col min="9240" max="9240" width="8.5703125" style="1" customWidth="1"/>
    <col min="9241" max="9241" width="10.42578125" style="1" bestFit="1" customWidth="1"/>
    <col min="9242" max="9242" width="10.42578125" style="1" customWidth="1"/>
    <col min="9243" max="9244" width="7.7109375" style="1"/>
    <col min="9245" max="9245" width="10" style="1" customWidth="1"/>
    <col min="9246" max="9472" width="7.7109375" style="1"/>
    <col min="9473" max="9473" width="8" style="1" customWidth="1"/>
    <col min="9474" max="9474" width="6.5703125" style="1" customWidth="1"/>
    <col min="9475" max="9475" width="2.28515625" style="1" customWidth="1"/>
    <col min="9476" max="9476" width="6.7109375" style="1" customWidth="1"/>
    <col min="9477" max="9477" width="7.28515625" style="1" customWidth="1"/>
    <col min="9478" max="9478" width="3.42578125" style="1" customWidth="1"/>
    <col min="9479" max="9479" width="8.7109375" style="1" customWidth="1"/>
    <col min="9480" max="9480" width="12.28515625" style="1" customWidth="1"/>
    <col min="9481" max="9481" width="11.42578125" style="1" customWidth="1"/>
    <col min="9482" max="9482" width="12.5703125" style="1" bestFit="1" customWidth="1"/>
    <col min="9483" max="9484" width="11.42578125" style="1" customWidth="1"/>
    <col min="9485" max="9485" width="1.140625" style="1" customWidth="1"/>
    <col min="9486" max="9486" width="14.5703125" style="1" customWidth="1"/>
    <col min="9487" max="9487" width="13.28515625" style="1" customWidth="1"/>
    <col min="9488" max="9488" width="16" style="1" bestFit="1" customWidth="1"/>
    <col min="9489" max="9489" width="15.7109375" style="1" customWidth="1"/>
    <col min="9490" max="9491" width="2" style="1" customWidth="1"/>
    <col min="9492" max="9492" width="16.5703125" style="1" customWidth="1"/>
    <col min="9493" max="9493" width="5" style="1" customWidth="1"/>
    <col min="9494" max="9495" width="7.7109375" style="1"/>
    <col min="9496" max="9496" width="8.5703125" style="1" customWidth="1"/>
    <col min="9497" max="9497" width="10.42578125" style="1" bestFit="1" customWidth="1"/>
    <col min="9498" max="9498" width="10.42578125" style="1" customWidth="1"/>
    <col min="9499" max="9500" width="7.7109375" style="1"/>
    <col min="9501" max="9501" width="10" style="1" customWidth="1"/>
    <col min="9502" max="9728" width="7.7109375" style="1"/>
    <col min="9729" max="9729" width="8" style="1" customWidth="1"/>
    <col min="9730" max="9730" width="6.5703125" style="1" customWidth="1"/>
    <col min="9731" max="9731" width="2.28515625" style="1" customWidth="1"/>
    <col min="9732" max="9732" width="6.7109375" style="1" customWidth="1"/>
    <col min="9733" max="9733" width="7.28515625" style="1" customWidth="1"/>
    <col min="9734" max="9734" width="3.42578125" style="1" customWidth="1"/>
    <col min="9735" max="9735" width="8.7109375" style="1" customWidth="1"/>
    <col min="9736" max="9736" width="12.28515625" style="1" customWidth="1"/>
    <col min="9737" max="9737" width="11.42578125" style="1" customWidth="1"/>
    <col min="9738" max="9738" width="12.5703125" style="1" bestFit="1" customWidth="1"/>
    <col min="9739" max="9740" width="11.42578125" style="1" customWidth="1"/>
    <col min="9741" max="9741" width="1.140625" style="1" customWidth="1"/>
    <col min="9742" max="9742" width="14.5703125" style="1" customWidth="1"/>
    <col min="9743" max="9743" width="13.28515625" style="1" customWidth="1"/>
    <col min="9744" max="9744" width="16" style="1" bestFit="1" customWidth="1"/>
    <col min="9745" max="9745" width="15.7109375" style="1" customWidth="1"/>
    <col min="9746" max="9747" width="2" style="1" customWidth="1"/>
    <col min="9748" max="9748" width="16.5703125" style="1" customWidth="1"/>
    <col min="9749" max="9749" width="5" style="1" customWidth="1"/>
    <col min="9750" max="9751" width="7.7109375" style="1"/>
    <col min="9752" max="9752" width="8.5703125" style="1" customWidth="1"/>
    <col min="9753" max="9753" width="10.42578125" style="1" bestFit="1" customWidth="1"/>
    <col min="9754" max="9754" width="10.42578125" style="1" customWidth="1"/>
    <col min="9755" max="9756" width="7.7109375" style="1"/>
    <col min="9757" max="9757" width="10" style="1" customWidth="1"/>
    <col min="9758" max="9984" width="7.7109375" style="1"/>
    <col min="9985" max="9985" width="8" style="1" customWidth="1"/>
    <col min="9986" max="9986" width="6.5703125" style="1" customWidth="1"/>
    <col min="9987" max="9987" width="2.28515625" style="1" customWidth="1"/>
    <col min="9988" max="9988" width="6.7109375" style="1" customWidth="1"/>
    <col min="9989" max="9989" width="7.28515625" style="1" customWidth="1"/>
    <col min="9990" max="9990" width="3.42578125" style="1" customWidth="1"/>
    <col min="9991" max="9991" width="8.7109375" style="1" customWidth="1"/>
    <col min="9992" max="9992" width="12.28515625" style="1" customWidth="1"/>
    <col min="9993" max="9993" width="11.42578125" style="1" customWidth="1"/>
    <col min="9994" max="9994" width="12.5703125" style="1" bestFit="1" customWidth="1"/>
    <col min="9995" max="9996" width="11.42578125" style="1" customWidth="1"/>
    <col min="9997" max="9997" width="1.140625" style="1" customWidth="1"/>
    <col min="9998" max="9998" width="14.5703125" style="1" customWidth="1"/>
    <col min="9999" max="9999" width="13.28515625" style="1" customWidth="1"/>
    <col min="10000" max="10000" width="16" style="1" bestFit="1" customWidth="1"/>
    <col min="10001" max="10001" width="15.7109375" style="1" customWidth="1"/>
    <col min="10002" max="10003" width="2" style="1" customWidth="1"/>
    <col min="10004" max="10004" width="16.5703125" style="1" customWidth="1"/>
    <col min="10005" max="10005" width="5" style="1" customWidth="1"/>
    <col min="10006" max="10007" width="7.7109375" style="1"/>
    <col min="10008" max="10008" width="8.5703125" style="1" customWidth="1"/>
    <col min="10009" max="10009" width="10.42578125" style="1" bestFit="1" customWidth="1"/>
    <col min="10010" max="10010" width="10.42578125" style="1" customWidth="1"/>
    <col min="10011" max="10012" width="7.7109375" style="1"/>
    <col min="10013" max="10013" width="10" style="1" customWidth="1"/>
    <col min="10014" max="10240" width="7.7109375" style="1"/>
    <col min="10241" max="10241" width="8" style="1" customWidth="1"/>
    <col min="10242" max="10242" width="6.5703125" style="1" customWidth="1"/>
    <col min="10243" max="10243" width="2.28515625" style="1" customWidth="1"/>
    <col min="10244" max="10244" width="6.7109375" style="1" customWidth="1"/>
    <col min="10245" max="10245" width="7.28515625" style="1" customWidth="1"/>
    <col min="10246" max="10246" width="3.42578125" style="1" customWidth="1"/>
    <col min="10247" max="10247" width="8.7109375" style="1" customWidth="1"/>
    <col min="10248" max="10248" width="12.28515625" style="1" customWidth="1"/>
    <col min="10249" max="10249" width="11.42578125" style="1" customWidth="1"/>
    <col min="10250" max="10250" width="12.5703125" style="1" bestFit="1" customWidth="1"/>
    <col min="10251" max="10252" width="11.42578125" style="1" customWidth="1"/>
    <col min="10253" max="10253" width="1.140625" style="1" customWidth="1"/>
    <col min="10254" max="10254" width="14.5703125" style="1" customWidth="1"/>
    <col min="10255" max="10255" width="13.28515625" style="1" customWidth="1"/>
    <col min="10256" max="10256" width="16" style="1" bestFit="1" customWidth="1"/>
    <col min="10257" max="10257" width="15.7109375" style="1" customWidth="1"/>
    <col min="10258" max="10259" width="2" style="1" customWidth="1"/>
    <col min="10260" max="10260" width="16.5703125" style="1" customWidth="1"/>
    <col min="10261" max="10261" width="5" style="1" customWidth="1"/>
    <col min="10262" max="10263" width="7.7109375" style="1"/>
    <col min="10264" max="10264" width="8.5703125" style="1" customWidth="1"/>
    <col min="10265" max="10265" width="10.42578125" style="1" bestFit="1" customWidth="1"/>
    <col min="10266" max="10266" width="10.42578125" style="1" customWidth="1"/>
    <col min="10267" max="10268" width="7.7109375" style="1"/>
    <col min="10269" max="10269" width="10" style="1" customWidth="1"/>
    <col min="10270" max="10496" width="7.7109375" style="1"/>
    <col min="10497" max="10497" width="8" style="1" customWidth="1"/>
    <col min="10498" max="10498" width="6.5703125" style="1" customWidth="1"/>
    <col min="10499" max="10499" width="2.28515625" style="1" customWidth="1"/>
    <col min="10500" max="10500" width="6.7109375" style="1" customWidth="1"/>
    <col min="10501" max="10501" width="7.28515625" style="1" customWidth="1"/>
    <col min="10502" max="10502" width="3.42578125" style="1" customWidth="1"/>
    <col min="10503" max="10503" width="8.7109375" style="1" customWidth="1"/>
    <col min="10504" max="10504" width="12.28515625" style="1" customWidth="1"/>
    <col min="10505" max="10505" width="11.42578125" style="1" customWidth="1"/>
    <col min="10506" max="10506" width="12.5703125" style="1" bestFit="1" customWidth="1"/>
    <col min="10507" max="10508" width="11.42578125" style="1" customWidth="1"/>
    <col min="10509" max="10509" width="1.140625" style="1" customWidth="1"/>
    <col min="10510" max="10510" width="14.5703125" style="1" customWidth="1"/>
    <col min="10511" max="10511" width="13.28515625" style="1" customWidth="1"/>
    <col min="10512" max="10512" width="16" style="1" bestFit="1" customWidth="1"/>
    <col min="10513" max="10513" width="15.7109375" style="1" customWidth="1"/>
    <col min="10514" max="10515" width="2" style="1" customWidth="1"/>
    <col min="10516" max="10516" width="16.5703125" style="1" customWidth="1"/>
    <col min="10517" max="10517" width="5" style="1" customWidth="1"/>
    <col min="10518" max="10519" width="7.7109375" style="1"/>
    <col min="10520" max="10520" width="8.5703125" style="1" customWidth="1"/>
    <col min="10521" max="10521" width="10.42578125" style="1" bestFit="1" customWidth="1"/>
    <col min="10522" max="10522" width="10.42578125" style="1" customWidth="1"/>
    <col min="10523" max="10524" width="7.7109375" style="1"/>
    <col min="10525" max="10525" width="10" style="1" customWidth="1"/>
    <col min="10526" max="10752" width="7.7109375" style="1"/>
    <col min="10753" max="10753" width="8" style="1" customWidth="1"/>
    <col min="10754" max="10754" width="6.5703125" style="1" customWidth="1"/>
    <col min="10755" max="10755" width="2.28515625" style="1" customWidth="1"/>
    <col min="10756" max="10756" width="6.7109375" style="1" customWidth="1"/>
    <col min="10757" max="10757" width="7.28515625" style="1" customWidth="1"/>
    <col min="10758" max="10758" width="3.42578125" style="1" customWidth="1"/>
    <col min="10759" max="10759" width="8.7109375" style="1" customWidth="1"/>
    <col min="10760" max="10760" width="12.28515625" style="1" customWidth="1"/>
    <col min="10761" max="10761" width="11.42578125" style="1" customWidth="1"/>
    <col min="10762" max="10762" width="12.5703125" style="1" bestFit="1" customWidth="1"/>
    <col min="10763" max="10764" width="11.42578125" style="1" customWidth="1"/>
    <col min="10765" max="10765" width="1.140625" style="1" customWidth="1"/>
    <col min="10766" max="10766" width="14.5703125" style="1" customWidth="1"/>
    <col min="10767" max="10767" width="13.28515625" style="1" customWidth="1"/>
    <col min="10768" max="10768" width="16" style="1" bestFit="1" customWidth="1"/>
    <col min="10769" max="10769" width="15.7109375" style="1" customWidth="1"/>
    <col min="10770" max="10771" width="2" style="1" customWidth="1"/>
    <col min="10772" max="10772" width="16.5703125" style="1" customWidth="1"/>
    <col min="10773" max="10773" width="5" style="1" customWidth="1"/>
    <col min="10774" max="10775" width="7.7109375" style="1"/>
    <col min="10776" max="10776" width="8.5703125" style="1" customWidth="1"/>
    <col min="10777" max="10777" width="10.42578125" style="1" bestFit="1" customWidth="1"/>
    <col min="10778" max="10778" width="10.42578125" style="1" customWidth="1"/>
    <col min="10779" max="10780" width="7.7109375" style="1"/>
    <col min="10781" max="10781" width="10" style="1" customWidth="1"/>
    <col min="10782" max="11008" width="7.7109375" style="1"/>
    <col min="11009" max="11009" width="8" style="1" customWidth="1"/>
    <col min="11010" max="11010" width="6.5703125" style="1" customWidth="1"/>
    <col min="11011" max="11011" width="2.28515625" style="1" customWidth="1"/>
    <col min="11012" max="11012" width="6.7109375" style="1" customWidth="1"/>
    <col min="11013" max="11013" width="7.28515625" style="1" customWidth="1"/>
    <col min="11014" max="11014" width="3.42578125" style="1" customWidth="1"/>
    <col min="11015" max="11015" width="8.7109375" style="1" customWidth="1"/>
    <col min="11016" max="11016" width="12.28515625" style="1" customWidth="1"/>
    <col min="11017" max="11017" width="11.42578125" style="1" customWidth="1"/>
    <col min="11018" max="11018" width="12.5703125" style="1" bestFit="1" customWidth="1"/>
    <col min="11019" max="11020" width="11.42578125" style="1" customWidth="1"/>
    <col min="11021" max="11021" width="1.140625" style="1" customWidth="1"/>
    <col min="11022" max="11022" width="14.5703125" style="1" customWidth="1"/>
    <col min="11023" max="11023" width="13.28515625" style="1" customWidth="1"/>
    <col min="11024" max="11024" width="16" style="1" bestFit="1" customWidth="1"/>
    <col min="11025" max="11025" width="15.7109375" style="1" customWidth="1"/>
    <col min="11026" max="11027" width="2" style="1" customWidth="1"/>
    <col min="11028" max="11028" width="16.5703125" style="1" customWidth="1"/>
    <col min="11029" max="11029" width="5" style="1" customWidth="1"/>
    <col min="11030" max="11031" width="7.7109375" style="1"/>
    <col min="11032" max="11032" width="8.5703125" style="1" customWidth="1"/>
    <col min="11033" max="11033" width="10.42578125" style="1" bestFit="1" customWidth="1"/>
    <col min="11034" max="11034" width="10.42578125" style="1" customWidth="1"/>
    <col min="11035" max="11036" width="7.7109375" style="1"/>
    <col min="11037" max="11037" width="10" style="1" customWidth="1"/>
    <col min="11038" max="11264" width="7.7109375" style="1"/>
    <col min="11265" max="11265" width="8" style="1" customWidth="1"/>
    <col min="11266" max="11266" width="6.5703125" style="1" customWidth="1"/>
    <col min="11267" max="11267" width="2.28515625" style="1" customWidth="1"/>
    <col min="11268" max="11268" width="6.7109375" style="1" customWidth="1"/>
    <col min="11269" max="11269" width="7.28515625" style="1" customWidth="1"/>
    <col min="11270" max="11270" width="3.42578125" style="1" customWidth="1"/>
    <col min="11271" max="11271" width="8.7109375" style="1" customWidth="1"/>
    <col min="11272" max="11272" width="12.28515625" style="1" customWidth="1"/>
    <col min="11273" max="11273" width="11.42578125" style="1" customWidth="1"/>
    <col min="11274" max="11274" width="12.5703125" style="1" bestFit="1" customWidth="1"/>
    <col min="11275" max="11276" width="11.42578125" style="1" customWidth="1"/>
    <col min="11277" max="11277" width="1.140625" style="1" customWidth="1"/>
    <col min="11278" max="11278" width="14.5703125" style="1" customWidth="1"/>
    <col min="11279" max="11279" width="13.28515625" style="1" customWidth="1"/>
    <col min="11280" max="11280" width="16" style="1" bestFit="1" customWidth="1"/>
    <col min="11281" max="11281" width="15.7109375" style="1" customWidth="1"/>
    <col min="11282" max="11283" width="2" style="1" customWidth="1"/>
    <col min="11284" max="11284" width="16.5703125" style="1" customWidth="1"/>
    <col min="11285" max="11285" width="5" style="1" customWidth="1"/>
    <col min="11286" max="11287" width="7.7109375" style="1"/>
    <col min="11288" max="11288" width="8.5703125" style="1" customWidth="1"/>
    <col min="11289" max="11289" width="10.42578125" style="1" bestFit="1" customWidth="1"/>
    <col min="11290" max="11290" width="10.42578125" style="1" customWidth="1"/>
    <col min="11291" max="11292" width="7.7109375" style="1"/>
    <col min="11293" max="11293" width="10" style="1" customWidth="1"/>
    <col min="11294" max="11520" width="7.7109375" style="1"/>
    <col min="11521" max="11521" width="8" style="1" customWidth="1"/>
    <col min="11522" max="11522" width="6.5703125" style="1" customWidth="1"/>
    <col min="11523" max="11523" width="2.28515625" style="1" customWidth="1"/>
    <col min="11524" max="11524" width="6.7109375" style="1" customWidth="1"/>
    <col min="11525" max="11525" width="7.28515625" style="1" customWidth="1"/>
    <col min="11526" max="11526" width="3.42578125" style="1" customWidth="1"/>
    <col min="11527" max="11527" width="8.7109375" style="1" customWidth="1"/>
    <col min="11528" max="11528" width="12.28515625" style="1" customWidth="1"/>
    <col min="11529" max="11529" width="11.42578125" style="1" customWidth="1"/>
    <col min="11530" max="11530" width="12.5703125" style="1" bestFit="1" customWidth="1"/>
    <col min="11531" max="11532" width="11.42578125" style="1" customWidth="1"/>
    <col min="11533" max="11533" width="1.140625" style="1" customWidth="1"/>
    <col min="11534" max="11534" width="14.5703125" style="1" customWidth="1"/>
    <col min="11535" max="11535" width="13.28515625" style="1" customWidth="1"/>
    <col min="11536" max="11536" width="16" style="1" bestFit="1" customWidth="1"/>
    <col min="11537" max="11537" width="15.7109375" style="1" customWidth="1"/>
    <col min="11538" max="11539" width="2" style="1" customWidth="1"/>
    <col min="11540" max="11540" width="16.5703125" style="1" customWidth="1"/>
    <col min="11541" max="11541" width="5" style="1" customWidth="1"/>
    <col min="11542" max="11543" width="7.7109375" style="1"/>
    <col min="11544" max="11544" width="8.5703125" style="1" customWidth="1"/>
    <col min="11545" max="11545" width="10.42578125" style="1" bestFit="1" customWidth="1"/>
    <col min="11546" max="11546" width="10.42578125" style="1" customWidth="1"/>
    <col min="11547" max="11548" width="7.7109375" style="1"/>
    <col min="11549" max="11549" width="10" style="1" customWidth="1"/>
    <col min="11550" max="11776" width="7.7109375" style="1"/>
    <col min="11777" max="11777" width="8" style="1" customWidth="1"/>
    <col min="11778" max="11778" width="6.5703125" style="1" customWidth="1"/>
    <col min="11779" max="11779" width="2.28515625" style="1" customWidth="1"/>
    <col min="11780" max="11780" width="6.7109375" style="1" customWidth="1"/>
    <col min="11781" max="11781" width="7.28515625" style="1" customWidth="1"/>
    <col min="11782" max="11782" width="3.42578125" style="1" customWidth="1"/>
    <col min="11783" max="11783" width="8.7109375" style="1" customWidth="1"/>
    <col min="11784" max="11784" width="12.28515625" style="1" customWidth="1"/>
    <col min="11785" max="11785" width="11.42578125" style="1" customWidth="1"/>
    <col min="11786" max="11786" width="12.5703125" style="1" bestFit="1" customWidth="1"/>
    <col min="11787" max="11788" width="11.42578125" style="1" customWidth="1"/>
    <col min="11789" max="11789" width="1.140625" style="1" customWidth="1"/>
    <col min="11790" max="11790" width="14.5703125" style="1" customWidth="1"/>
    <col min="11791" max="11791" width="13.28515625" style="1" customWidth="1"/>
    <col min="11792" max="11792" width="16" style="1" bestFit="1" customWidth="1"/>
    <col min="11793" max="11793" width="15.7109375" style="1" customWidth="1"/>
    <col min="11794" max="11795" width="2" style="1" customWidth="1"/>
    <col min="11796" max="11796" width="16.5703125" style="1" customWidth="1"/>
    <col min="11797" max="11797" width="5" style="1" customWidth="1"/>
    <col min="11798" max="11799" width="7.7109375" style="1"/>
    <col min="11800" max="11800" width="8.5703125" style="1" customWidth="1"/>
    <col min="11801" max="11801" width="10.42578125" style="1" bestFit="1" customWidth="1"/>
    <col min="11802" max="11802" width="10.42578125" style="1" customWidth="1"/>
    <col min="11803" max="11804" width="7.7109375" style="1"/>
    <col min="11805" max="11805" width="10" style="1" customWidth="1"/>
    <col min="11806" max="12032" width="7.7109375" style="1"/>
    <col min="12033" max="12033" width="8" style="1" customWidth="1"/>
    <col min="12034" max="12034" width="6.5703125" style="1" customWidth="1"/>
    <col min="12035" max="12035" width="2.28515625" style="1" customWidth="1"/>
    <col min="12036" max="12036" width="6.7109375" style="1" customWidth="1"/>
    <col min="12037" max="12037" width="7.28515625" style="1" customWidth="1"/>
    <col min="12038" max="12038" width="3.42578125" style="1" customWidth="1"/>
    <col min="12039" max="12039" width="8.7109375" style="1" customWidth="1"/>
    <col min="12040" max="12040" width="12.28515625" style="1" customWidth="1"/>
    <col min="12041" max="12041" width="11.42578125" style="1" customWidth="1"/>
    <col min="12042" max="12042" width="12.5703125" style="1" bestFit="1" customWidth="1"/>
    <col min="12043" max="12044" width="11.42578125" style="1" customWidth="1"/>
    <col min="12045" max="12045" width="1.140625" style="1" customWidth="1"/>
    <col min="12046" max="12046" width="14.5703125" style="1" customWidth="1"/>
    <col min="12047" max="12047" width="13.28515625" style="1" customWidth="1"/>
    <col min="12048" max="12048" width="16" style="1" bestFit="1" customWidth="1"/>
    <col min="12049" max="12049" width="15.7109375" style="1" customWidth="1"/>
    <col min="12050" max="12051" width="2" style="1" customWidth="1"/>
    <col min="12052" max="12052" width="16.5703125" style="1" customWidth="1"/>
    <col min="12053" max="12053" width="5" style="1" customWidth="1"/>
    <col min="12054" max="12055" width="7.7109375" style="1"/>
    <col min="12056" max="12056" width="8.5703125" style="1" customWidth="1"/>
    <col min="12057" max="12057" width="10.42578125" style="1" bestFit="1" customWidth="1"/>
    <col min="12058" max="12058" width="10.42578125" style="1" customWidth="1"/>
    <col min="12059" max="12060" width="7.7109375" style="1"/>
    <col min="12061" max="12061" width="10" style="1" customWidth="1"/>
    <col min="12062" max="12288" width="7.7109375" style="1"/>
    <col min="12289" max="12289" width="8" style="1" customWidth="1"/>
    <col min="12290" max="12290" width="6.5703125" style="1" customWidth="1"/>
    <col min="12291" max="12291" width="2.28515625" style="1" customWidth="1"/>
    <col min="12292" max="12292" width="6.7109375" style="1" customWidth="1"/>
    <col min="12293" max="12293" width="7.28515625" style="1" customWidth="1"/>
    <col min="12294" max="12294" width="3.42578125" style="1" customWidth="1"/>
    <col min="12295" max="12295" width="8.7109375" style="1" customWidth="1"/>
    <col min="12296" max="12296" width="12.28515625" style="1" customWidth="1"/>
    <col min="12297" max="12297" width="11.42578125" style="1" customWidth="1"/>
    <col min="12298" max="12298" width="12.5703125" style="1" bestFit="1" customWidth="1"/>
    <col min="12299" max="12300" width="11.42578125" style="1" customWidth="1"/>
    <col min="12301" max="12301" width="1.140625" style="1" customWidth="1"/>
    <col min="12302" max="12302" width="14.5703125" style="1" customWidth="1"/>
    <col min="12303" max="12303" width="13.28515625" style="1" customWidth="1"/>
    <col min="12304" max="12304" width="16" style="1" bestFit="1" customWidth="1"/>
    <col min="12305" max="12305" width="15.7109375" style="1" customWidth="1"/>
    <col min="12306" max="12307" width="2" style="1" customWidth="1"/>
    <col min="12308" max="12308" width="16.5703125" style="1" customWidth="1"/>
    <col min="12309" max="12309" width="5" style="1" customWidth="1"/>
    <col min="12310" max="12311" width="7.7109375" style="1"/>
    <col min="12312" max="12312" width="8.5703125" style="1" customWidth="1"/>
    <col min="12313" max="12313" width="10.42578125" style="1" bestFit="1" customWidth="1"/>
    <col min="12314" max="12314" width="10.42578125" style="1" customWidth="1"/>
    <col min="12315" max="12316" width="7.7109375" style="1"/>
    <col min="12317" max="12317" width="10" style="1" customWidth="1"/>
    <col min="12318" max="12544" width="7.7109375" style="1"/>
    <col min="12545" max="12545" width="8" style="1" customWidth="1"/>
    <col min="12546" max="12546" width="6.5703125" style="1" customWidth="1"/>
    <col min="12547" max="12547" width="2.28515625" style="1" customWidth="1"/>
    <col min="12548" max="12548" width="6.7109375" style="1" customWidth="1"/>
    <col min="12549" max="12549" width="7.28515625" style="1" customWidth="1"/>
    <col min="12550" max="12550" width="3.42578125" style="1" customWidth="1"/>
    <col min="12551" max="12551" width="8.7109375" style="1" customWidth="1"/>
    <col min="12552" max="12552" width="12.28515625" style="1" customWidth="1"/>
    <col min="12553" max="12553" width="11.42578125" style="1" customWidth="1"/>
    <col min="12554" max="12554" width="12.5703125" style="1" bestFit="1" customWidth="1"/>
    <col min="12555" max="12556" width="11.42578125" style="1" customWidth="1"/>
    <col min="12557" max="12557" width="1.140625" style="1" customWidth="1"/>
    <col min="12558" max="12558" width="14.5703125" style="1" customWidth="1"/>
    <col min="12559" max="12559" width="13.28515625" style="1" customWidth="1"/>
    <col min="12560" max="12560" width="16" style="1" bestFit="1" customWidth="1"/>
    <col min="12561" max="12561" width="15.7109375" style="1" customWidth="1"/>
    <col min="12562" max="12563" width="2" style="1" customWidth="1"/>
    <col min="12564" max="12564" width="16.5703125" style="1" customWidth="1"/>
    <col min="12565" max="12565" width="5" style="1" customWidth="1"/>
    <col min="12566" max="12567" width="7.7109375" style="1"/>
    <col min="12568" max="12568" width="8.5703125" style="1" customWidth="1"/>
    <col min="12569" max="12569" width="10.42578125" style="1" bestFit="1" customWidth="1"/>
    <col min="12570" max="12570" width="10.42578125" style="1" customWidth="1"/>
    <col min="12571" max="12572" width="7.7109375" style="1"/>
    <col min="12573" max="12573" width="10" style="1" customWidth="1"/>
    <col min="12574" max="12800" width="7.7109375" style="1"/>
    <col min="12801" max="12801" width="8" style="1" customWidth="1"/>
    <col min="12802" max="12802" width="6.5703125" style="1" customWidth="1"/>
    <col min="12803" max="12803" width="2.28515625" style="1" customWidth="1"/>
    <col min="12804" max="12804" width="6.7109375" style="1" customWidth="1"/>
    <col min="12805" max="12805" width="7.28515625" style="1" customWidth="1"/>
    <col min="12806" max="12806" width="3.42578125" style="1" customWidth="1"/>
    <col min="12807" max="12807" width="8.7109375" style="1" customWidth="1"/>
    <col min="12808" max="12808" width="12.28515625" style="1" customWidth="1"/>
    <col min="12809" max="12809" width="11.42578125" style="1" customWidth="1"/>
    <col min="12810" max="12810" width="12.5703125" style="1" bestFit="1" customWidth="1"/>
    <col min="12811" max="12812" width="11.42578125" style="1" customWidth="1"/>
    <col min="12813" max="12813" width="1.140625" style="1" customWidth="1"/>
    <col min="12814" max="12814" width="14.5703125" style="1" customWidth="1"/>
    <col min="12815" max="12815" width="13.28515625" style="1" customWidth="1"/>
    <col min="12816" max="12816" width="16" style="1" bestFit="1" customWidth="1"/>
    <col min="12817" max="12817" width="15.7109375" style="1" customWidth="1"/>
    <col min="12818" max="12819" width="2" style="1" customWidth="1"/>
    <col min="12820" max="12820" width="16.5703125" style="1" customWidth="1"/>
    <col min="12821" max="12821" width="5" style="1" customWidth="1"/>
    <col min="12822" max="12823" width="7.7109375" style="1"/>
    <col min="12824" max="12824" width="8.5703125" style="1" customWidth="1"/>
    <col min="12825" max="12825" width="10.42578125" style="1" bestFit="1" customWidth="1"/>
    <col min="12826" max="12826" width="10.42578125" style="1" customWidth="1"/>
    <col min="12827" max="12828" width="7.7109375" style="1"/>
    <col min="12829" max="12829" width="10" style="1" customWidth="1"/>
    <col min="12830" max="13056" width="7.7109375" style="1"/>
    <col min="13057" max="13057" width="8" style="1" customWidth="1"/>
    <col min="13058" max="13058" width="6.5703125" style="1" customWidth="1"/>
    <col min="13059" max="13059" width="2.28515625" style="1" customWidth="1"/>
    <col min="13060" max="13060" width="6.7109375" style="1" customWidth="1"/>
    <col min="13061" max="13061" width="7.28515625" style="1" customWidth="1"/>
    <col min="13062" max="13062" width="3.42578125" style="1" customWidth="1"/>
    <col min="13063" max="13063" width="8.7109375" style="1" customWidth="1"/>
    <col min="13064" max="13064" width="12.28515625" style="1" customWidth="1"/>
    <col min="13065" max="13065" width="11.42578125" style="1" customWidth="1"/>
    <col min="13066" max="13066" width="12.5703125" style="1" bestFit="1" customWidth="1"/>
    <col min="13067" max="13068" width="11.42578125" style="1" customWidth="1"/>
    <col min="13069" max="13069" width="1.140625" style="1" customWidth="1"/>
    <col min="13070" max="13070" width="14.5703125" style="1" customWidth="1"/>
    <col min="13071" max="13071" width="13.28515625" style="1" customWidth="1"/>
    <col min="13072" max="13072" width="16" style="1" bestFit="1" customWidth="1"/>
    <col min="13073" max="13073" width="15.7109375" style="1" customWidth="1"/>
    <col min="13074" max="13075" width="2" style="1" customWidth="1"/>
    <col min="13076" max="13076" width="16.5703125" style="1" customWidth="1"/>
    <col min="13077" max="13077" width="5" style="1" customWidth="1"/>
    <col min="13078" max="13079" width="7.7109375" style="1"/>
    <col min="13080" max="13080" width="8.5703125" style="1" customWidth="1"/>
    <col min="13081" max="13081" width="10.42578125" style="1" bestFit="1" customWidth="1"/>
    <col min="13082" max="13082" width="10.42578125" style="1" customWidth="1"/>
    <col min="13083" max="13084" width="7.7109375" style="1"/>
    <col min="13085" max="13085" width="10" style="1" customWidth="1"/>
    <col min="13086" max="13312" width="7.7109375" style="1"/>
    <col min="13313" max="13313" width="8" style="1" customWidth="1"/>
    <col min="13314" max="13314" width="6.5703125" style="1" customWidth="1"/>
    <col min="13315" max="13315" width="2.28515625" style="1" customWidth="1"/>
    <col min="13316" max="13316" width="6.7109375" style="1" customWidth="1"/>
    <col min="13317" max="13317" width="7.28515625" style="1" customWidth="1"/>
    <col min="13318" max="13318" width="3.42578125" style="1" customWidth="1"/>
    <col min="13319" max="13319" width="8.7109375" style="1" customWidth="1"/>
    <col min="13320" max="13320" width="12.28515625" style="1" customWidth="1"/>
    <col min="13321" max="13321" width="11.42578125" style="1" customWidth="1"/>
    <col min="13322" max="13322" width="12.5703125" style="1" bestFit="1" customWidth="1"/>
    <col min="13323" max="13324" width="11.42578125" style="1" customWidth="1"/>
    <col min="13325" max="13325" width="1.140625" style="1" customWidth="1"/>
    <col min="13326" max="13326" width="14.5703125" style="1" customWidth="1"/>
    <col min="13327" max="13327" width="13.28515625" style="1" customWidth="1"/>
    <col min="13328" max="13328" width="16" style="1" bestFit="1" customWidth="1"/>
    <col min="13329" max="13329" width="15.7109375" style="1" customWidth="1"/>
    <col min="13330" max="13331" width="2" style="1" customWidth="1"/>
    <col min="13332" max="13332" width="16.5703125" style="1" customWidth="1"/>
    <col min="13333" max="13333" width="5" style="1" customWidth="1"/>
    <col min="13334" max="13335" width="7.7109375" style="1"/>
    <col min="13336" max="13336" width="8.5703125" style="1" customWidth="1"/>
    <col min="13337" max="13337" width="10.42578125" style="1" bestFit="1" customWidth="1"/>
    <col min="13338" max="13338" width="10.42578125" style="1" customWidth="1"/>
    <col min="13339" max="13340" width="7.7109375" style="1"/>
    <col min="13341" max="13341" width="10" style="1" customWidth="1"/>
    <col min="13342" max="13568" width="7.7109375" style="1"/>
    <col min="13569" max="13569" width="8" style="1" customWidth="1"/>
    <col min="13570" max="13570" width="6.5703125" style="1" customWidth="1"/>
    <col min="13571" max="13571" width="2.28515625" style="1" customWidth="1"/>
    <col min="13572" max="13572" width="6.7109375" style="1" customWidth="1"/>
    <col min="13573" max="13573" width="7.28515625" style="1" customWidth="1"/>
    <col min="13574" max="13574" width="3.42578125" style="1" customWidth="1"/>
    <col min="13575" max="13575" width="8.7109375" style="1" customWidth="1"/>
    <col min="13576" max="13576" width="12.28515625" style="1" customWidth="1"/>
    <col min="13577" max="13577" width="11.42578125" style="1" customWidth="1"/>
    <col min="13578" max="13578" width="12.5703125" style="1" bestFit="1" customWidth="1"/>
    <col min="13579" max="13580" width="11.42578125" style="1" customWidth="1"/>
    <col min="13581" max="13581" width="1.140625" style="1" customWidth="1"/>
    <col min="13582" max="13582" width="14.5703125" style="1" customWidth="1"/>
    <col min="13583" max="13583" width="13.28515625" style="1" customWidth="1"/>
    <col min="13584" max="13584" width="16" style="1" bestFit="1" customWidth="1"/>
    <col min="13585" max="13585" width="15.7109375" style="1" customWidth="1"/>
    <col min="13586" max="13587" width="2" style="1" customWidth="1"/>
    <col min="13588" max="13588" width="16.5703125" style="1" customWidth="1"/>
    <col min="13589" max="13589" width="5" style="1" customWidth="1"/>
    <col min="13590" max="13591" width="7.7109375" style="1"/>
    <col min="13592" max="13592" width="8.5703125" style="1" customWidth="1"/>
    <col min="13593" max="13593" width="10.42578125" style="1" bestFit="1" customWidth="1"/>
    <col min="13594" max="13594" width="10.42578125" style="1" customWidth="1"/>
    <col min="13595" max="13596" width="7.7109375" style="1"/>
    <col min="13597" max="13597" width="10" style="1" customWidth="1"/>
    <col min="13598" max="13824" width="7.7109375" style="1"/>
    <col min="13825" max="13825" width="8" style="1" customWidth="1"/>
    <col min="13826" max="13826" width="6.5703125" style="1" customWidth="1"/>
    <col min="13827" max="13827" width="2.28515625" style="1" customWidth="1"/>
    <col min="13828" max="13828" width="6.7109375" style="1" customWidth="1"/>
    <col min="13829" max="13829" width="7.28515625" style="1" customWidth="1"/>
    <col min="13830" max="13830" width="3.42578125" style="1" customWidth="1"/>
    <col min="13831" max="13831" width="8.7109375" style="1" customWidth="1"/>
    <col min="13832" max="13832" width="12.28515625" style="1" customWidth="1"/>
    <col min="13833" max="13833" width="11.42578125" style="1" customWidth="1"/>
    <col min="13834" max="13834" width="12.5703125" style="1" bestFit="1" customWidth="1"/>
    <col min="13835" max="13836" width="11.42578125" style="1" customWidth="1"/>
    <col min="13837" max="13837" width="1.140625" style="1" customWidth="1"/>
    <col min="13838" max="13838" width="14.5703125" style="1" customWidth="1"/>
    <col min="13839" max="13839" width="13.28515625" style="1" customWidth="1"/>
    <col min="13840" max="13840" width="16" style="1" bestFit="1" customWidth="1"/>
    <col min="13841" max="13841" width="15.7109375" style="1" customWidth="1"/>
    <col min="13842" max="13843" width="2" style="1" customWidth="1"/>
    <col min="13844" max="13844" width="16.5703125" style="1" customWidth="1"/>
    <col min="13845" max="13845" width="5" style="1" customWidth="1"/>
    <col min="13846" max="13847" width="7.7109375" style="1"/>
    <col min="13848" max="13848" width="8.5703125" style="1" customWidth="1"/>
    <col min="13849" max="13849" width="10.42578125" style="1" bestFit="1" customWidth="1"/>
    <col min="13850" max="13850" width="10.42578125" style="1" customWidth="1"/>
    <col min="13851" max="13852" width="7.7109375" style="1"/>
    <col min="13853" max="13853" width="10" style="1" customWidth="1"/>
    <col min="13854" max="14080" width="7.7109375" style="1"/>
    <col min="14081" max="14081" width="8" style="1" customWidth="1"/>
    <col min="14082" max="14082" width="6.5703125" style="1" customWidth="1"/>
    <col min="14083" max="14083" width="2.28515625" style="1" customWidth="1"/>
    <col min="14084" max="14084" width="6.7109375" style="1" customWidth="1"/>
    <col min="14085" max="14085" width="7.28515625" style="1" customWidth="1"/>
    <col min="14086" max="14086" width="3.42578125" style="1" customWidth="1"/>
    <col min="14087" max="14087" width="8.7109375" style="1" customWidth="1"/>
    <col min="14088" max="14088" width="12.28515625" style="1" customWidth="1"/>
    <col min="14089" max="14089" width="11.42578125" style="1" customWidth="1"/>
    <col min="14090" max="14090" width="12.5703125" style="1" bestFit="1" customWidth="1"/>
    <col min="14091" max="14092" width="11.42578125" style="1" customWidth="1"/>
    <col min="14093" max="14093" width="1.140625" style="1" customWidth="1"/>
    <col min="14094" max="14094" width="14.5703125" style="1" customWidth="1"/>
    <col min="14095" max="14095" width="13.28515625" style="1" customWidth="1"/>
    <col min="14096" max="14096" width="16" style="1" bestFit="1" customWidth="1"/>
    <col min="14097" max="14097" width="15.7109375" style="1" customWidth="1"/>
    <col min="14098" max="14099" width="2" style="1" customWidth="1"/>
    <col min="14100" max="14100" width="16.5703125" style="1" customWidth="1"/>
    <col min="14101" max="14101" width="5" style="1" customWidth="1"/>
    <col min="14102" max="14103" width="7.7109375" style="1"/>
    <col min="14104" max="14104" width="8.5703125" style="1" customWidth="1"/>
    <col min="14105" max="14105" width="10.42578125" style="1" bestFit="1" customWidth="1"/>
    <col min="14106" max="14106" width="10.42578125" style="1" customWidth="1"/>
    <col min="14107" max="14108" width="7.7109375" style="1"/>
    <col min="14109" max="14109" width="10" style="1" customWidth="1"/>
    <col min="14110" max="14336" width="7.7109375" style="1"/>
    <col min="14337" max="14337" width="8" style="1" customWidth="1"/>
    <col min="14338" max="14338" width="6.5703125" style="1" customWidth="1"/>
    <col min="14339" max="14339" width="2.28515625" style="1" customWidth="1"/>
    <col min="14340" max="14340" width="6.7109375" style="1" customWidth="1"/>
    <col min="14341" max="14341" width="7.28515625" style="1" customWidth="1"/>
    <col min="14342" max="14342" width="3.42578125" style="1" customWidth="1"/>
    <col min="14343" max="14343" width="8.7109375" style="1" customWidth="1"/>
    <col min="14344" max="14344" width="12.28515625" style="1" customWidth="1"/>
    <col min="14345" max="14345" width="11.42578125" style="1" customWidth="1"/>
    <col min="14346" max="14346" width="12.5703125" style="1" bestFit="1" customWidth="1"/>
    <col min="14347" max="14348" width="11.42578125" style="1" customWidth="1"/>
    <col min="14349" max="14349" width="1.140625" style="1" customWidth="1"/>
    <col min="14350" max="14350" width="14.5703125" style="1" customWidth="1"/>
    <col min="14351" max="14351" width="13.28515625" style="1" customWidth="1"/>
    <col min="14352" max="14352" width="16" style="1" bestFit="1" customWidth="1"/>
    <col min="14353" max="14353" width="15.7109375" style="1" customWidth="1"/>
    <col min="14354" max="14355" width="2" style="1" customWidth="1"/>
    <col min="14356" max="14356" width="16.5703125" style="1" customWidth="1"/>
    <col min="14357" max="14357" width="5" style="1" customWidth="1"/>
    <col min="14358" max="14359" width="7.7109375" style="1"/>
    <col min="14360" max="14360" width="8.5703125" style="1" customWidth="1"/>
    <col min="14361" max="14361" width="10.42578125" style="1" bestFit="1" customWidth="1"/>
    <col min="14362" max="14362" width="10.42578125" style="1" customWidth="1"/>
    <col min="14363" max="14364" width="7.7109375" style="1"/>
    <col min="14365" max="14365" width="10" style="1" customWidth="1"/>
    <col min="14366" max="14592" width="7.7109375" style="1"/>
    <col min="14593" max="14593" width="8" style="1" customWidth="1"/>
    <col min="14594" max="14594" width="6.5703125" style="1" customWidth="1"/>
    <col min="14595" max="14595" width="2.28515625" style="1" customWidth="1"/>
    <col min="14596" max="14596" width="6.7109375" style="1" customWidth="1"/>
    <col min="14597" max="14597" width="7.28515625" style="1" customWidth="1"/>
    <col min="14598" max="14598" width="3.42578125" style="1" customWidth="1"/>
    <col min="14599" max="14599" width="8.7109375" style="1" customWidth="1"/>
    <col min="14600" max="14600" width="12.28515625" style="1" customWidth="1"/>
    <col min="14601" max="14601" width="11.42578125" style="1" customWidth="1"/>
    <col min="14602" max="14602" width="12.5703125" style="1" bestFit="1" customWidth="1"/>
    <col min="14603" max="14604" width="11.42578125" style="1" customWidth="1"/>
    <col min="14605" max="14605" width="1.140625" style="1" customWidth="1"/>
    <col min="14606" max="14606" width="14.5703125" style="1" customWidth="1"/>
    <col min="14607" max="14607" width="13.28515625" style="1" customWidth="1"/>
    <col min="14608" max="14608" width="16" style="1" bestFit="1" customWidth="1"/>
    <col min="14609" max="14609" width="15.7109375" style="1" customWidth="1"/>
    <col min="14610" max="14611" width="2" style="1" customWidth="1"/>
    <col min="14612" max="14612" width="16.5703125" style="1" customWidth="1"/>
    <col min="14613" max="14613" width="5" style="1" customWidth="1"/>
    <col min="14614" max="14615" width="7.7109375" style="1"/>
    <col min="14616" max="14616" width="8.5703125" style="1" customWidth="1"/>
    <col min="14617" max="14617" width="10.42578125" style="1" bestFit="1" customWidth="1"/>
    <col min="14618" max="14618" width="10.42578125" style="1" customWidth="1"/>
    <col min="14619" max="14620" width="7.7109375" style="1"/>
    <col min="14621" max="14621" width="10" style="1" customWidth="1"/>
    <col min="14622" max="14848" width="7.7109375" style="1"/>
    <col min="14849" max="14849" width="8" style="1" customWidth="1"/>
    <col min="14850" max="14850" width="6.5703125" style="1" customWidth="1"/>
    <col min="14851" max="14851" width="2.28515625" style="1" customWidth="1"/>
    <col min="14852" max="14852" width="6.7109375" style="1" customWidth="1"/>
    <col min="14853" max="14853" width="7.28515625" style="1" customWidth="1"/>
    <col min="14854" max="14854" width="3.42578125" style="1" customWidth="1"/>
    <col min="14855" max="14855" width="8.7109375" style="1" customWidth="1"/>
    <col min="14856" max="14856" width="12.28515625" style="1" customWidth="1"/>
    <col min="14857" max="14857" width="11.42578125" style="1" customWidth="1"/>
    <col min="14858" max="14858" width="12.5703125" style="1" bestFit="1" customWidth="1"/>
    <col min="14859" max="14860" width="11.42578125" style="1" customWidth="1"/>
    <col min="14861" max="14861" width="1.140625" style="1" customWidth="1"/>
    <col min="14862" max="14862" width="14.5703125" style="1" customWidth="1"/>
    <col min="14863" max="14863" width="13.28515625" style="1" customWidth="1"/>
    <col min="14864" max="14864" width="16" style="1" bestFit="1" customWidth="1"/>
    <col min="14865" max="14865" width="15.7109375" style="1" customWidth="1"/>
    <col min="14866" max="14867" width="2" style="1" customWidth="1"/>
    <col min="14868" max="14868" width="16.5703125" style="1" customWidth="1"/>
    <col min="14869" max="14869" width="5" style="1" customWidth="1"/>
    <col min="14870" max="14871" width="7.7109375" style="1"/>
    <col min="14872" max="14872" width="8.5703125" style="1" customWidth="1"/>
    <col min="14873" max="14873" width="10.42578125" style="1" bestFit="1" customWidth="1"/>
    <col min="14874" max="14874" width="10.42578125" style="1" customWidth="1"/>
    <col min="14875" max="14876" width="7.7109375" style="1"/>
    <col min="14877" max="14877" width="10" style="1" customWidth="1"/>
    <col min="14878" max="15104" width="7.7109375" style="1"/>
    <col min="15105" max="15105" width="8" style="1" customWidth="1"/>
    <col min="15106" max="15106" width="6.5703125" style="1" customWidth="1"/>
    <col min="15107" max="15107" width="2.28515625" style="1" customWidth="1"/>
    <col min="15108" max="15108" width="6.7109375" style="1" customWidth="1"/>
    <col min="15109" max="15109" width="7.28515625" style="1" customWidth="1"/>
    <col min="15110" max="15110" width="3.42578125" style="1" customWidth="1"/>
    <col min="15111" max="15111" width="8.7109375" style="1" customWidth="1"/>
    <col min="15112" max="15112" width="12.28515625" style="1" customWidth="1"/>
    <col min="15113" max="15113" width="11.42578125" style="1" customWidth="1"/>
    <col min="15114" max="15114" width="12.5703125" style="1" bestFit="1" customWidth="1"/>
    <col min="15115" max="15116" width="11.42578125" style="1" customWidth="1"/>
    <col min="15117" max="15117" width="1.140625" style="1" customWidth="1"/>
    <col min="15118" max="15118" width="14.5703125" style="1" customWidth="1"/>
    <col min="15119" max="15119" width="13.28515625" style="1" customWidth="1"/>
    <col min="15120" max="15120" width="16" style="1" bestFit="1" customWidth="1"/>
    <col min="15121" max="15121" width="15.7109375" style="1" customWidth="1"/>
    <col min="15122" max="15123" width="2" style="1" customWidth="1"/>
    <col min="15124" max="15124" width="16.5703125" style="1" customWidth="1"/>
    <col min="15125" max="15125" width="5" style="1" customWidth="1"/>
    <col min="15126" max="15127" width="7.7109375" style="1"/>
    <col min="15128" max="15128" width="8.5703125" style="1" customWidth="1"/>
    <col min="15129" max="15129" width="10.42578125" style="1" bestFit="1" customWidth="1"/>
    <col min="15130" max="15130" width="10.42578125" style="1" customWidth="1"/>
    <col min="15131" max="15132" width="7.7109375" style="1"/>
    <col min="15133" max="15133" width="10" style="1" customWidth="1"/>
    <col min="15134" max="15360" width="7.7109375" style="1"/>
    <col min="15361" max="15361" width="8" style="1" customWidth="1"/>
    <col min="15362" max="15362" width="6.5703125" style="1" customWidth="1"/>
    <col min="15363" max="15363" width="2.28515625" style="1" customWidth="1"/>
    <col min="15364" max="15364" width="6.7109375" style="1" customWidth="1"/>
    <col min="15365" max="15365" width="7.28515625" style="1" customWidth="1"/>
    <col min="15366" max="15366" width="3.42578125" style="1" customWidth="1"/>
    <col min="15367" max="15367" width="8.7109375" style="1" customWidth="1"/>
    <col min="15368" max="15368" width="12.28515625" style="1" customWidth="1"/>
    <col min="15369" max="15369" width="11.42578125" style="1" customWidth="1"/>
    <col min="15370" max="15370" width="12.5703125" style="1" bestFit="1" customWidth="1"/>
    <col min="15371" max="15372" width="11.42578125" style="1" customWidth="1"/>
    <col min="15373" max="15373" width="1.140625" style="1" customWidth="1"/>
    <col min="15374" max="15374" width="14.5703125" style="1" customWidth="1"/>
    <col min="15375" max="15375" width="13.28515625" style="1" customWidth="1"/>
    <col min="15376" max="15376" width="16" style="1" bestFit="1" customWidth="1"/>
    <col min="15377" max="15377" width="15.7109375" style="1" customWidth="1"/>
    <col min="15378" max="15379" width="2" style="1" customWidth="1"/>
    <col min="15380" max="15380" width="16.5703125" style="1" customWidth="1"/>
    <col min="15381" max="15381" width="5" style="1" customWidth="1"/>
    <col min="15382" max="15383" width="7.7109375" style="1"/>
    <col min="15384" max="15384" width="8.5703125" style="1" customWidth="1"/>
    <col min="15385" max="15385" width="10.42578125" style="1" bestFit="1" customWidth="1"/>
    <col min="15386" max="15386" width="10.42578125" style="1" customWidth="1"/>
    <col min="15387" max="15388" width="7.7109375" style="1"/>
    <col min="15389" max="15389" width="10" style="1" customWidth="1"/>
    <col min="15390" max="15616" width="7.7109375" style="1"/>
    <col min="15617" max="15617" width="8" style="1" customWidth="1"/>
    <col min="15618" max="15618" width="6.5703125" style="1" customWidth="1"/>
    <col min="15619" max="15619" width="2.28515625" style="1" customWidth="1"/>
    <col min="15620" max="15620" width="6.7109375" style="1" customWidth="1"/>
    <col min="15621" max="15621" width="7.28515625" style="1" customWidth="1"/>
    <col min="15622" max="15622" width="3.42578125" style="1" customWidth="1"/>
    <col min="15623" max="15623" width="8.7109375" style="1" customWidth="1"/>
    <col min="15624" max="15624" width="12.28515625" style="1" customWidth="1"/>
    <col min="15625" max="15625" width="11.42578125" style="1" customWidth="1"/>
    <col min="15626" max="15626" width="12.5703125" style="1" bestFit="1" customWidth="1"/>
    <col min="15627" max="15628" width="11.42578125" style="1" customWidth="1"/>
    <col min="15629" max="15629" width="1.140625" style="1" customWidth="1"/>
    <col min="15630" max="15630" width="14.5703125" style="1" customWidth="1"/>
    <col min="15631" max="15631" width="13.28515625" style="1" customWidth="1"/>
    <col min="15632" max="15632" width="16" style="1" bestFit="1" customWidth="1"/>
    <col min="15633" max="15633" width="15.7109375" style="1" customWidth="1"/>
    <col min="15634" max="15635" width="2" style="1" customWidth="1"/>
    <col min="15636" max="15636" width="16.5703125" style="1" customWidth="1"/>
    <col min="15637" max="15637" width="5" style="1" customWidth="1"/>
    <col min="15638" max="15639" width="7.7109375" style="1"/>
    <col min="15640" max="15640" width="8.5703125" style="1" customWidth="1"/>
    <col min="15641" max="15641" width="10.42578125" style="1" bestFit="1" customWidth="1"/>
    <col min="15642" max="15642" width="10.42578125" style="1" customWidth="1"/>
    <col min="15643" max="15644" width="7.7109375" style="1"/>
    <col min="15645" max="15645" width="10" style="1" customWidth="1"/>
    <col min="15646" max="15872" width="7.7109375" style="1"/>
    <col min="15873" max="15873" width="8" style="1" customWidth="1"/>
    <col min="15874" max="15874" width="6.5703125" style="1" customWidth="1"/>
    <col min="15875" max="15875" width="2.28515625" style="1" customWidth="1"/>
    <col min="15876" max="15876" width="6.7109375" style="1" customWidth="1"/>
    <col min="15877" max="15877" width="7.28515625" style="1" customWidth="1"/>
    <col min="15878" max="15878" width="3.42578125" style="1" customWidth="1"/>
    <col min="15879" max="15879" width="8.7109375" style="1" customWidth="1"/>
    <col min="15880" max="15880" width="12.28515625" style="1" customWidth="1"/>
    <col min="15881" max="15881" width="11.42578125" style="1" customWidth="1"/>
    <col min="15882" max="15882" width="12.5703125" style="1" bestFit="1" customWidth="1"/>
    <col min="15883" max="15884" width="11.42578125" style="1" customWidth="1"/>
    <col min="15885" max="15885" width="1.140625" style="1" customWidth="1"/>
    <col min="15886" max="15886" width="14.5703125" style="1" customWidth="1"/>
    <col min="15887" max="15887" width="13.28515625" style="1" customWidth="1"/>
    <col min="15888" max="15888" width="16" style="1" bestFit="1" customWidth="1"/>
    <col min="15889" max="15889" width="15.7109375" style="1" customWidth="1"/>
    <col min="15890" max="15891" width="2" style="1" customWidth="1"/>
    <col min="15892" max="15892" width="16.5703125" style="1" customWidth="1"/>
    <col min="15893" max="15893" width="5" style="1" customWidth="1"/>
    <col min="15894" max="15895" width="7.7109375" style="1"/>
    <col min="15896" max="15896" width="8.5703125" style="1" customWidth="1"/>
    <col min="15897" max="15897" width="10.42578125" style="1" bestFit="1" customWidth="1"/>
    <col min="15898" max="15898" width="10.42578125" style="1" customWidth="1"/>
    <col min="15899" max="15900" width="7.7109375" style="1"/>
    <col min="15901" max="15901" width="10" style="1" customWidth="1"/>
    <col min="15902" max="16128" width="7.7109375" style="1"/>
    <col min="16129" max="16129" width="8" style="1" customWidth="1"/>
    <col min="16130" max="16130" width="6.5703125" style="1" customWidth="1"/>
    <col min="16131" max="16131" width="2.28515625" style="1" customWidth="1"/>
    <col min="16132" max="16132" width="6.7109375" style="1" customWidth="1"/>
    <col min="16133" max="16133" width="7.28515625" style="1" customWidth="1"/>
    <col min="16134" max="16134" width="3.42578125" style="1" customWidth="1"/>
    <col min="16135" max="16135" width="8.7109375" style="1" customWidth="1"/>
    <col min="16136" max="16136" width="12.28515625" style="1" customWidth="1"/>
    <col min="16137" max="16137" width="11.42578125" style="1" customWidth="1"/>
    <col min="16138" max="16138" width="12.5703125" style="1" bestFit="1" customWidth="1"/>
    <col min="16139" max="16140" width="11.42578125" style="1" customWidth="1"/>
    <col min="16141" max="16141" width="1.140625" style="1" customWidth="1"/>
    <col min="16142" max="16142" width="14.5703125" style="1" customWidth="1"/>
    <col min="16143" max="16143" width="13.28515625" style="1" customWidth="1"/>
    <col min="16144" max="16144" width="16" style="1" bestFit="1" customWidth="1"/>
    <col min="16145" max="16145" width="15.7109375" style="1" customWidth="1"/>
    <col min="16146" max="16147" width="2" style="1" customWidth="1"/>
    <col min="16148" max="16148" width="16.5703125" style="1" customWidth="1"/>
    <col min="16149" max="16149" width="5" style="1" customWidth="1"/>
    <col min="16150" max="16151" width="7.7109375" style="1"/>
    <col min="16152" max="16152" width="8.5703125" style="1" customWidth="1"/>
    <col min="16153" max="16153" width="10.42578125" style="1" bestFit="1" customWidth="1"/>
    <col min="16154" max="16154" width="10.42578125" style="1" customWidth="1"/>
    <col min="16155" max="16156" width="7.7109375" style="1"/>
    <col min="16157" max="16157" width="10" style="1" customWidth="1"/>
    <col min="16158" max="16384" width="7.7109375" style="1"/>
  </cols>
  <sheetData>
    <row r="1" spans="1:30" ht="12.75" customHeight="1" x14ac:dyDescent="0.2">
      <c r="B1" t="s">
        <v>0</v>
      </c>
    </row>
    <row r="2" spans="1:30" ht="12.75" customHeight="1" x14ac:dyDescent="0.2">
      <c r="B2" s="2" t="s">
        <v>1</v>
      </c>
    </row>
    <row r="3" spans="1:30" ht="9" customHeight="1" x14ac:dyDescent="0.2"/>
    <row r="4" spans="1:30" ht="12.75" customHeight="1" x14ac:dyDescent="0.2">
      <c r="B4" s="3" t="s">
        <v>2</v>
      </c>
      <c r="C4" s="4"/>
      <c r="D4" s="5">
        <v>10</v>
      </c>
      <c r="E4" s="6" t="s">
        <v>3</v>
      </c>
      <c r="G4" s="7">
        <v>1</v>
      </c>
    </row>
    <row r="5" spans="1:30" ht="9" customHeight="1" x14ac:dyDescent="0.2"/>
    <row r="6" spans="1:30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N6" s="1" t="s">
        <v>4</v>
      </c>
    </row>
    <row r="7" spans="1:30" s="15" customFormat="1" ht="33.75" x14ac:dyDescent="0.2">
      <c r="A7" s="1"/>
      <c r="B7" s="9" t="s">
        <v>5</v>
      </c>
      <c r="C7" s="10"/>
      <c r="D7" s="10"/>
      <c r="E7" s="9" t="s">
        <v>6</v>
      </c>
      <c r="F7" s="10"/>
      <c r="G7" s="10"/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3"/>
      <c r="N7" s="14"/>
      <c r="O7" s="14"/>
      <c r="P7" s="14"/>
      <c r="Q7" s="14"/>
      <c r="T7"/>
      <c r="U7"/>
    </row>
    <row r="8" spans="1:30" s="29" customFormat="1" ht="22.5" customHeight="1" x14ac:dyDescent="0.45">
      <c r="A8" s="16" t="s">
        <v>12</v>
      </c>
      <c r="B8" s="17" t="s">
        <v>13</v>
      </c>
      <c r="C8" s="18" t="s">
        <v>14</v>
      </c>
      <c r="D8" s="19" t="s">
        <v>15</v>
      </c>
      <c r="E8" s="20" t="s">
        <v>16</v>
      </c>
      <c r="F8" s="18" t="s">
        <v>17</v>
      </c>
      <c r="G8" s="21" t="s">
        <v>18</v>
      </c>
      <c r="H8" s="22" t="s">
        <v>19</v>
      </c>
      <c r="I8" s="23" t="s">
        <v>20</v>
      </c>
      <c r="J8" s="24" t="s">
        <v>21</v>
      </c>
      <c r="K8" s="23" t="s">
        <v>22</v>
      </c>
      <c r="L8" s="25" t="s">
        <v>23</v>
      </c>
      <c r="M8" s="26"/>
      <c r="N8" s="27" t="s">
        <v>24</v>
      </c>
      <c r="O8" s="27" t="s">
        <v>25</v>
      </c>
      <c r="P8" s="28" t="s">
        <v>26</v>
      </c>
      <c r="Q8" s="28" t="s">
        <v>27</v>
      </c>
      <c r="T8"/>
      <c r="U8"/>
    </row>
    <row r="9" spans="1:30" ht="8.25" customHeight="1" x14ac:dyDescent="0.2">
      <c r="A9" s="30">
        <v>0</v>
      </c>
      <c r="B9" s="31">
        <f>B10-D4</f>
        <v>6</v>
      </c>
      <c r="C9" s="32" t="s">
        <v>28</v>
      </c>
      <c r="D9" s="33">
        <f>D10-D4</f>
        <v>15</v>
      </c>
      <c r="E9" s="34">
        <f>E10-D4</f>
        <v>5.5</v>
      </c>
      <c r="F9" s="32" t="s">
        <v>28</v>
      </c>
      <c r="G9" s="35">
        <f>E10</f>
        <v>15.5</v>
      </c>
      <c r="H9" s="36">
        <f>H10-D4</f>
        <v>10.5</v>
      </c>
      <c r="I9" s="37">
        <v>0</v>
      </c>
      <c r="J9" s="37">
        <v>0</v>
      </c>
      <c r="K9" s="37">
        <v>0</v>
      </c>
      <c r="L9" s="38">
        <v>0</v>
      </c>
      <c r="M9" s="39"/>
      <c r="N9" s="40"/>
      <c r="O9" s="40"/>
      <c r="P9" s="40"/>
      <c r="Q9" s="40"/>
      <c r="T9"/>
      <c r="U9"/>
    </row>
    <row r="10" spans="1:30" ht="19.5" customHeight="1" x14ac:dyDescent="0.2">
      <c r="A10" s="41">
        <v>1</v>
      </c>
      <c r="B10" s="42">
        <v>16</v>
      </c>
      <c r="C10" s="43" t="s">
        <v>28</v>
      </c>
      <c r="D10" s="44">
        <f>B10+D4-G4</f>
        <v>25</v>
      </c>
      <c r="E10" s="45">
        <f>G10-$D$4</f>
        <v>15.5</v>
      </c>
      <c r="F10" s="41" t="s">
        <v>28</v>
      </c>
      <c r="G10" s="46">
        <f>(B11+D10)/2</f>
        <v>25.5</v>
      </c>
      <c r="H10" s="47">
        <f t="shared" ref="H10:H17" si="0">(E10+G10)/2</f>
        <v>20.5</v>
      </c>
      <c r="I10" s="47">
        <v>5</v>
      </c>
      <c r="J10" s="48">
        <f t="shared" ref="J10:J17" si="1">J9+I10</f>
        <v>5</v>
      </c>
      <c r="K10" s="49">
        <f t="shared" ref="K10:K19" si="2">I10/$I$20</f>
        <v>7.9365079365079361E-2</v>
      </c>
      <c r="L10" s="50">
        <f>K10</f>
        <v>7.9365079365079361E-2</v>
      </c>
      <c r="M10" s="51"/>
      <c r="N10" s="50">
        <f t="shared" ref="N10:N17" si="3">H10*I10</f>
        <v>102.5</v>
      </c>
      <c r="O10" s="50">
        <f t="shared" ref="O10:O17" si="4">(H10^2)*I10</f>
        <v>2101.25</v>
      </c>
      <c r="P10" s="50">
        <f t="shared" ref="P10:P19" si="5">I10*(H10-$H$30)^3</f>
        <v>-128672.92948925604</v>
      </c>
      <c r="Q10" s="50">
        <f t="shared" ref="Q10:Q19" si="6">I10*(H10-$H$30)^4</f>
        <v>3798915.0611113687</v>
      </c>
      <c r="R10" s="52"/>
      <c r="S10" s="52"/>
      <c r="T10"/>
      <c r="U10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ht="19.5" customHeight="1" x14ac:dyDescent="0.2">
      <c r="A11" s="41">
        <v>2</v>
      </c>
      <c r="B11" s="48">
        <f t="shared" ref="B11:B19" si="7">B10+$D$4</f>
        <v>26</v>
      </c>
      <c r="C11" s="43" t="s">
        <v>28</v>
      </c>
      <c r="D11" s="44">
        <f t="shared" ref="D11:E17" si="8">D10+$D$4</f>
        <v>35</v>
      </c>
      <c r="E11" s="53">
        <f t="shared" si="8"/>
        <v>25.5</v>
      </c>
      <c r="F11" s="41" t="s">
        <v>28</v>
      </c>
      <c r="G11" s="46">
        <f t="shared" ref="G11:G19" si="9">G10+$D$4</f>
        <v>35.5</v>
      </c>
      <c r="H11" s="47">
        <f t="shared" si="0"/>
        <v>30.5</v>
      </c>
      <c r="I11" s="47">
        <v>17</v>
      </c>
      <c r="J11" s="48">
        <f t="shared" si="1"/>
        <v>22</v>
      </c>
      <c r="K11" s="49">
        <f t="shared" si="2"/>
        <v>0.26984126984126983</v>
      </c>
      <c r="L11" s="50">
        <f t="shared" ref="L11:L17" si="10">L10+K11</f>
        <v>0.34920634920634919</v>
      </c>
      <c r="M11" s="51"/>
      <c r="N11" s="50">
        <f t="shared" si="3"/>
        <v>518.5</v>
      </c>
      <c r="O11" s="50">
        <f t="shared" si="4"/>
        <v>15814.25</v>
      </c>
      <c r="P11" s="50">
        <f t="shared" si="5"/>
        <v>-126515.17114782425</v>
      </c>
      <c r="Q11" s="50">
        <f t="shared" si="6"/>
        <v>2470058.1033622832</v>
      </c>
      <c r="R11" s="52"/>
      <c r="S11" s="52"/>
      <c r="T11"/>
      <c r="U11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ht="19.5" customHeight="1" x14ac:dyDescent="0.2">
      <c r="A12" s="41">
        <v>3</v>
      </c>
      <c r="B12" s="48">
        <f t="shared" si="7"/>
        <v>36</v>
      </c>
      <c r="C12" s="43" t="s">
        <v>28</v>
      </c>
      <c r="D12" s="44">
        <f t="shared" si="8"/>
        <v>45</v>
      </c>
      <c r="E12" s="53">
        <f t="shared" si="8"/>
        <v>35.5</v>
      </c>
      <c r="F12" s="41" t="s">
        <v>28</v>
      </c>
      <c r="G12" s="46">
        <f t="shared" si="9"/>
        <v>45.5</v>
      </c>
      <c r="H12" s="47">
        <f t="shared" si="0"/>
        <v>40.5</v>
      </c>
      <c r="I12" s="47">
        <v>16</v>
      </c>
      <c r="J12" s="48">
        <f t="shared" si="1"/>
        <v>38</v>
      </c>
      <c r="K12" s="49">
        <f t="shared" si="2"/>
        <v>0.25396825396825395</v>
      </c>
      <c r="L12" s="50">
        <f t="shared" si="10"/>
        <v>0.60317460317460314</v>
      </c>
      <c r="M12" s="51"/>
      <c r="N12" s="50">
        <f t="shared" si="3"/>
        <v>648</v>
      </c>
      <c r="O12" s="50">
        <f t="shared" si="4"/>
        <v>26244</v>
      </c>
      <c r="P12" s="50">
        <f t="shared" si="5"/>
        <v>-13821.401576503626</v>
      </c>
      <c r="Q12" s="50">
        <f t="shared" si="6"/>
        <v>131632.39596670124</v>
      </c>
      <c r="R12" s="52"/>
      <c r="S12" s="52"/>
      <c r="T12"/>
      <c r="U1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9.5" customHeight="1" x14ac:dyDescent="0.2">
      <c r="A13" s="41">
        <v>4</v>
      </c>
      <c r="B13" s="48">
        <f t="shared" si="7"/>
        <v>46</v>
      </c>
      <c r="C13" s="43" t="s">
        <v>28</v>
      </c>
      <c r="D13" s="44">
        <f t="shared" si="8"/>
        <v>55</v>
      </c>
      <c r="E13" s="53">
        <f t="shared" si="8"/>
        <v>45.5</v>
      </c>
      <c r="F13" s="41" t="s">
        <v>28</v>
      </c>
      <c r="G13" s="46">
        <f t="shared" si="9"/>
        <v>55.5</v>
      </c>
      <c r="H13" s="47">
        <f t="shared" si="0"/>
        <v>50.5</v>
      </c>
      <c r="I13" s="47">
        <v>7</v>
      </c>
      <c r="J13" s="48">
        <f t="shared" si="1"/>
        <v>45</v>
      </c>
      <c r="K13" s="49">
        <f t="shared" si="2"/>
        <v>0.1111111111111111</v>
      </c>
      <c r="L13" s="50">
        <f t="shared" si="10"/>
        <v>0.71428571428571419</v>
      </c>
      <c r="M13" s="51"/>
      <c r="N13" s="50">
        <f t="shared" si="3"/>
        <v>353.5</v>
      </c>
      <c r="O13" s="50">
        <f t="shared" si="4"/>
        <v>17851.75</v>
      </c>
      <c r="P13" s="50">
        <f t="shared" si="5"/>
        <v>0.7558578987150335</v>
      </c>
      <c r="Q13" s="50">
        <f t="shared" si="6"/>
        <v>0.35993233272144332</v>
      </c>
      <c r="R13" s="52"/>
      <c r="S13" s="52"/>
      <c r="T13"/>
      <c r="U13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ht="19.5" customHeight="1" x14ac:dyDescent="0.2">
      <c r="A14" s="41">
        <v>5</v>
      </c>
      <c r="B14" s="48">
        <f t="shared" si="7"/>
        <v>56</v>
      </c>
      <c r="C14" s="43" t="s">
        <v>28</v>
      </c>
      <c r="D14" s="44">
        <f t="shared" si="8"/>
        <v>65</v>
      </c>
      <c r="E14" s="53">
        <f t="shared" si="8"/>
        <v>55.5</v>
      </c>
      <c r="F14" s="41" t="s">
        <v>28</v>
      </c>
      <c r="G14" s="46">
        <f t="shared" si="9"/>
        <v>65.5</v>
      </c>
      <c r="H14" s="47">
        <f t="shared" si="0"/>
        <v>60.5</v>
      </c>
      <c r="I14" s="47">
        <v>4</v>
      </c>
      <c r="J14" s="48">
        <f t="shared" si="1"/>
        <v>49</v>
      </c>
      <c r="K14" s="49">
        <f t="shared" si="2"/>
        <v>6.3492063492063489E-2</v>
      </c>
      <c r="L14" s="50">
        <f t="shared" si="10"/>
        <v>0.77777777777777768</v>
      </c>
      <c r="M14" s="51"/>
      <c r="N14" s="50">
        <f t="shared" si="3"/>
        <v>242</v>
      </c>
      <c r="O14" s="50">
        <f t="shared" si="4"/>
        <v>14641</v>
      </c>
      <c r="P14" s="50">
        <f t="shared" si="5"/>
        <v>4599.0713745815765</v>
      </c>
      <c r="Q14" s="50">
        <f t="shared" si="6"/>
        <v>48180.747733711753</v>
      </c>
      <c r="R14" s="52"/>
      <c r="S14" s="52"/>
      <c r="T14"/>
      <c r="U14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ht="19.5" customHeight="1" x14ac:dyDescent="0.2">
      <c r="A15" s="41">
        <v>6</v>
      </c>
      <c r="B15" s="48">
        <f t="shared" si="7"/>
        <v>66</v>
      </c>
      <c r="C15" s="43" t="s">
        <v>28</v>
      </c>
      <c r="D15" s="44">
        <f t="shared" si="8"/>
        <v>75</v>
      </c>
      <c r="E15" s="53">
        <f t="shared" si="8"/>
        <v>65.5</v>
      </c>
      <c r="F15" s="41" t="s">
        <v>28</v>
      </c>
      <c r="G15" s="46">
        <f t="shared" si="9"/>
        <v>75.5</v>
      </c>
      <c r="H15" s="47">
        <f t="shared" si="0"/>
        <v>70.5</v>
      </c>
      <c r="I15" s="47">
        <v>4</v>
      </c>
      <c r="J15" s="48">
        <f t="shared" si="1"/>
        <v>53</v>
      </c>
      <c r="K15" s="49">
        <f t="shared" si="2"/>
        <v>6.3492063492063489E-2</v>
      </c>
      <c r="L15" s="50">
        <f t="shared" si="10"/>
        <v>0.84126984126984117</v>
      </c>
      <c r="M15" s="51"/>
      <c r="N15" s="50">
        <f t="shared" si="3"/>
        <v>282</v>
      </c>
      <c r="O15" s="50">
        <f t="shared" si="4"/>
        <v>19881</v>
      </c>
      <c r="P15" s="50">
        <f t="shared" si="5"/>
        <v>34340.567973221026</v>
      </c>
      <c r="Q15" s="50">
        <f t="shared" si="6"/>
        <v>703164.01088024001</v>
      </c>
      <c r="R15" s="52"/>
      <c r="S15" s="52"/>
      <c r="T15"/>
      <c r="U15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ht="19.5" customHeight="1" x14ac:dyDescent="0.2">
      <c r="A16" s="41">
        <v>7</v>
      </c>
      <c r="B16" s="48">
        <f t="shared" si="7"/>
        <v>76</v>
      </c>
      <c r="C16" s="43" t="s">
        <v>28</v>
      </c>
      <c r="D16" s="44">
        <f t="shared" si="8"/>
        <v>85</v>
      </c>
      <c r="E16" s="53">
        <f t="shared" si="8"/>
        <v>75.5</v>
      </c>
      <c r="F16" s="41" t="s">
        <v>28</v>
      </c>
      <c r="G16" s="46">
        <f t="shared" si="9"/>
        <v>85.5</v>
      </c>
      <c r="H16" s="47">
        <f t="shared" si="0"/>
        <v>80.5</v>
      </c>
      <c r="I16" s="47">
        <v>1</v>
      </c>
      <c r="J16" s="48">
        <f t="shared" si="1"/>
        <v>54</v>
      </c>
      <c r="K16" s="49">
        <f t="shared" si="2"/>
        <v>1.5873015873015872E-2</v>
      </c>
      <c r="L16" s="50">
        <f t="shared" si="10"/>
        <v>0.85714285714285698</v>
      </c>
      <c r="M16" s="51"/>
      <c r="N16" s="50">
        <f t="shared" si="3"/>
        <v>80.5</v>
      </c>
      <c r="O16" s="50">
        <f t="shared" si="4"/>
        <v>6480.25</v>
      </c>
      <c r="P16" s="50">
        <f t="shared" si="5"/>
        <v>28306.230428679406</v>
      </c>
      <c r="Q16" s="50">
        <f t="shared" si="6"/>
        <v>862666.07020737231</v>
      </c>
      <c r="R16" s="52"/>
      <c r="S16" s="52"/>
      <c r="T16"/>
      <c r="U16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ht="19.5" customHeight="1" x14ac:dyDescent="0.2">
      <c r="A17" s="41">
        <v>8</v>
      </c>
      <c r="B17" s="48">
        <f t="shared" si="7"/>
        <v>86</v>
      </c>
      <c r="C17" s="43" t="s">
        <v>28</v>
      </c>
      <c r="D17" s="44">
        <f t="shared" si="8"/>
        <v>95</v>
      </c>
      <c r="E17" s="53">
        <f t="shared" si="8"/>
        <v>85.5</v>
      </c>
      <c r="F17" s="41" t="s">
        <v>28</v>
      </c>
      <c r="G17" s="46">
        <f t="shared" si="9"/>
        <v>95.5</v>
      </c>
      <c r="H17" s="47">
        <f t="shared" si="0"/>
        <v>90.5</v>
      </c>
      <c r="I17" s="47">
        <v>2</v>
      </c>
      <c r="J17" s="48">
        <f t="shared" si="1"/>
        <v>56</v>
      </c>
      <c r="K17" s="49">
        <f t="shared" si="2"/>
        <v>3.1746031746031744E-2</v>
      </c>
      <c r="L17" s="50">
        <f t="shared" si="10"/>
        <v>0.88888888888888873</v>
      </c>
      <c r="M17" s="51"/>
      <c r="N17" s="50">
        <f t="shared" si="3"/>
        <v>181</v>
      </c>
      <c r="O17" s="50">
        <f t="shared" si="4"/>
        <v>16380.5</v>
      </c>
      <c r="P17" s="50">
        <f t="shared" si="5"/>
        <v>132626.06629953568</v>
      </c>
      <c r="Q17" s="50">
        <f t="shared" si="6"/>
        <v>5368197.9216478728</v>
      </c>
      <c r="R17" s="52"/>
      <c r="S17" s="52"/>
      <c r="T17"/>
      <c r="U17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ht="19.5" customHeight="1" x14ac:dyDescent="0.2">
      <c r="A18" s="41">
        <v>9</v>
      </c>
      <c r="B18" s="48">
        <f t="shared" si="7"/>
        <v>96</v>
      </c>
      <c r="C18" s="43" t="s">
        <v>28</v>
      </c>
      <c r="D18" s="44">
        <f t="shared" ref="D18:E18" si="11">D17+$D$4</f>
        <v>105</v>
      </c>
      <c r="E18" s="53">
        <f t="shared" si="11"/>
        <v>95.5</v>
      </c>
      <c r="F18" s="41" t="s">
        <v>28</v>
      </c>
      <c r="G18" s="46">
        <f t="shared" si="9"/>
        <v>105.5</v>
      </c>
      <c r="H18" s="47">
        <f t="shared" ref="H18:H19" si="12">(E18+G18)/2</f>
        <v>100.5</v>
      </c>
      <c r="I18" s="47">
        <v>3</v>
      </c>
      <c r="J18" s="48">
        <f t="shared" ref="J18:J19" si="13">J17+I18</f>
        <v>59</v>
      </c>
      <c r="K18" s="49">
        <f t="shared" si="2"/>
        <v>4.7619047619047616E-2</v>
      </c>
      <c r="L18" s="50">
        <f t="shared" ref="L18:L19" si="14">L17+K18</f>
        <v>0.93650793650793629</v>
      </c>
      <c r="M18" s="51"/>
      <c r="N18" s="50">
        <f t="shared" ref="N18:N19" si="15">H18*I18</f>
        <v>301.5</v>
      </c>
      <c r="O18" s="50">
        <f t="shared" ref="O18:O19" si="16">(H18^2)*I18</f>
        <v>30300.75</v>
      </c>
      <c r="P18" s="50">
        <f t="shared" si="5"/>
        <v>385816.65046971169</v>
      </c>
      <c r="Q18" s="50">
        <f t="shared" si="6"/>
        <v>19474554.737994973</v>
      </c>
      <c r="R18" s="52"/>
      <c r="S18" s="52"/>
      <c r="T18"/>
      <c r="U18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9.5" customHeight="1" thickBot="1" x14ac:dyDescent="0.25">
      <c r="A19" s="41">
        <v>10</v>
      </c>
      <c r="B19" s="54">
        <f t="shared" si="7"/>
        <v>106</v>
      </c>
      <c r="C19" s="55" t="s">
        <v>28</v>
      </c>
      <c r="D19" s="56">
        <f t="shared" ref="D19:E19" si="17">D18+$D$4</f>
        <v>115</v>
      </c>
      <c r="E19" s="57">
        <f t="shared" si="17"/>
        <v>105.5</v>
      </c>
      <c r="F19" s="58" t="s">
        <v>28</v>
      </c>
      <c r="G19" s="59">
        <f t="shared" si="9"/>
        <v>115.5</v>
      </c>
      <c r="H19" s="60">
        <f t="shared" si="12"/>
        <v>110.5</v>
      </c>
      <c r="I19" s="60">
        <v>4</v>
      </c>
      <c r="J19" s="54">
        <f t="shared" si="13"/>
        <v>63</v>
      </c>
      <c r="K19" s="114">
        <f t="shared" si="2"/>
        <v>6.3492063492063489E-2</v>
      </c>
      <c r="L19" s="61">
        <f t="shared" si="14"/>
        <v>0.99999999999999978</v>
      </c>
      <c r="M19" s="62"/>
      <c r="N19" s="61">
        <f t="shared" si="15"/>
        <v>442</v>
      </c>
      <c r="O19" s="61">
        <f t="shared" si="16"/>
        <v>48841</v>
      </c>
      <c r="P19" s="61">
        <f t="shared" si="5"/>
        <v>884735.12579635018</v>
      </c>
      <c r="Q19" s="61">
        <f t="shared" si="6"/>
        <v>53505409.988636412</v>
      </c>
      <c r="R19" s="52"/>
      <c r="S19" s="52"/>
      <c r="T19"/>
      <c r="U19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ht="18.75" customHeight="1" thickTop="1" x14ac:dyDescent="0.2">
      <c r="A20" s="52"/>
      <c r="B20" s="52"/>
      <c r="C20" s="52"/>
      <c r="D20" s="52"/>
      <c r="E20" s="52"/>
      <c r="F20" s="52"/>
      <c r="G20" s="52"/>
      <c r="H20" s="63" t="s">
        <v>29</v>
      </c>
      <c r="I20" s="64">
        <f>SUM(I10:I19)</f>
        <v>63</v>
      </c>
      <c r="J20" s="41"/>
      <c r="K20" s="113">
        <f>SUM(K9:K19)</f>
        <v>0.99999999999999978</v>
      </c>
      <c r="L20" s="41"/>
      <c r="M20" s="41"/>
      <c r="N20" s="66">
        <f>SUM(N10:N19)</f>
        <v>3151.5</v>
      </c>
      <c r="O20" s="67">
        <f>SUM(O10:O19)</f>
        <v>198535.75</v>
      </c>
      <c r="P20" s="67">
        <f>SUM(P10:P19)</f>
        <v>1201414.9659863943</v>
      </c>
      <c r="Q20" s="67">
        <f>SUM(Q10:Q19)</f>
        <v>86362779.397473276</v>
      </c>
      <c r="R20" s="52"/>
      <c r="S20" s="52"/>
      <c r="T20"/>
      <c r="U20"/>
      <c r="V20" s="52"/>
      <c r="W20" s="52"/>
      <c r="X20" s="52"/>
      <c r="Y20" s="52"/>
      <c r="Z20" s="52"/>
      <c r="AA20" s="52"/>
      <c r="AB20" s="52"/>
      <c r="AC20" s="52"/>
      <c r="AD20" s="52"/>
    </row>
    <row r="21" spans="1:30" ht="6" customHeight="1" x14ac:dyDescent="0.2">
      <c r="K21" s="68"/>
    </row>
    <row r="22" spans="1:30" ht="18.75" customHeight="1" x14ac:dyDescent="0.2">
      <c r="B22" s="69" t="s">
        <v>91</v>
      </c>
      <c r="C22" s="70"/>
      <c r="D22" s="70"/>
      <c r="E22" s="70"/>
      <c r="F22" s="70"/>
      <c r="G22" s="70"/>
      <c r="H22" s="70"/>
      <c r="I22" s="70"/>
      <c r="J22" s="70"/>
      <c r="K22" s="71"/>
      <c r="L22" s="70"/>
      <c r="M22" s="70"/>
      <c r="N22" s="70"/>
      <c r="O22" s="70"/>
      <c r="P22" s="70"/>
      <c r="Q22" s="72"/>
    </row>
    <row r="23" spans="1:30" ht="25.5" customHeight="1" x14ac:dyDescent="0.2">
      <c r="B23" s="73"/>
      <c r="C23" s="74"/>
      <c r="D23" s="74"/>
      <c r="E23" s="74"/>
      <c r="F23" s="74"/>
      <c r="G23" s="74"/>
      <c r="H23" s="74"/>
      <c r="I23" s="75"/>
      <c r="J23" s="74"/>
      <c r="K23" s="76"/>
      <c r="L23" s="77"/>
      <c r="M23" s="74"/>
      <c r="N23" s="74"/>
      <c r="O23" s="74"/>
      <c r="P23" s="74"/>
      <c r="Q23" s="75"/>
      <c r="X23" s="78" t="s">
        <v>30</v>
      </c>
      <c r="Y23" s="79" t="s">
        <v>31</v>
      </c>
      <c r="Z23" s="79" t="s">
        <v>32</v>
      </c>
      <c r="AA23" s="78" t="s">
        <v>33</v>
      </c>
      <c r="AB23" s="79" t="s">
        <v>34</v>
      </c>
      <c r="AC23" s="79" t="s">
        <v>35</v>
      </c>
    </row>
    <row r="24" spans="1:30" ht="15.75" x14ac:dyDescent="0.25">
      <c r="B24" s="80" t="s">
        <v>36</v>
      </c>
      <c r="F24" s="81" t="s">
        <v>37</v>
      </c>
      <c r="G24" s="82" t="s">
        <v>38</v>
      </c>
      <c r="H24" s="83">
        <f>G13-E13</f>
        <v>10</v>
      </c>
      <c r="I24" s="84"/>
      <c r="K24" s="6" t="s">
        <v>39</v>
      </c>
      <c r="Q24" s="84"/>
      <c r="T24" s="6" t="s">
        <v>40</v>
      </c>
      <c r="W24" s="1" t="s">
        <v>41</v>
      </c>
      <c r="X24" s="16">
        <f>1/4</f>
        <v>0.25</v>
      </c>
      <c r="Y24" s="85">
        <f>COUNTIF(L10:L19,"&lt;=0.25")+1</f>
        <v>2</v>
      </c>
      <c r="Z24" s="16">
        <f t="shared" ref="Z24:Z32" ca="1" si="18">INDIRECT(ADDRESS(9+$Y24,5))</f>
        <v>25.5</v>
      </c>
      <c r="AA24" s="16">
        <f t="shared" ref="AA24:AA32" ca="1" si="19">INDIRECT(ADDRESS(9+$Y24,9))</f>
        <v>17</v>
      </c>
      <c r="AB24" s="16">
        <f t="shared" ref="AB24:AB32" ca="1" si="20">INDIRECT(ADDRESS(9+$Y24-1,10))</f>
        <v>5</v>
      </c>
      <c r="AC24" s="86">
        <f t="shared" ref="AC24:AC32" ca="1" si="21">Z24+(  ($H$28*X24)-AB24  )*$H$24/AA24</f>
        <v>31.823529411764707</v>
      </c>
      <c r="AD24" s="1">
        <f t="shared" ref="AD24:AD32" si="22">MATCH(X24,$L$10:$L$19,1)+1</f>
        <v>2</v>
      </c>
    </row>
    <row r="25" spans="1:30" ht="18" x14ac:dyDescent="0.3">
      <c r="B25" s="87"/>
      <c r="C25" s="52"/>
      <c r="D25" s="43"/>
      <c r="E25" s="43"/>
      <c r="F25" s="88"/>
      <c r="G25" s="43"/>
      <c r="H25" s="89"/>
      <c r="I25" s="84"/>
      <c r="K25" s="6" t="s">
        <v>42</v>
      </c>
      <c r="O25" s="90" t="s">
        <v>43</v>
      </c>
      <c r="P25" s="91">
        <f>(P20/I20)/(H40^3)</f>
        <v>1.1534690029104093</v>
      </c>
      <c r="Q25" s="84"/>
      <c r="T25" s="6" t="s">
        <v>44</v>
      </c>
      <c r="W25" s="1" t="s">
        <v>45</v>
      </c>
      <c r="X25" s="16">
        <f>1/2</f>
        <v>0.5</v>
      </c>
      <c r="Y25" s="85">
        <f>COUNTIF(L10:L19,"&lt;=0.5")+1</f>
        <v>3</v>
      </c>
      <c r="Z25" s="16">
        <f t="shared" ca="1" si="18"/>
        <v>35.5</v>
      </c>
      <c r="AA25" s="16">
        <f t="shared" ca="1" si="19"/>
        <v>16</v>
      </c>
      <c r="AB25" s="16">
        <f t="shared" ca="1" si="20"/>
        <v>22</v>
      </c>
      <c r="AC25" s="86">
        <f t="shared" ca="1" si="21"/>
        <v>41.4375</v>
      </c>
      <c r="AD25" s="1">
        <f t="shared" si="22"/>
        <v>3</v>
      </c>
    </row>
    <row r="26" spans="1:30" ht="15.75" x14ac:dyDescent="0.25">
      <c r="B26" s="92" t="s">
        <v>46</v>
      </c>
      <c r="F26" s="81" t="s">
        <v>47</v>
      </c>
      <c r="G26" s="82" t="s">
        <v>38</v>
      </c>
      <c r="H26" s="93">
        <f>COUNT(I10:I19)</f>
        <v>10</v>
      </c>
      <c r="I26" s="84"/>
      <c r="Q26" s="84"/>
      <c r="T26" s="6" t="s">
        <v>48</v>
      </c>
      <c r="W26" s="94" t="s">
        <v>49</v>
      </c>
      <c r="X26" s="95">
        <f>3/4</f>
        <v>0.75</v>
      </c>
      <c r="Y26" s="96">
        <f>COUNTIF(L10:L19,"&lt;=0.75")+1</f>
        <v>5</v>
      </c>
      <c r="Z26" s="95">
        <f t="shared" ca="1" si="18"/>
        <v>55.5</v>
      </c>
      <c r="AA26" s="95">
        <f t="shared" ca="1" si="19"/>
        <v>4</v>
      </c>
      <c r="AB26" s="95">
        <f t="shared" ca="1" si="20"/>
        <v>45</v>
      </c>
      <c r="AC26" s="97">
        <f t="shared" ca="1" si="21"/>
        <v>61.125</v>
      </c>
      <c r="AD26" s="1">
        <f t="shared" si="22"/>
        <v>5</v>
      </c>
    </row>
    <row r="27" spans="1:30" ht="15.75" x14ac:dyDescent="0.25">
      <c r="B27" s="92"/>
      <c r="F27" s="81"/>
      <c r="H27" s="89"/>
      <c r="I27" s="84"/>
      <c r="K27" s="6" t="s">
        <v>50</v>
      </c>
      <c r="Q27" s="84"/>
      <c r="W27" s="1" t="s">
        <v>51</v>
      </c>
      <c r="X27" s="16">
        <f>1/10</f>
        <v>0.1</v>
      </c>
      <c r="Y27" s="85">
        <f>COUNTIF(L10:L19,"&lt;=0.1")+1</f>
        <v>2</v>
      </c>
      <c r="Z27" s="16">
        <f t="shared" ca="1" si="18"/>
        <v>25.5</v>
      </c>
      <c r="AA27" s="16">
        <f t="shared" ca="1" si="19"/>
        <v>17</v>
      </c>
      <c r="AB27" s="16">
        <f t="shared" ca="1" si="20"/>
        <v>5</v>
      </c>
      <c r="AC27" s="86">
        <f t="shared" ca="1" si="21"/>
        <v>26.264705882352942</v>
      </c>
      <c r="AD27" s="1">
        <f t="shared" si="22"/>
        <v>2</v>
      </c>
    </row>
    <row r="28" spans="1:30" ht="18" x14ac:dyDescent="0.3">
      <c r="B28" s="98" t="s">
        <v>52</v>
      </c>
      <c r="F28" s="81" t="s">
        <v>53</v>
      </c>
      <c r="G28" s="82" t="s">
        <v>38</v>
      </c>
      <c r="H28" s="99">
        <f>I20</f>
        <v>63</v>
      </c>
      <c r="I28" s="84"/>
      <c r="K28" s="6" t="s">
        <v>54</v>
      </c>
      <c r="O28" s="90" t="s">
        <v>55</v>
      </c>
      <c r="P28" s="91">
        <f>(Q20/I20)/(H38^2)</f>
        <v>3.2547975569414582</v>
      </c>
      <c r="Q28" s="84"/>
      <c r="W28" s="1" t="s">
        <v>56</v>
      </c>
      <c r="X28" s="16">
        <f>2/10</f>
        <v>0.2</v>
      </c>
      <c r="Y28" s="85">
        <f>COUNTIF(L10:L19,"&lt;=0.20")+1</f>
        <v>2</v>
      </c>
      <c r="Z28" s="16">
        <f t="shared" ca="1" si="18"/>
        <v>25.5</v>
      </c>
      <c r="AA28" s="16">
        <f t="shared" ca="1" si="19"/>
        <v>17</v>
      </c>
      <c r="AB28" s="16">
        <f t="shared" ca="1" si="20"/>
        <v>5</v>
      </c>
      <c r="AC28" s="86">
        <f t="shared" ca="1" si="21"/>
        <v>29.97058823529412</v>
      </c>
      <c r="AD28" s="1">
        <f t="shared" si="22"/>
        <v>2</v>
      </c>
    </row>
    <row r="29" spans="1:30" ht="15.75" x14ac:dyDescent="0.25">
      <c r="B29" s="87"/>
      <c r="F29" s="81"/>
      <c r="H29" s="100"/>
      <c r="I29" s="84"/>
      <c r="Q29" s="84"/>
      <c r="W29" s="1" t="s">
        <v>57</v>
      </c>
      <c r="X29" s="16">
        <f>3/10</f>
        <v>0.3</v>
      </c>
      <c r="Y29" s="85">
        <f>COUNTIF(L10:L19,"&lt;=0.30")+1</f>
        <v>2</v>
      </c>
      <c r="Z29" s="16">
        <f t="shared" ca="1" si="18"/>
        <v>25.5</v>
      </c>
      <c r="AA29" s="16">
        <f t="shared" ca="1" si="19"/>
        <v>17</v>
      </c>
      <c r="AB29" s="16">
        <f t="shared" ca="1" si="20"/>
        <v>5</v>
      </c>
      <c r="AC29" s="86">
        <f t="shared" ca="1" si="21"/>
        <v>33.67647058823529</v>
      </c>
      <c r="AD29" s="1">
        <f t="shared" si="22"/>
        <v>2</v>
      </c>
    </row>
    <row r="30" spans="1:30" ht="15.75" x14ac:dyDescent="0.25">
      <c r="B30" s="101" t="s">
        <v>58</v>
      </c>
      <c r="F30" s="81" t="s">
        <v>59</v>
      </c>
      <c r="G30" s="82" t="s">
        <v>38</v>
      </c>
      <c r="H30" s="102">
        <f>N20/I20</f>
        <v>50.023809523809526</v>
      </c>
      <c r="I30" s="84"/>
      <c r="L30" s="6"/>
      <c r="P30" s="16"/>
      <c r="Q30" s="84"/>
      <c r="W30" s="1" t="s">
        <v>60</v>
      </c>
      <c r="X30" s="16">
        <f>7/10</f>
        <v>0.7</v>
      </c>
      <c r="Y30" s="85">
        <f>COUNTIF(L10:L19,"&lt;=0.70")+1</f>
        <v>4</v>
      </c>
      <c r="Z30" s="16">
        <f t="shared" ca="1" si="18"/>
        <v>45.5</v>
      </c>
      <c r="AA30" s="16">
        <f t="shared" ca="1" si="19"/>
        <v>7</v>
      </c>
      <c r="AB30" s="16">
        <f t="shared" ca="1" si="20"/>
        <v>38</v>
      </c>
      <c r="AC30" s="86">
        <f t="shared" ca="1" si="21"/>
        <v>54.214285714285708</v>
      </c>
      <c r="AD30" s="1">
        <f t="shared" si="22"/>
        <v>4</v>
      </c>
    </row>
    <row r="31" spans="1:30" ht="15.75" x14ac:dyDescent="0.25">
      <c r="B31" s="101"/>
      <c r="F31" s="81"/>
      <c r="H31" s="100"/>
      <c r="I31" s="84"/>
      <c r="K31" s="6" t="s">
        <v>61</v>
      </c>
      <c r="Q31" s="103"/>
      <c r="W31" s="1" t="s">
        <v>62</v>
      </c>
      <c r="X31" s="16">
        <f>8/10</f>
        <v>0.8</v>
      </c>
      <c r="Y31" s="85">
        <f>COUNTIF(L10:L19,"&lt;=0.80")+1</f>
        <v>6</v>
      </c>
      <c r="Z31" s="16">
        <f t="shared" ca="1" si="18"/>
        <v>65.5</v>
      </c>
      <c r="AA31" s="16">
        <f t="shared" ca="1" si="19"/>
        <v>4</v>
      </c>
      <c r="AB31" s="16">
        <f t="shared" ca="1" si="20"/>
        <v>49</v>
      </c>
      <c r="AC31" s="86">
        <f t="shared" ca="1" si="21"/>
        <v>69.000000000000014</v>
      </c>
      <c r="AD31" s="1">
        <f t="shared" si="22"/>
        <v>6</v>
      </c>
    </row>
    <row r="32" spans="1:30" ht="19.5" x14ac:dyDescent="0.35">
      <c r="B32" s="87" t="s">
        <v>63</v>
      </c>
      <c r="F32" s="81" t="s">
        <v>59</v>
      </c>
      <c r="G32" s="82" t="s">
        <v>38</v>
      </c>
      <c r="H32" s="91">
        <f ca="1">AC25</f>
        <v>41.4375</v>
      </c>
      <c r="I32" s="84"/>
      <c r="L32" s="104" t="s">
        <v>64</v>
      </c>
      <c r="N32" s="91">
        <f ca="1">AC24</f>
        <v>31.823529411764707</v>
      </c>
      <c r="Q32" s="103"/>
      <c r="W32" s="1" t="s">
        <v>65</v>
      </c>
      <c r="X32" s="16">
        <f>9/10</f>
        <v>0.9</v>
      </c>
      <c r="Y32" s="85">
        <f>COUNTIF(L10:L19,"&lt;=0.90")+1</f>
        <v>9</v>
      </c>
      <c r="Z32" s="16">
        <f t="shared" ca="1" si="18"/>
        <v>95.5</v>
      </c>
      <c r="AA32" s="16">
        <f t="shared" ca="1" si="19"/>
        <v>3</v>
      </c>
      <c r="AB32" s="16">
        <f t="shared" ca="1" si="20"/>
        <v>56</v>
      </c>
      <c r="AC32" s="86">
        <f t="shared" ca="1" si="21"/>
        <v>97.833333333333343</v>
      </c>
      <c r="AD32" s="1">
        <f t="shared" si="22"/>
        <v>9</v>
      </c>
    </row>
    <row r="33" spans="2:26" ht="19.5" x14ac:dyDescent="0.35">
      <c r="B33" s="87"/>
      <c r="F33" s="81"/>
      <c r="H33" s="100"/>
      <c r="I33" s="84"/>
      <c r="L33" s="104" t="s">
        <v>66</v>
      </c>
      <c r="N33" s="91">
        <f t="shared" ref="N33:N40" ca="1" si="23">AC25</f>
        <v>41.4375</v>
      </c>
      <c r="Q33" s="84"/>
      <c r="Z33" s="16"/>
    </row>
    <row r="34" spans="2:26" ht="19.5" x14ac:dyDescent="0.35">
      <c r="B34" s="87" t="s">
        <v>67</v>
      </c>
      <c r="F34" s="81" t="s">
        <v>68</v>
      </c>
      <c r="G34" s="82" t="s">
        <v>38</v>
      </c>
      <c r="H34" s="91">
        <f ca="1">Y39+ (  $H$24*(Y36-Y37) / ((Y36-Y37)+(Y36-Y38))  )</f>
        <v>34.730769230769226</v>
      </c>
      <c r="I34" s="84"/>
      <c r="L34" s="104" t="s">
        <v>69</v>
      </c>
      <c r="N34" s="91">
        <f t="shared" ca="1" si="23"/>
        <v>61.125</v>
      </c>
      <c r="Q34" s="84"/>
      <c r="Z34" s="16"/>
    </row>
    <row r="35" spans="2:26" ht="19.5" x14ac:dyDescent="0.35">
      <c r="B35" s="87"/>
      <c r="E35"/>
      <c r="F35" s="105" t="s">
        <v>70</v>
      </c>
      <c r="G35" s="82" t="s">
        <v>38</v>
      </c>
      <c r="H35" s="102">
        <f ca="1">Y40</f>
        <v>30.5</v>
      </c>
      <c r="I35" s="84"/>
      <c r="L35" s="104" t="s">
        <v>71</v>
      </c>
      <c r="N35" s="91">
        <f t="shared" ca="1" si="23"/>
        <v>26.264705882352942</v>
      </c>
      <c r="Q35" s="84"/>
      <c r="T35" s="1" t="s">
        <v>72</v>
      </c>
      <c r="Y35" s="16">
        <f>MATCH(MAX(I10:I19),I10:I19,0)</f>
        <v>2</v>
      </c>
      <c r="Z35" s="16"/>
    </row>
    <row r="36" spans="2:26" ht="19.5" x14ac:dyDescent="0.35">
      <c r="B36" s="92" t="s">
        <v>73</v>
      </c>
      <c r="D36" s="6"/>
      <c r="F36" s="81" t="s">
        <v>74</v>
      </c>
      <c r="G36" s="82" t="s">
        <v>38</v>
      </c>
      <c r="H36" s="83">
        <f>G19-E10</f>
        <v>100</v>
      </c>
      <c r="I36" s="84"/>
      <c r="L36" s="104" t="s">
        <v>75</v>
      </c>
      <c r="N36" s="91">
        <f t="shared" ca="1" si="23"/>
        <v>29.97058823529412</v>
      </c>
      <c r="Q36" s="84"/>
      <c r="T36" s="1" t="s">
        <v>76</v>
      </c>
      <c r="Y36" s="16">
        <f ca="1">INDIRECT(ADDRESS(9+$Y$35,9))</f>
        <v>17</v>
      </c>
      <c r="Z36" s="16"/>
    </row>
    <row r="37" spans="2:26" ht="19.5" x14ac:dyDescent="0.35">
      <c r="B37" s="87"/>
      <c r="F37" s="81"/>
      <c r="H37" s="100"/>
      <c r="I37" s="84"/>
      <c r="L37" s="104" t="s">
        <v>77</v>
      </c>
      <c r="N37" s="91">
        <f t="shared" ca="1" si="23"/>
        <v>33.67647058823529</v>
      </c>
      <c r="Q37" s="84"/>
      <c r="T37" s="6" t="s">
        <v>78</v>
      </c>
      <c r="Y37" s="16">
        <f ca="1">INDIRECT(ADDRESS(9+$Y$35-1,9))</f>
        <v>5</v>
      </c>
    </row>
    <row r="38" spans="2:26" ht="20.25" x14ac:dyDescent="0.35">
      <c r="B38" s="87" t="s">
        <v>79</v>
      </c>
      <c r="F38" s="106" t="s">
        <v>80</v>
      </c>
      <c r="G38" s="82" t="s">
        <v>38</v>
      </c>
      <c r="H38" s="91">
        <f>(O20-I20*(H30^2))/I20</f>
        <v>648.97959183673481</v>
      </c>
      <c r="I38" s="84"/>
      <c r="L38" s="104" t="s">
        <v>81</v>
      </c>
      <c r="N38" s="91">
        <f t="shared" ca="1" si="23"/>
        <v>54.214285714285708</v>
      </c>
      <c r="Q38" s="84"/>
      <c r="T38" s="6" t="s">
        <v>82</v>
      </c>
      <c r="Y38" s="16">
        <f ca="1">INDIRECT(ADDRESS(9+$Y$35+1,9))</f>
        <v>16</v>
      </c>
    </row>
    <row r="39" spans="2:26" ht="19.5" x14ac:dyDescent="0.35">
      <c r="B39" s="87"/>
      <c r="F39" s="81"/>
      <c r="H39" s="100"/>
      <c r="I39" s="84"/>
      <c r="L39" s="104" t="s">
        <v>83</v>
      </c>
      <c r="N39" s="91">
        <f t="shared" ca="1" si="23"/>
        <v>69.000000000000014</v>
      </c>
      <c r="Q39" s="84"/>
      <c r="T39" s="1" t="s">
        <v>84</v>
      </c>
      <c r="Y39" s="16">
        <f ca="1">INDIRECT(ADDRESS(9+$Y$35,5))</f>
        <v>25.5</v>
      </c>
    </row>
    <row r="40" spans="2:26" ht="19.5" x14ac:dyDescent="0.35">
      <c r="B40" s="87" t="s">
        <v>85</v>
      </c>
      <c r="F40" s="81" t="s">
        <v>86</v>
      </c>
      <c r="G40" s="82" t="s">
        <v>38</v>
      </c>
      <c r="H40" s="91">
        <f>SQRT(H38)</f>
        <v>25.475077857324298</v>
      </c>
      <c r="I40" s="84"/>
      <c r="L40" s="104" t="s">
        <v>87</v>
      </c>
      <c r="N40" s="91">
        <f t="shared" ca="1" si="23"/>
        <v>97.833333333333343</v>
      </c>
      <c r="Q40" s="84"/>
      <c r="T40" s="1" t="s">
        <v>88</v>
      </c>
      <c r="Y40" s="16">
        <f ca="1">INDIRECT(ADDRESS(9+$Y$35,8))</f>
        <v>30.5</v>
      </c>
    </row>
    <row r="41" spans="2:26" x14ac:dyDescent="0.2">
      <c r="B41" s="87"/>
      <c r="I41" s="84"/>
      <c r="Q41" s="84"/>
    </row>
    <row r="42" spans="2:26" ht="15.75" x14ac:dyDescent="0.25">
      <c r="B42" s="87" t="s">
        <v>89</v>
      </c>
      <c r="F42" s="81" t="s">
        <v>90</v>
      </c>
      <c r="G42" s="82" t="s">
        <v>38</v>
      </c>
      <c r="H42" s="91">
        <f>H40/H30</f>
        <v>0.50925905283561179</v>
      </c>
      <c r="I42" s="84"/>
      <c r="Q42" s="84"/>
    </row>
    <row r="43" spans="2:26" ht="15.75" x14ac:dyDescent="0.25">
      <c r="B43" s="107"/>
      <c r="C43" s="94"/>
      <c r="D43" s="94"/>
      <c r="E43" s="94"/>
      <c r="F43" s="108"/>
      <c r="G43" s="94"/>
      <c r="H43" s="109"/>
      <c r="I43" s="40"/>
      <c r="J43" s="94"/>
      <c r="K43" s="94"/>
      <c r="L43" s="94"/>
      <c r="M43" s="94"/>
      <c r="N43" s="94"/>
      <c r="O43" s="94"/>
      <c r="P43" s="94"/>
      <c r="Q43" s="40"/>
    </row>
    <row r="45" spans="2:26" ht="12.75" customHeight="1" x14ac:dyDescent="0.2">
      <c r="B45" s="110"/>
      <c r="C45" s="110"/>
      <c r="D45" s="68"/>
      <c r="E45" s="110"/>
      <c r="F45" s="110"/>
      <c r="G45" s="110"/>
      <c r="H45" s="110"/>
    </row>
    <row r="46" spans="2:26" ht="15.75" customHeight="1" x14ac:dyDescent="0.25">
      <c r="D46" s="111"/>
    </row>
    <row r="47" spans="2:26" ht="15.75" customHeight="1" x14ac:dyDescent="0.2">
      <c r="D47" s="112"/>
    </row>
    <row r="50" spans="2:2" ht="12.75" customHeight="1" x14ac:dyDescent="0.2">
      <c r="B50" s="89"/>
    </row>
    <row r="51" spans="2:2" ht="12.75" customHeight="1" x14ac:dyDescent="0.2">
      <c r="B51" s="89"/>
    </row>
    <row r="52" spans="2:2" ht="12.75" customHeight="1" x14ac:dyDescent="0.2">
      <c r="B52" s="89"/>
    </row>
    <row r="59" spans="2:2" ht="14.25" customHeight="1" x14ac:dyDescent="0.2"/>
  </sheetData>
  <printOptions horizontalCentered="1" verticalCentered="1"/>
  <pageMargins left="0.75" right="0.75" top="1" bottom="0.35433070866141736" header="0" footer="0"/>
  <pageSetup scale="84" orientation="landscape" r:id="rId1"/>
  <headerFooter alignWithMargins="0">
    <oddFooter>&amp;L&amp;8&amp;F-(&amp;A)-IPVA-990126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6_Clases</vt:lpstr>
      <vt:lpstr>7_Clases</vt:lpstr>
      <vt:lpstr>8_Clases</vt:lpstr>
      <vt:lpstr>9_Clases</vt:lpstr>
      <vt:lpstr>10_Clases</vt:lpstr>
      <vt:lpstr>'10_Clases'!Print_Area</vt:lpstr>
      <vt:lpstr>'6_Clases'!Print_Area</vt:lpstr>
      <vt:lpstr>'7_Clases'!Print_Area</vt:lpstr>
      <vt:lpstr>'8_Clases'!Print_Area</vt:lpstr>
      <vt:lpstr>'9_Clases'!Print_Area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Alfonso Murrieta</cp:lastModifiedBy>
  <dcterms:created xsi:type="dcterms:W3CDTF">2019-02-12T14:15:52Z</dcterms:created>
  <dcterms:modified xsi:type="dcterms:W3CDTF">2019-02-18T01:53:09Z</dcterms:modified>
</cp:coreProperties>
</file>