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xr:revisionPtr revIDLastSave="0" documentId="13_ncr:1_{76B0108F-A08E-4DCE-8817-0032CDBB8126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4_Datos" sheetId="5" r:id="rId2"/>
    <sheet name="6_Datos" sheetId="2" r:id="rId3"/>
    <sheet name="8_Datos" sheetId="3" r:id="rId4"/>
    <sheet name="Hoja2" sheetId="4" r:id="rId5"/>
  </sheets>
  <definedNames>
    <definedName name="d_estandar">'8_Datos'!$F$36</definedName>
    <definedName name="DATS">Hoja1!$E$4:$E$153</definedName>
    <definedName name="dats4">'4_Datos'!$B$26:$B$41</definedName>
    <definedName name="fi">'8_Datos'!$K$15:$K$22</definedName>
    <definedName name="m">'8_Datos'!$F$27</definedName>
    <definedName name="medi">'8_Datos'!$F$30</definedName>
    <definedName name="media">'8_Datos'!$F$30</definedName>
    <definedName name="mediana">'8_Datos'!$F$31</definedName>
    <definedName name="moda">'8_Datos'!$F$32</definedName>
    <definedName name="n">'8_Datos'!$F$28</definedName>
    <definedName name="varianza">'8_Datos'!$F$35</definedName>
    <definedName name="xi">'8_Datos'!$J$15:$J$22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" i="5" l="1"/>
  <c r="M13" i="5"/>
  <c r="L13" i="5"/>
  <c r="K13" i="5"/>
  <c r="J13" i="5"/>
  <c r="I13" i="5"/>
  <c r="H13" i="5"/>
  <c r="F13" i="5"/>
  <c r="E13" i="5"/>
  <c r="C13" i="5"/>
  <c r="H8" i="5"/>
  <c r="F8" i="5"/>
  <c r="E13" i="2"/>
  <c r="D22" i="5"/>
  <c r="C9" i="5"/>
  <c r="D19" i="5"/>
  <c r="D18" i="5"/>
  <c r="D17" i="5"/>
  <c r="D3" i="5" s="1"/>
  <c r="D21" i="5" s="1"/>
  <c r="D23" i="5" s="1"/>
  <c r="C42" i="5"/>
  <c r="I99" i="1" l="1"/>
  <c r="C47" i="3"/>
  <c r="F28" i="3"/>
  <c r="E9" i="5" l="1"/>
  <c r="K9" i="5" s="1"/>
  <c r="F9" i="5"/>
  <c r="C49" i="3"/>
  <c r="C48" i="3"/>
  <c r="D9" i="3"/>
  <c r="C51" i="3" s="1"/>
  <c r="D17" i="2"/>
  <c r="D3" i="2" s="1"/>
  <c r="D21" i="2" s="1"/>
  <c r="D18" i="2"/>
  <c r="D19" i="2"/>
  <c r="C52" i="3"/>
  <c r="M9" i="5" l="1"/>
  <c r="N9" i="5" s="1"/>
  <c r="C10" i="5"/>
  <c r="H7" i="5"/>
  <c r="H9" i="5"/>
  <c r="I9" i="5" s="1"/>
  <c r="C53" i="3"/>
  <c r="F26" i="3"/>
  <c r="D23" i="2"/>
  <c r="D22" i="2" s="1"/>
  <c r="D15" i="2"/>
  <c r="E10" i="5" l="1"/>
  <c r="K10" i="5" s="1"/>
  <c r="L9" i="5"/>
  <c r="J9" i="5"/>
  <c r="C8" i="2"/>
  <c r="F8" i="2" s="1"/>
  <c r="H7" i="2" s="1"/>
  <c r="L10" i="5" l="1"/>
  <c r="M10" i="5"/>
  <c r="N10" i="5" s="1"/>
  <c r="C11" i="5"/>
  <c r="C15" i="3"/>
  <c r="E15" i="3" s="1"/>
  <c r="E8" i="2"/>
  <c r="H8" i="2" s="1"/>
  <c r="I8" i="2" s="1"/>
  <c r="E11" i="5" l="1"/>
  <c r="C12" i="5" s="1"/>
  <c r="F15" i="3"/>
  <c r="C16" i="3"/>
  <c r="F16" i="3" s="1"/>
  <c r="H15" i="3"/>
  <c r="K15" i="3"/>
  <c r="M15" i="3" s="1"/>
  <c r="N15" i="3" s="1"/>
  <c r="K8" i="2"/>
  <c r="L8" i="2" s="1"/>
  <c r="C9" i="2"/>
  <c r="F9" i="2" s="1"/>
  <c r="J8" i="2"/>
  <c r="K11" i="5" l="1"/>
  <c r="L11" i="5" s="1"/>
  <c r="E12" i="5"/>
  <c r="K12" i="5"/>
  <c r="M12" i="5" s="1"/>
  <c r="E16" i="3"/>
  <c r="K16" i="3" s="1"/>
  <c r="M16" i="3" s="1"/>
  <c r="H13" i="3"/>
  <c r="H14" i="3"/>
  <c r="I15" i="3"/>
  <c r="J15" i="3"/>
  <c r="L15" i="3"/>
  <c r="E9" i="2"/>
  <c r="H9" i="2" s="1"/>
  <c r="J9" i="2" s="1"/>
  <c r="M8" i="2"/>
  <c r="N8" i="2" s="1"/>
  <c r="M11" i="5" l="1"/>
  <c r="N11" i="5" s="1"/>
  <c r="N12" i="5"/>
  <c r="L12" i="5"/>
  <c r="F10" i="5"/>
  <c r="H16" i="3"/>
  <c r="I16" i="3" s="1"/>
  <c r="C17" i="3"/>
  <c r="F17" i="3" s="1"/>
  <c r="I9" i="2"/>
  <c r="C10" i="2"/>
  <c r="F10" i="2" s="1"/>
  <c r="K9" i="2"/>
  <c r="L9" i="2" s="1"/>
  <c r="F14" i="3"/>
  <c r="J14" i="3" s="1"/>
  <c r="L16" i="3"/>
  <c r="E10" i="2" l="1"/>
  <c r="K10" i="2" s="1"/>
  <c r="M10" i="2" s="1"/>
  <c r="H10" i="5"/>
  <c r="I10" i="5" s="1"/>
  <c r="G62" i="3"/>
  <c r="E17" i="3"/>
  <c r="H17" i="3" s="1"/>
  <c r="I17" i="3" s="1"/>
  <c r="J16" i="3"/>
  <c r="M9" i="2"/>
  <c r="N9" i="2" s="1"/>
  <c r="N10" i="2" s="1"/>
  <c r="I14" i="3"/>
  <c r="N16" i="3"/>
  <c r="H10" i="2"/>
  <c r="I10" i="2" s="1"/>
  <c r="C11" i="2"/>
  <c r="F11" i="2" s="1"/>
  <c r="J10" i="5" l="1"/>
  <c r="L10" i="2"/>
  <c r="F11" i="5"/>
  <c r="K17" i="3"/>
  <c r="M17" i="3" s="1"/>
  <c r="C18" i="3"/>
  <c r="F18" i="3" s="1"/>
  <c r="J10" i="2"/>
  <c r="E11" i="2"/>
  <c r="K11" i="2" s="1"/>
  <c r="L11" i="2" s="1"/>
  <c r="J17" i="3"/>
  <c r="H11" i="5" l="1"/>
  <c r="I11" i="5" s="1"/>
  <c r="E18" i="3"/>
  <c r="H18" i="3" s="1"/>
  <c r="I18" i="3" s="1"/>
  <c r="L17" i="3"/>
  <c r="N17" i="3"/>
  <c r="H11" i="2"/>
  <c r="I11" i="2" s="1"/>
  <c r="M11" i="2"/>
  <c r="N11" i="2" s="1"/>
  <c r="C12" i="2"/>
  <c r="E12" i="2" s="1"/>
  <c r="C13" i="2" s="1"/>
  <c r="J11" i="5" l="1"/>
  <c r="H12" i="5"/>
  <c r="F12" i="5"/>
  <c r="K18" i="3"/>
  <c r="C19" i="3"/>
  <c r="F19" i="3" s="1"/>
  <c r="J11" i="2"/>
  <c r="K12" i="2"/>
  <c r="M12" i="2" s="1"/>
  <c r="N12" i="2" s="1"/>
  <c r="F12" i="2"/>
  <c r="J18" i="3"/>
  <c r="H12" i="2"/>
  <c r="J12" i="5" l="1"/>
  <c r="I12" i="5"/>
  <c r="M18" i="3"/>
  <c r="N18" i="3" s="1"/>
  <c r="F42" i="3"/>
  <c r="L18" i="3"/>
  <c r="E19" i="3"/>
  <c r="C20" i="3" s="1"/>
  <c r="L12" i="2"/>
  <c r="I12" i="2"/>
  <c r="J12" i="2"/>
  <c r="K19" i="3" l="1"/>
  <c r="M19" i="3" s="1"/>
  <c r="H19" i="3"/>
  <c r="I19" i="3" s="1"/>
  <c r="F20" i="3"/>
  <c r="E20" i="3"/>
  <c r="F43" i="3" l="1"/>
  <c r="F31" i="3"/>
  <c r="L19" i="3"/>
  <c r="J19" i="3"/>
  <c r="N19" i="3"/>
  <c r="C21" i="3"/>
  <c r="H20" i="3"/>
  <c r="I20" i="3" s="1"/>
  <c r="K20" i="3"/>
  <c r="M20" i="3" s="1"/>
  <c r="G57" i="3" l="1"/>
  <c r="F44" i="3"/>
  <c r="N20" i="3"/>
  <c r="L20" i="3"/>
  <c r="G58" i="3" s="1"/>
  <c r="F21" i="3"/>
  <c r="E21" i="3"/>
  <c r="K21" i="3" s="1"/>
  <c r="J20" i="3"/>
  <c r="G59" i="3" l="1"/>
  <c r="C22" i="3"/>
  <c r="H21" i="3"/>
  <c r="I21" i="3" s="1"/>
  <c r="M21" i="3"/>
  <c r="F13" i="2"/>
  <c r="H13" i="2"/>
  <c r="N21" i="3" l="1"/>
  <c r="L21" i="3"/>
  <c r="J21" i="3"/>
  <c r="F22" i="3"/>
  <c r="E22" i="3"/>
  <c r="K13" i="2"/>
  <c r="L13" i="2" s="1"/>
  <c r="I13" i="2"/>
  <c r="J13" i="2"/>
  <c r="H22" i="3" l="1"/>
  <c r="C23" i="3"/>
  <c r="K22" i="3"/>
  <c r="M22" i="3" s="1"/>
  <c r="M13" i="2"/>
  <c r="N13" i="2" s="1"/>
  <c r="J22" i="3" l="1"/>
  <c r="F34" i="3"/>
  <c r="K26" i="3"/>
  <c r="I22" i="3"/>
  <c r="F23" i="3"/>
  <c r="E23" i="3"/>
  <c r="H23" i="3" s="1"/>
  <c r="K24" i="3"/>
  <c r="L22" i="3"/>
  <c r="K27" i="3"/>
  <c r="K28" i="3"/>
  <c r="K29" i="3"/>
  <c r="K30" i="3"/>
  <c r="F30" i="3" l="1" a="1"/>
  <c r="F30" i="3" s="1"/>
  <c r="I23" i="3"/>
  <c r="F32" i="3"/>
  <c r="L23" i="3"/>
  <c r="J23" i="3"/>
  <c r="N22" i="3"/>
  <c r="N23" i="3" s="1"/>
  <c r="M24" i="3"/>
  <c r="O15" i="3" l="1"/>
  <c r="O16" i="3"/>
  <c r="O17" i="3"/>
  <c r="O18" i="3"/>
  <c r="O19" i="3"/>
  <c r="O20" i="3"/>
  <c r="O21" i="3"/>
  <c r="F35" i="3" a="1"/>
  <c r="F35" i="3" s="1"/>
  <c r="F36" i="3" s="1"/>
  <c r="O22" i="3"/>
  <c r="O23" i="3" l="1"/>
  <c r="P24" i="3" s="1"/>
  <c r="F37" i="3"/>
  <c r="F40" i="3" a="1"/>
  <c r="F40" i="3" s="1"/>
  <c r="F39" i="3" a="1"/>
  <c r="F39" i="3" s="1"/>
</calcChain>
</file>

<file path=xl/sharedStrings.xml><?xml version="1.0" encoding="utf-8"?>
<sst xmlns="http://schemas.openxmlformats.org/spreadsheetml/2006/main" count="300" uniqueCount="70">
  <si>
    <t>Peso</t>
  </si>
  <si>
    <t>Oberv. i</t>
  </si>
  <si>
    <t>c =</t>
  </si>
  <si>
    <t>Precisión</t>
  </si>
  <si>
    <t>LÍMITES</t>
  </si>
  <si>
    <t>INTERVALOS DE CLASE
(límites aparentes)</t>
  </si>
  <si>
    <t>FRONTERAS DE CLASE
(límites reales)</t>
  </si>
  <si>
    <t>TAMAÑO DEL INTERVALO</t>
  </si>
  <si>
    <t>MARCAS DE CLASE</t>
  </si>
  <si>
    <t>FRECUENCIA</t>
  </si>
  <si>
    <t>FRECUENCIA ACUMULADA</t>
  </si>
  <si>
    <t>FRECUENCIA RELATIVA</t>
  </si>
  <si>
    <t>FRECUENCIA RELATIVA ACUMULADA</t>
  </si>
  <si>
    <t>Límite inferior</t>
  </si>
  <si>
    <t>Límite Superior</t>
  </si>
  <si>
    <t>c</t>
  </si>
  <si>
    <r>
      <t>x</t>
    </r>
    <r>
      <rPr>
        <b/>
        <vertAlign val="subscript"/>
        <sz val="14"/>
        <rFont val="Times New Roman"/>
        <family val="1"/>
      </rPr>
      <t>i</t>
    </r>
  </si>
  <si>
    <r>
      <t>f</t>
    </r>
    <r>
      <rPr>
        <b/>
        <vertAlign val="subscript"/>
        <sz val="14"/>
        <rFont val="Times New Roman"/>
        <family val="1"/>
      </rPr>
      <t>i</t>
    </r>
  </si>
  <si>
    <r>
      <t>F</t>
    </r>
    <r>
      <rPr>
        <b/>
        <vertAlign val="subscript"/>
        <sz val="14"/>
        <rFont val="Times New Roman"/>
        <family val="1"/>
      </rPr>
      <t>i</t>
    </r>
  </si>
  <si>
    <r>
      <t>f'</t>
    </r>
    <r>
      <rPr>
        <b/>
        <vertAlign val="subscript"/>
        <sz val="14"/>
        <rFont val="Times New Roman"/>
        <family val="1"/>
      </rPr>
      <t>i</t>
    </r>
  </si>
  <si>
    <r>
      <t>F'</t>
    </r>
    <r>
      <rPr>
        <b/>
        <vertAlign val="subscript"/>
        <sz val="14"/>
        <rFont val="Times New Roman"/>
        <family val="1"/>
      </rPr>
      <t>i</t>
    </r>
  </si>
  <si>
    <t>clase</t>
  </si>
  <si>
    <t>-</t>
  </si>
  <si>
    <t>m</t>
  </si>
  <si>
    <t>n</t>
  </si>
  <si>
    <t>Rango</t>
  </si>
  <si>
    <t>Min</t>
  </si>
  <si>
    <t>Max</t>
  </si>
  <si>
    <t>Rango Tabla</t>
  </si>
  <si>
    <t>MinTabla</t>
  </si>
  <si>
    <t>MaxTabla</t>
  </si>
  <si>
    <t>Sumas</t>
  </si>
  <si>
    <t>Longitud de Clase</t>
  </si>
  <si>
    <t>=</t>
  </si>
  <si>
    <t>Media</t>
  </si>
  <si>
    <t>Mediana</t>
  </si>
  <si>
    <t>Moda</t>
  </si>
  <si>
    <t>Mo</t>
  </si>
  <si>
    <t>Clase que contiene a la moda</t>
  </si>
  <si>
    <t>Frecuencia de la clase modal</t>
  </si>
  <si>
    <t>Frecuencia de la clase anterior a la modal</t>
  </si>
  <si>
    <t>Frecuencia de la clase posterior a la modal</t>
  </si>
  <si>
    <t>Límite inferior de la clase modal:</t>
  </si>
  <si>
    <t>Número de Clases</t>
  </si>
  <si>
    <t>Varianza</t>
  </si>
  <si>
    <t>Desviacion Estandar</t>
  </si>
  <si>
    <t>Coeficiente de Variación</t>
  </si>
  <si>
    <t>CV</t>
  </si>
  <si>
    <t>Total de Datos</t>
  </si>
  <si>
    <t>Medidas de Tendencia Central</t>
  </si>
  <si>
    <t xml:space="preserve">Medidas de Dispersión </t>
  </si>
  <si>
    <t>Medidas de Forma</t>
  </si>
  <si>
    <t>Coeficiente de Sesgo</t>
  </si>
  <si>
    <t>Coeficiente de Curtosis</t>
  </si>
  <si>
    <t>Cuantiles</t>
  </si>
  <si>
    <t>3° Cuartil</t>
  </si>
  <si>
    <t>1° cuartil</t>
  </si>
  <si>
    <t>Clase que contiene a la mediana</t>
  </si>
  <si>
    <t>Clase que contiene al primer Cuartil</t>
  </si>
  <si>
    <t>Clase que contiene as tercer Cuartil</t>
  </si>
  <si>
    <t>Parámetros de los datos Originales</t>
  </si>
  <si>
    <t>Parámetros de la Tabla</t>
  </si>
  <si>
    <t>GRAFICOS</t>
  </si>
  <si>
    <t xml:space="preserve">Histogramas </t>
  </si>
  <si>
    <t>Polígonal</t>
  </si>
  <si>
    <t>Ojiva</t>
  </si>
  <si>
    <t>Lechones con al menos de 1100 [g]</t>
  </si>
  <si>
    <t>Lechones con menos de 500 [g]</t>
  </si>
  <si>
    <t>Realizando las interpolaciones necesarias en base a la tabla y graficas elaboradas, es posible decir que:</t>
  </si>
  <si>
    <t>Lechones cuyo peso esta entre 1100 [g] y 1300[g]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</si>
</sst>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b/>
      <vertAlign val="subscript"/>
      <sz val="14"/>
      <name val="Times New Roman"/>
      <family val="1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name val="Times New Roman"/>
      <family val="1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1" fillId="0" borderId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1" fillId="0" borderId="2" xfId="1" applyBorder="1"/>
    <xf numFmtId="1" fontId="1" fillId="2" borderId="3" xfId="1" applyNumberFormat="1" applyFill="1" applyBorder="1"/>
    <xf numFmtId="0" fontId="1" fillId="3" borderId="3" xfId="1" applyFill="1" applyBorder="1"/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1" fillId="0" borderId="6" xfId="1" applyBorder="1" applyAlignment="1">
      <alignment horizontal="centerContinuous"/>
    </xf>
    <xf numFmtId="0" fontId="2" fillId="0" borderId="4" xfId="1" applyFont="1" applyBorder="1" applyAlignment="1">
      <alignment horizontal="centerContinuous" vertical="center" wrapText="1"/>
    </xf>
    <xf numFmtId="0" fontId="2" fillId="0" borderId="5" xfId="1" applyFont="1" applyBorder="1" applyAlignment="1">
      <alignment horizontal="centerContinuous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1" fillId="0" borderId="8" xfId="1" applyBorder="1" applyAlignment="1">
      <alignment horizontal="centerContinuous" vertical="center" wrapText="1"/>
    </xf>
    <xf numFmtId="0" fontId="1" fillId="0" borderId="0" xfId="1" applyAlignment="1">
      <alignment horizontal="centerContinuous" vertical="center" wrapText="1"/>
    </xf>
    <xf numFmtId="0" fontId="1" fillId="0" borderId="8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0" borderId="8" xfId="1" applyFont="1" applyBorder="1" applyAlignment="1">
      <alignment horizontal="centerContinuous" vertical="center" wrapText="1"/>
    </xf>
    <xf numFmtId="0" fontId="3" fillId="0" borderId="8" xfId="1" quotePrefix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10" xfId="1" applyBorder="1" applyAlignment="1">
      <alignment horizontal="centerContinuous" wrapText="1"/>
    </xf>
    <xf numFmtId="0" fontId="1" fillId="0" borderId="11" xfId="1" applyBorder="1" applyAlignment="1">
      <alignment horizontal="centerContinuous" wrapText="1"/>
    </xf>
    <xf numFmtId="0" fontId="5" fillId="0" borderId="10" xfId="1" applyFont="1" applyBorder="1" applyAlignment="1">
      <alignment horizontal="center" wrapText="1"/>
    </xf>
    <xf numFmtId="0" fontId="5" fillId="0" borderId="11" xfId="1" applyFont="1" applyBorder="1" applyAlignment="1">
      <alignment horizontal="center" wrapText="1"/>
    </xf>
    <xf numFmtId="2" fontId="5" fillId="0" borderId="11" xfId="1" applyNumberFormat="1" applyFont="1" applyBorder="1" applyAlignment="1">
      <alignment horizontal="center" wrapText="1"/>
    </xf>
    <xf numFmtId="0" fontId="5" fillId="0" borderId="10" xfId="1" applyFont="1" applyBorder="1" applyAlignment="1">
      <alignment horizontal="centerContinuous" wrapText="1"/>
    </xf>
    <xf numFmtId="0" fontId="5" fillId="0" borderId="10" xfId="1" quotePrefix="1" applyFont="1" applyBorder="1" applyAlignment="1">
      <alignment horizontal="center" wrapText="1"/>
    </xf>
    <xf numFmtId="0" fontId="5" fillId="0" borderId="12" xfId="1" applyFont="1" applyBorder="1" applyAlignment="1">
      <alignment horizontal="center" wrapText="1"/>
    </xf>
    <xf numFmtId="0" fontId="1" fillId="2" borderId="7" xfId="1" applyFill="1" applyBorder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8" xfId="1" applyNumberFormat="1" applyBorder="1" applyAlignment="1">
      <alignment horizontal="center"/>
    </xf>
    <xf numFmtId="0" fontId="1" fillId="2" borderId="8" xfId="1" applyFill="1" applyBorder="1" applyAlignment="1">
      <alignment horizontal="center"/>
    </xf>
    <xf numFmtId="1" fontId="1" fillId="0" borderId="8" xfId="1" applyNumberFormat="1" applyBorder="1" applyAlignment="1">
      <alignment horizontal="center"/>
    </xf>
    <xf numFmtId="2" fontId="1" fillId="0" borderId="7" xfId="1" applyNumberFormat="1" applyBorder="1" applyAlignment="1">
      <alignment horizontal="center"/>
    </xf>
    <xf numFmtId="0" fontId="1" fillId="2" borderId="9" xfId="1" applyFill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0" borderId="11" xfId="1" applyBorder="1" applyAlignment="1">
      <alignment horizontal="center"/>
    </xf>
    <xf numFmtId="2" fontId="1" fillId="0" borderId="10" xfId="1" applyNumberFormat="1" applyBorder="1" applyAlignment="1">
      <alignment horizontal="center"/>
    </xf>
    <xf numFmtId="2" fontId="1" fillId="0" borderId="11" xfId="1" applyNumberFormat="1" applyBorder="1" applyAlignment="1">
      <alignment horizontal="center"/>
    </xf>
    <xf numFmtId="2" fontId="1" fillId="0" borderId="12" xfId="1" applyNumberFormat="1" applyBorder="1" applyAlignment="1">
      <alignment horizontal="center"/>
    </xf>
    <xf numFmtId="0" fontId="1" fillId="0" borderId="8" xfId="1" applyBorder="1" applyAlignment="1">
      <alignment horizontal="center"/>
    </xf>
    <xf numFmtId="164" fontId="1" fillId="0" borderId="11" xfId="1" applyNumberFormat="1" applyBorder="1" applyAlignment="1">
      <alignment horizontal="center"/>
    </xf>
    <xf numFmtId="2" fontId="0" fillId="0" borderId="0" xfId="0" applyNumberFormat="1"/>
    <xf numFmtId="0" fontId="0" fillId="5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0" fontId="9" fillId="0" borderId="0" xfId="4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0" applyFont="1"/>
    <xf numFmtId="0" fontId="1" fillId="0" borderId="0" xfId="4"/>
    <xf numFmtId="0" fontId="1" fillId="0" borderId="0" xfId="4" applyAlignment="1">
      <alignment horizontal="center"/>
    </xf>
    <xf numFmtId="0" fontId="12" fillId="0" borderId="0" xfId="1" applyFont="1" applyAlignment="1">
      <alignment horizontal="center"/>
    </xf>
    <xf numFmtId="0" fontId="12" fillId="0" borderId="8" xfId="1" applyFont="1" applyBorder="1" applyAlignment="1">
      <alignment horizontal="centerContinuous" wrapText="1"/>
    </xf>
    <xf numFmtId="0" fontId="12" fillId="0" borderId="0" xfId="1" applyFont="1" applyAlignment="1">
      <alignment horizontal="centerContinuous" wrapText="1"/>
    </xf>
    <xf numFmtId="0" fontId="12" fillId="0" borderId="8" xfId="2" applyNumberFormat="1" applyFont="1" applyBorder="1" applyAlignment="1">
      <alignment horizontal="center" wrapText="1"/>
    </xf>
    <xf numFmtId="0" fontId="12" fillId="0" borderId="0" xfId="1" applyFont="1" applyAlignment="1">
      <alignment horizontal="center" wrapText="1"/>
    </xf>
    <xf numFmtId="2" fontId="12" fillId="0" borderId="8" xfId="1" applyNumberFormat="1" applyFont="1" applyBorder="1" applyAlignment="1">
      <alignment horizontal="center"/>
    </xf>
    <xf numFmtId="0" fontId="12" fillId="0" borderId="8" xfId="1" applyFont="1" applyBorder="1" applyAlignment="1">
      <alignment horizontal="center" wrapText="1"/>
    </xf>
    <xf numFmtId="2" fontId="12" fillId="0" borderId="8" xfId="1" applyNumberFormat="1" applyFont="1" applyBorder="1" applyAlignment="1">
      <alignment horizontal="center" wrapText="1"/>
    </xf>
    <xf numFmtId="0" fontId="0" fillId="0" borderId="12" xfId="0" applyBorder="1"/>
    <xf numFmtId="2" fontId="12" fillId="0" borderId="7" xfId="1" applyNumberFormat="1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1" fontId="1" fillId="0" borderId="13" xfId="1" applyNumberFormat="1" applyBorder="1" applyAlignment="1">
      <alignment horizontal="center"/>
    </xf>
    <xf numFmtId="0" fontId="2" fillId="0" borderId="0" xfId="4" applyFont="1"/>
    <xf numFmtId="0" fontId="2" fillId="0" borderId="0" xfId="4" quotePrefix="1" applyFont="1" applyAlignment="1">
      <alignment horizontal="left"/>
    </xf>
    <xf numFmtId="0" fontId="2" fillId="0" borderId="0" xfId="4" applyFont="1" applyAlignment="1">
      <alignment horizontal="center"/>
    </xf>
    <xf numFmtId="0" fontId="1" fillId="5" borderId="3" xfId="1" applyFill="1" applyBorder="1"/>
    <xf numFmtId="0" fontId="1" fillId="0" borderId="9" xfId="1" applyBorder="1" applyAlignment="1">
      <alignment horizontal="center"/>
    </xf>
    <xf numFmtId="0" fontId="8" fillId="0" borderId="12" xfId="3" applyFont="1" applyFill="1" applyBorder="1"/>
    <xf numFmtId="43" fontId="0" fillId="0" borderId="12" xfId="2" applyFont="1" applyBorder="1"/>
    <xf numFmtId="0" fontId="13" fillId="0" borderId="0" xfId="0" applyFont="1"/>
    <xf numFmtId="1" fontId="1" fillId="0" borderId="3" xfId="1" applyNumberFormat="1" applyBorder="1"/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" fillId="0" borderId="0" xfId="4" applyAlignment="1">
      <alignment vertical="center"/>
    </xf>
    <xf numFmtId="0" fontId="1" fillId="0" borderId="0" xfId="4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textRotation="255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1" fontId="1" fillId="0" borderId="0" xfId="1" applyNumberFormat="1" applyAlignment="1">
      <alignment horizontal="center"/>
    </xf>
    <xf numFmtId="0" fontId="1" fillId="0" borderId="0" xfId="1" applyAlignment="1">
      <alignment horizontal="centerContinuous" wrapText="1"/>
    </xf>
    <xf numFmtId="0" fontId="5" fillId="0" borderId="8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8" xfId="1" applyFont="1" applyBorder="1" applyAlignment="1">
      <alignment horizontal="centerContinuous" wrapText="1"/>
    </xf>
    <xf numFmtId="0" fontId="5" fillId="0" borderId="8" xfId="1" quotePrefix="1" applyFont="1" applyBorder="1" applyAlignment="1">
      <alignment horizontal="center" wrapText="1"/>
    </xf>
    <xf numFmtId="0" fontId="1" fillId="2" borderId="0" xfId="1" applyFill="1" applyAlignment="1">
      <alignment horizontal="center"/>
    </xf>
    <xf numFmtId="0" fontId="18" fillId="0" borderId="9" xfId="1" applyFont="1" applyBorder="1" applyAlignment="1">
      <alignment horizontal="center" wrapText="1"/>
    </xf>
    <xf numFmtId="0" fontId="18" fillId="0" borderId="0" xfId="1" applyFont="1" applyAlignment="1">
      <alignment horizontal="center"/>
    </xf>
    <xf numFmtId="0" fontId="18" fillId="0" borderId="10" xfId="1" applyFont="1" applyBorder="1" applyAlignment="1">
      <alignment horizontal="center"/>
    </xf>
    <xf numFmtId="0" fontId="18" fillId="0" borderId="11" xfId="1" applyFont="1" applyBorder="1" applyAlignment="1">
      <alignment horizontal="center"/>
    </xf>
    <xf numFmtId="1" fontId="18" fillId="0" borderId="11" xfId="1" applyNumberFormat="1" applyFont="1" applyBorder="1" applyAlignment="1">
      <alignment horizontal="center"/>
    </xf>
    <xf numFmtId="2" fontId="18" fillId="0" borderId="10" xfId="1" applyNumberFormat="1" applyFont="1" applyBorder="1" applyAlignment="1">
      <alignment horizontal="center"/>
    </xf>
    <xf numFmtId="2" fontId="18" fillId="0" borderId="11" xfId="1" applyNumberFormat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2" fontId="18" fillId="0" borderId="12" xfId="1" applyNumberFormat="1" applyFont="1" applyBorder="1" applyAlignment="1">
      <alignment horizontal="center"/>
    </xf>
  </cellXfs>
  <cellStyles count="5">
    <cellStyle name="Bueno" xfId="3" builtinId="26"/>
    <cellStyle name="Millares" xfId="2" builtinId="3"/>
    <cellStyle name="Normal" xfId="0" builtinId="0"/>
    <cellStyle name="Normal_EjemplosEstDesc2003" xfId="1" xr:uid="{00000000-0005-0000-0000-000003000000}"/>
    <cellStyle name="Normal_FormulasEstadDescr" xfId="4" xr:uid="{00000000-0005-0000-0000-000004000000}"/>
  </cellStyles>
  <dxfs count="0"/>
  <tableStyles count="0" defaultTableStyle="TableStyleMedium2" defaultPivotStyle="PivotStyleLight16"/>
  <colors>
    <mruColors>
      <color rgb="FF000000"/>
      <color rgb="FFFFFFCC"/>
      <color rgb="FF00CC99"/>
      <color rgb="FFCC6600"/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'4_Datos'!$J$9:$J$12</c:f>
              <c:strCache>
                <c:ptCount val="4"/>
                <c:pt idx="0">
                  <c:v>65.50</c:v>
                </c:pt>
                <c:pt idx="1">
                  <c:v>75.50</c:v>
                </c:pt>
                <c:pt idx="2">
                  <c:v>85.50</c:v>
                </c:pt>
                <c:pt idx="3">
                  <c:v>95.50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9A-42CB-8EC0-1CDB221AFAD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99A-42CB-8EC0-1CDB221AFAD2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9A-42CB-8EC0-1CDB221AFAD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99A-42CB-8EC0-1CDB221AFAD2}"/>
              </c:ext>
            </c:extLst>
          </c:dPt>
          <c:cat>
            <c:numRef>
              <c:f>'4_Datos'!$J$9:$J$12</c:f>
              <c:numCache>
                <c:formatCode>0.00</c:formatCode>
                <c:ptCount val="4"/>
                <c:pt idx="0">
                  <c:v>65.5</c:v>
                </c:pt>
                <c:pt idx="1">
                  <c:v>75.5</c:v>
                </c:pt>
                <c:pt idx="2">
                  <c:v>85.5</c:v>
                </c:pt>
                <c:pt idx="3">
                  <c:v>95.5</c:v>
                </c:pt>
              </c:numCache>
            </c:numRef>
          </c:cat>
          <c:val>
            <c:numRef>
              <c:f>'4_Datos'!$K$9:$K$12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A-42CB-8EC0-1CDB221AF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7285360"/>
        <c:axId val="397286960"/>
      </c:barChart>
      <c:catAx>
        <c:axId val="3972853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7286960"/>
        <c:crosses val="autoZero"/>
        <c:auto val="1"/>
        <c:lblAlgn val="ctr"/>
        <c:lblOffset val="100"/>
        <c:noMultiLvlLbl val="0"/>
      </c:catAx>
      <c:valAx>
        <c:axId val="3972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728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'4_Datos'!$N$9:$N$12</c:f>
              <c:strCache>
                <c:ptCount val="4"/>
                <c:pt idx="0">
                  <c:v>0.25</c:v>
                </c:pt>
                <c:pt idx="1">
                  <c:v>0.56</c:v>
                </c:pt>
                <c:pt idx="2">
                  <c:v>0.81</c:v>
                </c:pt>
                <c:pt idx="3">
                  <c:v>1.00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3E-4ED2-AA19-07BAB8692CD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3E-4ED2-AA19-07BAB8692CD3}"/>
              </c:ext>
            </c:extLst>
          </c:dPt>
          <c:cat>
            <c:numRef>
              <c:f>'4_Datos'!$J$9:$J$12</c:f>
              <c:numCache>
                <c:formatCode>0.00</c:formatCode>
                <c:ptCount val="4"/>
                <c:pt idx="0">
                  <c:v>65.5</c:v>
                </c:pt>
                <c:pt idx="1">
                  <c:v>75.5</c:v>
                </c:pt>
                <c:pt idx="2">
                  <c:v>85.5</c:v>
                </c:pt>
                <c:pt idx="3">
                  <c:v>95.5</c:v>
                </c:pt>
              </c:numCache>
            </c:numRef>
          </c:cat>
          <c:val>
            <c:numRef>
              <c:f>'4_Datos'!$N$9:$N$12</c:f>
              <c:numCache>
                <c:formatCode>0.00</c:formatCode>
                <c:ptCount val="4"/>
                <c:pt idx="0">
                  <c:v>0.25</c:v>
                </c:pt>
                <c:pt idx="1">
                  <c:v>0.5625</c:v>
                </c:pt>
                <c:pt idx="2">
                  <c:v>0.8125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E-4ED2-AA19-07BAB8692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7285360"/>
        <c:axId val="397286960"/>
      </c:barChart>
      <c:catAx>
        <c:axId val="3972853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7286960"/>
        <c:crosses val="autoZero"/>
        <c:auto val="1"/>
        <c:lblAlgn val="ctr"/>
        <c:lblOffset val="100"/>
        <c:noMultiLvlLbl val="0"/>
      </c:catAx>
      <c:valAx>
        <c:axId val="3972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728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Frecuancia Absoluta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'8_Datos'!$K$11</c:f>
              <c:strCache>
                <c:ptCount val="1"/>
                <c:pt idx="0">
                  <c:v>FRECUENCIA</c:v>
                </c:pt>
              </c:strCache>
            </c:strRef>
          </c:tx>
          <c:marker>
            <c:spPr>
              <a:ln w="28575"/>
            </c:spPr>
          </c:marker>
          <c:xVal>
            <c:numRef>
              <c:f>'4_Datos'!$H$8:$H$13</c:f>
              <c:numCache>
                <c:formatCode>0.00</c:formatCode>
                <c:ptCount val="6"/>
                <c:pt idx="0">
                  <c:v>60.5</c:v>
                </c:pt>
                <c:pt idx="1">
                  <c:v>70.5</c:v>
                </c:pt>
                <c:pt idx="2">
                  <c:v>80.5</c:v>
                </c:pt>
                <c:pt idx="3">
                  <c:v>90.5</c:v>
                </c:pt>
                <c:pt idx="4">
                  <c:v>100.5</c:v>
                </c:pt>
                <c:pt idx="5">
                  <c:v>110.5</c:v>
                </c:pt>
              </c:numCache>
            </c:numRef>
          </c:xVal>
          <c:yVal>
            <c:numRef>
              <c:f>'4_Datos'!$N$8:$N$13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0.25</c:v>
                </c:pt>
                <c:pt idx="2">
                  <c:v>0.5625</c:v>
                </c:pt>
                <c:pt idx="3">
                  <c:v>0.8125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D-4F5A-9DF4-0EF71810C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81184"/>
        <c:axId val="175212032"/>
      </c:scatterChart>
      <c:valAx>
        <c:axId val="175181184"/>
        <c:scaling>
          <c:orientation val="minMax"/>
          <c:max val="100.5"/>
          <c:min val="60.5"/>
        </c:scaling>
        <c:delete val="0"/>
        <c:axPos val="b"/>
        <c:majorGridlines/>
        <c:numFmt formatCode="0.00" sourceLinked="1"/>
        <c:majorTickMark val="none"/>
        <c:minorTickMark val="none"/>
        <c:tickLblPos val="nextTo"/>
        <c:crossAx val="175212032"/>
        <c:crosses val="autoZero"/>
        <c:crossBetween val="midCat"/>
        <c:majorUnit val="10"/>
        <c:minorUnit val="10"/>
      </c:valAx>
      <c:valAx>
        <c:axId val="1752120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5181184"/>
        <c:crosses val="autoZero"/>
        <c:crossBetween val="midCat"/>
      </c:valAx>
    </c:plotArea>
    <c:plotVisOnly val="1"/>
    <c:dispBlanksAs val="gap"/>
    <c:showDLblsOverMax val="0"/>
  </c:chart>
  <c:spPr>
    <a:ln w="3175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Frecuencia</a:t>
            </a:r>
            <a:r>
              <a:rPr lang="es-MX" baseline="0"/>
              <a:t> Absoluta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'8_Datos'!$K$11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6"/>
            </a:solidFill>
            <a:ln w="6350" cap="flat" cmpd="sng" algn="ctr">
              <a:solidFill>
                <a:sysClr val="windowText" lastClr="000000"/>
              </a:solidFill>
              <a:prstDash val="solid"/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 w="6350" cap="flat" cmpd="sng" algn="ctr">
                <a:solidFill>
                  <a:sysClr val="windowText" lastClr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46-45C9-A4A4-19496511AA6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6350" cap="flat" cmpd="sng" algn="ctr">
                <a:solidFill>
                  <a:sysClr val="windowText" lastClr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46-45C9-A4A4-19496511AA6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 w="6350" cap="flat" cmpd="sng" algn="ctr">
                <a:solidFill>
                  <a:sysClr val="windowText" lastClr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46-45C9-A4A4-19496511AA6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6350" cap="flat" cmpd="sng" algn="ctr">
                <a:solidFill>
                  <a:sysClr val="windowText" lastClr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46-45C9-A4A4-19496511AA66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 w="6350" cap="flat" cmpd="sng" algn="ctr">
                <a:solidFill>
                  <a:sysClr val="windowText" lastClr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46-45C9-A4A4-19496511AA6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6350" cap="flat" cmpd="sng" algn="ctr">
                <a:solidFill>
                  <a:sysClr val="windowText" lastClr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A46-45C9-A4A4-19496511AA66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 w="6350" cap="flat" cmpd="sng" algn="ctr">
                <a:solidFill>
                  <a:sysClr val="windowText" lastClr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A46-45C9-A4A4-19496511AA6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6350" cap="flat" cmpd="sng" algn="ctr">
                <a:solidFill>
                  <a:sysClr val="windowText" lastClr="000000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CA46-45C9-A4A4-19496511AA66}"/>
              </c:ext>
            </c:extLst>
          </c:dPt>
          <c:cat>
            <c:numRef>
              <c:f>'8_Datos'!$J$15:$J$22</c:f>
              <c:numCache>
                <c:formatCode>0.00</c:formatCode>
                <c:ptCount val="8"/>
                <c:pt idx="0">
                  <c:v>322.95</c:v>
                </c:pt>
                <c:pt idx="1">
                  <c:v>512.94999999999993</c:v>
                </c:pt>
                <c:pt idx="2">
                  <c:v>702.95</c:v>
                </c:pt>
                <c:pt idx="3">
                  <c:v>892.95</c:v>
                </c:pt>
                <c:pt idx="4">
                  <c:v>1082.95</c:v>
                </c:pt>
                <c:pt idx="5">
                  <c:v>1272.95</c:v>
                </c:pt>
                <c:pt idx="6">
                  <c:v>1462.95</c:v>
                </c:pt>
                <c:pt idx="7">
                  <c:v>1652.95</c:v>
                </c:pt>
              </c:numCache>
            </c:numRef>
          </c:cat>
          <c:val>
            <c:numRef>
              <c:f>'8_Datos'!$K$15:$K$22</c:f>
              <c:numCache>
                <c:formatCode>General</c:formatCode>
                <c:ptCount val="8"/>
                <c:pt idx="0">
                  <c:v>5</c:v>
                </c:pt>
                <c:pt idx="1">
                  <c:v>8</c:v>
                </c:pt>
                <c:pt idx="2">
                  <c:v>21</c:v>
                </c:pt>
                <c:pt idx="3">
                  <c:v>33</c:v>
                </c:pt>
                <c:pt idx="4">
                  <c:v>30</c:v>
                </c:pt>
                <c:pt idx="5">
                  <c:v>27</c:v>
                </c:pt>
                <c:pt idx="6">
                  <c:v>16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A46-45C9-A4A4-19496511A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7264128"/>
        <c:axId val="47265664"/>
      </c:barChart>
      <c:catAx>
        <c:axId val="472641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65664"/>
        <c:crosses val="autoZero"/>
        <c:auto val="1"/>
        <c:lblAlgn val="ctr"/>
        <c:lblOffset val="100"/>
        <c:noMultiLvlLbl val="0"/>
      </c:catAx>
      <c:valAx>
        <c:axId val="4726566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Frecuancia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641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Frecuencia</a:t>
            </a:r>
            <a:r>
              <a:rPr lang="es-MX" baseline="0"/>
              <a:t> Acumulada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5A8F-420F-8D39-5DEC6D65151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5A8F-420F-8D39-5DEC6D65151F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5A8F-420F-8D39-5DEC6D6515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5A8F-420F-8D39-5DEC6D65151F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5A8F-420F-8D39-5DEC6D65151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5A8F-420F-8D39-5DEC6D65151F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5A8F-420F-8D39-5DEC6D65151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5A8F-420F-8D39-5DEC6D65151F}"/>
              </c:ext>
            </c:extLst>
          </c:dPt>
          <c:cat>
            <c:numRef>
              <c:f>'8_Datos'!$J$15:$J$22</c:f>
              <c:numCache>
                <c:formatCode>0.00</c:formatCode>
                <c:ptCount val="8"/>
                <c:pt idx="0">
                  <c:v>322.95</c:v>
                </c:pt>
                <c:pt idx="1">
                  <c:v>512.94999999999993</c:v>
                </c:pt>
                <c:pt idx="2">
                  <c:v>702.95</c:v>
                </c:pt>
                <c:pt idx="3">
                  <c:v>892.95</c:v>
                </c:pt>
                <c:pt idx="4">
                  <c:v>1082.95</c:v>
                </c:pt>
                <c:pt idx="5">
                  <c:v>1272.95</c:v>
                </c:pt>
                <c:pt idx="6">
                  <c:v>1462.95</c:v>
                </c:pt>
                <c:pt idx="7">
                  <c:v>1652.95</c:v>
                </c:pt>
              </c:numCache>
            </c:numRef>
          </c:cat>
          <c:val>
            <c:numRef>
              <c:f>'8_Datos'!$N$15:$N$22</c:f>
              <c:numCache>
                <c:formatCode>0.00</c:formatCode>
                <c:ptCount val="8"/>
                <c:pt idx="0">
                  <c:v>3.3333333333333333E-2</c:v>
                </c:pt>
                <c:pt idx="1">
                  <c:v>8.666666666666667E-2</c:v>
                </c:pt>
                <c:pt idx="2">
                  <c:v>0.22666666666666668</c:v>
                </c:pt>
                <c:pt idx="3">
                  <c:v>0.44666666666666666</c:v>
                </c:pt>
                <c:pt idx="4">
                  <c:v>0.64666666666666672</c:v>
                </c:pt>
                <c:pt idx="5">
                  <c:v>0.82666666666666666</c:v>
                </c:pt>
                <c:pt idx="6">
                  <c:v>0.93333333333333335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8F-420F-8D39-5DEC6D651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4300544"/>
        <c:axId val="174982656"/>
      </c:barChart>
      <c:catAx>
        <c:axId val="1743005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174982656"/>
        <c:crosses val="autoZero"/>
        <c:auto val="1"/>
        <c:lblAlgn val="ctr"/>
        <c:lblOffset val="100"/>
        <c:noMultiLvlLbl val="0"/>
      </c:catAx>
      <c:valAx>
        <c:axId val="174982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Frecuancia Acumulada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74300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Frecuancia Absoluta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636043601948606E-2"/>
          <c:y val="0.21007381755409474"/>
          <c:w val="0.86684540223948392"/>
          <c:h val="0.700449848229366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'8_Datos'!$K$11</c:f>
              <c:strCache>
                <c:ptCount val="1"/>
                <c:pt idx="0">
                  <c:v>FRECUENCIA</c:v>
                </c:pt>
              </c:strCache>
            </c:strRef>
          </c:tx>
          <c:spPr>
            <a:ln w="28575"/>
          </c:spPr>
          <c:marker>
            <c:spPr>
              <a:ln w="28575"/>
            </c:spPr>
          </c:marker>
          <c:xVal>
            <c:numRef>
              <c:f>'8_Datos'!$J$14:$J$23</c:f>
              <c:numCache>
                <c:formatCode>0.00</c:formatCode>
                <c:ptCount val="10"/>
                <c:pt idx="0">
                  <c:v>132.94999999999999</c:v>
                </c:pt>
                <c:pt idx="1">
                  <c:v>322.95</c:v>
                </c:pt>
                <c:pt idx="2">
                  <c:v>512.94999999999993</c:v>
                </c:pt>
                <c:pt idx="3">
                  <c:v>702.95</c:v>
                </c:pt>
                <c:pt idx="4">
                  <c:v>892.95</c:v>
                </c:pt>
                <c:pt idx="5">
                  <c:v>1082.95</c:v>
                </c:pt>
                <c:pt idx="6">
                  <c:v>1272.95</c:v>
                </c:pt>
                <c:pt idx="7">
                  <c:v>1462.95</c:v>
                </c:pt>
                <c:pt idx="8">
                  <c:v>1652.95</c:v>
                </c:pt>
                <c:pt idx="9">
                  <c:v>1842.95</c:v>
                </c:pt>
              </c:numCache>
            </c:numRef>
          </c:xVal>
          <c:yVal>
            <c:numRef>
              <c:f>'8_Datos'!$K$14:$K$23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21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16</c:v>
                </c:pt>
                <c:pt idx="8">
                  <c:v>10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9-4290-B70E-60D9F67B7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49824"/>
        <c:axId val="45548288"/>
      </c:scatterChart>
      <c:valAx>
        <c:axId val="45549824"/>
        <c:scaling>
          <c:orientation val="minMax"/>
          <c:max val="1842.95"/>
          <c:min val="132.95000000000002"/>
        </c:scaling>
        <c:delete val="0"/>
        <c:axPos val="b"/>
        <c:majorGridlines/>
        <c:numFmt formatCode="0.00" sourceLinked="1"/>
        <c:majorTickMark val="none"/>
        <c:minorTickMark val="none"/>
        <c:tickLblPos val="nextTo"/>
        <c:crossAx val="45548288"/>
        <c:crosses val="autoZero"/>
        <c:crossBetween val="midCat"/>
        <c:majorUnit val="190"/>
        <c:minorUnit val="95"/>
      </c:valAx>
      <c:valAx>
        <c:axId val="455482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5549824"/>
        <c:crosses val="autoZero"/>
        <c:crossBetween val="midCat"/>
      </c:valAx>
    </c:plotArea>
    <c:plotVisOnly val="1"/>
    <c:dispBlanksAs val="gap"/>
    <c:showDLblsOverMax val="0"/>
  </c:chart>
  <c:spPr>
    <a:ln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Frecuancia Absoluta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'8_Datos'!$K$11</c:f>
              <c:strCache>
                <c:ptCount val="1"/>
                <c:pt idx="0">
                  <c:v>FRECUENCIA</c:v>
                </c:pt>
              </c:strCache>
            </c:strRef>
          </c:tx>
          <c:spPr>
            <a:ln w="28575"/>
          </c:spPr>
          <c:marker>
            <c:spPr>
              <a:ln w="28575"/>
            </c:spPr>
          </c:marker>
          <c:xVal>
            <c:numRef>
              <c:f>'8_Datos'!$H$14:$H$22</c:f>
              <c:numCache>
                <c:formatCode>0.00</c:formatCode>
                <c:ptCount val="9"/>
                <c:pt idx="0" formatCode="General">
                  <c:v>227.95</c:v>
                </c:pt>
                <c:pt idx="1">
                  <c:v>417.95</c:v>
                </c:pt>
                <c:pt idx="2">
                  <c:v>607.94999999999993</c:v>
                </c:pt>
                <c:pt idx="3">
                  <c:v>797.94999999999993</c:v>
                </c:pt>
                <c:pt idx="4">
                  <c:v>987.94999999999993</c:v>
                </c:pt>
                <c:pt idx="5">
                  <c:v>1177.95</c:v>
                </c:pt>
                <c:pt idx="6">
                  <c:v>1367.95</c:v>
                </c:pt>
                <c:pt idx="7">
                  <c:v>1557.95</c:v>
                </c:pt>
                <c:pt idx="8">
                  <c:v>1747.95</c:v>
                </c:pt>
              </c:numCache>
            </c:numRef>
          </c:xVal>
          <c:yVal>
            <c:numRef>
              <c:f>'8_Datos'!$N$14:$N$22</c:f>
              <c:numCache>
                <c:formatCode>0.00</c:formatCode>
                <c:ptCount val="9"/>
                <c:pt idx="0">
                  <c:v>0</c:v>
                </c:pt>
                <c:pt idx="1">
                  <c:v>3.3333333333333333E-2</c:v>
                </c:pt>
                <c:pt idx="2">
                  <c:v>8.666666666666667E-2</c:v>
                </c:pt>
                <c:pt idx="3">
                  <c:v>0.22666666666666668</c:v>
                </c:pt>
                <c:pt idx="4">
                  <c:v>0.44666666666666666</c:v>
                </c:pt>
                <c:pt idx="5">
                  <c:v>0.64666666666666672</c:v>
                </c:pt>
                <c:pt idx="6">
                  <c:v>0.82666666666666666</c:v>
                </c:pt>
                <c:pt idx="7">
                  <c:v>0.93333333333333335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1-40F5-866F-6FE245EAA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81184"/>
        <c:axId val="175212032"/>
      </c:scatterChart>
      <c:valAx>
        <c:axId val="175181184"/>
        <c:scaling>
          <c:orientation val="minMax"/>
          <c:max val="1747.95"/>
          <c:min val="227.95000000000002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75212032"/>
        <c:crosses val="autoZero"/>
        <c:crossBetween val="midCat"/>
        <c:majorUnit val="190"/>
        <c:minorUnit val="95"/>
      </c:valAx>
      <c:valAx>
        <c:axId val="175212032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175181184"/>
        <c:crosses val="autoZero"/>
        <c:crossBetween val="midCat"/>
      </c:valAx>
    </c:plotArea>
    <c:plotVisOnly val="1"/>
    <c:dispBlanksAs val="gap"/>
    <c:showDLblsOverMax val="0"/>
  </c:chart>
  <c:spPr>
    <a:ln w="3175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0</xdr:row>
      <xdr:rowOff>180975</xdr:rowOff>
    </xdr:from>
    <xdr:ext cx="9159623" cy="112569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67200" y="180975"/>
          <a:ext cx="9159623" cy="11256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El peso promedio de los lechones al nacer debe estar entre</a:t>
          </a:r>
          <a:r>
            <a:rPr lang="es-MX" sz="1100" baseline="0"/>
            <a:t> 1100 y 1300 gramos, dependiendo del número de lechones en la camada.</a:t>
          </a:r>
        </a:p>
        <a:p>
          <a:r>
            <a:rPr lang="es-MX" sz="1100" baseline="0"/>
            <a:t>La siguiente, es una muestra del peso de 150 lechones de una granja que está probando cierto tipo de alimentación de la madre durante la gestación.</a:t>
          </a:r>
        </a:p>
        <a:p>
          <a:endParaRPr lang="es-MX" sz="1100" baseline="0"/>
        </a:p>
        <a:p>
          <a:r>
            <a:rPr lang="es-MX" sz="1100" baseline="0"/>
            <a:t>Construya una tabla de frecuencias, decidiendo usted cuántas clases o la longitud de clase.</a:t>
          </a:r>
        </a:p>
        <a:p>
          <a:endParaRPr lang="es-MX" sz="1100" baseline="0"/>
        </a:p>
        <a:p>
          <a:r>
            <a:rPr lang="es-MX" sz="1100" baseline="0"/>
            <a:t>Con base en esa tabla, indique qué porcentaje de lechones no están dentro del peso aceptable y calcule las medidas descriptivas para los datos ya agrupados.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14</xdr:row>
      <xdr:rowOff>144780</xdr:rowOff>
    </xdr:from>
    <xdr:to>
      <xdr:col>12</xdr:col>
      <xdr:colOff>83820</xdr:colOff>
      <xdr:row>29</xdr:row>
      <xdr:rowOff>144780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77D8828-160F-4297-866B-348329356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182880</xdr:colOff>
      <xdr:row>30</xdr:row>
      <xdr:rowOff>106680</xdr:rowOff>
    </xdr:from>
    <xdr:to>
      <xdr:col>12</xdr:col>
      <xdr:colOff>0</xdr:colOff>
      <xdr:row>45</xdr:row>
      <xdr:rowOff>106680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27582F9-0126-41F1-8D13-4F4BCBAA3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46</xdr:row>
      <xdr:rowOff>0</xdr:rowOff>
    </xdr:from>
    <xdr:to>
      <xdr:col>12</xdr:col>
      <xdr:colOff>92373</xdr:colOff>
      <xdr:row>63</xdr:row>
      <xdr:rowOff>80349</xdr:rowOff>
    </xdr:to>
    <xdr:graphicFrame macro="">
      <xdr:nvGraphicFramePr>
        <xdr:cNvPr id="6" name="14 Gráfico">
          <a:extLst>
            <a:ext uri="{FF2B5EF4-FFF2-40B4-BE49-F238E27FC236}">
              <a16:creationId xmlns:a16="http://schemas.microsoft.com/office/drawing/2014/main" id="{48F7C5EB-6B2E-48D9-A5CA-29E0D1000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737114</xdr:colOff>
      <xdr:row>74</xdr:row>
      <xdr:rowOff>5879</xdr:rowOff>
    </xdr:from>
    <xdr:to>
      <xdr:col>10</xdr:col>
      <xdr:colOff>0</xdr:colOff>
      <xdr:row>92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737114</xdr:colOff>
      <xdr:row>92</xdr:row>
      <xdr:rowOff>53789</xdr:rowOff>
    </xdr:from>
    <xdr:to>
      <xdr:col>9</xdr:col>
      <xdr:colOff>788446</xdr:colOff>
      <xdr:row>110</xdr:row>
      <xdr:rowOff>103543</xdr:rowOff>
    </xdr:to>
    <xdr:graphicFrame macro="">
      <xdr:nvGraphicFramePr>
        <xdr:cNvPr id="9" name="8 Gráfic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737114</xdr:colOff>
      <xdr:row>110</xdr:row>
      <xdr:rowOff>158069</xdr:rowOff>
    </xdr:from>
    <xdr:to>
      <xdr:col>10</xdr:col>
      <xdr:colOff>1800</xdr:colOff>
      <xdr:row>128</xdr:row>
      <xdr:rowOff>106229</xdr:rowOff>
    </xdr:to>
    <xdr:graphicFrame macro="">
      <xdr:nvGraphicFramePr>
        <xdr:cNvPr id="10" name="9 Gráfico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734866</xdr:colOff>
      <xdr:row>129</xdr:row>
      <xdr:rowOff>0</xdr:rowOff>
    </xdr:from>
    <xdr:to>
      <xdr:col>9</xdr:col>
      <xdr:colOff>788446</xdr:colOff>
      <xdr:row>146</xdr:row>
      <xdr:rowOff>127454</xdr:rowOff>
    </xdr:to>
    <xdr:graphicFrame macro="">
      <xdr:nvGraphicFramePr>
        <xdr:cNvPr id="15" name="14 Gráfico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</xdr:col>
      <xdr:colOff>7620</xdr:colOff>
      <xdr:row>34</xdr:row>
      <xdr:rowOff>4603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A4EF64B-786E-4805-9EB9-3CE69E164DA0}"/>
                </a:ext>
              </a:extLst>
            </xdr:cNvPr>
            <xdr:cNvSpPr txBox="1"/>
          </xdr:nvSpPr>
          <xdr:spPr>
            <a:xfrm>
              <a:off x="4442460" y="4957603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𝑺</m:t>
                        </m:r>
                      </m:e>
                      <m:sup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A4EF64B-786E-4805-9EB9-3CE69E164DA0}"/>
                </a:ext>
              </a:extLst>
            </xdr:cNvPr>
            <xdr:cNvSpPr txBox="1"/>
          </xdr:nvSpPr>
          <xdr:spPr>
            <a:xfrm>
              <a:off x="4442460" y="4957603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𝑺^𝟐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35</xdr:row>
      <xdr:rowOff>0</xdr:rowOff>
    </xdr:from>
    <xdr:ext cx="777239" cy="17827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1F2192B-98CD-4693-9455-DC1169C05E0A}"/>
            </a:ext>
          </a:extLst>
        </xdr:cNvPr>
        <xdr:cNvSpPr txBox="1"/>
      </xdr:nvSpPr>
      <xdr:spPr>
        <a:xfrm>
          <a:off x="4434840" y="5135880"/>
          <a:ext cx="777239" cy="1782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es-MX" sz="1100" b="1"/>
            <a:t>S</a:t>
          </a:r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777239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11CB014-DC9B-4C06-9614-72981B6E12B9}"/>
                </a:ext>
              </a:extLst>
            </xdr:cNvPr>
            <xdr:cNvSpPr txBox="1"/>
          </xdr:nvSpPr>
          <xdr:spPr>
            <a:xfrm>
              <a:off x="4434840" y="4381500"/>
              <a:ext cx="7772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</m:acc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11CB014-DC9B-4C06-9614-72981B6E12B9}"/>
                </a:ext>
              </a:extLst>
            </xdr:cNvPr>
            <xdr:cNvSpPr txBox="1"/>
          </xdr:nvSpPr>
          <xdr:spPr>
            <a:xfrm>
              <a:off x="4434840" y="4381500"/>
              <a:ext cx="7772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𝑿 ̅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30</xdr:row>
      <xdr:rowOff>0</xdr:rowOff>
    </xdr:from>
    <xdr:ext cx="777239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58A31F4-1839-45B5-84A3-CB64DC165CC9}"/>
                </a:ext>
              </a:extLst>
            </xdr:cNvPr>
            <xdr:cNvSpPr txBox="1"/>
          </xdr:nvSpPr>
          <xdr:spPr>
            <a:xfrm>
              <a:off x="4434840" y="4564380"/>
              <a:ext cx="777239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</m:acc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58A31F4-1839-45B5-84A3-CB64DC165CC9}"/>
                </a:ext>
              </a:extLst>
            </xdr:cNvPr>
            <xdr:cNvSpPr txBox="1"/>
          </xdr:nvSpPr>
          <xdr:spPr>
            <a:xfrm>
              <a:off x="4434840" y="4564380"/>
              <a:ext cx="777239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𝑿 ̃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38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503C1D5-C34C-4AE9-84A4-A7B1D2D12CD4}"/>
                </a:ext>
              </a:extLst>
            </xdr:cNvPr>
            <xdr:cNvSpPr txBox="1"/>
          </xdr:nvSpPr>
          <xdr:spPr>
            <a:xfrm>
              <a:off x="4434840" y="625602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503C1D5-C34C-4AE9-84A4-A7B1D2D12CD4}"/>
                </a:ext>
              </a:extLst>
            </xdr:cNvPr>
            <xdr:cNvSpPr txBox="1"/>
          </xdr:nvSpPr>
          <xdr:spPr>
            <a:xfrm>
              <a:off x="4434840" y="625602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𝒂_𝟑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39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C79DF0F0-D666-4168-91E9-1A441ED4119C}"/>
                </a:ext>
              </a:extLst>
            </xdr:cNvPr>
            <xdr:cNvSpPr txBox="1"/>
          </xdr:nvSpPr>
          <xdr:spPr>
            <a:xfrm>
              <a:off x="4434840" y="64389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C79DF0F0-D666-4168-91E9-1A441ED4119C}"/>
                </a:ext>
              </a:extLst>
            </xdr:cNvPr>
            <xdr:cNvSpPr txBox="1"/>
          </xdr:nvSpPr>
          <xdr:spPr>
            <a:xfrm>
              <a:off x="4434840" y="643890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𝒂_𝟒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41</xdr:row>
      <xdr:rowOff>0</xdr:rowOff>
    </xdr:from>
    <xdr:ext cx="777239" cy="1782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125538D-0AB9-446B-B17D-A173F9AAC3D6}"/>
                </a:ext>
              </a:extLst>
            </xdr:cNvPr>
            <xdr:cNvSpPr txBox="1"/>
          </xdr:nvSpPr>
          <xdr:spPr>
            <a:xfrm>
              <a:off x="4434840" y="680466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125538D-0AB9-446B-B17D-A173F9AAC3D6}"/>
                </a:ext>
              </a:extLst>
            </xdr:cNvPr>
            <xdr:cNvSpPr txBox="1"/>
          </xdr:nvSpPr>
          <xdr:spPr>
            <a:xfrm>
              <a:off x="4434840" y="6804660"/>
              <a:ext cx="777239" cy="1782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𝑸_𝟏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43</xdr:row>
      <xdr:rowOff>0</xdr:rowOff>
    </xdr:from>
    <xdr:ext cx="7772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C639C8E3-5B04-49E7-9DEA-A6E9F41E6BA5}"/>
                </a:ext>
              </a:extLst>
            </xdr:cNvPr>
            <xdr:cNvSpPr txBox="1"/>
          </xdr:nvSpPr>
          <xdr:spPr>
            <a:xfrm>
              <a:off x="4434840" y="717042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C639C8E3-5B04-49E7-9DEA-A6E9F41E6BA5}"/>
                </a:ext>
              </a:extLst>
            </xdr:cNvPr>
            <xdr:cNvSpPr txBox="1"/>
          </xdr:nvSpPr>
          <xdr:spPr>
            <a:xfrm>
              <a:off x="4434840" y="717042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𝑸_𝟑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3</xdr:col>
      <xdr:colOff>0</xdr:colOff>
      <xdr:row>42</xdr:row>
      <xdr:rowOff>0</xdr:rowOff>
    </xdr:from>
    <xdr:ext cx="7772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47DDA81-3710-45AB-973D-FF625013C49D}"/>
                </a:ext>
              </a:extLst>
            </xdr:cNvPr>
            <xdr:cNvSpPr txBox="1"/>
          </xdr:nvSpPr>
          <xdr:spPr>
            <a:xfrm>
              <a:off x="4434840" y="698754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𝑸</m:t>
                        </m:r>
                      </m:e>
                      <m:sub>
                        <m:r>
                          <a:rPr lang="es-MX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47DDA81-3710-45AB-973D-FF625013C49D}"/>
                </a:ext>
              </a:extLst>
            </xdr:cNvPr>
            <xdr:cNvSpPr txBox="1"/>
          </xdr:nvSpPr>
          <xdr:spPr>
            <a:xfrm>
              <a:off x="4434840" y="6987540"/>
              <a:ext cx="7772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b="1" i="0">
                  <a:latin typeface="Cambria Math" panose="02040503050406030204" pitchFamily="18" charset="0"/>
                </a:rPr>
                <a:t>𝑸_𝟐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1</xdr:col>
      <xdr:colOff>360895</xdr:colOff>
      <xdr:row>1</xdr:row>
      <xdr:rowOff>0</xdr:rowOff>
    </xdr:from>
    <xdr:ext cx="9159623" cy="1125693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1F0760A5-51E3-415B-AF4B-13893B93C4FA}"/>
            </a:ext>
          </a:extLst>
        </xdr:cNvPr>
        <xdr:cNvSpPr txBox="1"/>
      </xdr:nvSpPr>
      <xdr:spPr>
        <a:xfrm>
          <a:off x="782236" y="179294"/>
          <a:ext cx="9159623" cy="11256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El peso promedio de los lechones al nacer debe estar entre</a:t>
          </a:r>
          <a:r>
            <a:rPr lang="es-MX" sz="1100" baseline="0"/>
            <a:t> 1100 y 1300 gramos, dependiendo del número de lechones en la camada.</a:t>
          </a:r>
        </a:p>
        <a:p>
          <a:r>
            <a:rPr lang="es-MX" sz="1100" baseline="0"/>
            <a:t>La siguiente, es una muestra del peso de 150 lechones de una granja que está probando cierto tipo de alimentación de la madre durante la gestación.</a:t>
          </a:r>
        </a:p>
        <a:p>
          <a:endParaRPr lang="es-MX" sz="1100" baseline="0"/>
        </a:p>
        <a:p>
          <a:r>
            <a:rPr lang="es-MX" sz="1100" baseline="0"/>
            <a:t>Construya una tabla de frecuencias, decidiendo usted cuántas clases o la longitud de clase.</a:t>
          </a:r>
        </a:p>
        <a:p>
          <a:endParaRPr lang="es-MX" sz="1100" baseline="0"/>
        </a:p>
        <a:p>
          <a:r>
            <a:rPr lang="es-MX" sz="1100" baseline="0"/>
            <a:t>Con base en esa tabla, indique qué porcentaje de lechones no están dentro del peso aceptable y calcule las medidas descriptivas para los datos ya agrupados.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53"/>
  <sheetViews>
    <sheetView topLeftCell="A4" workbookViewId="0">
      <selection activeCell="E4" sqref="E4:E153"/>
    </sheetView>
  </sheetViews>
  <sheetFormatPr baseColWidth="10" defaultRowHeight="14.4" x14ac:dyDescent="0.3"/>
  <sheetData>
    <row r="3" spans="4:5" x14ac:dyDescent="0.3">
      <c r="D3" s="1" t="s">
        <v>1</v>
      </c>
      <c r="E3" s="1" t="s">
        <v>0</v>
      </c>
    </row>
    <row r="4" spans="4:5" x14ac:dyDescent="0.3">
      <c r="D4" s="1">
        <v>68</v>
      </c>
      <c r="E4" s="1">
        <v>230.7</v>
      </c>
    </row>
    <row r="5" spans="4:5" x14ac:dyDescent="0.3">
      <c r="D5" s="1">
        <v>96</v>
      </c>
      <c r="E5" s="1">
        <v>260.2</v>
      </c>
    </row>
    <row r="6" spans="4:5" x14ac:dyDescent="0.3">
      <c r="D6" s="1">
        <v>59</v>
      </c>
      <c r="E6" s="1">
        <v>367.29999999999995</v>
      </c>
    </row>
    <row r="7" spans="4:5" x14ac:dyDescent="0.3">
      <c r="D7" s="1">
        <v>113</v>
      </c>
      <c r="E7" s="1">
        <v>393.5</v>
      </c>
    </row>
    <row r="8" spans="4:5" x14ac:dyDescent="0.3">
      <c r="D8" s="1">
        <v>77</v>
      </c>
      <c r="E8" s="1">
        <v>417.8</v>
      </c>
    </row>
    <row r="9" spans="4:5" x14ac:dyDescent="0.3">
      <c r="D9" s="1">
        <v>100</v>
      </c>
      <c r="E9" s="1">
        <v>442.5</v>
      </c>
    </row>
    <row r="10" spans="4:5" x14ac:dyDescent="0.3">
      <c r="D10" s="1">
        <v>19</v>
      </c>
      <c r="E10" s="1">
        <v>453.6</v>
      </c>
    </row>
    <row r="11" spans="4:5" x14ac:dyDescent="0.3">
      <c r="D11" s="1">
        <v>122</v>
      </c>
      <c r="E11" s="1">
        <v>475.4</v>
      </c>
    </row>
    <row r="12" spans="4:5" x14ac:dyDescent="0.3">
      <c r="D12" s="1">
        <v>132</v>
      </c>
      <c r="E12" s="1">
        <v>516.5</v>
      </c>
    </row>
    <row r="13" spans="4:5" x14ac:dyDescent="0.3">
      <c r="D13" s="1">
        <v>141</v>
      </c>
      <c r="E13" s="1">
        <v>531.79999999999995</v>
      </c>
    </row>
    <row r="14" spans="4:5" x14ac:dyDescent="0.3">
      <c r="D14" s="1">
        <v>27</v>
      </c>
      <c r="E14" s="1">
        <v>552</v>
      </c>
    </row>
    <row r="15" spans="4:5" x14ac:dyDescent="0.3">
      <c r="D15" s="1">
        <v>114</v>
      </c>
      <c r="E15" s="1">
        <v>581.4</v>
      </c>
    </row>
    <row r="16" spans="4:5" x14ac:dyDescent="0.3">
      <c r="D16" s="1">
        <v>72</v>
      </c>
      <c r="E16" s="1">
        <v>597.29999999999995</v>
      </c>
    </row>
    <row r="17" spans="4:5" x14ac:dyDescent="0.3">
      <c r="D17" s="1">
        <v>126</v>
      </c>
      <c r="E17" s="1">
        <v>613.1</v>
      </c>
    </row>
    <row r="18" spans="4:5" x14ac:dyDescent="0.3">
      <c r="D18" s="1">
        <v>1</v>
      </c>
      <c r="E18" s="1">
        <v>641.20000000000005</v>
      </c>
    </row>
    <row r="19" spans="4:5" x14ac:dyDescent="0.3">
      <c r="D19" s="1">
        <v>26</v>
      </c>
      <c r="E19" s="1">
        <v>658.3</v>
      </c>
    </row>
    <row r="20" spans="4:5" x14ac:dyDescent="0.3">
      <c r="D20" s="1">
        <v>95</v>
      </c>
      <c r="E20" s="1">
        <v>658.9</v>
      </c>
    </row>
    <row r="21" spans="4:5" x14ac:dyDescent="0.3">
      <c r="D21" s="1">
        <v>85</v>
      </c>
      <c r="E21" s="1">
        <v>667.30000000000007</v>
      </c>
    </row>
    <row r="22" spans="4:5" x14ac:dyDescent="0.3">
      <c r="D22" s="1">
        <v>6</v>
      </c>
      <c r="E22" s="1">
        <v>676.1</v>
      </c>
    </row>
    <row r="23" spans="4:5" x14ac:dyDescent="0.3">
      <c r="D23" s="1">
        <v>14</v>
      </c>
      <c r="E23" s="1">
        <v>689.7</v>
      </c>
    </row>
    <row r="24" spans="4:5" x14ac:dyDescent="0.3">
      <c r="D24" s="1">
        <v>111</v>
      </c>
      <c r="E24" s="1">
        <v>693.5</v>
      </c>
    </row>
    <row r="25" spans="4:5" x14ac:dyDescent="0.3">
      <c r="D25" s="1">
        <v>66</v>
      </c>
      <c r="E25" s="1">
        <v>701</v>
      </c>
    </row>
    <row r="26" spans="4:5" x14ac:dyDescent="0.3">
      <c r="D26" s="1">
        <v>52</v>
      </c>
      <c r="E26" s="1">
        <v>726.9</v>
      </c>
    </row>
    <row r="27" spans="4:5" x14ac:dyDescent="0.3">
      <c r="D27" s="1">
        <v>109</v>
      </c>
      <c r="E27" s="1">
        <v>731.3</v>
      </c>
    </row>
    <row r="28" spans="4:5" x14ac:dyDescent="0.3">
      <c r="D28" s="1">
        <v>11</v>
      </c>
      <c r="E28" s="1">
        <v>737.2</v>
      </c>
    </row>
    <row r="29" spans="4:5" x14ac:dyDescent="0.3">
      <c r="D29" s="1">
        <v>124</v>
      </c>
      <c r="E29" s="1">
        <v>738.5</v>
      </c>
    </row>
    <row r="30" spans="4:5" x14ac:dyDescent="0.3">
      <c r="D30" s="1">
        <v>13</v>
      </c>
      <c r="E30" s="1">
        <v>746.9</v>
      </c>
    </row>
    <row r="31" spans="4:5" x14ac:dyDescent="0.3">
      <c r="D31" s="1">
        <v>121</v>
      </c>
      <c r="E31" s="1">
        <v>779.7</v>
      </c>
    </row>
    <row r="32" spans="4:5" x14ac:dyDescent="0.3">
      <c r="D32" s="1">
        <v>90</v>
      </c>
      <c r="E32" s="1">
        <v>786.9</v>
      </c>
    </row>
    <row r="33" spans="4:5" x14ac:dyDescent="0.3">
      <c r="D33" s="1">
        <v>143</v>
      </c>
      <c r="E33" s="1">
        <v>787.6</v>
      </c>
    </row>
    <row r="34" spans="4:5" x14ac:dyDescent="0.3">
      <c r="D34" s="1">
        <v>24</v>
      </c>
      <c r="E34" s="1">
        <v>789.9</v>
      </c>
    </row>
    <row r="35" spans="4:5" x14ac:dyDescent="0.3">
      <c r="D35" s="1">
        <v>118</v>
      </c>
      <c r="E35" s="1">
        <v>791.3</v>
      </c>
    </row>
    <row r="36" spans="4:5" x14ac:dyDescent="0.3">
      <c r="D36" s="1">
        <v>131</v>
      </c>
      <c r="E36" s="1">
        <v>796.2</v>
      </c>
    </row>
    <row r="37" spans="4:5" x14ac:dyDescent="0.3">
      <c r="D37" s="1">
        <v>101</v>
      </c>
      <c r="E37" s="1">
        <v>796.9</v>
      </c>
    </row>
    <row r="38" spans="4:5" x14ac:dyDescent="0.3">
      <c r="D38" s="1">
        <v>117</v>
      </c>
      <c r="E38" s="1">
        <v>799</v>
      </c>
    </row>
    <row r="39" spans="4:5" x14ac:dyDescent="0.3">
      <c r="D39" s="1">
        <v>71</v>
      </c>
      <c r="E39" s="1">
        <v>821.9</v>
      </c>
    </row>
    <row r="40" spans="4:5" x14ac:dyDescent="0.3">
      <c r="D40" s="1">
        <v>39</v>
      </c>
      <c r="E40" s="1">
        <v>822.69999999999993</v>
      </c>
    </row>
    <row r="41" spans="4:5" x14ac:dyDescent="0.3">
      <c r="D41" s="1">
        <v>86</v>
      </c>
      <c r="E41" s="1">
        <v>829.4</v>
      </c>
    </row>
    <row r="42" spans="4:5" x14ac:dyDescent="0.3">
      <c r="D42" s="1">
        <v>140</v>
      </c>
      <c r="E42" s="1">
        <v>832.2</v>
      </c>
    </row>
    <row r="43" spans="4:5" x14ac:dyDescent="0.3">
      <c r="D43" s="1">
        <v>28</v>
      </c>
      <c r="E43" s="1">
        <v>852.69999999999993</v>
      </c>
    </row>
    <row r="44" spans="4:5" x14ac:dyDescent="0.3">
      <c r="D44" s="1">
        <v>3</v>
      </c>
      <c r="E44" s="1">
        <v>860.69999999999993</v>
      </c>
    </row>
    <row r="45" spans="4:5" x14ac:dyDescent="0.3">
      <c r="D45" s="1">
        <v>22</v>
      </c>
      <c r="E45" s="1">
        <v>861.3</v>
      </c>
    </row>
    <row r="46" spans="4:5" x14ac:dyDescent="0.3">
      <c r="D46" s="1">
        <v>75</v>
      </c>
      <c r="E46" s="1">
        <v>862.90000000000009</v>
      </c>
    </row>
    <row r="47" spans="4:5" x14ac:dyDescent="0.3">
      <c r="D47" s="1">
        <v>149</v>
      </c>
      <c r="E47" s="1">
        <v>862.90000000000009</v>
      </c>
    </row>
    <row r="48" spans="4:5" x14ac:dyDescent="0.3">
      <c r="D48" s="1">
        <v>60</v>
      </c>
      <c r="E48" s="1">
        <v>865.6</v>
      </c>
    </row>
    <row r="49" spans="4:5" x14ac:dyDescent="0.3">
      <c r="D49" s="1">
        <v>50</v>
      </c>
      <c r="E49" s="1">
        <v>869.2</v>
      </c>
    </row>
    <row r="50" spans="4:5" x14ac:dyDescent="0.3">
      <c r="D50" s="1">
        <v>128</v>
      </c>
      <c r="E50" s="1">
        <v>883.40000000000009</v>
      </c>
    </row>
    <row r="51" spans="4:5" x14ac:dyDescent="0.3">
      <c r="D51" s="1">
        <v>82</v>
      </c>
      <c r="E51" s="1">
        <v>885.1</v>
      </c>
    </row>
    <row r="52" spans="4:5" x14ac:dyDescent="0.3">
      <c r="D52" s="1">
        <v>70</v>
      </c>
      <c r="E52" s="1">
        <v>887.4</v>
      </c>
    </row>
    <row r="53" spans="4:5" x14ac:dyDescent="0.3">
      <c r="D53" s="1">
        <v>48</v>
      </c>
      <c r="E53" s="1">
        <v>897.2</v>
      </c>
    </row>
    <row r="54" spans="4:5" x14ac:dyDescent="0.3">
      <c r="D54" s="1">
        <v>120</v>
      </c>
      <c r="E54" s="1">
        <v>900.69999999999993</v>
      </c>
    </row>
    <row r="55" spans="4:5" x14ac:dyDescent="0.3">
      <c r="D55" s="1">
        <v>99</v>
      </c>
      <c r="E55" s="1">
        <v>902.69999999999993</v>
      </c>
    </row>
    <row r="56" spans="4:5" x14ac:dyDescent="0.3">
      <c r="D56" s="1">
        <v>93</v>
      </c>
      <c r="E56" s="1">
        <v>916.59999999999991</v>
      </c>
    </row>
    <row r="57" spans="4:5" x14ac:dyDescent="0.3">
      <c r="D57" s="1">
        <v>33</v>
      </c>
      <c r="E57" s="1">
        <v>917</v>
      </c>
    </row>
    <row r="58" spans="4:5" x14ac:dyDescent="0.3">
      <c r="D58" s="1">
        <v>139</v>
      </c>
      <c r="E58" s="1">
        <v>938.5</v>
      </c>
    </row>
    <row r="59" spans="4:5" x14ac:dyDescent="0.3">
      <c r="D59" s="1">
        <v>94</v>
      </c>
      <c r="E59" s="1">
        <v>940.40000000000009</v>
      </c>
    </row>
    <row r="60" spans="4:5" x14ac:dyDescent="0.3">
      <c r="D60" s="1">
        <v>58</v>
      </c>
      <c r="E60" s="1">
        <v>948.3</v>
      </c>
    </row>
    <row r="61" spans="4:5" x14ac:dyDescent="0.3">
      <c r="D61" s="1">
        <v>89</v>
      </c>
      <c r="E61" s="1">
        <v>949</v>
      </c>
    </row>
    <row r="62" spans="4:5" x14ac:dyDescent="0.3">
      <c r="D62" s="1">
        <v>2</v>
      </c>
      <c r="E62" s="1">
        <v>950.8</v>
      </c>
    </row>
    <row r="63" spans="4:5" x14ac:dyDescent="0.3">
      <c r="D63" s="1">
        <v>31</v>
      </c>
      <c r="E63" s="1">
        <v>950.90000000000009</v>
      </c>
    </row>
    <row r="64" spans="4:5" x14ac:dyDescent="0.3">
      <c r="D64" s="1">
        <v>74</v>
      </c>
      <c r="E64" s="1">
        <v>951.80000000000007</v>
      </c>
    </row>
    <row r="65" spans="4:5" x14ac:dyDescent="0.3">
      <c r="D65" s="1">
        <v>45</v>
      </c>
      <c r="E65" s="1">
        <v>958.5</v>
      </c>
    </row>
    <row r="66" spans="4:5" x14ac:dyDescent="0.3">
      <c r="D66" s="1">
        <v>36</v>
      </c>
      <c r="E66" s="1">
        <v>965.69999999999993</v>
      </c>
    </row>
    <row r="67" spans="4:5" x14ac:dyDescent="0.3">
      <c r="D67" s="1">
        <v>87</v>
      </c>
      <c r="E67" s="1">
        <v>975.3</v>
      </c>
    </row>
    <row r="68" spans="4:5" x14ac:dyDescent="0.3">
      <c r="D68" s="1">
        <v>62</v>
      </c>
      <c r="E68" s="1">
        <v>976.2</v>
      </c>
    </row>
    <row r="69" spans="4:5" x14ac:dyDescent="0.3">
      <c r="D69" s="1">
        <v>146</v>
      </c>
      <c r="E69" s="1">
        <v>978.19999999999993</v>
      </c>
    </row>
    <row r="70" spans="4:5" x14ac:dyDescent="0.3">
      <c r="D70" s="1">
        <v>43</v>
      </c>
      <c r="E70" s="1">
        <v>985.5</v>
      </c>
    </row>
    <row r="71" spans="4:5" x14ac:dyDescent="0.3">
      <c r="D71" s="1">
        <v>23</v>
      </c>
      <c r="E71" s="1">
        <v>991.4</v>
      </c>
    </row>
    <row r="72" spans="4:5" x14ac:dyDescent="0.3">
      <c r="D72" s="1">
        <v>129</v>
      </c>
      <c r="E72" s="1">
        <v>994.4</v>
      </c>
    </row>
    <row r="73" spans="4:5" x14ac:dyDescent="0.3">
      <c r="D73" s="1">
        <v>57</v>
      </c>
      <c r="E73" s="1">
        <v>998.19999999999993</v>
      </c>
    </row>
    <row r="74" spans="4:5" x14ac:dyDescent="0.3">
      <c r="D74" s="1">
        <v>138</v>
      </c>
      <c r="E74" s="1">
        <v>1002.9000000000001</v>
      </c>
    </row>
    <row r="75" spans="4:5" x14ac:dyDescent="0.3">
      <c r="D75" s="1">
        <v>78</v>
      </c>
      <c r="E75" s="1">
        <v>1017.3000000000001</v>
      </c>
    </row>
    <row r="76" spans="4:5" x14ac:dyDescent="0.3">
      <c r="D76" s="1">
        <v>135</v>
      </c>
      <c r="E76" s="1">
        <v>1019.0999999999999</v>
      </c>
    </row>
    <row r="77" spans="4:5" x14ac:dyDescent="0.3">
      <c r="D77" s="1">
        <v>53</v>
      </c>
      <c r="E77" s="1">
        <v>1024.3000000000002</v>
      </c>
    </row>
    <row r="78" spans="4:5" x14ac:dyDescent="0.3">
      <c r="D78" s="1">
        <v>16</v>
      </c>
      <c r="E78" s="1">
        <v>1028.1999999999998</v>
      </c>
    </row>
    <row r="79" spans="4:5" x14ac:dyDescent="0.3">
      <c r="D79" s="1">
        <v>34</v>
      </c>
      <c r="E79" s="1">
        <v>1029.5</v>
      </c>
    </row>
    <row r="80" spans="4:5" x14ac:dyDescent="0.3">
      <c r="D80" s="1">
        <v>123</v>
      </c>
      <c r="E80" s="1">
        <v>1029.7</v>
      </c>
    </row>
    <row r="81" spans="4:5" x14ac:dyDescent="0.3">
      <c r="D81" s="1">
        <v>105</v>
      </c>
      <c r="E81" s="1">
        <v>1044.4000000000001</v>
      </c>
    </row>
    <row r="82" spans="4:5" x14ac:dyDescent="0.3">
      <c r="D82" s="1">
        <v>12</v>
      </c>
      <c r="E82" s="1">
        <v>1058.4000000000001</v>
      </c>
    </row>
    <row r="83" spans="4:5" x14ac:dyDescent="0.3">
      <c r="D83" s="1">
        <v>32</v>
      </c>
      <c r="E83" s="1">
        <v>1071.5999999999999</v>
      </c>
    </row>
    <row r="84" spans="4:5" x14ac:dyDescent="0.3">
      <c r="D84" s="1">
        <v>7</v>
      </c>
      <c r="E84" s="1">
        <v>1082.9000000000001</v>
      </c>
    </row>
    <row r="85" spans="4:5" x14ac:dyDescent="0.3">
      <c r="D85" s="1">
        <v>54</v>
      </c>
      <c r="E85" s="1">
        <v>1089.3000000000002</v>
      </c>
    </row>
    <row r="86" spans="4:5" x14ac:dyDescent="0.3">
      <c r="D86" s="1">
        <v>136</v>
      </c>
      <c r="E86" s="1">
        <v>1094.5999999999999</v>
      </c>
    </row>
    <row r="87" spans="4:5" x14ac:dyDescent="0.3">
      <c r="D87" s="1">
        <v>76</v>
      </c>
      <c r="E87" s="1">
        <v>1098</v>
      </c>
    </row>
    <row r="88" spans="4:5" x14ac:dyDescent="0.3">
      <c r="D88" s="1">
        <v>44</v>
      </c>
      <c r="E88" s="1">
        <v>1107.0999999999999</v>
      </c>
    </row>
    <row r="89" spans="4:5" x14ac:dyDescent="0.3">
      <c r="D89" s="1">
        <v>79</v>
      </c>
      <c r="E89" s="1">
        <v>1108.5</v>
      </c>
    </row>
    <row r="90" spans="4:5" x14ac:dyDescent="0.3">
      <c r="D90" s="1">
        <v>102</v>
      </c>
      <c r="E90" s="1">
        <v>1110.2</v>
      </c>
    </row>
    <row r="91" spans="4:5" x14ac:dyDescent="0.3">
      <c r="D91" s="1">
        <v>73</v>
      </c>
      <c r="E91" s="1">
        <v>1115.9000000000001</v>
      </c>
    </row>
    <row r="92" spans="4:5" x14ac:dyDescent="0.3">
      <c r="D92" s="1">
        <v>64</v>
      </c>
      <c r="E92" s="1">
        <v>1119.0999999999999</v>
      </c>
    </row>
    <row r="93" spans="4:5" x14ac:dyDescent="0.3">
      <c r="D93" s="1">
        <v>108</v>
      </c>
      <c r="E93" s="1">
        <v>1121.4000000000001</v>
      </c>
    </row>
    <row r="94" spans="4:5" x14ac:dyDescent="0.3">
      <c r="D94" s="1">
        <v>112</v>
      </c>
      <c r="E94" s="1">
        <v>1123.5</v>
      </c>
    </row>
    <row r="95" spans="4:5" x14ac:dyDescent="0.3">
      <c r="D95" s="1">
        <v>116</v>
      </c>
      <c r="E95" s="1">
        <v>1130.3</v>
      </c>
    </row>
    <row r="96" spans="4:5" x14ac:dyDescent="0.3">
      <c r="D96" s="1">
        <v>80</v>
      </c>
      <c r="E96" s="1">
        <v>1136.9000000000001</v>
      </c>
    </row>
    <row r="97" spans="4:9" x14ac:dyDescent="0.3">
      <c r="D97" s="1">
        <v>51</v>
      </c>
      <c r="E97" s="1">
        <v>1139.5999999999999</v>
      </c>
    </row>
    <row r="98" spans="4:9" x14ac:dyDescent="0.3">
      <c r="D98" s="1">
        <v>9</v>
      </c>
      <c r="E98" s="1">
        <v>1148.0999999999999</v>
      </c>
    </row>
    <row r="99" spans="4:9" x14ac:dyDescent="0.3">
      <c r="D99" s="1">
        <v>61</v>
      </c>
      <c r="E99" s="1">
        <v>1164.4000000000001</v>
      </c>
      <c r="I99">
        <f>COUNTIF(DATS,"&lt;="&amp;500)</f>
        <v>8</v>
      </c>
    </row>
    <row r="100" spans="4:9" x14ac:dyDescent="0.3">
      <c r="D100" s="1">
        <v>17</v>
      </c>
      <c r="E100" s="1">
        <v>1168.5999999999999</v>
      </c>
    </row>
    <row r="101" spans="4:9" x14ac:dyDescent="0.3">
      <c r="D101" s="1">
        <v>125</v>
      </c>
      <c r="E101" s="1">
        <v>1178.0999999999999</v>
      </c>
    </row>
    <row r="102" spans="4:9" x14ac:dyDescent="0.3">
      <c r="D102" s="1">
        <v>144</v>
      </c>
      <c r="E102" s="1">
        <v>1181.5</v>
      </c>
    </row>
    <row r="103" spans="4:9" x14ac:dyDescent="0.3">
      <c r="D103" s="1">
        <v>106</v>
      </c>
      <c r="E103" s="1">
        <v>1182.0999999999999</v>
      </c>
    </row>
    <row r="104" spans="4:9" x14ac:dyDescent="0.3">
      <c r="D104" s="1">
        <v>84</v>
      </c>
      <c r="E104" s="1">
        <v>1183.4000000000001</v>
      </c>
    </row>
    <row r="105" spans="4:9" x14ac:dyDescent="0.3">
      <c r="D105" s="1">
        <v>18</v>
      </c>
      <c r="E105" s="1">
        <v>1185</v>
      </c>
    </row>
    <row r="106" spans="4:9" x14ac:dyDescent="0.3">
      <c r="D106" s="1">
        <v>127</v>
      </c>
      <c r="E106" s="1">
        <v>1191.7</v>
      </c>
    </row>
    <row r="107" spans="4:9" x14ac:dyDescent="0.3">
      <c r="D107" s="1">
        <v>42</v>
      </c>
      <c r="E107" s="1">
        <v>1193.5999999999999</v>
      </c>
    </row>
    <row r="108" spans="4:9" x14ac:dyDescent="0.3">
      <c r="D108" s="1">
        <v>49</v>
      </c>
      <c r="E108" s="1">
        <v>1211.4000000000001</v>
      </c>
    </row>
    <row r="109" spans="4:9" x14ac:dyDescent="0.3">
      <c r="D109" s="1">
        <v>40</v>
      </c>
      <c r="E109" s="1">
        <v>1211.7</v>
      </c>
    </row>
    <row r="110" spans="4:9" x14ac:dyDescent="0.3">
      <c r="D110" s="1">
        <v>142</v>
      </c>
      <c r="E110" s="1">
        <v>1220</v>
      </c>
    </row>
    <row r="111" spans="4:9" x14ac:dyDescent="0.3">
      <c r="D111" s="1">
        <v>67</v>
      </c>
      <c r="E111" s="1">
        <v>1245.9000000000001</v>
      </c>
    </row>
    <row r="112" spans="4:9" x14ac:dyDescent="0.3">
      <c r="D112" s="1">
        <v>103</v>
      </c>
      <c r="E112" s="1">
        <v>1248.5</v>
      </c>
    </row>
    <row r="113" spans="4:5" x14ac:dyDescent="0.3">
      <c r="D113" s="1">
        <v>10</v>
      </c>
      <c r="E113" s="1">
        <v>1251.5</v>
      </c>
    </row>
    <row r="114" spans="4:5" x14ac:dyDescent="0.3">
      <c r="D114" s="1">
        <v>97</v>
      </c>
      <c r="E114" s="1">
        <v>1254</v>
      </c>
    </row>
    <row r="115" spans="4:5" x14ac:dyDescent="0.3">
      <c r="D115" s="1">
        <v>81</v>
      </c>
      <c r="E115" s="1">
        <v>1265.3</v>
      </c>
    </row>
    <row r="116" spans="4:5" x14ac:dyDescent="0.3">
      <c r="D116" s="1">
        <v>88</v>
      </c>
      <c r="E116" s="1">
        <v>1282.5999999999999</v>
      </c>
    </row>
    <row r="117" spans="4:5" x14ac:dyDescent="0.3">
      <c r="D117" s="1">
        <v>25</v>
      </c>
      <c r="E117" s="1">
        <v>1296.3</v>
      </c>
    </row>
    <row r="118" spans="4:5" x14ac:dyDescent="0.3">
      <c r="D118" s="1">
        <v>47</v>
      </c>
      <c r="E118" s="1">
        <v>1299.8</v>
      </c>
    </row>
    <row r="119" spans="4:5" x14ac:dyDescent="0.3">
      <c r="D119" s="1">
        <v>65</v>
      </c>
      <c r="E119" s="1">
        <v>1302.7</v>
      </c>
    </row>
    <row r="120" spans="4:5" x14ac:dyDescent="0.3">
      <c r="D120" s="1">
        <v>56</v>
      </c>
      <c r="E120" s="1">
        <v>1321.1000000000001</v>
      </c>
    </row>
    <row r="121" spans="4:5" x14ac:dyDescent="0.3">
      <c r="D121" s="1">
        <v>98</v>
      </c>
      <c r="E121" s="1">
        <v>1330</v>
      </c>
    </row>
    <row r="122" spans="4:5" x14ac:dyDescent="0.3">
      <c r="D122" s="1">
        <v>8</v>
      </c>
      <c r="E122" s="1">
        <v>1332.7</v>
      </c>
    </row>
    <row r="123" spans="4:5" x14ac:dyDescent="0.3">
      <c r="D123" s="1">
        <v>147</v>
      </c>
      <c r="E123" s="1">
        <v>1347.2</v>
      </c>
    </row>
    <row r="124" spans="4:5" x14ac:dyDescent="0.3">
      <c r="D124" s="1">
        <v>29</v>
      </c>
      <c r="E124" s="1">
        <v>1349.4</v>
      </c>
    </row>
    <row r="125" spans="4:5" x14ac:dyDescent="0.3">
      <c r="D125" s="1">
        <v>91</v>
      </c>
      <c r="E125" s="1">
        <v>1350.6</v>
      </c>
    </row>
    <row r="126" spans="4:5" x14ac:dyDescent="0.3">
      <c r="D126" s="1">
        <v>15</v>
      </c>
      <c r="E126" s="1">
        <v>1354.7</v>
      </c>
    </row>
    <row r="127" spans="4:5" x14ac:dyDescent="0.3">
      <c r="D127" s="1">
        <v>35</v>
      </c>
      <c r="E127" s="1">
        <v>1366.5</v>
      </c>
    </row>
    <row r="128" spans="4:5" x14ac:dyDescent="0.3">
      <c r="D128" s="1">
        <v>134</v>
      </c>
      <c r="E128" s="1">
        <v>1369.4</v>
      </c>
    </row>
    <row r="129" spans="4:5" x14ac:dyDescent="0.3">
      <c r="D129" s="1">
        <v>63</v>
      </c>
      <c r="E129" s="1">
        <v>1372.7</v>
      </c>
    </row>
    <row r="130" spans="4:5" x14ac:dyDescent="0.3">
      <c r="D130" s="1">
        <v>137</v>
      </c>
      <c r="E130" s="1">
        <v>1373.3000000000002</v>
      </c>
    </row>
    <row r="131" spans="4:5" x14ac:dyDescent="0.3">
      <c r="D131" s="1">
        <v>104</v>
      </c>
      <c r="E131" s="1">
        <v>1382.7</v>
      </c>
    </row>
    <row r="132" spans="4:5" x14ac:dyDescent="0.3">
      <c r="D132" s="1">
        <v>20</v>
      </c>
      <c r="E132" s="1">
        <v>1421.9</v>
      </c>
    </row>
    <row r="133" spans="4:5" x14ac:dyDescent="0.3">
      <c r="D133" s="1">
        <v>145</v>
      </c>
      <c r="E133" s="1">
        <v>1427.3</v>
      </c>
    </row>
    <row r="134" spans="4:5" x14ac:dyDescent="0.3">
      <c r="D134" s="1">
        <v>37</v>
      </c>
      <c r="E134" s="1">
        <v>1428.6000000000001</v>
      </c>
    </row>
    <row r="135" spans="4:5" x14ac:dyDescent="0.3">
      <c r="D135" s="1">
        <v>107</v>
      </c>
      <c r="E135" s="1">
        <v>1435</v>
      </c>
    </row>
    <row r="136" spans="4:5" x14ac:dyDescent="0.3">
      <c r="D136" s="1">
        <v>83</v>
      </c>
      <c r="E136" s="1">
        <v>1442</v>
      </c>
    </row>
    <row r="137" spans="4:5" x14ac:dyDescent="0.3">
      <c r="D137" s="1">
        <v>130</v>
      </c>
      <c r="E137" s="1">
        <v>1450.3</v>
      </c>
    </row>
    <row r="138" spans="4:5" x14ac:dyDescent="0.3">
      <c r="D138" s="1">
        <v>148</v>
      </c>
      <c r="E138" s="1">
        <v>1472.2</v>
      </c>
    </row>
    <row r="139" spans="4:5" x14ac:dyDescent="0.3">
      <c r="D139" s="1">
        <v>55</v>
      </c>
      <c r="E139" s="1">
        <v>1472.3</v>
      </c>
    </row>
    <row r="140" spans="4:5" x14ac:dyDescent="0.3">
      <c r="D140" s="1">
        <v>115</v>
      </c>
      <c r="E140" s="1">
        <v>1490.3</v>
      </c>
    </row>
    <row r="141" spans="4:5" x14ac:dyDescent="0.3">
      <c r="D141" s="1">
        <v>5</v>
      </c>
      <c r="E141" s="1">
        <v>1506.1000000000001</v>
      </c>
    </row>
    <row r="142" spans="4:5" x14ac:dyDescent="0.3">
      <c r="D142" s="1">
        <v>30</v>
      </c>
      <c r="E142" s="1">
        <v>1510.2</v>
      </c>
    </row>
    <row r="143" spans="4:5" x14ac:dyDescent="0.3">
      <c r="D143" s="1">
        <v>110</v>
      </c>
      <c r="E143" s="1">
        <v>1543</v>
      </c>
    </row>
    <row r="144" spans="4:5" x14ac:dyDescent="0.3">
      <c r="D144" s="1">
        <v>119</v>
      </c>
      <c r="E144" s="1">
        <v>1560.6</v>
      </c>
    </row>
    <row r="145" spans="4:5" x14ac:dyDescent="0.3">
      <c r="D145" s="1">
        <v>150</v>
      </c>
      <c r="E145" s="1">
        <v>1596</v>
      </c>
    </row>
    <row r="146" spans="4:5" x14ac:dyDescent="0.3">
      <c r="D146" s="1">
        <v>38</v>
      </c>
      <c r="E146" s="1">
        <v>1601</v>
      </c>
    </row>
    <row r="147" spans="4:5" x14ac:dyDescent="0.3">
      <c r="D147" s="1">
        <v>92</v>
      </c>
      <c r="E147" s="1">
        <v>1622.8999999999999</v>
      </c>
    </row>
    <row r="148" spans="4:5" x14ac:dyDescent="0.3">
      <c r="D148" s="1">
        <v>69</v>
      </c>
      <c r="E148" s="1">
        <v>1653.6000000000001</v>
      </c>
    </row>
    <row r="149" spans="4:5" x14ac:dyDescent="0.3">
      <c r="D149" s="1">
        <v>21</v>
      </c>
      <c r="E149" s="1">
        <v>1660.3</v>
      </c>
    </row>
    <row r="150" spans="4:5" x14ac:dyDescent="0.3">
      <c r="D150" s="1">
        <v>133</v>
      </c>
      <c r="E150" s="1">
        <v>1668.1999999999998</v>
      </c>
    </row>
    <row r="151" spans="4:5" x14ac:dyDescent="0.3">
      <c r="D151" s="1">
        <v>41</v>
      </c>
      <c r="E151" s="1">
        <v>1669.6000000000001</v>
      </c>
    </row>
    <row r="152" spans="4:5" x14ac:dyDescent="0.3">
      <c r="D152" s="1">
        <v>46</v>
      </c>
      <c r="E152" s="1">
        <v>1697.4</v>
      </c>
    </row>
    <row r="153" spans="4:5" x14ac:dyDescent="0.3">
      <c r="D153" s="1">
        <v>4</v>
      </c>
      <c r="E153" s="1">
        <v>1746.1000000000001</v>
      </c>
    </row>
  </sheetData>
  <sortState xmlns:xlrd2="http://schemas.microsoft.com/office/spreadsheetml/2017/richdata2" ref="D4:E153">
    <sortCondition ref="E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56F8-78AE-4A2F-9611-F8789AF47D1A}">
  <dimension ref="B3:N64"/>
  <sheetViews>
    <sheetView tabSelected="1" topLeftCell="B1" workbookViewId="0">
      <selection activeCell="O33" sqref="O33"/>
    </sheetView>
  </sheetViews>
  <sheetFormatPr baseColWidth="10" defaultRowHeight="14.4" x14ac:dyDescent="0.3"/>
  <cols>
    <col min="4" max="4" width="12.33203125" bestFit="1" customWidth="1"/>
  </cols>
  <sheetData>
    <row r="3" spans="2:14" x14ac:dyDescent="0.3">
      <c r="B3" s="2"/>
      <c r="C3" s="3" t="s">
        <v>2</v>
      </c>
      <c r="D3" s="4">
        <f>CEILING(D17/D16,5)</f>
        <v>10</v>
      </c>
      <c r="E3" s="2"/>
      <c r="F3" s="3" t="s">
        <v>3</v>
      </c>
      <c r="G3" s="5">
        <v>1</v>
      </c>
      <c r="H3" s="2"/>
      <c r="I3" s="2"/>
      <c r="J3" s="2"/>
      <c r="K3" s="2"/>
      <c r="L3" s="2"/>
      <c r="M3" s="2"/>
      <c r="N3" s="2"/>
    </row>
    <row r="4" spans="2:14" x14ac:dyDescent="0.3">
      <c r="B4" s="2"/>
      <c r="C4" s="6" t="s">
        <v>4</v>
      </c>
      <c r="D4" s="7"/>
      <c r="E4" s="7"/>
      <c r="F4" s="7"/>
      <c r="G4" s="7"/>
      <c r="H4" s="8"/>
      <c r="I4" s="2"/>
      <c r="J4" s="2"/>
      <c r="K4" s="2"/>
      <c r="L4" s="2"/>
      <c r="M4" s="2"/>
      <c r="N4" s="2"/>
    </row>
    <row r="5" spans="2:14" ht="30.6" x14ac:dyDescent="0.3">
      <c r="B5" s="2"/>
      <c r="C5" s="9" t="s">
        <v>5</v>
      </c>
      <c r="D5" s="10"/>
      <c r="E5" s="10"/>
      <c r="F5" s="9" t="s">
        <v>6</v>
      </c>
      <c r="G5" s="10"/>
      <c r="H5" s="10"/>
      <c r="I5" s="9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2" t="s">
        <v>12</v>
      </c>
    </row>
    <row r="6" spans="2:14" ht="26.4" x14ac:dyDescent="0.3">
      <c r="B6" s="2"/>
      <c r="C6" s="13"/>
      <c r="D6" s="14"/>
      <c r="E6" s="14"/>
      <c r="F6" s="15" t="s">
        <v>13</v>
      </c>
      <c r="G6" s="16"/>
      <c r="H6" s="16" t="s">
        <v>14</v>
      </c>
      <c r="I6" s="17" t="s">
        <v>15</v>
      </c>
      <c r="J6" s="18" t="s">
        <v>16</v>
      </c>
      <c r="K6" s="19" t="s">
        <v>17</v>
      </c>
      <c r="L6" s="19" t="s">
        <v>18</v>
      </c>
      <c r="M6" s="18" t="s">
        <v>19</v>
      </c>
      <c r="N6" s="20" t="s">
        <v>20</v>
      </c>
    </row>
    <row r="7" spans="2:14" x14ac:dyDescent="0.3">
      <c r="B7" s="21" t="s">
        <v>21</v>
      </c>
      <c r="C7" s="22"/>
      <c r="D7" s="23"/>
      <c r="E7" s="23"/>
      <c r="F7" s="24">
        <v>0</v>
      </c>
      <c r="G7" s="25"/>
      <c r="H7" s="26">
        <f>F9</f>
        <v>60.5</v>
      </c>
      <c r="I7" s="27"/>
      <c r="J7" s="28"/>
      <c r="K7" s="24">
        <v>0</v>
      </c>
      <c r="L7" s="24">
        <v>0</v>
      </c>
      <c r="M7" s="24">
        <v>0</v>
      </c>
      <c r="N7" s="29">
        <v>0</v>
      </c>
    </row>
    <row r="8" spans="2:14" x14ac:dyDescent="0.3">
      <c r="B8" s="21"/>
      <c r="C8" s="43">
        <v>51</v>
      </c>
      <c r="D8" s="88"/>
      <c r="E8" s="21">
        <v>60</v>
      </c>
      <c r="F8" s="32">
        <f>C8-$G$3/2</f>
        <v>50.5</v>
      </c>
      <c r="G8" s="90"/>
      <c r="H8" s="31">
        <f>E8+$G$3/2</f>
        <v>60.5</v>
      </c>
      <c r="I8" s="91"/>
      <c r="J8" s="92"/>
      <c r="K8" s="89"/>
      <c r="L8" s="89"/>
      <c r="M8" s="89"/>
      <c r="N8" s="94">
        <v>0</v>
      </c>
    </row>
    <row r="9" spans="2:14" x14ac:dyDescent="0.3">
      <c r="B9" s="30">
        <v>1</v>
      </c>
      <c r="C9" s="43">
        <f>MIN(dats4)</f>
        <v>61</v>
      </c>
      <c r="D9" s="21" t="s">
        <v>22</v>
      </c>
      <c r="E9" s="21">
        <f>C9+D$3-G$3</f>
        <v>70</v>
      </c>
      <c r="F9" s="32">
        <f>C9-$G$3/2</f>
        <v>60.5</v>
      </c>
      <c r="G9" s="21" t="s">
        <v>22</v>
      </c>
      <c r="H9" s="31">
        <f>E9+$G$3/2</f>
        <v>70.5</v>
      </c>
      <c r="I9" s="32">
        <f>H9-F9</f>
        <v>10</v>
      </c>
      <c r="J9" s="32">
        <f t="shared" ref="J9:J13" si="0">(F9+H9)/2</f>
        <v>65.5</v>
      </c>
      <c r="K9" s="33">
        <f>COUNTIFS(dats4,"&gt;="&amp;C9, dats4,"&lt;="&amp;E9)</f>
        <v>4</v>
      </c>
      <c r="L9" s="34">
        <f>K9</f>
        <v>4</v>
      </c>
      <c r="M9" s="32">
        <f>K9/D$15</f>
        <v>0.25</v>
      </c>
      <c r="N9" s="35">
        <f>M9</f>
        <v>0.25</v>
      </c>
    </row>
    <row r="10" spans="2:14" x14ac:dyDescent="0.3">
      <c r="B10" s="36">
        <v>2</v>
      </c>
      <c r="C10" s="43">
        <f>E9+G$3</f>
        <v>71</v>
      </c>
      <c r="D10" s="21" t="s">
        <v>22</v>
      </c>
      <c r="E10" s="21">
        <f t="shared" ref="E10:E11" si="1">C10+D$3-G$3</f>
        <v>80</v>
      </c>
      <c r="F10" s="32">
        <f t="shared" ref="F10:F11" si="2">C10-$G$3/2</f>
        <v>70.5</v>
      </c>
      <c r="G10" s="21" t="s">
        <v>22</v>
      </c>
      <c r="H10" s="31">
        <f t="shared" ref="H10:H11" si="3">E10+$G$3/2</f>
        <v>80.5</v>
      </c>
      <c r="I10" s="32">
        <f t="shared" ref="I10:I13" si="4">H10-F10</f>
        <v>10</v>
      </c>
      <c r="J10" s="32">
        <f t="shared" si="0"/>
        <v>75.5</v>
      </c>
      <c r="K10" s="33">
        <f>COUNTIFS(dats4,"&gt;="&amp;C10, dats4,"&lt;="&amp;E10)</f>
        <v>5</v>
      </c>
      <c r="L10" s="34">
        <f>K10+L9</f>
        <v>9</v>
      </c>
      <c r="M10" s="32">
        <f>K10/D$15</f>
        <v>0.3125</v>
      </c>
      <c r="N10" s="37">
        <f>N9+M10</f>
        <v>0.5625</v>
      </c>
    </row>
    <row r="11" spans="2:14" x14ac:dyDescent="0.3">
      <c r="B11" s="36">
        <v>3</v>
      </c>
      <c r="C11" s="43">
        <f t="shared" ref="C11:C13" si="5">E10+G$3</f>
        <v>81</v>
      </c>
      <c r="D11" s="21" t="s">
        <v>22</v>
      </c>
      <c r="E11" s="21">
        <f t="shared" si="1"/>
        <v>90</v>
      </c>
      <c r="F11" s="32">
        <f t="shared" si="2"/>
        <v>80.5</v>
      </c>
      <c r="G11" s="21" t="s">
        <v>22</v>
      </c>
      <c r="H11" s="31">
        <f t="shared" si="3"/>
        <v>90.5</v>
      </c>
      <c r="I11" s="32">
        <f t="shared" si="4"/>
        <v>10</v>
      </c>
      <c r="J11" s="32">
        <f t="shared" si="0"/>
        <v>85.5</v>
      </c>
      <c r="K11" s="33">
        <f>COUNTIFS(dats4,"&gt;="&amp;C11, dats4,"&lt;="&amp;E11)</f>
        <v>4</v>
      </c>
      <c r="L11" s="34">
        <f t="shared" ref="L11:L13" si="6">K11+L10</f>
        <v>13</v>
      </c>
      <c r="M11" s="32">
        <f>K11/D$15</f>
        <v>0.25</v>
      </c>
      <c r="N11" s="37">
        <f t="shared" ref="N11:N13" si="7">N10+M11</f>
        <v>0.8125</v>
      </c>
    </row>
    <row r="12" spans="2:14" x14ac:dyDescent="0.3">
      <c r="B12" s="38">
        <v>4</v>
      </c>
      <c r="C12" s="43">
        <f t="shared" si="5"/>
        <v>91</v>
      </c>
      <c r="D12" s="39" t="s">
        <v>22</v>
      </c>
      <c r="E12" s="87">
        <f>C12+D$3-G$3</f>
        <v>100</v>
      </c>
      <c r="F12" s="40">
        <f>C12-$G$3/2</f>
        <v>90.5</v>
      </c>
      <c r="G12" s="39" t="s">
        <v>22</v>
      </c>
      <c r="H12" s="41">
        <f>E12+$G$3/2</f>
        <v>100.5</v>
      </c>
      <c r="I12" s="40">
        <f t="shared" si="4"/>
        <v>10</v>
      </c>
      <c r="J12" s="40">
        <f t="shared" si="0"/>
        <v>95.5</v>
      </c>
      <c r="K12" s="33">
        <f>COUNTIFS(dats4,"&gt;="&amp;C12, dats4,"&lt;="&amp;E12)</f>
        <v>3</v>
      </c>
      <c r="L12" s="34">
        <f t="shared" si="6"/>
        <v>16</v>
      </c>
      <c r="M12" s="32">
        <f>K12/D$15</f>
        <v>0.1875</v>
      </c>
      <c r="N12" s="37">
        <f t="shared" si="7"/>
        <v>1</v>
      </c>
    </row>
    <row r="13" spans="2:14" x14ac:dyDescent="0.3">
      <c r="B13" s="93"/>
      <c r="C13" s="43">
        <f t="shared" si="5"/>
        <v>101</v>
      </c>
      <c r="D13" s="21"/>
      <c r="E13" s="87">
        <f>C13+D$3-G$3</f>
        <v>110</v>
      </c>
      <c r="F13" s="40">
        <f>C13-$G$3/2</f>
        <v>100.5</v>
      </c>
      <c r="G13" s="21"/>
      <c r="H13" s="41">
        <f>E13+$G$3/2</f>
        <v>110.5</v>
      </c>
      <c r="I13" s="40">
        <f t="shared" si="4"/>
        <v>10</v>
      </c>
      <c r="J13" s="40">
        <f t="shared" si="0"/>
        <v>105.5</v>
      </c>
      <c r="K13" s="33">
        <f>COUNTIFS(dats4,"&gt;="&amp;C13, dats4,"&lt;="&amp;E13)</f>
        <v>0</v>
      </c>
      <c r="L13" s="34">
        <f t="shared" si="6"/>
        <v>16</v>
      </c>
      <c r="M13" s="32">
        <f>K13/D$15</f>
        <v>0</v>
      </c>
      <c r="N13" s="37">
        <f t="shared" si="7"/>
        <v>1</v>
      </c>
    </row>
    <row r="15" spans="2:14" x14ac:dyDescent="0.3">
      <c r="C15" t="s">
        <v>24</v>
      </c>
      <c r="D15">
        <v>16</v>
      </c>
    </row>
    <row r="16" spans="2:14" x14ac:dyDescent="0.3">
      <c r="C16" t="s">
        <v>23</v>
      </c>
      <c r="D16">
        <v>4</v>
      </c>
    </row>
    <row r="17" spans="2:4" x14ac:dyDescent="0.3">
      <c r="C17" t="s">
        <v>25</v>
      </c>
      <c r="D17">
        <f>MAX(dats4)-MIN(dats4)</f>
        <v>37</v>
      </c>
    </row>
    <row r="18" spans="2:4" x14ac:dyDescent="0.3">
      <c r="C18" t="s">
        <v>26</v>
      </c>
      <c r="D18">
        <f>MIN(dats4)</f>
        <v>61</v>
      </c>
    </row>
    <row r="19" spans="2:4" x14ac:dyDescent="0.3">
      <c r="C19" t="s">
        <v>27</v>
      </c>
      <c r="D19">
        <f>MAX(dats4)</f>
        <v>98</v>
      </c>
    </row>
    <row r="21" spans="2:4" x14ac:dyDescent="0.3">
      <c r="C21" t="s">
        <v>28</v>
      </c>
      <c r="D21">
        <f>D3*D16</f>
        <v>40</v>
      </c>
    </row>
    <row r="22" spans="2:4" x14ac:dyDescent="0.3">
      <c r="C22" t="s">
        <v>29</v>
      </c>
      <c r="D22">
        <f>61</f>
        <v>61</v>
      </c>
    </row>
    <row r="23" spans="2:4" x14ac:dyDescent="0.3">
      <c r="C23" t="s">
        <v>30</v>
      </c>
      <c r="D23">
        <f>D22+D21</f>
        <v>101</v>
      </c>
    </row>
    <row r="26" spans="2:4" x14ac:dyDescent="0.3">
      <c r="B26">
        <v>61</v>
      </c>
    </row>
    <row r="27" spans="2:4" x14ac:dyDescent="0.3">
      <c r="B27">
        <v>64</v>
      </c>
    </row>
    <row r="28" spans="2:4" x14ac:dyDescent="0.3">
      <c r="B28">
        <v>67</v>
      </c>
    </row>
    <row r="29" spans="2:4" x14ac:dyDescent="0.3">
      <c r="B29">
        <v>70</v>
      </c>
    </row>
    <row r="30" spans="2:4" x14ac:dyDescent="0.3">
      <c r="B30">
        <v>73</v>
      </c>
    </row>
    <row r="31" spans="2:4" x14ac:dyDescent="0.3">
      <c r="B31">
        <v>73</v>
      </c>
    </row>
    <row r="32" spans="2:4" x14ac:dyDescent="0.3">
      <c r="B32">
        <v>75</v>
      </c>
    </row>
    <row r="33" spans="2:6" x14ac:dyDescent="0.3">
      <c r="B33">
        <v>78</v>
      </c>
    </row>
    <row r="34" spans="2:6" x14ac:dyDescent="0.3">
      <c r="B34">
        <v>79</v>
      </c>
    </row>
    <row r="35" spans="2:6" x14ac:dyDescent="0.3">
      <c r="B35">
        <v>82</v>
      </c>
    </row>
    <row r="36" spans="2:6" x14ac:dyDescent="0.3">
      <c r="B36">
        <v>82</v>
      </c>
    </row>
    <row r="37" spans="2:6" x14ac:dyDescent="0.3">
      <c r="B37">
        <v>86</v>
      </c>
    </row>
    <row r="38" spans="2:6" x14ac:dyDescent="0.3">
      <c r="B38">
        <v>88</v>
      </c>
    </row>
    <row r="39" spans="2:6" x14ac:dyDescent="0.3">
      <c r="B39">
        <v>92</v>
      </c>
    </row>
    <row r="40" spans="2:6" x14ac:dyDescent="0.3">
      <c r="B40">
        <v>93</v>
      </c>
    </row>
    <row r="41" spans="2:6" x14ac:dyDescent="0.3">
      <c r="B41">
        <v>98</v>
      </c>
    </row>
    <row r="42" spans="2:6" x14ac:dyDescent="0.3">
      <c r="C42">
        <f>COUNT(B26:B41)</f>
        <v>16</v>
      </c>
    </row>
    <row r="47" spans="2:6" x14ac:dyDescent="0.3">
      <c r="F47" s="84" t="s">
        <v>65</v>
      </c>
    </row>
    <row r="48" spans="2:6" x14ac:dyDescent="0.3">
      <c r="F48" s="84"/>
    </row>
    <row r="49" spans="6:6" x14ac:dyDescent="0.3">
      <c r="F49" s="84"/>
    </row>
    <row r="50" spans="6:6" x14ac:dyDescent="0.3">
      <c r="F50" s="84"/>
    </row>
    <row r="51" spans="6:6" x14ac:dyDescent="0.3">
      <c r="F51" s="84"/>
    </row>
    <row r="52" spans="6:6" x14ac:dyDescent="0.3">
      <c r="F52" s="84"/>
    </row>
    <row r="53" spans="6:6" x14ac:dyDescent="0.3">
      <c r="F53" s="84"/>
    </row>
    <row r="54" spans="6:6" x14ac:dyDescent="0.3">
      <c r="F54" s="84"/>
    </row>
    <row r="55" spans="6:6" x14ac:dyDescent="0.3">
      <c r="F55" s="84"/>
    </row>
    <row r="56" spans="6:6" x14ac:dyDescent="0.3">
      <c r="F56" s="84"/>
    </row>
    <row r="57" spans="6:6" x14ac:dyDescent="0.3">
      <c r="F57" s="84"/>
    </row>
    <row r="58" spans="6:6" x14ac:dyDescent="0.3">
      <c r="F58" s="84"/>
    </row>
    <row r="59" spans="6:6" x14ac:dyDescent="0.3">
      <c r="F59" s="84"/>
    </row>
    <row r="60" spans="6:6" x14ac:dyDescent="0.3">
      <c r="F60" s="84"/>
    </row>
    <row r="61" spans="6:6" x14ac:dyDescent="0.3">
      <c r="F61" s="84"/>
    </row>
    <row r="62" spans="6:6" x14ac:dyDescent="0.3">
      <c r="F62" s="84"/>
    </row>
    <row r="63" spans="6:6" x14ac:dyDescent="0.3">
      <c r="F63" s="84"/>
    </row>
    <row r="64" spans="6:6" x14ac:dyDescent="0.3">
      <c r="F64" s="84"/>
    </row>
  </sheetData>
  <mergeCells count="1">
    <mergeCell ref="F47:F6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23"/>
  <sheetViews>
    <sheetView topLeftCell="A16" workbookViewId="0">
      <selection activeCell="B44" sqref="B44"/>
    </sheetView>
  </sheetViews>
  <sheetFormatPr baseColWidth="10" defaultRowHeight="14.4" x14ac:dyDescent="0.3"/>
  <cols>
    <col min="4" max="4" width="12.33203125" bestFit="1" customWidth="1"/>
  </cols>
  <sheetData>
    <row r="3" spans="2:14" x14ac:dyDescent="0.3">
      <c r="B3" s="2"/>
      <c r="C3" s="3" t="s">
        <v>2</v>
      </c>
      <c r="D3" s="4">
        <f>CEILING(D17/D16,5)</f>
        <v>255</v>
      </c>
      <c r="E3" s="2"/>
      <c r="F3" s="3" t="s">
        <v>3</v>
      </c>
      <c r="G3" s="5">
        <v>0.1</v>
      </c>
      <c r="H3" s="2"/>
      <c r="I3" s="2"/>
      <c r="J3" s="2"/>
      <c r="K3" s="2"/>
      <c r="L3" s="2"/>
      <c r="M3" s="2"/>
      <c r="N3" s="2"/>
    </row>
    <row r="4" spans="2:14" x14ac:dyDescent="0.3">
      <c r="B4" s="2"/>
      <c r="C4" s="6" t="s">
        <v>4</v>
      </c>
      <c r="D4" s="7"/>
      <c r="E4" s="7"/>
      <c r="F4" s="7"/>
      <c r="G4" s="7"/>
      <c r="H4" s="8"/>
      <c r="I4" s="2"/>
      <c r="J4" s="2"/>
      <c r="K4" s="2"/>
      <c r="L4" s="2"/>
      <c r="M4" s="2"/>
      <c r="N4" s="2"/>
    </row>
    <row r="5" spans="2:14" ht="30.6" x14ac:dyDescent="0.3">
      <c r="B5" s="2"/>
      <c r="C5" s="9" t="s">
        <v>5</v>
      </c>
      <c r="D5" s="10"/>
      <c r="E5" s="10"/>
      <c r="F5" s="9" t="s">
        <v>6</v>
      </c>
      <c r="G5" s="10"/>
      <c r="H5" s="10"/>
      <c r="I5" s="9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2" t="s">
        <v>12</v>
      </c>
    </row>
    <row r="6" spans="2:14" ht="26.4" x14ac:dyDescent="0.3">
      <c r="B6" s="2"/>
      <c r="C6" s="13"/>
      <c r="D6" s="14"/>
      <c r="E6" s="14"/>
      <c r="F6" s="15" t="s">
        <v>13</v>
      </c>
      <c r="G6" s="16"/>
      <c r="H6" s="16" t="s">
        <v>14</v>
      </c>
      <c r="I6" s="17" t="s">
        <v>15</v>
      </c>
      <c r="J6" s="18" t="s">
        <v>16</v>
      </c>
      <c r="K6" s="19" t="s">
        <v>17</v>
      </c>
      <c r="L6" s="19" t="s">
        <v>18</v>
      </c>
      <c r="M6" s="18" t="s">
        <v>19</v>
      </c>
      <c r="N6" s="20" t="s">
        <v>20</v>
      </c>
    </row>
    <row r="7" spans="2:14" x14ac:dyDescent="0.3">
      <c r="B7" s="21" t="s">
        <v>21</v>
      </c>
      <c r="C7" s="22"/>
      <c r="D7" s="23"/>
      <c r="E7" s="23"/>
      <c r="F7" s="24">
        <v>0</v>
      </c>
      <c r="G7" s="25"/>
      <c r="H7" s="26">
        <f>F8</f>
        <v>224.95</v>
      </c>
      <c r="I7" s="27"/>
      <c r="J7" s="28"/>
      <c r="K7" s="24">
        <v>0</v>
      </c>
      <c r="L7" s="24">
        <v>0</v>
      </c>
      <c r="M7" s="24">
        <v>0</v>
      </c>
      <c r="N7" s="29">
        <v>0</v>
      </c>
    </row>
    <row r="8" spans="2:14" x14ac:dyDescent="0.3">
      <c r="B8" s="30">
        <v>1</v>
      </c>
      <c r="C8" s="43">
        <f>MIN(D22)</f>
        <v>225</v>
      </c>
      <c r="D8" s="21" t="s">
        <v>22</v>
      </c>
      <c r="E8" s="21">
        <f>C8+D$3-G$3</f>
        <v>479.9</v>
      </c>
      <c r="F8" s="32">
        <f>C8-$G$3/2</f>
        <v>224.95</v>
      </c>
      <c r="G8" s="21" t="s">
        <v>22</v>
      </c>
      <c r="H8" s="31">
        <f>E8+$G$3/2</f>
        <v>479.95</v>
      </c>
      <c r="I8" s="32">
        <f>H8-F8</f>
        <v>255</v>
      </c>
      <c r="J8" s="32">
        <f t="shared" ref="J8:J13" si="0">(F8+H8)/2</f>
        <v>352.45</v>
      </c>
      <c r="K8" s="33">
        <f>COUNTIFS(Hoja1!E$4:E$153,"&gt;="&amp;C8, Hoja1!E$4:E$153,"&lt;="&amp;E8)</f>
        <v>8</v>
      </c>
      <c r="L8" s="34">
        <f>K8</f>
        <v>8</v>
      </c>
      <c r="M8" s="32">
        <f t="shared" ref="M8:M13" si="1">K8/D$15</f>
        <v>5.3333333333333337E-2</v>
      </c>
      <c r="N8" s="35">
        <f>M8</f>
        <v>5.3333333333333337E-2</v>
      </c>
    </row>
    <row r="9" spans="2:14" x14ac:dyDescent="0.3">
      <c r="B9" s="36">
        <v>2</v>
      </c>
      <c r="C9" s="43">
        <f>E8+G$3</f>
        <v>480</v>
      </c>
      <c r="D9" s="21" t="s">
        <v>22</v>
      </c>
      <c r="E9" s="21">
        <f t="shared" ref="E9:E12" si="2">C9+D$3-G$3</f>
        <v>734.9</v>
      </c>
      <c r="F9" s="32">
        <f>C9-$G$3/2</f>
        <v>479.95</v>
      </c>
      <c r="G9" s="21" t="s">
        <v>22</v>
      </c>
      <c r="H9" s="31">
        <f t="shared" ref="H9:H12" si="3">E9+$G$3/2</f>
        <v>734.94999999999993</v>
      </c>
      <c r="I9" s="32">
        <f t="shared" ref="I9:I13" si="4">H9-F9</f>
        <v>254.99999999999994</v>
      </c>
      <c r="J9" s="32">
        <f t="shared" si="0"/>
        <v>607.44999999999993</v>
      </c>
      <c r="K9" s="33">
        <f>COUNTIFS(Hoja1!E$4:E$153,"&gt;="&amp;C9, Hoja1!E$4:E$153,"&lt;="&amp;E9)</f>
        <v>16</v>
      </c>
      <c r="L9" s="34">
        <f>K9+L8</f>
        <v>24</v>
      </c>
      <c r="M9" s="32">
        <f t="shared" si="1"/>
        <v>0.10666666666666667</v>
      </c>
      <c r="N9" s="37">
        <f>N8+M9</f>
        <v>0.16</v>
      </c>
    </row>
    <row r="10" spans="2:14" x14ac:dyDescent="0.3">
      <c r="B10" s="36">
        <v>3</v>
      </c>
      <c r="C10" s="43">
        <f t="shared" ref="C10:C12" si="5">E9+G$3</f>
        <v>735</v>
      </c>
      <c r="D10" s="21" t="s">
        <v>22</v>
      </c>
      <c r="E10" s="21">
        <f t="shared" si="2"/>
        <v>989.9</v>
      </c>
      <c r="F10" s="32">
        <f t="shared" ref="F10:F12" si="6">C10-$G$3/2</f>
        <v>734.95</v>
      </c>
      <c r="G10" s="21" t="s">
        <v>22</v>
      </c>
      <c r="H10" s="31">
        <f t="shared" si="3"/>
        <v>989.94999999999993</v>
      </c>
      <c r="I10" s="32">
        <f t="shared" ref="I10:I12" si="7">H10-F10</f>
        <v>254.99999999999989</v>
      </c>
      <c r="J10" s="32">
        <f t="shared" ref="J10:J12" si="8">(F10+H10)/2</f>
        <v>862.45</v>
      </c>
      <c r="K10" s="33">
        <f>COUNTIFS(Hoja1!E$4:E$153,"&gt;="&amp;C10, Hoja1!E$4:E$153,"&lt;="&amp;E10)</f>
        <v>43</v>
      </c>
      <c r="L10" s="34">
        <f t="shared" ref="L10:L12" si="9">K10+L9</f>
        <v>67</v>
      </c>
      <c r="M10" s="32">
        <f t="shared" si="1"/>
        <v>0.28666666666666668</v>
      </c>
      <c r="N10" s="37">
        <f t="shared" ref="N10:N12" si="10">N9+M10</f>
        <v>0.44666666666666666</v>
      </c>
    </row>
    <row r="11" spans="2:14" x14ac:dyDescent="0.3">
      <c r="B11" s="36">
        <v>4</v>
      </c>
      <c r="C11" s="43">
        <f t="shared" si="5"/>
        <v>990</v>
      </c>
      <c r="D11" s="21" t="s">
        <v>22</v>
      </c>
      <c r="E11" s="21">
        <f t="shared" si="2"/>
        <v>1244.9000000000001</v>
      </c>
      <c r="F11" s="32">
        <f t="shared" si="6"/>
        <v>989.95</v>
      </c>
      <c r="G11" s="21" t="s">
        <v>22</v>
      </c>
      <c r="H11" s="31">
        <f t="shared" si="3"/>
        <v>1244.95</v>
      </c>
      <c r="I11" s="32">
        <f t="shared" si="7"/>
        <v>255</v>
      </c>
      <c r="J11" s="32">
        <f t="shared" si="8"/>
        <v>1117.45</v>
      </c>
      <c r="K11" s="33">
        <f>COUNTIFS(Hoja1!E$4:E$153,"&gt;="&amp;C11, Hoja1!E$4:E$153,"&lt;="&amp;E11)</f>
        <v>40</v>
      </c>
      <c r="L11" s="34">
        <f t="shared" si="9"/>
        <v>107</v>
      </c>
      <c r="M11" s="32">
        <f t="shared" si="1"/>
        <v>0.26666666666666666</v>
      </c>
      <c r="N11" s="37">
        <f t="shared" si="10"/>
        <v>0.71333333333333337</v>
      </c>
    </row>
    <row r="12" spans="2:14" x14ac:dyDescent="0.3">
      <c r="B12" s="36">
        <v>5</v>
      </c>
      <c r="C12" s="43">
        <f t="shared" si="5"/>
        <v>1245</v>
      </c>
      <c r="D12" s="21" t="s">
        <v>22</v>
      </c>
      <c r="E12" s="21">
        <f t="shared" si="2"/>
        <v>1499.9</v>
      </c>
      <c r="F12" s="32">
        <f t="shared" si="6"/>
        <v>1244.95</v>
      </c>
      <c r="G12" s="21" t="s">
        <v>22</v>
      </c>
      <c r="H12" s="31">
        <f t="shared" si="3"/>
        <v>1499.95</v>
      </c>
      <c r="I12" s="32">
        <f t="shared" si="7"/>
        <v>255</v>
      </c>
      <c r="J12" s="32">
        <f t="shared" si="8"/>
        <v>1372.45</v>
      </c>
      <c r="K12" s="33">
        <f>COUNTIFS(Hoja1!E$4:E$153,"&gt;="&amp;C12, Hoja1!E$4:E$153,"&lt;="&amp;E12)</f>
        <v>30</v>
      </c>
      <c r="L12" s="34">
        <f t="shared" si="9"/>
        <v>137</v>
      </c>
      <c r="M12" s="32">
        <f t="shared" si="1"/>
        <v>0.2</v>
      </c>
      <c r="N12" s="37">
        <f t="shared" si="10"/>
        <v>0.91333333333333333</v>
      </c>
    </row>
    <row r="13" spans="2:14" x14ac:dyDescent="0.3">
      <c r="B13" s="38">
        <v>6</v>
      </c>
      <c r="C13" s="39">
        <f>E12+G$3</f>
        <v>1500</v>
      </c>
      <c r="D13" s="39" t="s">
        <v>22</v>
      </c>
      <c r="E13" s="44">
        <f>C13+D$3-G$3</f>
        <v>1754.9</v>
      </c>
      <c r="F13" s="40">
        <f>C13-$G$3/2</f>
        <v>1499.95</v>
      </c>
      <c r="G13" s="39" t="s">
        <v>22</v>
      </c>
      <c r="H13" s="41">
        <f>E13+$G$3/2</f>
        <v>1754.95</v>
      </c>
      <c r="I13" s="40">
        <f t="shared" si="4"/>
        <v>255</v>
      </c>
      <c r="J13" s="40">
        <f t="shared" si="0"/>
        <v>1627.45</v>
      </c>
      <c r="K13" s="38">
        <f>COUNTIFS(Hoja1!E$4:E$153,"&gt;="&amp;C13, Hoja1!E$4:E$153,"&lt;="&amp;E13)</f>
        <v>13</v>
      </c>
      <c r="L13" s="42">
        <f>L12+K13</f>
        <v>150</v>
      </c>
      <c r="M13" s="42">
        <f t="shared" si="1"/>
        <v>8.666666666666667E-2</v>
      </c>
      <c r="N13" s="42">
        <f>N12+M13</f>
        <v>1</v>
      </c>
    </row>
    <row r="15" spans="2:14" x14ac:dyDescent="0.3">
      <c r="C15" t="s">
        <v>24</v>
      </c>
      <c r="D15">
        <f>COUNT(Hoja1!E4:E153)</f>
        <v>150</v>
      </c>
    </row>
    <row r="16" spans="2:14" x14ac:dyDescent="0.3">
      <c r="C16" t="s">
        <v>23</v>
      </c>
      <c r="D16">
        <v>6</v>
      </c>
    </row>
    <row r="17" spans="3:4" x14ac:dyDescent="0.3">
      <c r="C17" t="s">
        <v>25</v>
      </c>
      <c r="D17">
        <f>ROUNDUP(MAX(Hoja1!E4:E153)-MIN(Hoja1!E4:E153),0)</f>
        <v>1516</v>
      </c>
    </row>
    <row r="18" spans="3:4" x14ac:dyDescent="0.3">
      <c r="C18" t="s">
        <v>26</v>
      </c>
      <c r="D18">
        <f>MIN(DATS)</f>
        <v>230.7</v>
      </c>
    </row>
    <row r="19" spans="3:4" x14ac:dyDescent="0.3">
      <c r="C19" t="s">
        <v>27</v>
      </c>
      <c r="D19">
        <f>MAX(DATS)</f>
        <v>1746.1000000000001</v>
      </c>
    </row>
    <row r="21" spans="3:4" x14ac:dyDescent="0.3">
      <c r="C21" t="s">
        <v>28</v>
      </c>
      <c r="D21">
        <f>D3*D16</f>
        <v>1530</v>
      </c>
    </row>
    <row r="22" spans="3:4" x14ac:dyDescent="0.3">
      <c r="C22" t="s">
        <v>29</v>
      </c>
      <c r="D22">
        <f>_xlfn.CEILING.PRECISE(D18-(D23-D19)/2,5)</f>
        <v>225</v>
      </c>
    </row>
    <row r="23" spans="3:4" x14ac:dyDescent="0.3">
      <c r="C23" t="s">
        <v>30</v>
      </c>
      <c r="D23">
        <f>D18+D21</f>
        <v>1760.7</v>
      </c>
    </row>
  </sheetData>
  <pageMargins left="0.7" right="0.7" top="0.75" bottom="0.75" header="0.3" footer="0.3"/>
  <ignoredErrors>
    <ignoredError sqref="M13 M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Q147"/>
  <sheetViews>
    <sheetView topLeftCell="B11" zoomScale="110" zoomScaleNormal="110" zoomScalePageLayoutView="80" workbookViewId="0">
      <selection activeCell="M37" sqref="M37"/>
    </sheetView>
  </sheetViews>
  <sheetFormatPr baseColWidth="10" defaultRowHeight="14.4" x14ac:dyDescent="0.3"/>
  <cols>
    <col min="1" max="1" width="6.109375" customWidth="1"/>
    <col min="4" max="4" width="12.33203125" bestFit="1" customWidth="1"/>
    <col min="14" max="14" width="11.5546875" customWidth="1"/>
    <col min="15" max="15" width="15.5546875" bestFit="1" customWidth="1"/>
    <col min="16" max="16" width="12.6640625" bestFit="1" customWidth="1"/>
    <col min="17" max="17" width="11.6640625" bestFit="1" customWidth="1"/>
  </cols>
  <sheetData>
    <row r="9" spans="2:15" x14ac:dyDescent="0.3">
      <c r="B9" s="2"/>
      <c r="C9" s="3" t="s">
        <v>2</v>
      </c>
      <c r="D9" s="74">
        <f>CEILING(C47/m,5)</f>
        <v>190</v>
      </c>
      <c r="E9" s="2"/>
      <c r="F9" s="3" t="s">
        <v>3</v>
      </c>
      <c r="G9" s="69">
        <v>0.1</v>
      </c>
      <c r="H9" s="2"/>
      <c r="I9" s="2"/>
      <c r="J9" s="2"/>
      <c r="K9" s="2"/>
      <c r="L9" s="2"/>
      <c r="M9" s="2"/>
      <c r="N9" s="2"/>
    </row>
    <row r="10" spans="2:15" x14ac:dyDescent="0.3">
      <c r="B10" s="2"/>
      <c r="C10" s="6" t="s">
        <v>4</v>
      </c>
      <c r="D10" s="7"/>
      <c r="E10" s="7"/>
      <c r="F10" s="7"/>
      <c r="G10" s="7"/>
      <c r="H10" s="8"/>
      <c r="I10" s="2"/>
      <c r="J10" s="2"/>
      <c r="K10" s="2"/>
      <c r="L10" s="2"/>
      <c r="M10" s="2"/>
      <c r="N10" s="2"/>
    </row>
    <row r="11" spans="2:15" ht="30.6" x14ac:dyDescent="0.3">
      <c r="B11" s="2"/>
      <c r="C11" s="9" t="s">
        <v>5</v>
      </c>
      <c r="D11" s="10"/>
      <c r="E11" s="10"/>
      <c r="F11" s="9" t="s">
        <v>6</v>
      </c>
      <c r="G11" s="10"/>
      <c r="H11" s="10"/>
      <c r="I11" s="9" t="s">
        <v>7</v>
      </c>
      <c r="J11" s="11" t="s">
        <v>8</v>
      </c>
      <c r="K11" s="11" t="s">
        <v>9</v>
      </c>
      <c r="L11" s="11" t="s">
        <v>10</v>
      </c>
      <c r="M11" s="11" t="s">
        <v>11</v>
      </c>
      <c r="N11" s="12" t="s">
        <v>12</v>
      </c>
    </row>
    <row r="12" spans="2:15" ht="26.4" x14ac:dyDescent="0.3">
      <c r="B12" s="2"/>
      <c r="C12" s="13"/>
      <c r="D12" s="14"/>
      <c r="E12" s="14"/>
      <c r="F12" s="15" t="s">
        <v>13</v>
      </c>
      <c r="G12" s="16"/>
      <c r="H12" s="16" t="s">
        <v>14</v>
      </c>
      <c r="I12" s="17" t="s">
        <v>15</v>
      </c>
      <c r="J12" s="18" t="s">
        <v>16</v>
      </c>
      <c r="K12" s="19" t="s">
        <v>17</v>
      </c>
      <c r="L12" s="19" t="s">
        <v>18</v>
      </c>
      <c r="M12" s="18" t="s">
        <v>19</v>
      </c>
      <c r="N12" s="20" t="s">
        <v>20</v>
      </c>
    </row>
    <row r="13" spans="2:15" x14ac:dyDescent="0.3">
      <c r="B13" s="21" t="s">
        <v>21</v>
      </c>
      <c r="C13" s="22"/>
      <c r="D13" s="23"/>
      <c r="E13" s="23"/>
      <c r="F13" s="24">
        <v>0</v>
      </c>
      <c r="G13" s="25"/>
      <c r="H13" s="26">
        <f>F15</f>
        <v>227.95</v>
      </c>
      <c r="I13" s="27"/>
      <c r="J13" s="28"/>
      <c r="K13" s="24">
        <v>0</v>
      </c>
      <c r="L13" s="24">
        <v>0</v>
      </c>
      <c r="M13" s="24">
        <v>0</v>
      </c>
      <c r="N13" s="29">
        <v>0</v>
      </c>
    </row>
    <row r="14" spans="2:15" x14ac:dyDescent="0.3">
      <c r="B14" s="54"/>
      <c r="C14" s="55"/>
      <c r="D14" s="54" t="s">
        <v>22</v>
      </c>
      <c r="E14" s="56"/>
      <c r="F14" s="57">
        <f>H14-D9</f>
        <v>37.949999999999989</v>
      </c>
      <c r="G14" s="54" t="s">
        <v>22</v>
      </c>
      <c r="H14" s="58">
        <f>F15</f>
        <v>227.95</v>
      </c>
      <c r="I14" s="59">
        <f>H14-F14</f>
        <v>190</v>
      </c>
      <c r="J14" s="59">
        <f t="shared" ref="J14:J23" si="0">(F14+H14)/2</f>
        <v>132.94999999999999</v>
      </c>
      <c r="K14" s="60">
        <v>0</v>
      </c>
      <c r="L14" s="60">
        <v>0</v>
      </c>
      <c r="M14" s="61">
        <v>0</v>
      </c>
      <c r="N14" s="63">
        <v>0</v>
      </c>
    </row>
    <row r="15" spans="2:15" x14ac:dyDescent="0.3">
      <c r="B15" s="30">
        <v>1</v>
      </c>
      <c r="C15" s="43">
        <f>MIN(C52)</f>
        <v>228</v>
      </c>
      <c r="D15" s="21" t="s">
        <v>22</v>
      </c>
      <c r="E15" s="21">
        <f>C15+D$9-G$9</f>
        <v>417.9</v>
      </c>
      <c r="F15" s="32">
        <f>C15-$G$9/2</f>
        <v>227.95</v>
      </c>
      <c r="G15" s="21" t="s">
        <v>22</v>
      </c>
      <c r="H15" s="31">
        <f>E15+$G$9/2</f>
        <v>417.95</v>
      </c>
      <c r="I15" s="32">
        <f>H15-F15</f>
        <v>190</v>
      </c>
      <c r="J15" s="32">
        <f t="shared" si="0"/>
        <v>322.95</v>
      </c>
      <c r="K15" s="43">
        <f>COUNTIFS(Hoja1!E$4:E$153,"&gt;="&amp;C15, Hoja1!E$4:E$153,"&lt;="&amp;E15)</f>
        <v>5</v>
      </c>
      <c r="L15" s="34">
        <f>K15</f>
        <v>5</v>
      </c>
      <c r="M15" s="32">
        <f t="shared" ref="M15:M22" si="1">K15/n</f>
        <v>3.3333333333333333E-2</v>
      </c>
      <c r="N15" s="37">
        <f>M15</f>
        <v>3.3333333333333333E-2</v>
      </c>
      <c r="O15" s="45">
        <f t="shared" ref="O15:O22" si="2">POWER(J15-F$30,4)</f>
        <v>271737008656</v>
      </c>
    </row>
    <row r="16" spans="2:15" x14ac:dyDescent="0.3">
      <c r="B16" s="36">
        <v>2</v>
      </c>
      <c r="C16" s="43">
        <f>E15+G$9</f>
        <v>418</v>
      </c>
      <c r="D16" s="21" t="s">
        <v>22</v>
      </c>
      <c r="E16" s="21">
        <f t="shared" ref="E16:E21" si="3">C16+D$9-G$9</f>
        <v>607.9</v>
      </c>
      <c r="F16" s="32">
        <f>C16-$G$9/2</f>
        <v>417.95</v>
      </c>
      <c r="G16" s="21" t="s">
        <v>22</v>
      </c>
      <c r="H16" s="31">
        <f t="shared" ref="H16:H21" si="4">E16+$G$9/2</f>
        <v>607.94999999999993</v>
      </c>
      <c r="I16" s="32">
        <f t="shared" ref="I16:I23" si="5">H16-F16</f>
        <v>189.99999999999994</v>
      </c>
      <c r="J16" s="32">
        <f t="shared" si="0"/>
        <v>512.94999999999993</v>
      </c>
      <c r="K16" s="43">
        <f>COUNTIFS(Hoja1!E$4:E$153,"&gt;="&amp;C16, Hoja1!E$4:E$153,"&lt;="&amp;E16)</f>
        <v>8</v>
      </c>
      <c r="L16" s="34">
        <f>K16+L15</f>
        <v>13</v>
      </c>
      <c r="M16" s="32">
        <f t="shared" si="1"/>
        <v>5.3333333333333337E-2</v>
      </c>
      <c r="N16" s="37">
        <f>N15+M16</f>
        <v>8.666666666666667E-2</v>
      </c>
      <c r="O16" s="45">
        <f t="shared" si="2"/>
        <v>80102584576.000061</v>
      </c>
    </row>
    <row r="17" spans="2:16" x14ac:dyDescent="0.3">
      <c r="B17" s="36">
        <v>3</v>
      </c>
      <c r="C17" s="43">
        <f t="shared" ref="C17:C21" si="6">E16+G$9</f>
        <v>608</v>
      </c>
      <c r="D17" s="21" t="s">
        <v>22</v>
      </c>
      <c r="E17" s="21">
        <f t="shared" si="3"/>
        <v>797.9</v>
      </c>
      <c r="F17" s="32">
        <f t="shared" ref="F17:F21" si="7">C17-$G$9/2</f>
        <v>607.95000000000005</v>
      </c>
      <c r="G17" s="21" t="s">
        <v>22</v>
      </c>
      <c r="H17" s="31">
        <f t="shared" si="4"/>
        <v>797.94999999999993</v>
      </c>
      <c r="I17" s="32">
        <f t="shared" si="5"/>
        <v>189.99999999999989</v>
      </c>
      <c r="J17" s="32">
        <f t="shared" si="0"/>
        <v>702.95</v>
      </c>
      <c r="K17" s="43">
        <f>COUNTIFS(Hoja1!E$4:E$153,"&gt;="&amp;C17, Hoja1!E$4:E$153,"&lt;="&amp;E17)</f>
        <v>21</v>
      </c>
      <c r="L17" s="34">
        <f t="shared" ref="L17:L21" si="8">K17+L16</f>
        <v>34</v>
      </c>
      <c r="M17" s="32">
        <f t="shared" si="1"/>
        <v>0.14000000000000001</v>
      </c>
      <c r="N17" s="37">
        <f t="shared" ref="N17:N21" si="9">N16+M17</f>
        <v>0.22666666666666668</v>
      </c>
      <c r="O17" s="45">
        <f t="shared" si="2"/>
        <v>13680577296</v>
      </c>
    </row>
    <row r="18" spans="2:16" x14ac:dyDescent="0.3">
      <c r="B18" s="36">
        <v>4</v>
      </c>
      <c r="C18" s="43">
        <f t="shared" si="6"/>
        <v>798</v>
      </c>
      <c r="D18" s="21" t="s">
        <v>22</v>
      </c>
      <c r="E18" s="21">
        <f t="shared" si="3"/>
        <v>987.9</v>
      </c>
      <c r="F18" s="32">
        <f t="shared" si="7"/>
        <v>797.95</v>
      </c>
      <c r="G18" s="21" t="s">
        <v>22</v>
      </c>
      <c r="H18" s="31">
        <f t="shared" si="4"/>
        <v>987.94999999999993</v>
      </c>
      <c r="I18" s="32">
        <f t="shared" si="5"/>
        <v>189.99999999999989</v>
      </c>
      <c r="J18" s="32">
        <f t="shared" si="0"/>
        <v>892.95</v>
      </c>
      <c r="K18" s="43">
        <f>COUNTIFS(Hoja1!E$4:E$153,"&gt;="&amp;C18, Hoja1!E$4:E$153,"&lt;="&amp;E18)</f>
        <v>33</v>
      </c>
      <c r="L18" s="34">
        <f t="shared" si="8"/>
        <v>67</v>
      </c>
      <c r="M18" s="32">
        <f t="shared" si="1"/>
        <v>0.22</v>
      </c>
      <c r="N18" s="37">
        <f t="shared" si="9"/>
        <v>0.44666666666666666</v>
      </c>
      <c r="O18" s="45">
        <f t="shared" si="2"/>
        <v>533794816</v>
      </c>
    </row>
    <row r="19" spans="2:16" x14ac:dyDescent="0.3">
      <c r="B19" s="36">
        <v>5</v>
      </c>
      <c r="C19" s="43">
        <f t="shared" si="6"/>
        <v>988</v>
      </c>
      <c r="D19" s="21" t="s">
        <v>22</v>
      </c>
      <c r="E19" s="21">
        <f t="shared" si="3"/>
        <v>1177.9000000000001</v>
      </c>
      <c r="F19" s="32">
        <f t="shared" si="7"/>
        <v>987.95</v>
      </c>
      <c r="G19" s="21" t="s">
        <v>22</v>
      </c>
      <c r="H19" s="31">
        <f t="shared" si="4"/>
        <v>1177.95</v>
      </c>
      <c r="I19" s="32">
        <f t="shared" si="5"/>
        <v>190</v>
      </c>
      <c r="J19" s="32">
        <f t="shared" si="0"/>
        <v>1082.95</v>
      </c>
      <c r="K19" s="43">
        <f>COUNTIFS(Hoja1!E$4:E$153,"&gt;="&amp;C19, Hoja1!E$4:E$153,"&lt;="&amp;E19)</f>
        <v>30</v>
      </c>
      <c r="L19" s="34">
        <f t="shared" si="8"/>
        <v>97</v>
      </c>
      <c r="M19" s="32">
        <f t="shared" si="1"/>
        <v>0.2</v>
      </c>
      <c r="N19" s="37">
        <f t="shared" si="9"/>
        <v>0.64666666666666672</v>
      </c>
      <c r="O19" s="45">
        <f t="shared" si="2"/>
        <v>2085136</v>
      </c>
    </row>
    <row r="20" spans="2:16" x14ac:dyDescent="0.3">
      <c r="B20" s="36">
        <v>6</v>
      </c>
      <c r="C20" s="43">
        <f t="shared" si="6"/>
        <v>1178</v>
      </c>
      <c r="D20" s="21" t="s">
        <v>22</v>
      </c>
      <c r="E20" s="21">
        <f t="shared" si="3"/>
        <v>1367.9</v>
      </c>
      <c r="F20" s="32">
        <f t="shared" si="7"/>
        <v>1177.95</v>
      </c>
      <c r="G20" s="21" t="s">
        <v>22</v>
      </c>
      <c r="H20" s="31">
        <f t="shared" si="4"/>
        <v>1367.95</v>
      </c>
      <c r="I20" s="32">
        <f t="shared" si="5"/>
        <v>190</v>
      </c>
      <c r="J20" s="32">
        <f t="shared" si="0"/>
        <v>1272.95</v>
      </c>
      <c r="K20" s="43">
        <f>COUNTIFS(Hoja1!E$4:E$153,"&gt;="&amp;C20, Hoja1!E$4:E$153,"&lt;="&amp;E20)</f>
        <v>27</v>
      </c>
      <c r="L20" s="34">
        <f t="shared" si="8"/>
        <v>124</v>
      </c>
      <c r="M20" s="32">
        <f t="shared" si="1"/>
        <v>0.18</v>
      </c>
      <c r="N20" s="37">
        <f t="shared" si="9"/>
        <v>0.82666666666666666</v>
      </c>
      <c r="O20" s="45">
        <f t="shared" si="2"/>
        <v>2702336256</v>
      </c>
    </row>
    <row r="21" spans="2:16" x14ac:dyDescent="0.3">
      <c r="B21" s="36">
        <v>7</v>
      </c>
      <c r="C21" s="43">
        <f t="shared" si="6"/>
        <v>1368</v>
      </c>
      <c r="D21" s="21" t="s">
        <v>22</v>
      </c>
      <c r="E21" s="21">
        <f t="shared" si="3"/>
        <v>1557.9</v>
      </c>
      <c r="F21" s="32">
        <f t="shared" si="7"/>
        <v>1367.95</v>
      </c>
      <c r="G21" s="21" t="s">
        <v>22</v>
      </c>
      <c r="H21" s="31">
        <f t="shared" si="4"/>
        <v>1557.95</v>
      </c>
      <c r="I21" s="32">
        <f t="shared" si="5"/>
        <v>190</v>
      </c>
      <c r="J21" s="32">
        <f t="shared" si="0"/>
        <v>1462.95</v>
      </c>
      <c r="K21" s="43">
        <f>COUNTIFS(Hoja1!E$4:E$153,"&gt;="&amp;C21, Hoja1!E$4:E$153,"&lt;="&amp;E21)</f>
        <v>16</v>
      </c>
      <c r="L21" s="34">
        <f t="shared" si="8"/>
        <v>140</v>
      </c>
      <c r="M21" s="32">
        <f t="shared" si="1"/>
        <v>0.10666666666666667</v>
      </c>
      <c r="N21" s="37">
        <f t="shared" si="9"/>
        <v>0.93333333333333335</v>
      </c>
      <c r="O21" s="45">
        <f t="shared" si="2"/>
        <v>30528476176</v>
      </c>
    </row>
    <row r="22" spans="2:16" x14ac:dyDescent="0.3">
      <c r="B22" s="38">
        <v>8</v>
      </c>
      <c r="C22" s="21">
        <f>E21+G$9</f>
        <v>1558</v>
      </c>
      <c r="D22" s="21" t="s">
        <v>22</v>
      </c>
      <c r="E22" s="65">
        <f>C22+D$9-G$9</f>
        <v>1747.9</v>
      </c>
      <c r="F22" s="31">
        <f>C22-$G$9/2</f>
        <v>1557.95</v>
      </c>
      <c r="G22" s="21" t="s">
        <v>22</v>
      </c>
      <c r="H22" s="31">
        <f>E22+$G$9/2</f>
        <v>1747.95</v>
      </c>
      <c r="I22" s="37">
        <f t="shared" si="5"/>
        <v>190</v>
      </c>
      <c r="J22" s="32">
        <f t="shared" si="0"/>
        <v>1652.95</v>
      </c>
      <c r="K22" s="70">
        <f>COUNTIFS(Hoja1!E$4:E$153,"&gt;="&amp;C22, Hoja1!E$4:E$153,"&lt;="&amp;E22)</f>
        <v>10</v>
      </c>
      <c r="L22" s="31">
        <f>L21+K22</f>
        <v>150</v>
      </c>
      <c r="M22" s="32">
        <f t="shared" si="1"/>
        <v>6.6666666666666666E-2</v>
      </c>
      <c r="N22" s="37">
        <f>N21+M22</f>
        <v>1</v>
      </c>
      <c r="O22" s="45">
        <f t="shared" si="2"/>
        <v>136651472896</v>
      </c>
    </row>
    <row r="23" spans="2:16" x14ac:dyDescent="0.3">
      <c r="B23" s="95"/>
      <c r="C23" s="96">
        <f>E22+G$9</f>
        <v>1748</v>
      </c>
      <c r="D23" s="97" t="s">
        <v>22</v>
      </c>
      <c r="E23" s="98">
        <f>C23+D$9-G$9</f>
        <v>1937.9</v>
      </c>
      <c r="F23" s="99">
        <f>C23-$G$9/2</f>
        <v>1747.95</v>
      </c>
      <c r="G23" s="97" t="s">
        <v>22</v>
      </c>
      <c r="H23" s="100">
        <f>E23+$G$9/2</f>
        <v>1937.95</v>
      </c>
      <c r="I23" s="99">
        <f t="shared" si="5"/>
        <v>190</v>
      </c>
      <c r="J23" s="99">
        <f t="shared" si="0"/>
        <v>1842.95</v>
      </c>
      <c r="K23" s="101">
        <v>0</v>
      </c>
      <c r="L23" s="99">
        <f>L22+K23</f>
        <v>150</v>
      </c>
      <c r="M23" s="102">
        <v>0</v>
      </c>
      <c r="N23" s="102">
        <f>N22+M23</f>
        <v>1</v>
      </c>
      <c r="O23" s="45">
        <f>SUM(O15:O22)</f>
        <v>535938335808.00006</v>
      </c>
    </row>
    <row r="24" spans="2:16" x14ac:dyDescent="0.3">
      <c r="J24" s="62" t="s">
        <v>31</v>
      </c>
      <c r="K24" s="71">
        <f>SUM(K15:K22)</f>
        <v>150</v>
      </c>
      <c r="M24" s="72">
        <f>SUM(M15:M22)</f>
        <v>1</v>
      </c>
      <c r="N24" s="45"/>
      <c r="P24">
        <f>O23*((n*(n+1))/((n-1)*(n-2)*(n-3)*d_estandar^4))</f>
        <v>34.955325945314158</v>
      </c>
    </row>
    <row r="26" spans="2:16" x14ac:dyDescent="0.3">
      <c r="B26" t="s">
        <v>32</v>
      </c>
      <c r="D26" s="50" t="s">
        <v>15</v>
      </c>
      <c r="E26" s="47" t="s">
        <v>33</v>
      </c>
      <c r="F26" s="48">
        <f>D9</f>
        <v>190</v>
      </c>
      <c r="H26" s="66" t="s">
        <v>38</v>
      </c>
      <c r="I26" s="66"/>
      <c r="J26" s="66"/>
      <c r="K26" s="68">
        <f>MATCH(MAX(fi),fi,0)</f>
        <v>4</v>
      </c>
      <c r="L26" s="48"/>
    </row>
    <row r="27" spans="2:16" x14ac:dyDescent="0.3">
      <c r="B27" t="s">
        <v>43</v>
      </c>
      <c r="D27" s="50" t="s">
        <v>23</v>
      </c>
      <c r="E27" s="47" t="s">
        <v>33</v>
      </c>
      <c r="F27" s="46">
        <v>8</v>
      </c>
      <c r="H27" s="66" t="s">
        <v>39</v>
      </c>
      <c r="I27" s="66"/>
      <c r="J27" s="66"/>
      <c r="K27" s="68">
        <f ca="1">INDIRECT(ADDRESS(14+$K$26,11))</f>
        <v>33</v>
      </c>
    </row>
    <row r="28" spans="2:16" x14ac:dyDescent="0.3">
      <c r="B28" t="s">
        <v>48</v>
      </c>
      <c r="D28" s="50" t="s">
        <v>24</v>
      </c>
      <c r="E28" s="47" t="s">
        <v>33</v>
      </c>
      <c r="F28">
        <f>COUNT(DATS)</f>
        <v>150</v>
      </c>
      <c r="H28" s="67" t="s">
        <v>40</v>
      </c>
      <c r="I28" s="66"/>
      <c r="J28" s="66"/>
      <c r="K28" s="68">
        <f ca="1">INDIRECT(ADDRESS(14+$K$26-1,11))</f>
        <v>21</v>
      </c>
    </row>
    <row r="29" spans="2:16" x14ac:dyDescent="0.3">
      <c r="B29" s="85" t="s">
        <v>49</v>
      </c>
      <c r="C29" s="85"/>
      <c r="D29" s="85"/>
      <c r="E29" s="85"/>
      <c r="F29" s="85"/>
      <c r="H29" s="67" t="s">
        <v>41</v>
      </c>
      <c r="I29" s="66"/>
      <c r="J29" s="66"/>
      <c r="K29" s="68">
        <f ca="1">INDIRECT(ADDRESS(14+$K$26+1,11))</f>
        <v>30</v>
      </c>
    </row>
    <row r="30" spans="2:16" x14ac:dyDescent="0.3">
      <c r="B30" t="s">
        <v>34</v>
      </c>
      <c r="D30" s="50"/>
      <c r="E30" s="47" t="s">
        <v>33</v>
      </c>
      <c r="F30">
        <f t="array" ref="F30">SUM(xi*fi)/$F$28</f>
        <v>1044.95</v>
      </c>
      <c r="H30" s="66" t="s">
        <v>42</v>
      </c>
      <c r="I30" s="66"/>
      <c r="J30" s="66"/>
      <c r="K30" s="68">
        <f ca="1">INDIRECT(ADDRESS(14+$K$26,6))</f>
        <v>797.95</v>
      </c>
    </row>
    <row r="31" spans="2:16" x14ac:dyDescent="0.3">
      <c r="B31" t="s">
        <v>35</v>
      </c>
      <c r="D31" s="51"/>
      <c r="E31" s="47" t="s">
        <v>33</v>
      </c>
      <c r="F31">
        <f>F19+(((F28/2)-L18)/K19)*I19</f>
        <v>1038.6166666666668</v>
      </c>
      <c r="H31" s="66"/>
      <c r="I31" s="66"/>
      <c r="J31" s="66"/>
      <c r="K31" s="68"/>
    </row>
    <row r="32" spans="2:16" ht="16.2" x14ac:dyDescent="0.35">
      <c r="B32" t="s">
        <v>36</v>
      </c>
      <c r="D32" s="49" t="s">
        <v>37</v>
      </c>
      <c r="E32" s="47" t="s">
        <v>33</v>
      </c>
      <c r="F32">
        <f ca="1">K30+((K27-K28)/((K27-K28)+(K18-K29)))*F26</f>
        <v>949.95</v>
      </c>
      <c r="H32" s="66" t="s">
        <v>58</v>
      </c>
      <c r="K32" s="68">
        <v>4</v>
      </c>
    </row>
    <row r="33" spans="2:17" ht="16.2" customHeight="1" x14ac:dyDescent="0.3">
      <c r="B33" s="86" t="s">
        <v>50</v>
      </c>
      <c r="C33" s="86"/>
      <c r="D33" s="86"/>
      <c r="E33" s="86"/>
      <c r="F33" s="86"/>
      <c r="H33" s="66" t="s">
        <v>57</v>
      </c>
      <c r="I33" s="66"/>
      <c r="J33" s="66"/>
      <c r="K33" s="68">
        <v>5</v>
      </c>
    </row>
    <row r="34" spans="2:17" x14ac:dyDescent="0.3">
      <c r="B34" t="s">
        <v>25</v>
      </c>
      <c r="D34" s="50" t="s">
        <v>25</v>
      </c>
      <c r="E34" s="47" t="s">
        <v>33</v>
      </c>
      <c r="F34" s="45">
        <f>H22-F15</f>
        <v>1520</v>
      </c>
      <c r="H34" s="66" t="s">
        <v>59</v>
      </c>
      <c r="K34" s="68">
        <v>6</v>
      </c>
    </row>
    <row r="35" spans="2:17" x14ac:dyDescent="0.3">
      <c r="B35" t="s">
        <v>44</v>
      </c>
      <c r="D35" s="51"/>
      <c r="E35" s="47" t="s">
        <v>33</v>
      </c>
      <c r="F35" s="45">
        <f t="array" ref="F35">SUM(POWER(J15:J22-$F$30,2))/(n-1)</f>
        <v>10350.28187919463</v>
      </c>
    </row>
    <row r="36" spans="2:17" x14ac:dyDescent="0.3">
      <c r="B36" t="s">
        <v>45</v>
      </c>
      <c r="D36" s="64"/>
      <c r="E36" s="47" t="s">
        <v>33</v>
      </c>
      <c r="F36">
        <f>SQRT(F35)</f>
        <v>101.73633509810853</v>
      </c>
      <c r="N36" s="66"/>
    </row>
    <row r="37" spans="2:17" x14ac:dyDescent="0.3">
      <c r="B37" t="s">
        <v>46</v>
      </c>
      <c r="D37" s="64" t="s">
        <v>47</v>
      </c>
      <c r="E37" s="47" t="s">
        <v>33</v>
      </c>
      <c r="F37">
        <f>varianza/media</f>
        <v>9.9050498867837025</v>
      </c>
      <c r="N37" s="66"/>
    </row>
    <row r="38" spans="2:17" x14ac:dyDescent="0.3">
      <c r="B38" s="85" t="s">
        <v>51</v>
      </c>
      <c r="C38" s="85"/>
      <c r="D38" s="85"/>
      <c r="E38" s="85"/>
      <c r="F38" s="85"/>
      <c r="N38" s="66"/>
    </row>
    <row r="39" spans="2:17" x14ac:dyDescent="0.3">
      <c r="B39" t="s">
        <v>52</v>
      </c>
      <c r="E39" s="47" t="s">
        <v>33</v>
      </c>
      <c r="F39">
        <f t="array" ref="F39">(n)/((n-1)*(n-2))*SUM(POWER(xi-media,3))/d_estandar^3</f>
        <v>-1.6843883570657203</v>
      </c>
      <c r="M39" s="52"/>
      <c r="N39" s="52"/>
      <c r="O39" s="52"/>
    </row>
    <row r="40" spans="2:17" x14ac:dyDescent="0.3">
      <c r="B40" t="s">
        <v>53</v>
      </c>
      <c r="E40" s="47" t="s">
        <v>33</v>
      </c>
      <c r="F40">
        <f t="array" ref="F40">(n*(n+1))/((n-1)*(n-2)*(n-3))*SUM(POWER(xi-media,4))/d_estandar^4</f>
        <v>34.955325945314158</v>
      </c>
      <c r="M40" s="52"/>
      <c r="N40" s="52"/>
      <c r="O40" s="52"/>
    </row>
    <row r="41" spans="2:17" x14ac:dyDescent="0.3">
      <c r="B41" s="85" t="s">
        <v>54</v>
      </c>
      <c r="C41" s="85"/>
      <c r="D41" s="85"/>
      <c r="E41" s="85"/>
      <c r="F41" s="85"/>
      <c r="M41" s="52"/>
      <c r="N41" s="52"/>
      <c r="O41" s="52"/>
      <c r="P41" s="52"/>
      <c r="Q41" s="53"/>
    </row>
    <row r="42" spans="2:17" x14ac:dyDescent="0.3">
      <c r="B42" t="s">
        <v>56</v>
      </c>
      <c r="E42" s="47" t="s">
        <v>33</v>
      </c>
      <c r="F42">
        <f>F18+(n*(1/4)-L17)/K18*I18</f>
        <v>818.10151515151517</v>
      </c>
      <c r="M42" s="52"/>
      <c r="N42" s="52"/>
      <c r="O42" s="52"/>
      <c r="P42" s="52"/>
      <c r="Q42" s="53"/>
    </row>
    <row r="43" spans="2:17" x14ac:dyDescent="0.3">
      <c r="B43" t="s">
        <v>35</v>
      </c>
      <c r="E43" s="47" t="s">
        <v>33</v>
      </c>
      <c r="F43">
        <f>F19+((n*(1/2))-L18)/K19*I19</f>
        <v>1038.6166666666668</v>
      </c>
      <c r="M43" s="52"/>
      <c r="N43" s="52"/>
      <c r="O43" s="52"/>
      <c r="P43" s="52"/>
      <c r="Q43" s="53"/>
    </row>
    <row r="44" spans="2:17" x14ac:dyDescent="0.3">
      <c r="B44" t="s">
        <v>55</v>
      </c>
      <c r="E44" s="47" t="s">
        <v>33</v>
      </c>
      <c r="F44">
        <f>F20+((n*(3/4))-L19)/K20*I20</f>
        <v>1287.0240740740742</v>
      </c>
      <c r="M44" s="52"/>
      <c r="O44" s="53"/>
      <c r="Q44" s="53"/>
    </row>
    <row r="45" spans="2:17" x14ac:dyDescent="0.3">
      <c r="E45" s="47"/>
      <c r="L45" s="73"/>
      <c r="M45" s="52"/>
      <c r="O45" s="53"/>
      <c r="Q45" s="53"/>
    </row>
    <row r="46" spans="2:17" x14ac:dyDescent="0.3">
      <c r="B46" s="73" t="s">
        <v>60</v>
      </c>
      <c r="C46" s="73"/>
      <c r="E46" s="47"/>
      <c r="K46" s="73"/>
      <c r="L46" s="73"/>
      <c r="M46" s="52"/>
      <c r="O46" s="53"/>
      <c r="Q46" s="53"/>
    </row>
    <row r="47" spans="2:17" x14ac:dyDescent="0.3">
      <c r="B47" s="73" t="s">
        <v>25</v>
      </c>
      <c r="C47" s="73">
        <f>ROUNDUP(MAX(Hoja1!E4:E153)-MIN(Hoja1!E4:E153),0)</f>
        <v>1516</v>
      </c>
      <c r="E47" s="47"/>
      <c r="K47" s="73"/>
      <c r="L47" s="73"/>
      <c r="M47" s="52"/>
      <c r="O47" s="53"/>
      <c r="Q47" s="53"/>
    </row>
    <row r="48" spans="2:17" x14ac:dyDescent="0.3">
      <c r="B48" s="73" t="s">
        <v>26</v>
      </c>
      <c r="C48" s="73">
        <f>MIN(DATS)</f>
        <v>230.7</v>
      </c>
      <c r="E48" s="47"/>
      <c r="K48" s="73"/>
      <c r="L48" s="73"/>
      <c r="M48" s="52"/>
      <c r="O48" s="53"/>
      <c r="Q48" s="53"/>
    </row>
    <row r="49" spans="1:17" x14ac:dyDescent="0.3">
      <c r="B49" s="73" t="s">
        <v>27</v>
      </c>
      <c r="C49" s="73">
        <f>MAX(DATS)</f>
        <v>1746.1000000000001</v>
      </c>
      <c r="E49" s="47"/>
      <c r="K49" s="73"/>
      <c r="L49" s="73"/>
      <c r="M49" s="52"/>
      <c r="O49" s="53"/>
      <c r="Q49" s="53"/>
    </row>
    <row r="50" spans="1:17" x14ac:dyDescent="0.3">
      <c r="B50" s="73" t="s">
        <v>61</v>
      </c>
      <c r="C50" s="73"/>
      <c r="E50" s="47"/>
      <c r="K50" s="73"/>
      <c r="L50" s="73"/>
      <c r="M50" s="52"/>
      <c r="O50" s="53"/>
      <c r="Q50" s="53"/>
    </row>
    <row r="51" spans="1:17" x14ac:dyDescent="0.3">
      <c r="B51" s="73" t="s">
        <v>28</v>
      </c>
      <c r="C51" s="73">
        <f>D9*m</f>
        <v>1520</v>
      </c>
      <c r="E51" s="47"/>
      <c r="K51" s="73"/>
      <c r="L51" s="73"/>
      <c r="M51" s="52"/>
      <c r="O51" s="53"/>
      <c r="Q51" s="53"/>
    </row>
    <row r="52" spans="1:17" x14ac:dyDescent="0.3">
      <c r="B52" s="73" t="s">
        <v>29</v>
      </c>
      <c r="C52" s="73">
        <f>_xlfn.FLOOR.PRECISE(C48-(C48+C51-C49)/2,2)</f>
        <v>228</v>
      </c>
      <c r="E52" s="47"/>
      <c r="K52" s="73"/>
      <c r="L52" s="73"/>
      <c r="M52" s="52"/>
      <c r="O52" s="53"/>
      <c r="Q52" s="53"/>
    </row>
    <row r="53" spans="1:17" x14ac:dyDescent="0.3">
      <c r="B53" s="73" t="s">
        <v>30</v>
      </c>
      <c r="C53" s="73">
        <f>C52+C51</f>
        <v>1748</v>
      </c>
      <c r="E53" s="47"/>
      <c r="K53" s="73"/>
      <c r="L53" s="73"/>
      <c r="M53" s="52"/>
      <c r="O53" s="53"/>
      <c r="Q53" s="53"/>
    </row>
    <row r="54" spans="1:17" x14ac:dyDescent="0.3">
      <c r="B54" s="73"/>
      <c r="C54" s="73"/>
      <c r="E54" s="47"/>
      <c r="K54" s="73"/>
      <c r="L54" s="73"/>
      <c r="M54" s="52"/>
      <c r="O54" s="53"/>
      <c r="Q54" s="53"/>
    </row>
    <row r="55" spans="1:17" ht="15.6" x14ac:dyDescent="0.3">
      <c r="B55" s="75" t="s">
        <v>68</v>
      </c>
      <c r="E55" s="47"/>
      <c r="K55" s="73"/>
      <c r="L55" s="73"/>
      <c r="M55" s="52"/>
      <c r="O55" s="53"/>
      <c r="Q55" s="53"/>
    </row>
    <row r="56" spans="1:17" ht="15.6" x14ac:dyDescent="0.3">
      <c r="B56" s="75"/>
      <c r="E56" s="47"/>
      <c r="K56" s="73"/>
      <c r="L56" s="73"/>
      <c r="M56" s="52"/>
      <c r="O56" s="53"/>
      <c r="Q56" s="53"/>
    </row>
    <row r="57" spans="1:17" ht="17.399999999999999" customHeight="1" x14ac:dyDescent="0.3">
      <c r="A57" s="76"/>
      <c r="B57" s="76" t="s">
        <v>66</v>
      </c>
      <c r="C57" s="76"/>
      <c r="D57" s="76"/>
      <c r="E57" s="76"/>
      <c r="F57" s="77" t="s">
        <v>33</v>
      </c>
      <c r="G57" s="77">
        <f>ROUNDUP(L18+(1100-H18)/(H19-H18)*(L19-L18),0)</f>
        <v>85</v>
      </c>
      <c r="K57" s="73"/>
      <c r="L57" s="73"/>
      <c r="M57" s="52"/>
      <c r="O57" s="53"/>
      <c r="Q57" s="53"/>
    </row>
    <row r="58" spans="1:17" ht="18.600000000000001" customHeight="1" x14ac:dyDescent="0.3">
      <c r="A58" s="76"/>
      <c r="B58" s="76" t="s">
        <v>66</v>
      </c>
      <c r="C58" s="76"/>
      <c r="D58" s="76"/>
      <c r="E58" s="76"/>
      <c r="F58" s="77" t="s">
        <v>33</v>
      </c>
      <c r="G58" s="77">
        <f>ROUNDUP(L19+(1300-H19)/(H20-H19)*(L20-L19),0)</f>
        <v>115</v>
      </c>
      <c r="K58" s="73"/>
      <c r="L58" s="73"/>
      <c r="M58" s="52"/>
      <c r="O58" s="53"/>
      <c r="Q58" s="53"/>
    </row>
    <row r="59" spans="1:17" ht="18" customHeight="1" x14ac:dyDescent="0.3">
      <c r="A59" s="76"/>
      <c r="B59" s="78" t="s">
        <v>69</v>
      </c>
      <c r="C59" s="78"/>
      <c r="D59" s="78"/>
      <c r="E59" s="78"/>
      <c r="F59" s="79" t="s">
        <v>33</v>
      </c>
      <c r="G59" s="79">
        <f>G58-G57</f>
        <v>30</v>
      </c>
      <c r="K59" s="73"/>
      <c r="L59" s="73"/>
      <c r="M59" s="52"/>
      <c r="O59" s="53"/>
      <c r="Q59" s="53"/>
    </row>
    <row r="60" spans="1:17" x14ac:dyDescent="0.3">
      <c r="E60" s="47"/>
      <c r="F60" s="47"/>
      <c r="K60" s="73"/>
      <c r="L60" s="73"/>
      <c r="M60" s="52"/>
      <c r="O60" s="53"/>
      <c r="Q60" s="53"/>
    </row>
    <row r="61" spans="1:17" x14ac:dyDescent="0.3">
      <c r="E61" s="47"/>
      <c r="F61" s="47"/>
      <c r="K61" s="73"/>
      <c r="L61" s="73"/>
      <c r="M61" s="52"/>
      <c r="O61" s="53"/>
      <c r="Q61" s="53"/>
    </row>
    <row r="62" spans="1:17" s="76" customFormat="1" ht="18" customHeight="1" x14ac:dyDescent="0.3">
      <c r="B62" s="78" t="s">
        <v>67</v>
      </c>
      <c r="C62" s="78"/>
      <c r="D62" s="78"/>
      <c r="E62" s="78"/>
      <c r="F62" s="79" t="s">
        <v>33</v>
      </c>
      <c r="G62" s="79">
        <f>ROUNDUP(L15+(500-H15)/(H16-H15)*(L16-L15),0)</f>
        <v>9</v>
      </c>
      <c r="K62" s="80"/>
      <c r="L62" s="80"/>
      <c r="M62" s="81"/>
      <c r="O62" s="82"/>
      <c r="Q62" s="82"/>
    </row>
    <row r="63" spans="1:17" x14ac:dyDescent="0.3">
      <c r="B63" s="73"/>
      <c r="C63" s="73"/>
      <c r="E63" s="47"/>
      <c r="K63" s="73"/>
      <c r="L63" s="73"/>
      <c r="M63" s="52"/>
      <c r="O63" s="53"/>
      <c r="Q63" s="53"/>
    </row>
    <row r="64" spans="1:17" x14ac:dyDescent="0.3">
      <c r="B64" s="73"/>
      <c r="C64" s="73"/>
      <c r="E64" s="47"/>
      <c r="K64" s="73"/>
      <c r="L64" s="73"/>
      <c r="M64" s="52"/>
      <c r="O64" s="53"/>
      <c r="Q64" s="53"/>
    </row>
    <row r="65" spans="1:17" x14ac:dyDescent="0.3">
      <c r="B65" s="73"/>
      <c r="C65" s="80"/>
      <c r="E65" s="47"/>
      <c r="K65" s="73"/>
      <c r="L65" s="73"/>
      <c r="M65" s="52"/>
      <c r="O65" s="53"/>
      <c r="Q65" s="53"/>
    </row>
    <row r="66" spans="1:17" x14ac:dyDescent="0.3">
      <c r="B66" s="73"/>
      <c r="C66" s="73"/>
      <c r="E66" s="47"/>
      <c r="K66" s="73"/>
      <c r="L66" s="73"/>
      <c r="M66" s="52"/>
      <c r="O66" s="53"/>
      <c r="Q66" s="53"/>
    </row>
    <row r="67" spans="1:17" x14ac:dyDescent="0.3">
      <c r="B67" s="73"/>
      <c r="C67" s="73"/>
      <c r="E67" s="47"/>
      <c r="K67" s="73"/>
      <c r="L67" s="73"/>
      <c r="M67" s="52"/>
      <c r="O67" s="53"/>
      <c r="Q67" s="53"/>
    </row>
    <row r="68" spans="1:17" x14ac:dyDescent="0.3">
      <c r="B68" s="73"/>
      <c r="C68" s="73"/>
      <c r="E68" s="47"/>
      <c r="K68" s="73"/>
      <c r="L68" s="73"/>
      <c r="M68" s="52"/>
      <c r="O68" s="53"/>
      <c r="Q68" s="53"/>
    </row>
    <row r="69" spans="1:17" x14ac:dyDescent="0.3">
      <c r="B69" s="73"/>
      <c r="C69" s="73"/>
      <c r="E69" s="47"/>
      <c r="K69" s="73"/>
      <c r="L69" s="73"/>
      <c r="M69" s="52"/>
      <c r="O69" s="53"/>
      <c r="Q69" s="53"/>
    </row>
    <row r="70" spans="1:17" x14ac:dyDescent="0.3">
      <c r="B70" s="73"/>
      <c r="C70" s="73"/>
      <c r="E70" s="47"/>
      <c r="K70" s="73"/>
      <c r="L70" s="73"/>
      <c r="M70" s="52"/>
      <c r="O70" s="53"/>
      <c r="Q70" s="53"/>
    </row>
    <row r="71" spans="1:17" x14ac:dyDescent="0.3">
      <c r="E71" s="47"/>
      <c r="K71" s="73"/>
      <c r="L71" s="73"/>
      <c r="M71" s="52"/>
      <c r="O71" s="53"/>
      <c r="Q71" s="53"/>
    </row>
    <row r="72" spans="1:17" x14ac:dyDescent="0.3">
      <c r="O72" s="53"/>
    </row>
    <row r="74" spans="1:17" ht="20.399999999999999" customHeight="1" x14ac:dyDescent="0.45">
      <c r="A74" s="83" t="s">
        <v>62</v>
      </c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</row>
    <row r="75" spans="1:17" ht="18" customHeight="1" x14ac:dyDescent="0.3">
      <c r="D75" s="84" t="s">
        <v>63</v>
      </c>
    </row>
    <row r="76" spans="1:17" x14ac:dyDescent="0.3">
      <c r="D76" s="84"/>
    </row>
    <row r="77" spans="1:17" x14ac:dyDescent="0.3">
      <c r="D77" s="84"/>
    </row>
    <row r="78" spans="1:17" x14ac:dyDescent="0.3">
      <c r="D78" s="84"/>
    </row>
    <row r="79" spans="1:17" x14ac:dyDescent="0.3">
      <c r="D79" s="84"/>
    </row>
    <row r="80" spans="1:17" x14ac:dyDescent="0.3">
      <c r="D80" s="84"/>
    </row>
    <row r="81" spans="4:4" x14ac:dyDescent="0.3">
      <c r="D81" s="84"/>
    </row>
    <row r="82" spans="4:4" x14ac:dyDescent="0.3">
      <c r="D82" s="84"/>
    </row>
    <row r="83" spans="4:4" x14ac:dyDescent="0.3">
      <c r="D83" s="84"/>
    </row>
    <row r="84" spans="4:4" x14ac:dyDescent="0.3">
      <c r="D84" s="84"/>
    </row>
    <row r="85" spans="4:4" x14ac:dyDescent="0.3">
      <c r="D85" s="84"/>
    </row>
    <row r="86" spans="4:4" x14ac:dyDescent="0.3">
      <c r="D86" s="84"/>
    </row>
    <row r="87" spans="4:4" x14ac:dyDescent="0.3">
      <c r="D87" s="84"/>
    </row>
    <row r="88" spans="4:4" x14ac:dyDescent="0.3">
      <c r="D88" s="84"/>
    </row>
    <row r="89" spans="4:4" x14ac:dyDescent="0.3">
      <c r="D89" s="84"/>
    </row>
    <row r="90" spans="4:4" x14ac:dyDescent="0.3">
      <c r="D90" s="84"/>
    </row>
    <row r="91" spans="4:4" x14ac:dyDescent="0.3">
      <c r="D91" s="84"/>
    </row>
    <row r="92" spans="4:4" x14ac:dyDescent="0.3">
      <c r="D92" s="84"/>
    </row>
    <row r="93" spans="4:4" x14ac:dyDescent="0.3">
      <c r="D93" s="84"/>
    </row>
    <row r="94" spans="4:4" x14ac:dyDescent="0.3">
      <c r="D94" s="84"/>
    </row>
    <row r="95" spans="4:4" x14ac:dyDescent="0.3">
      <c r="D95" s="84"/>
    </row>
    <row r="96" spans="4:4" x14ac:dyDescent="0.3">
      <c r="D96" s="84"/>
    </row>
    <row r="97" spans="4:4" x14ac:dyDescent="0.3">
      <c r="D97" s="84"/>
    </row>
    <row r="98" spans="4:4" x14ac:dyDescent="0.3">
      <c r="D98" s="84"/>
    </row>
    <row r="99" spans="4:4" x14ac:dyDescent="0.3">
      <c r="D99" s="84"/>
    </row>
    <row r="100" spans="4:4" x14ac:dyDescent="0.3">
      <c r="D100" s="84"/>
    </row>
    <row r="101" spans="4:4" x14ac:dyDescent="0.3">
      <c r="D101" s="84"/>
    </row>
    <row r="102" spans="4:4" x14ac:dyDescent="0.3">
      <c r="D102" s="84"/>
    </row>
    <row r="103" spans="4:4" x14ac:dyDescent="0.3">
      <c r="D103" s="84"/>
    </row>
    <row r="104" spans="4:4" x14ac:dyDescent="0.3">
      <c r="D104" s="84"/>
    </row>
    <row r="105" spans="4:4" x14ac:dyDescent="0.3">
      <c r="D105" s="84"/>
    </row>
    <row r="106" spans="4:4" x14ac:dyDescent="0.3">
      <c r="D106" s="84"/>
    </row>
    <row r="107" spans="4:4" x14ac:dyDescent="0.3">
      <c r="D107" s="84"/>
    </row>
    <row r="108" spans="4:4" x14ac:dyDescent="0.3">
      <c r="D108" s="84"/>
    </row>
    <row r="109" spans="4:4" x14ac:dyDescent="0.3">
      <c r="D109" s="84"/>
    </row>
    <row r="110" spans="4:4" x14ac:dyDescent="0.3">
      <c r="D110" s="84"/>
    </row>
    <row r="112" spans="4:4" ht="14.4" customHeight="1" x14ac:dyDescent="0.3">
      <c r="D112" s="84" t="s">
        <v>64</v>
      </c>
    </row>
    <row r="113" spans="4:4" x14ac:dyDescent="0.3">
      <c r="D113" s="84"/>
    </row>
    <row r="114" spans="4:4" x14ac:dyDescent="0.3">
      <c r="D114" s="84"/>
    </row>
    <row r="115" spans="4:4" x14ac:dyDescent="0.3">
      <c r="D115" s="84"/>
    </row>
    <row r="116" spans="4:4" x14ac:dyDescent="0.3">
      <c r="D116" s="84"/>
    </row>
    <row r="117" spans="4:4" x14ac:dyDescent="0.3">
      <c r="D117" s="84"/>
    </row>
    <row r="118" spans="4:4" x14ac:dyDescent="0.3">
      <c r="D118" s="84"/>
    </row>
    <row r="119" spans="4:4" x14ac:dyDescent="0.3">
      <c r="D119" s="84"/>
    </row>
    <row r="120" spans="4:4" x14ac:dyDescent="0.3">
      <c r="D120" s="84"/>
    </row>
    <row r="121" spans="4:4" x14ac:dyDescent="0.3">
      <c r="D121" s="84"/>
    </row>
    <row r="122" spans="4:4" x14ac:dyDescent="0.3">
      <c r="D122" s="84"/>
    </row>
    <row r="123" spans="4:4" x14ac:dyDescent="0.3">
      <c r="D123" s="84"/>
    </row>
    <row r="124" spans="4:4" x14ac:dyDescent="0.3">
      <c r="D124" s="84"/>
    </row>
    <row r="125" spans="4:4" x14ac:dyDescent="0.3">
      <c r="D125" s="84"/>
    </row>
    <row r="126" spans="4:4" x14ac:dyDescent="0.3">
      <c r="D126" s="84"/>
    </row>
    <row r="127" spans="4:4" x14ac:dyDescent="0.3">
      <c r="D127" s="84"/>
    </row>
    <row r="128" spans="4:4" x14ac:dyDescent="0.3">
      <c r="D128" s="84"/>
    </row>
    <row r="130" spans="4:4" ht="14.4" customHeight="1" x14ac:dyDescent="0.3">
      <c r="D130" s="84" t="s">
        <v>65</v>
      </c>
    </row>
    <row r="131" spans="4:4" x14ac:dyDescent="0.3">
      <c r="D131" s="84"/>
    </row>
    <row r="132" spans="4:4" x14ac:dyDescent="0.3">
      <c r="D132" s="84"/>
    </row>
    <row r="133" spans="4:4" x14ac:dyDescent="0.3">
      <c r="D133" s="84"/>
    </row>
    <row r="134" spans="4:4" x14ac:dyDescent="0.3">
      <c r="D134" s="84"/>
    </row>
    <row r="135" spans="4:4" x14ac:dyDescent="0.3">
      <c r="D135" s="84"/>
    </row>
    <row r="136" spans="4:4" x14ac:dyDescent="0.3">
      <c r="D136" s="84"/>
    </row>
    <row r="137" spans="4:4" x14ac:dyDescent="0.3">
      <c r="D137" s="84"/>
    </row>
    <row r="138" spans="4:4" x14ac:dyDescent="0.3">
      <c r="D138" s="84"/>
    </row>
    <row r="139" spans="4:4" x14ac:dyDescent="0.3">
      <c r="D139" s="84"/>
    </row>
    <row r="140" spans="4:4" x14ac:dyDescent="0.3">
      <c r="D140" s="84"/>
    </row>
    <row r="141" spans="4:4" x14ac:dyDescent="0.3">
      <c r="D141" s="84"/>
    </row>
    <row r="142" spans="4:4" x14ac:dyDescent="0.3">
      <c r="D142" s="84"/>
    </row>
    <row r="143" spans="4:4" x14ac:dyDescent="0.3">
      <c r="D143" s="84"/>
    </row>
    <row r="144" spans="4:4" x14ac:dyDescent="0.3">
      <c r="D144" s="84"/>
    </row>
    <row r="145" spans="4:4" x14ac:dyDescent="0.3">
      <c r="D145" s="84"/>
    </row>
    <row r="146" spans="4:4" x14ac:dyDescent="0.3">
      <c r="D146" s="84"/>
    </row>
    <row r="147" spans="4:4" x14ac:dyDescent="0.3">
      <c r="D147" s="84"/>
    </row>
  </sheetData>
  <mergeCells count="8">
    <mergeCell ref="A74:N74"/>
    <mergeCell ref="D75:D110"/>
    <mergeCell ref="D130:D147"/>
    <mergeCell ref="D112:D128"/>
    <mergeCell ref="B29:F29"/>
    <mergeCell ref="B33:F33"/>
    <mergeCell ref="B38:F38"/>
    <mergeCell ref="B41:F41"/>
  </mergeCells>
  <printOptions horizontalCentered="1"/>
  <pageMargins left="0.51181102362204722" right="0.31496062992125984" top="0.59055118110236227" bottom="0.55118110236220474" header="0.31496062992125984" footer="0.31496062992125984"/>
  <pageSetup scale="60" orientation="portrait" r:id="rId1"/>
  <rowBreaks count="1" manualBreakCount="1">
    <brk id="73" max="16383" man="1"/>
  </rowBreaks>
  <ignoredErrors>
    <ignoredError sqref="M2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3F59-4736-4740-A58F-7EBDA78FD31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12</vt:i4>
      </vt:variant>
    </vt:vector>
  </HeadingPairs>
  <TitlesOfParts>
    <vt:vector size="17" baseType="lpstr">
      <vt:lpstr>Hoja1</vt:lpstr>
      <vt:lpstr>4_Datos</vt:lpstr>
      <vt:lpstr>6_Datos</vt:lpstr>
      <vt:lpstr>8_Datos</vt:lpstr>
      <vt:lpstr>Hoja2</vt:lpstr>
      <vt:lpstr>d_estandar</vt:lpstr>
      <vt:lpstr>DATS</vt:lpstr>
      <vt:lpstr>dats4</vt:lpstr>
      <vt:lpstr>fi</vt:lpstr>
      <vt:lpstr>m</vt:lpstr>
      <vt:lpstr>medi</vt:lpstr>
      <vt:lpstr>media</vt:lpstr>
      <vt:lpstr>mediana</vt:lpstr>
      <vt:lpstr>moda</vt:lpstr>
      <vt:lpstr>n</vt:lpstr>
      <vt:lpstr>varianza</vt:lpstr>
      <vt:lpstr>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Jorge</cp:lastModifiedBy>
  <cp:lastPrinted>2019-02-15T04:43:08Z</cp:lastPrinted>
  <dcterms:created xsi:type="dcterms:W3CDTF">2015-06-09T18:20:36Z</dcterms:created>
  <dcterms:modified xsi:type="dcterms:W3CDTF">2019-03-21T13:02:52Z</dcterms:modified>
</cp:coreProperties>
</file>