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fiscaltec.sharepoint.com/sites/Product/Shared Documents/GTM/ROI Calc/"/>
    </mc:Choice>
  </mc:AlternateContent>
  <xr:revisionPtr revIDLastSave="116" documentId="8_{841D062E-EDE5-4064-9C93-CD29CDBE941E}" xr6:coauthVersionLast="47" xr6:coauthVersionMax="47" xr10:uidLastSave="{8432F99C-46D0-4D61-8B02-B57B80F49F76}"/>
  <bookViews>
    <workbookView xWindow="-120" yWindow="-120" windowWidth="29040" windowHeight="15720" activeTab="1" xr2:uid="{D9A76C11-1532-4E96-86E3-D2026E2BC643}"/>
  </bookViews>
  <sheets>
    <sheet name="Transactions ROI" sheetId="13" r:id="rId1"/>
    <sheet name="SR ROI" sheetId="14" r:id="rId2"/>
    <sheet name="Lookup tables" sheetId="9" r:id="rId3"/>
    <sheet name="Price List" sheetId="6" r:id="rId4"/>
    <sheet name="Supplier" sheetId="15" r:id="rId5"/>
  </sheets>
  <definedNames>
    <definedName name="CountryFlagLookup">INDEX(#REF!, MATCH(#REF!,#REF!, 0))</definedName>
    <definedName name="industry">'Lookup tables'!$A$32:$A$50</definedName>
    <definedName name="OrgNameCountryLookup">INDEX(#REF!, MATCH(#REF!,#REF!, 0))</definedName>
    <definedName name="RRCountryLookup">INDEX(#REF!, MATCH(#REF!,#REF!, 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4" l="1"/>
  <c r="D67" i="13"/>
  <c r="J15" i="14"/>
  <c r="J16" i="14" s="1"/>
  <c r="E71" i="14" s="1"/>
  <c r="D55" i="13"/>
  <c r="D94" i="14"/>
  <c r="D55" i="14"/>
  <c r="D75" i="14" s="1"/>
  <c r="E55" i="14"/>
  <c r="E63" i="14" s="1"/>
  <c r="E94" i="14"/>
  <c r="E95" i="14" s="1"/>
  <c r="F94" i="14"/>
  <c r="F95" i="14" s="1"/>
  <c r="F55" i="14"/>
  <c r="F84" i="14" s="1"/>
  <c r="F53" i="14"/>
  <c r="E53" i="14"/>
  <c r="D53" i="14"/>
  <c r="F52" i="14"/>
  <c r="E52" i="14"/>
  <c r="D52" i="14"/>
  <c r="D71" i="14" l="1"/>
  <c r="D84" i="14"/>
  <c r="D85" i="14" s="1"/>
  <c r="F65" i="14"/>
  <c r="F85" i="14"/>
  <c r="F71" i="14"/>
  <c r="D76" i="14"/>
  <c r="D78" i="14" s="1"/>
  <c r="D77" i="14"/>
  <c r="D79" i="14" s="1"/>
  <c r="D65" i="14"/>
  <c r="E65" i="14"/>
  <c r="E75" i="14"/>
  <c r="E76" i="14" s="1"/>
  <c r="E78" i="14" s="1"/>
  <c r="E84" i="14"/>
  <c r="F75" i="14"/>
  <c r="F91" i="14"/>
  <c r="F56" i="14"/>
  <c r="F35" i="14" s="1"/>
  <c r="E91" i="14"/>
  <c r="E56" i="14"/>
  <c r="E35" i="14" s="1"/>
  <c r="D95" i="14"/>
  <c r="D63" i="14"/>
  <c r="D80" i="14" l="1"/>
  <c r="D88" i="14" s="1"/>
  <c r="D96" i="14" s="1"/>
  <c r="E85" i="14"/>
  <c r="F92" i="14"/>
  <c r="F86" i="14"/>
  <c r="D92" i="14"/>
  <c r="D86" i="14"/>
  <c r="E77" i="14"/>
  <c r="E79" i="14" s="1"/>
  <c r="E80" i="14" s="1"/>
  <c r="F76" i="14"/>
  <c r="F78" i="14" s="1"/>
  <c r="F77" i="14"/>
  <c r="F79" i="14" s="1"/>
  <c r="F61" i="14"/>
  <c r="F57" i="14"/>
  <c r="F36" i="14" s="1"/>
  <c r="E57" i="14"/>
  <c r="E36" i="14" s="1"/>
  <c r="E61" i="14"/>
  <c r="E64" i="14" s="1"/>
  <c r="E66" i="14" s="1"/>
  <c r="F63" i="14"/>
  <c r="D91" i="14"/>
  <c r="D22" i="14"/>
  <c r="F23" i="14"/>
  <c r="E23" i="14"/>
  <c r="D23" i="14"/>
  <c r="F25" i="13"/>
  <c r="E25" i="13"/>
  <c r="D25" i="13"/>
  <c r="F24" i="13"/>
  <c r="E24" i="13"/>
  <c r="D24" i="13"/>
  <c r="F23" i="13"/>
  <c r="E23" i="13"/>
  <c r="D23" i="13"/>
  <c r="D22" i="13"/>
  <c r="F21" i="13"/>
  <c r="E21" i="13"/>
  <c r="D21" i="13"/>
  <c r="E86" i="14" l="1"/>
  <c r="E88" i="14"/>
  <c r="E38" i="14" s="1"/>
  <c r="F55" i="13"/>
  <c r="F56" i="13" s="1"/>
  <c r="F58" i="13" s="1"/>
  <c r="D81" i="14"/>
  <c r="D93" i="14"/>
  <c r="E92" i="14"/>
  <c r="D38" i="14"/>
  <c r="F64" i="14"/>
  <c r="F66" i="14" s="1"/>
  <c r="F67" i="14" s="1"/>
  <c r="E93" i="14"/>
  <c r="E81" i="14"/>
  <c r="F80" i="14"/>
  <c r="F88" i="14" s="1"/>
  <c r="E67" i="14"/>
  <c r="E37" i="14"/>
  <c r="D56" i="14"/>
  <c r="D57" i="14" s="1"/>
  <c r="E21" i="14"/>
  <c r="F21" i="14"/>
  <c r="E22" i="14"/>
  <c r="F22" i="14"/>
  <c r="F26" i="13"/>
  <c r="D26" i="13"/>
  <c r="E26" i="13"/>
  <c r="C9" i="6"/>
  <c r="D9" i="6"/>
  <c r="E9" i="6"/>
  <c r="F9" i="6"/>
  <c r="H9" i="6"/>
  <c r="I9" i="6"/>
  <c r="G9" i="6"/>
  <c r="E96" i="14" l="1"/>
  <c r="E39" i="14" s="1"/>
  <c r="F93" i="14"/>
  <c r="F37" i="14"/>
  <c r="F81" i="14"/>
  <c r="D35" i="14"/>
  <c r="D61" i="14"/>
  <c r="D64" i="14" s="1"/>
  <c r="D36" i="14"/>
  <c r="D39" i="14"/>
  <c r="F24" i="14"/>
  <c r="F71" i="13"/>
  <c r="D39" i="13" s="1"/>
  <c r="F37" i="13"/>
  <c r="F41" i="13" s="1"/>
  <c r="F42" i="13" s="1"/>
  <c r="E37" i="13"/>
  <c r="E41" i="13" s="1"/>
  <c r="E42" i="13" s="1"/>
  <c r="D37" i="13"/>
  <c r="F66" i="13"/>
  <c r="F67" i="13" s="1"/>
  <c r="F68" i="13" s="1"/>
  <c r="D38" i="13" s="1"/>
  <c r="D24" i="14"/>
  <c r="E24" i="14"/>
  <c r="F38" i="14" l="1"/>
  <c r="F96" i="14"/>
  <c r="F39" i="14" s="1"/>
  <c r="F42" i="14" s="1"/>
  <c r="D66" i="14"/>
  <c r="D41" i="13"/>
  <c r="D42" i="13" s="1"/>
  <c r="D67" i="14" l="1"/>
  <c r="D37" i="14"/>
  <c r="D41" i="14" s="1"/>
  <c r="D86" i="9"/>
  <c r="D85" i="9"/>
  <c r="D84" i="9"/>
  <c r="D83" i="9"/>
  <c r="H83" i="9" s="1"/>
  <c r="D82" i="9"/>
  <c r="D81" i="9"/>
  <c r="C30" i="9"/>
  <c r="C29" i="9"/>
  <c r="C27" i="9"/>
  <c r="C26" i="9"/>
  <c r="E15" i="9"/>
  <c r="C18" i="6"/>
  <c r="C16" i="6"/>
  <c r="D42" i="14" l="1"/>
  <c r="H81" i="9"/>
  <c r="E81" i="9"/>
  <c r="G81" i="9" s="1"/>
  <c r="H86" i="9"/>
  <c r="E86" i="9"/>
  <c r="G86" i="9" s="1"/>
  <c r="H82" i="9"/>
  <c r="E82" i="9"/>
  <c r="G82" i="9" s="1"/>
  <c r="H84" i="9"/>
  <c r="E84" i="9"/>
  <c r="G84" i="9" s="1"/>
  <c r="E85" i="9"/>
  <c r="G85" i="9" s="1"/>
  <c r="H85" i="9"/>
  <c r="E83" i="9"/>
  <c r="G83" i="9" s="1"/>
  <c r="E42" i="14" l="1"/>
  <c r="E41" i="14"/>
  <c r="F41" i="14"/>
</calcChain>
</file>

<file path=xl/sharedStrings.xml><?xml version="1.0" encoding="utf-8"?>
<sst xmlns="http://schemas.openxmlformats.org/spreadsheetml/2006/main" count="405" uniqueCount="321">
  <si>
    <t>Organisation Name</t>
  </si>
  <si>
    <t>FISCAL</t>
  </si>
  <si>
    <t>Industry sector</t>
  </si>
  <si>
    <t>Other</t>
  </si>
  <si>
    <t>Blue cells contain calculated values</t>
  </si>
  <si>
    <t>Number of Business Units</t>
  </si>
  <si>
    <t>not yet in use</t>
  </si>
  <si>
    <t>Main ERP system</t>
  </si>
  <si>
    <t>Sage</t>
  </si>
  <si>
    <t>Number of ERPs</t>
  </si>
  <si>
    <t>Transaction related questions</t>
  </si>
  <si>
    <t>Annual supplier spend</t>
  </si>
  <si>
    <t>Annual # transactions</t>
  </si>
  <si>
    <t>% of invoices with PO</t>
  </si>
  <si>
    <t>60% - 90%</t>
  </si>
  <si>
    <t>Years since last recovery audit</t>
  </si>
  <si>
    <t>Change of ERP</t>
  </si>
  <si>
    <t>No</t>
  </si>
  <si>
    <t>Costs</t>
  </si>
  <si>
    <t>Licence</t>
  </si>
  <si>
    <t>Fast Start</t>
  </si>
  <si>
    <t>Prem Success Plan</t>
  </si>
  <si>
    <t>Reporting</t>
  </si>
  <si>
    <t>Extra Business unit</t>
  </si>
  <si>
    <t>Year 1</t>
  </si>
  <si>
    <t>Year 2</t>
  </si>
  <si>
    <t>Year 3</t>
  </si>
  <si>
    <t>Total Annual Price yr 1</t>
  </si>
  <si>
    <t>Suppressor</t>
  </si>
  <si>
    <t>Annual ROI Estimate</t>
  </si>
  <si>
    <t>Duplicates</t>
  </si>
  <si>
    <t>One-off historical recovery</t>
  </si>
  <si>
    <t>ERP migration</t>
  </si>
  <si>
    <t>Total</t>
  </si>
  <si>
    <t>Minimum 3 Year ROI</t>
  </si>
  <si>
    <t>Duplicate Protection</t>
  </si>
  <si>
    <t>Percentage of duplicate invoices, by volume</t>
  </si>
  <si>
    <t>Impact by sector</t>
  </si>
  <si>
    <t>?</t>
  </si>
  <si>
    <t>Adjustment for number of Business units</t>
  </si>
  <si>
    <t>More business units makes for greater complexity - more likely to create dups</t>
  </si>
  <si>
    <t>Adjustment for Number of ERPs</t>
  </si>
  <si>
    <t>More ERPs makes for greater complexity - more likely to create dups</t>
  </si>
  <si>
    <t>Adjusted by PO match rate</t>
  </si>
  <si>
    <t>% found in look-up table</t>
  </si>
  <si>
    <t>Duplicates amount</t>
  </si>
  <si>
    <t>With Fiscal resolution %</t>
  </si>
  <si>
    <t>Benchmark TBC - What % would they find themselves - i.e. resolved internally. Can we also bring out some case studies.</t>
  </si>
  <si>
    <t>Additional annual Dup protection from FISCAL</t>
  </si>
  <si>
    <t>What they are not finding and would find with FISCAL</t>
  </si>
  <si>
    <t>One-off historical overpayments recovery</t>
  </si>
  <si>
    <t>Number of years analysed</t>
  </si>
  <si>
    <t>Dup protection</t>
  </si>
  <si>
    <t>Dup protection * number of years since last audit (max of 3)</t>
  </si>
  <si>
    <t>Recency Weighting</t>
  </si>
  <si>
    <t>Recency of audit weighting from look table - 10%/30%/60%/100% for &lt;1 year / 1 year / 2 years / 3 or more years since last audit</t>
  </si>
  <si>
    <t>One-off recovery value</t>
  </si>
  <si>
    <t>multiple by 80% (20% non recoverable)</t>
  </si>
  <si>
    <t>ERP Migration</t>
  </si>
  <si>
    <t>Value of additional protection</t>
  </si>
  <si>
    <t>25% of Annual Dup (included in year 1 savings only)</t>
  </si>
  <si>
    <t>Possible future addition - if found to be sufficiently large</t>
  </si>
  <si>
    <t>Time the dup is not in the business</t>
  </si>
  <si>
    <t>Cash flow</t>
  </si>
  <si>
    <t>Data Input</t>
  </si>
  <si>
    <t>Education</t>
  </si>
  <si>
    <t>SAP</t>
  </si>
  <si>
    <t>Number of active suppliers</t>
  </si>
  <si>
    <t>Active suppliers are those who you have had one invoice in the last 12 months (average is 3,400)</t>
  </si>
  <si>
    <t>How doing today?</t>
  </si>
  <si>
    <t>Costs calculator</t>
  </si>
  <si>
    <t>Price override</t>
  </si>
  <si>
    <t>Total Annual Price yr. 1</t>
  </si>
  <si>
    <t>Output for quote</t>
  </si>
  <si>
    <t>Annual ROI Breakdown</t>
  </si>
  <si>
    <t>More suppliers reconciled</t>
  </si>
  <si>
    <t>Find More</t>
  </si>
  <si>
    <t>Suppliers reconciled every month today</t>
  </si>
  <si>
    <t>Services team find that hitting 13% of the active supplier file hits around 80% of spend</t>
  </si>
  <si>
    <t>Number projected</t>
  </si>
  <si>
    <t xml:space="preserve">Save More </t>
  </si>
  <si>
    <t>Statements</t>
  </si>
  <si>
    <t>From the find more calculation</t>
  </si>
  <si>
    <t>FYI Average found across all statements</t>
  </si>
  <si>
    <t>Services - £2500 is an average across all items (statements) typically 12,000+</t>
  </si>
  <si>
    <t>Error rate for credit note</t>
  </si>
  <si>
    <t>Suppliers with credit note error</t>
  </si>
  <si>
    <t>Average credit found on statement with credits</t>
  </si>
  <si>
    <t>From services - £6700 is the average value per CREDIT statement (i.e. a statement with owed value on it)</t>
  </si>
  <si>
    <t>Credit notes found</t>
  </si>
  <si>
    <t>95% go unclaimed and undiscovered</t>
  </si>
  <si>
    <t>Money claimed</t>
  </si>
  <si>
    <t>This is the money they find</t>
  </si>
  <si>
    <t>Manual statements per hour</t>
  </si>
  <si>
    <t>20 is the experience from audit services</t>
  </si>
  <si>
    <t>With Fiscal</t>
  </si>
  <si>
    <t>Without FISCAL</t>
  </si>
  <si>
    <t>New number reconciled</t>
  </si>
  <si>
    <t>Taken from our system averages to get to 80% of spend you need to do at least 250 suppliers</t>
  </si>
  <si>
    <t>Average Salary inc on-cost</t>
  </si>
  <si>
    <t>Average salary * 18% for oncosts</t>
  </si>
  <si>
    <t>Cost per hour</t>
  </si>
  <si>
    <t>rounded per hour cost</t>
  </si>
  <si>
    <t>Money saved per year vs manual statements</t>
  </si>
  <si>
    <r>
      <t>Fiscal --</t>
    </r>
    <r>
      <rPr>
        <b/>
        <sz val="16"/>
        <color rgb="FFFF0000"/>
        <rFont val="Verdana"/>
        <family val="2"/>
      </rPr>
      <t xml:space="preserve"> Price Guide 10th January 2024</t>
    </r>
  </si>
  <si>
    <t>LICENCE VERSION</t>
  </si>
  <si>
    <t>F15</t>
  </si>
  <si>
    <t>F25</t>
  </si>
  <si>
    <t>F50</t>
  </si>
  <si>
    <t>F100</t>
  </si>
  <si>
    <t>F250</t>
  </si>
  <si>
    <t>F500</t>
  </si>
  <si>
    <t>F750</t>
  </si>
  <si>
    <t>Special POA</t>
  </si>
  <si>
    <t>Transactions Processed Per Annum</t>
  </si>
  <si>
    <t>750,000+</t>
  </si>
  <si>
    <t>Fiscal NXG ( T+ S)</t>
  </si>
  <si>
    <t>Number of Full Named User Licences Included</t>
  </si>
  <si>
    <t>8+</t>
  </si>
  <si>
    <t>Fast Start Program - Year 1 Only (Implementation &amp; Training)</t>
  </si>
  <si>
    <t>Premier Success Plan - Support &amp; Maintenance Per Annum</t>
  </si>
  <si>
    <t>Annual Fee</t>
  </si>
  <si>
    <t>7.6p per invoice</t>
  </si>
  <si>
    <t>Custom Reporting</t>
  </si>
  <si>
    <t>Statement Reconciliation</t>
  </si>
  <si>
    <t>Monthly Fee</t>
  </si>
  <si>
    <t>Credit Monitoring</t>
  </si>
  <si>
    <t>Suppliers Processed Per Annum (up to)</t>
  </si>
  <si>
    <t>30,000+</t>
  </si>
  <si>
    <t>Credit Monitoring (per supplier)</t>
  </si>
  <si>
    <t xml:space="preserve">Sanctions </t>
  </si>
  <si>
    <t>50p per Supplier</t>
  </si>
  <si>
    <t>ESG</t>
  </si>
  <si>
    <t>Employees</t>
  </si>
  <si>
    <t>Employees Processed Per Annum (up to)</t>
  </si>
  <si>
    <t>20p per transaction</t>
  </si>
  <si>
    <t>Additional Costs</t>
  </si>
  <si>
    <t>Per Annum Costs</t>
  </si>
  <si>
    <t xml:space="preserve">Extra Full User Licence </t>
  </si>
  <si>
    <t>Unlimited Full User Licences</t>
  </si>
  <si>
    <t>n/a</t>
  </si>
  <si>
    <t xml:space="preserve">Extra Business Unit  (no user licence or transactions) &amp; Reporting </t>
  </si>
  <si>
    <t>Cross Business Unit Checker ("XBU") &amp; Reporting</t>
  </si>
  <si>
    <t xml:space="preserve">Single Sign On (SSO) set up &amp; licence (any changes thereafter £500) </t>
  </si>
  <si>
    <t>One-Off Charge Options</t>
  </si>
  <si>
    <t>Historical Transactions (rate per 100K) minimum 100K</t>
  </si>
  <si>
    <t xml:space="preserve">One additional NXG Report (need Engineering Confirmation) </t>
  </si>
  <si>
    <t>Bundled 5 NXG reports (need Engineering Confirmation)</t>
  </si>
  <si>
    <t xml:space="preserve">Specialised Services </t>
  </si>
  <si>
    <t>Training 1 day</t>
  </si>
  <si>
    <t>Consultancy 1 day</t>
  </si>
  <si>
    <t>Accelerated Forensic Analysis Programme (5 days)</t>
  </si>
  <si>
    <t>AFA Programme - if process over 250K invoices per annum  (10 days)</t>
  </si>
  <si>
    <t>UK</t>
  </si>
  <si>
    <r>
      <rPr>
        <b/>
        <sz val="11"/>
        <color theme="1"/>
        <rFont val="Calibri"/>
        <family val="2"/>
        <scheme val="minor"/>
      </rPr>
      <t xml:space="preserve">For a more comprehensive review contact FISCAL Technologies www.fiscaltec.com/ukreview </t>
    </r>
    <r>
      <rPr>
        <sz val="11"/>
        <color theme="1"/>
        <rFont val="Calibri"/>
        <family val="2"/>
        <scheme val="minor"/>
      </rPr>
      <t xml:space="preserve">
FISCAL Technologies provides this report to help you analyse potential cost savings when utilising FISCAL Technologies products or services.  The report is provided for information only and is based on benchmark and estimate data only and not any actual data relating to your organisation or any FISCAL Technologies customers, products or services.  The report is provided “as is” and without any warranty of any kind, express or implied.  Without limiting the foregoing, FISCAL Technologies does not guarantee that any savings or return on investment will result from the utilisation of any product or service provided by FISCAL Technologies. Your results from using the product or services will vary and will be based on a number of variables beyond the control of FISCAL Technologies. There are no guarantees concerning the level of return or savings you may experience. The use of the report and information provided, should be based on your own due diligence.
FISCAL Technologies shall not be responsible for any damages arising out of the use of, or otherwise related to, the information contained in this report or any other information provided in connection with the report. Nothing contained in this report or any information provided in connection with this report is intended to, nor shall have the effect of, creating any warranties or representations from FISCAL Technologies nor shall it alter the terms and conditions of any license agreement governing the use of FISCAL Technologies product or services.</t>
    </r>
  </si>
  <si>
    <t>First time match rate</t>
  </si>
  <si>
    <t>% weighting</t>
  </si>
  <si>
    <t>List Values</t>
  </si>
  <si>
    <t>&gt; 90%</t>
  </si>
  <si>
    <t>Yes</t>
  </si>
  <si>
    <t>IF PO match rate &lt; 30% add 20%, IF  PO match rate is 30-60% add 10%, IF PO match rate is 60-90% no weighting, IF PO match rate &gt; 90% reduce by 20%</t>
  </si>
  <si>
    <t>30% - 60%</t>
  </si>
  <si>
    <t>&lt; 30%</t>
  </si>
  <si>
    <t>Years since recovery audit</t>
  </si>
  <si>
    <t>%</t>
  </si>
  <si>
    <t>Risk Adjustment Values</t>
  </si>
  <si>
    <t>less than 1</t>
  </si>
  <si>
    <t>'Recency of audit weighting of 10%/30%/60%/100% for &lt;1 year / 1 year / 2 years / 3 or more years since last audit</t>
  </si>
  <si>
    <t>3 or more</t>
  </si>
  <si>
    <t>Revenue slider</t>
  </si>
  <si>
    <t>testing</t>
  </si>
  <si>
    <t>Avg Cost Per Transaction BEFORE: 02.68</t>
  </si>
  <si>
    <t>Avg Cost Per Transaction AFTER: 02.68</t>
  </si>
  <si>
    <t>Location</t>
  </si>
  <si>
    <t>Currency</t>
  </si>
  <si>
    <t>Hours/Year</t>
  </si>
  <si>
    <t>Pound</t>
  </si>
  <si>
    <t>US</t>
  </si>
  <si>
    <t>Dollar</t>
  </si>
  <si>
    <t>Avg FTE Cost (Private Sector)</t>
  </si>
  <si>
    <t xml:space="preserve"> for reference:   =IF(I17="UK",IF(I15="YES",'Lookup Tables'!B29,'Lookup Tables'!B26),IF(I15="YES",'Lookup Tables'!B30,'Lookup Tables'!B27))</t>
  </si>
  <si>
    <t>Avg FTE Cost (Public Sector)</t>
  </si>
  <si>
    <t>Industries</t>
  </si>
  <si>
    <t>ERP</t>
  </si>
  <si>
    <t>Agriculture</t>
  </si>
  <si>
    <t>Advanced E5</t>
  </si>
  <si>
    <t>Business Services</t>
  </si>
  <si>
    <t>Advanced eFinancials</t>
  </si>
  <si>
    <t>Construction</t>
  </si>
  <si>
    <t>Aptos</t>
  </si>
  <si>
    <t>Aurora</t>
  </si>
  <si>
    <t>Healthcare (Private)</t>
  </si>
  <si>
    <t>Civica</t>
  </si>
  <si>
    <t>Housing Association</t>
  </si>
  <si>
    <t>CODA</t>
  </si>
  <si>
    <t>Legal</t>
  </si>
  <si>
    <t>COINS</t>
  </si>
  <si>
    <t>Leisure and Hospitalit</t>
  </si>
  <si>
    <t>IBM</t>
  </si>
  <si>
    <t>Local Government</t>
  </si>
  <si>
    <t>IFS</t>
  </si>
  <si>
    <t>Manufacturing</t>
  </si>
  <si>
    <t>Infor</t>
  </si>
  <si>
    <t>NHS</t>
  </si>
  <si>
    <t>Integra</t>
  </si>
  <si>
    <t>Police Authority</t>
  </si>
  <si>
    <t>JD Edwards</t>
  </si>
  <si>
    <t>Property Management</t>
  </si>
  <si>
    <t>Masterpiece</t>
  </si>
  <si>
    <t>Publishing &amp; Media</t>
  </si>
  <si>
    <t>Meditech</t>
  </si>
  <si>
    <t>Retail</t>
  </si>
  <si>
    <t>Movex</t>
  </si>
  <si>
    <t>Transport &amp; Logistics</t>
  </si>
  <si>
    <t>MS Dynamics</t>
  </si>
  <si>
    <t>Utilities</t>
  </si>
  <si>
    <t>MS Great Plains</t>
  </si>
  <si>
    <t>Oracle Financials</t>
  </si>
  <si>
    <t>Oracle Fusion</t>
  </si>
  <si>
    <t>Orchard Open Accounts</t>
  </si>
  <si>
    <t>PeopleSoft</t>
  </si>
  <si>
    <t>Pythagoras</t>
  </si>
  <si>
    <t>Sun</t>
  </si>
  <si>
    <t>Technology One</t>
  </si>
  <si>
    <t>Unit4 Agresso</t>
  </si>
  <si>
    <t>Source</t>
  </si>
  <si>
    <t xml:space="preserve">This is the figure from FISCAL Reports dashboard. The aggregate of approx 150 APF cloud customers, over all time. </t>
  </si>
  <si>
    <t>These range between 0.01% (1 in 10,000) and 0.45% (1 in 225) exceptions reported.</t>
  </si>
  <si>
    <t>https://www.oversightsystems.com/blog/duplicate-invoice-payments-avoid-cash-leakage-accounts-payable</t>
  </si>
  <si>
    <t>https://www.concur.com/newsroom/article/how-much-money-is-your-business-throwing-away-in-duplicate-invoice</t>
  </si>
  <si>
    <t>http://8c12cf0ca0d6cec91f49-3bebbe33c01fdefb20dab8ed73fa2504.r68.cf2.rackcdn.com/ePayables_2013_APs_New_Dawn_Ardent_Partners.pdf</t>
  </si>
  <si>
    <t>http://www.acculytic.com/accounts-payable-benchmarking-by-industry</t>
  </si>
  <si>
    <t>AP Specialist - average salary from Indeed, TotalJobs &amp; Monster job boards, and FISCAL's in-house recruitment team</t>
  </si>
  <si>
    <t>Hours worked per year</t>
  </si>
  <si>
    <t>http://www.calculconversion.com/work-hour-calculator.html</t>
  </si>
  <si>
    <t>Risk Severity</t>
  </si>
  <si>
    <t>Risk Probability</t>
  </si>
  <si>
    <t>Lookup table for quick estimates</t>
  </si>
  <si>
    <t>Industry</t>
  </si>
  <si>
    <t>Revenue</t>
  </si>
  <si>
    <t>supplier spend</t>
  </si>
  <si>
    <t>num transactions</t>
  </si>
  <si>
    <t>AP team size</t>
  </si>
  <si>
    <t>Records in MSF</t>
  </si>
  <si>
    <t>Healthcare</t>
  </si>
  <si>
    <t>3rd Sector</t>
  </si>
  <si>
    <t>Active suppliers assumtion</t>
  </si>
  <si>
    <t xml:space="preserve">Supplier reconcilied </t>
  </si>
  <si>
    <t>suppliers for 80% spend</t>
  </si>
  <si>
    <t>Average price found</t>
  </si>
  <si>
    <t>Effort person days per year</t>
  </si>
  <si>
    <t>Statement sense checker</t>
  </si>
  <si>
    <t>Benchmark for manual is 2 statements per hour</t>
  </si>
  <si>
    <t>Statements per hour from details provided</t>
  </si>
  <si>
    <t>Customer calculated statements per hour</t>
  </si>
  <si>
    <t>Reconciliation automated with only minor work needed</t>
  </si>
  <si>
    <t>.</t>
  </si>
  <si>
    <t>Manual reconciliation (hours)</t>
  </si>
  <si>
    <t>Auto reconciliation (hours)</t>
  </si>
  <si>
    <t>Difference (fewer hours) FISCAL vs Manual</t>
  </si>
  <si>
    <t>Annually reconciled suppliers</t>
  </si>
  <si>
    <t>Calculations</t>
  </si>
  <si>
    <t>Assumptions - amendable values</t>
  </si>
  <si>
    <t>1 in 3 has errors - found from Services and NXG</t>
  </si>
  <si>
    <t xml:space="preserve">1/9 statements 11% for 200+ statements. One in 30 Statements have unclaimed credit note errors (3.3%) for 1200 statements. </t>
  </si>
  <si>
    <t>2 is from Aramark - 5 is the experience from audit services per hour.</t>
  </si>
  <si>
    <t>Reconciliation requires manual intervention - not processed automatically</t>
  </si>
  <si>
    <t>Manual in hours</t>
  </si>
  <si>
    <t>Fiscal in hours</t>
  </si>
  <si>
    <t>Look at the number of active suppliers</t>
  </si>
  <si>
    <t>Predict level of spend covered</t>
  </si>
  <si>
    <t>Difference in suppliers statements vs today</t>
  </si>
  <si>
    <t>Additional statements with errors found vs today</t>
  </si>
  <si>
    <t>Projected 3 Year ROI %</t>
  </si>
  <si>
    <t>Projected 3 Year ROI £</t>
  </si>
  <si>
    <t>Hours saved to financial calc</t>
  </si>
  <si>
    <t>750 &gt; 999</t>
  </si>
  <si>
    <t>400 &gt; 749</t>
  </si>
  <si>
    <t>250 &gt; 399</t>
  </si>
  <si>
    <t>1 &gt; 249</t>
  </si>
  <si>
    <t>1000 &gt; 1249</t>
  </si>
  <si>
    <t>1250 +</t>
  </si>
  <si>
    <t>Less time</t>
  </si>
  <si>
    <t>Manual reconciliation (statements)</t>
  </si>
  <si>
    <t>Total time spent on Statement Rec per year (hours)</t>
  </si>
  <si>
    <t>Total time spent on Statement Rec (hours)</t>
  </si>
  <si>
    <t>In Days</t>
  </si>
  <si>
    <t>In days</t>
  </si>
  <si>
    <t>Find more: suppliers with errors</t>
  </si>
  <si>
    <t>Save more: Credits &amp; overpayments recovered</t>
  </si>
  <si>
    <t>Save time FISCAL vs manual in hours</t>
  </si>
  <si>
    <t>Save time: Time saving vs manual</t>
  </si>
  <si>
    <t>FISCAL assisted statements per hour</t>
  </si>
  <si>
    <t>1 in 3 supplier statements has an error</t>
  </si>
  <si>
    <t>FISCAL provides upto 12X greater reconciliation efficiency vs manual processing</t>
  </si>
  <si>
    <t>Key assumptions</t>
  </si>
  <si>
    <t>On average 1 in 9  statements have unclaimed credits*</t>
  </si>
  <si>
    <t>*Typical for the top 250 suppliers, calculations adapt as more statements are reconciled</t>
  </si>
  <si>
    <t>FISCAL have decades of services experience, we use this in our ROI calculator with the following assumations</t>
  </si>
  <si>
    <t>Configure</t>
  </si>
  <si>
    <t>Calculated</t>
  </si>
  <si>
    <t>Data</t>
  </si>
  <si>
    <t>Future option</t>
  </si>
  <si>
    <t>Resolving Error</t>
  </si>
  <si>
    <t>Better transaction management</t>
  </si>
  <si>
    <t>On average statements with unclaimed credits, have upto £9,600 of unclaimed credits*</t>
  </si>
  <si>
    <t>Suppliers</t>
  </si>
  <si>
    <t>Big level of liability and etc.</t>
  </si>
  <si>
    <t>To do this manually will take X</t>
  </si>
  <si>
    <t>Automate this - save Y</t>
  </si>
  <si>
    <t>0.5% duplicate rate is the average - range is from 0.2% (exceptionally good)  to 0.9 (minimal processes in place)</t>
  </si>
  <si>
    <t>Rosetta - 0.16 - 0.86</t>
  </si>
  <si>
    <t>Benchmark difference by sector</t>
  </si>
  <si>
    <t>Time value of Money aka Working Capital Optimisation</t>
  </si>
  <si>
    <t>Most customers find between 5% &amp; 10% through manual/spot check processes</t>
  </si>
  <si>
    <t>ERP migration can cause 25% of duplicates. Protect this spend efficiently and accurately</t>
  </si>
  <si>
    <t>Historical analysis provides a fast boost to found cash - very fast ROI</t>
  </si>
  <si>
    <t>Excel</t>
  </si>
  <si>
    <t>*Active suppliers are those who have had one invoice in the last 12 months (average is 3,400)</t>
  </si>
  <si>
    <t>Hilton</t>
  </si>
  <si>
    <t>Number of times reconciled each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</si>
</sst>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Red]\-&quot;£&quot;#,##0"/>
    <numFmt numFmtId="44" formatCode="_-&quot;£&quot;* #,##0.00_-;\-&quot;£&quot;* #,##0.00_-;_-&quot;£&quot;* &quot;-&quot;??_-;_-@_-"/>
    <numFmt numFmtId="43" formatCode="_-* #,##0.00_-;\-* #,##0.00_-;_-* &quot;-&quot;??_-;_-@_-"/>
    <numFmt numFmtId="164" formatCode="_-* #,##0_-;\-* #,##0_-;_-* &quot;-&quot;??_-;_-@_-"/>
    <numFmt numFmtId="165" formatCode="0.000%"/>
    <numFmt numFmtId="166" formatCode="&quot;£&quot;#,##0.00"/>
    <numFmt numFmtId="167" formatCode="0.000"/>
    <numFmt numFmtId="168" formatCode="&quot;£&quot;#,##0"/>
    <numFmt numFmtId="169" formatCode="#,##0%"/>
    <numFmt numFmtId="170" formatCode="_-[$£-809]* #,##0_-;\-[$£-809]* #,##0_-;_-[$£-809]* &quot;-&quot;??_-;_-@_-"/>
    <numFmt numFmtId="171" formatCode="0.0"/>
    <numFmt numFmtId="172" formatCode="_-* #,##0.0_-;\-* #,##0.0_-;_-* &quot;-&quot;??_-;_-@_-"/>
  </numFmts>
  <fonts count="2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
      <b/>
      <sz val="12"/>
      <color theme="1"/>
      <name val="Calibri"/>
      <family val="2"/>
      <scheme val="minor"/>
    </font>
    <font>
      <b/>
      <sz val="16"/>
      <color rgb="FF7030A0"/>
      <name val="Verdana"/>
      <family val="2"/>
    </font>
    <font>
      <b/>
      <sz val="16"/>
      <color rgb="FFFF0000"/>
      <name val="Verdana"/>
      <family val="2"/>
    </font>
    <font>
      <b/>
      <sz val="18"/>
      <color theme="1"/>
      <name val="Verdana"/>
      <family val="2"/>
    </font>
    <font>
      <sz val="11"/>
      <color theme="1"/>
      <name val="Verdana"/>
      <family val="2"/>
    </font>
    <font>
      <b/>
      <sz val="10"/>
      <color indexed="9"/>
      <name val="Verdana"/>
      <family val="2"/>
    </font>
    <font>
      <b/>
      <sz val="9"/>
      <color theme="0"/>
      <name val="Verdana"/>
      <family val="2"/>
    </font>
    <font>
      <b/>
      <sz val="9"/>
      <name val="Verdana"/>
      <family val="2"/>
    </font>
    <font>
      <sz val="9"/>
      <name val="Verdana"/>
      <family val="2"/>
    </font>
    <font>
      <b/>
      <sz val="9"/>
      <color rgb="FFFF0000"/>
      <name val="Verdana"/>
      <family val="2"/>
    </font>
    <font>
      <b/>
      <sz val="9"/>
      <color theme="1"/>
      <name val="Verdana"/>
      <family val="2"/>
    </font>
    <font>
      <u/>
      <sz val="11"/>
      <color theme="10"/>
      <name val="Calibri"/>
      <family val="2"/>
      <scheme val="minor"/>
    </font>
    <font>
      <b/>
      <sz val="8"/>
      <color theme="1"/>
      <name val="Calibri"/>
      <family val="2"/>
      <scheme val="minor"/>
    </font>
    <font>
      <b/>
      <sz val="11"/>
      <color rgb="FF00B0F0"/>
      <name val="Calibri"/>
      <family val="2"/>
      <scheme val="minor"/>
    </font>
    <font>
      <b/>
      <sz val="18"/>
      <color theme="1"/>
      <name val="Calibri"/>
      <family val="2"/>
      <scheme val="minor"/>
    </font>
    <font>
      <sz val="11"/>
      <color rgb="FF444444"/>
      <name val="Aptos Narrow"/>
      <charset val="1"/>
    </font>
    <font>
      <b/>
      <sz val="12"/>
      <color rgb="FFFF0000"/>
      <name val="Calibri"/>
      <family val="2"/>
      <scheme val="minor"/>
    </font>
  </fonts>
  <fills count="18">
    <fill>
      <patternFill patternType="none"/>
    </fill>
    <fill>
      <patternFill patternType="gray125"/>
    </fill>
    <fill>
      <patternFill patternType="solid">
        <fgColor theme="6" tint="0.59999389629810485"/>
        <bgColor indexed="65"/>
      </patternFill>
    </fill>
    <fill>
      <patternFill patternType="solid">
        <fgColor rgb="FFCDFFE6"/>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7030A0"/>
        <bgColor indexed="64"/>
      </patternFill>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44" fontId="1" fillId="0" borderId="0" applyFont="0" applyFill="0" applyBorder="0" applyAlignment="0" applyProtection="0"/>
  </cellStyleXfs>
  <cellXfs count="187">
    <xf numFmtId="0" fontId="0" fillId="0" borderId="0" xfId="0"/>
    <xf numFmtId="0" fontId="0" fillId="3" borderId="0" xfId="0" applyFill="1"/>
    <xf numFmtId="0" fontId="3" fillId="0" borderId="0" xfId="0" applyFont="1"/>
    <xf numFmtId="0" fontId="0" fillId="5" borderId="0" xfId="0" applyFill="1"/>
    <xf numFmtId="164" fontId="0" fillId="0" borderId="0" xfId="0" applyNumberFormat="1"/>
    <xf numFmtId="43" fontId="0" fillId="0" borderId="0" xfId="0" applyNumberFormat="1"/>
    <xf numFmtId="0" fontId="0" fillId="4" borderId="0" xfId="0" applyFill="1"/>
    <xf numFmtId="0" fontId="4" fillId="0" borderId="0" xfId="0" applyFont="1"/>
    <xf numFmtId="9" fontId="0" fillId="5" borderId="0" xfId="0" applyNumberFormat="1" applyFill="1"/>
    <xf numFmtId="0" fontId="0" fillId="0" borderId="0" xfId="0" applyAlignment="1">
      <alignment horizontal="center"/>
    </xf>
    <xf numFmtId="166" fontId="0" fillId="0" borderId="0" xfId="0" applyNumberFormat="1"/>
    <xf numFmtId="164" fontId="0" fillId="0" borderId="0" xfId="1" applyNumberFormat="1" applyFont="1" applyFill="1"/>
    <xf numFmtId="0" fontId="0" fillId="0" borderId="0" xfId="0" quotePrefix="1"/>
    <xf numFmtId="164" fontId="0" fillId="0" borderId="0" xfId="0" quotePrefix="1" applyNumberFormat="1"/>
    <xf numFmtId="167" fontId="0" fillId="0" borderId="0" xfId="0" applyNumberFormat="1"/>
    <xf numFmtId="10" fontId="0" fillId="0" borderId="0" xfId="2" applyNumberFormat="1" applyFont="1" applyFill="1"/>
    <xf numFmtId="0" fontId="0" fillId="0" borderId="0" xfId="0" applyAlignment="1">
      <alignment horizontal="right"/>
    </xf>
    <xf numFmtId="9" fontId="0" fillId="0" borderId="0" xfId="2" applyFont="1"/>
    <xf numFmtId="9" fontId="0" fillId="0" borderId="0" xfId="0" applyNumberFormat="1"/>
    <xf numFmtId="2" fontId="0" fillId="0" borderId="0" xfId="0" applyNumberFormat="1"/>
    <xf numFmtId="9" fontId="3" fillId="0" borderId="0" xfId="0" applyNumberFormat="1" applyFont="1" applyAlignment="1">
      <alignment horizontal="center" vertical="center"/>
    </xf>
    <xf numFmtId="9" fontId="2" fillId="0" borderId="0" xfId="0" applyNumberFormat="1" applyFont="1" applyAlignment="1">
      <alignment horizontal="center" vertical="center"/>
    </xf>
    <xf numFmtId="164" fontId="0" fillId="0" borderId="0" xfId="1" applyNumberFormat="1" applyFont="1"/>
    <xf numFmtId="0" fontId="1" fillId="2" borderId="1" xfId="3" applyBorder="1"/>
    <xf numFmtId="0" fontId="1" fillId="2" borderId="2" xfId="3" applyBorder="1"/>
    <xf numFmtId="0" fontId="1" fillId="2" borderId="3" xfId="3" applyBorder="1"/>
    <xf numFmtId="0" fontId="1" fillId="2" borderId="4" xfId="3" applyBorder="1"/>
    <xf numFmtId="0" fontId="1" fillId="2" borderId="0" xfId="3" applyBorder="1"/>
    <xf numFmtId="0" fontId="1" fillId="2" borderId="5" xfId="3" applyBorder="1"/>
    <xf numFmtId="0" fontId="1" fillId="2" borderId="6" xfId="3" applyBorder="1"/>
    <xf numFmtId="0" fontId="1" fillId="2" borderId="7" xfId="3" applyBorder="1"/>
    <xf numFmtId="0" fontId="1" fillId="2" borderId="8" xfId="3" applyBorder="1"/>
    <xf numFmtId="0" fontId="5" fillId="0" borderId="0" xfId="0" applyFont="1"/>
    <xf numFmtId="168" fontId="3" fillId="0" borderId="0" xfId="4" applyNumberFormat="1" applyFont="1"/>
    <xf numFmtId="0" fontId="6" fillId="6" borderId="0" xfId="0" applyFont="1" applyFill="1"/>
    <xf numFmtId="0" fontId="8" fillId="6" borderId="0" xfId="0" applyFont="1" applyFill="1"/>
    <xf numFmtId="0" fontId="9" fillId="6" borderId="0" xfId="0" applyFont="1" applyFill="1"/>
    <xf numFmtId="0" fontId="10" fillId="7" borderId="9" xfId="0" applyFont="1" applyFill="1" applyBorder="1" applyAlignment="1">
      <alignment vertical="center"/>
    </xf>
    <xf numFmtId="0" fontId="10" fillId="7" borderId="9" xfId="0" applyFont="1" applyFill="1" applyBorder="1" applyAlignment="1">
      <alignment horizontal="center" vertical="center"/>
    </xf>
    <xf numFmtId="0" fontId="11" fillId="8" borderId="10" xfId="0" applyFont="1" applyFill="1" applyBorder="1" applyAlignment="1">
      <alignment vertical="center"/>
    </xf>
    <xf numFmtId="0" fontId="11" fillId="8" borderId="10" xfId="0" applyFont="1" applyFill="1" applyBorder="1" applyAlignment="1">
      <alignment horizontal="center" vertical="center"/>
    </xf>
    <xf numFmtId="0" fontId="12" fillId="9" borderId="10" xfId="0" applyFont="1" applyFill="1" applyBorder="1" applyAlignment="1">
      <alignment vertical="center"/>
    </xf>
    <xf numFmtId="0" fontId="11" fillId="9" borderId="10" xfId="0" applyFont="1" applyFill="1" applyBorder="1" applyAlignment="1">
      <alignment horizontal="center" vertical="center"/>
    </xf>
    <xf numFmtId="0" fontId="12" fillId="10" borderId="10" xfId="0" applyFont="1" applyFill="1" applyBorder="1" applyAlignment="1">
      <alignment vertical="center"/>
    </xf>
    <xf numFmtId="0" fontId="12" fillId="10" borderId="10" xfId="0" applyFont="1" applyFill="1" applyBorder="1" applyAlignment="1">
      <alignment horizontal="center" vertical="center"/>
    </xf>
    <xf numFmtId="0" fontId="12" fillId="11" borderId="10" xfId="0" applyFont="1" applyFill="1" applyBorder="1" applyAlignment="1">
      <alignment vertical="center"/>
    </xf>
    <xf numFmtId="168" fontId="12" fillId="11" borderId="10" xfId="0" applyNumberFormat="1" applyFont="1" applyFill="1" applyBorder="1" applyAlignment="1">
      <alignment horizontal="center" vertical="center"/>
    </xf>
    <xf numFmtId="168" fontId="13" fillId="11" borderId="10" xfId="0" applyNumberFormat="1" applyFont="1" applyFill="1" applyBorder="1" applyAlignment="1">
      <alignment horizontal="center" vertical="center"/>
    </xf>
    <xf numFmtId="9" fontId="12" fillId="11" borderId="10" xfId="0" applyNumberFormat="1" applyFont="1" applyFill="1" applyBorder="1" applyAlignment="1">
      <alignment horizontal="center" vertical="center"/>
    </xf>
    <xf numFmtId="168" fontId="11" fillId="9" borderId="10" xfId="0" applyNumberFormat="1" applyFont="1" applyFill="1" applyBorder="1" applyAlignment="1">
      <alignment horizontal="center" vertical="center"/>
    </xf>
    <xf numFmtId="0" fontId="10" fillId="7" borderId="10" xfId="0" applyFont="1" applyFill="1" applyBorder="1" applyAlignment="1">
      <alignment horizontal="left" vertical="center"/>
    </xf>
    <xf numFmtId="0" fontId="10" fillId="7" borderId="10" xfId="0" applyFont="1" applyFill="1" applyBorder="1" applyAlignment="1">
      <alignment horizontal="center" vertical="center"/>
    </xf>
    <xf numFmtId="3" fontId="11" fillId="8" borderId="10" xfId="0" applyNumberFormat="1" applyFont="1" applyFill="1" applyBorder="1" applyAlignment="1">
      <alignment horizontal="center" vertical="center"/>
    </xf>
    <xf numFmtId="0" fontId="10" fillId="7" borderId="9" xfId="0" applyFont="1" applyFill="1" applyBorder="1" applyAlignment="1">
      <alignment horizontal="left" vertical="center"/>
    </xf>
    <xf numFmtId="0" fontId="12" fillId="9" borderId="0" xfId="0" applyFont="1" applyFill="1" applyAlignment="1">
      <alignment vertical="center"/>
    </xf>
    <xf numFmtId="9" fontId="14" fillId="9" borderId="10" xfId="5" applyFont="1" applyFill="1" applyBorder="1" applyAlignment="1">
      <alignment horizontal="center" vertical="center"/>
    </xf>
    <xf numFmtId="0" fontId="13" fillId="0" borderId="10" xfId="0" applyFont="1" applyBorder="1" applyAlignment="1">
      <alignment vertical="center"/>
    </xf>
    <xf numFmtId="168" fontId="13" fillId="0" borderId="10" xfId="0" applyNumberFormat="1" applyFont="1" applyBorder="1" applyAlignment="1">
      <alignment horizontal="center" vertical="center"/>
    </xf>
    <xf numFmtId="0" fontId="15" fillId="9" borderId="10" xfId="0" applyFont="1" applyFill="1" applyBorder="1" applyAlignment="1">
      <alignment vertical="center"/>
    </xf>
    <xf numFmtId="0" fontId="9" fillId="9" borderId="10" xfId="0" applyFont="1" applyFill="1" applyBorder="1" applyAlignment="1">
      <alignment vertical="center"/>
    </xf>
    <xf numFmtId="0" fontId="12" fillId="0" borderId="10" xfId="0" applyFont="1" applyBorder="1" applyAlignment="1">
      <alignment vertical="center"/>
    </xf>
    <xf numFmtId="168" fontId="12" fillId="0" borderId="10" xfId="0" applyNumberFormat="1" applyFont="1" applyBorder="1" applyAlignment="1">
      <alignment horizontal="center" vertical="center"/>
    </xf>
    <xf numFmtId="166" fontId="12" fillId="9" borderId="10" xfId="0" applyNumberFormat="1" applyFont="1" applyFill="1" applyBorder="1" applyAlignment="1">
      <alignment horizontal="center" vertical="center"/>
    </xf>
    <xf numFmtId="0" fontId="0" fillId="12" borderId="1" xfId="0" applyFill="1" applyBorder="1"/>
    <xf numFmtId="0" fontId="0" fillId="12" borderId="2" xfId="0" applyFill="1" applyBorder="1"/>
    <xf numFmtId="0" fontId="0" fillId="12" borderId="3" xfId="0" applyFill="1" applyBorder="1"/>
    <xf numFmtId="0" fontId="0" fillId="12" borderId="4" xfId="0" applyFill="1" applyBorder="1"/>
    <xf numFmtId="0" fontId="0" fillId="12" borderId="5" xfId="0" applyFill="1" applyBorder="1"/>
    <xf numFmtId="0" fontId="0" fillId="0" borderId="0" xfId="0" applyProtection="1">
      <protection locked="0"/>
    </xf>
    <xf numFmtId="0" fontId="0" fillId="12" borderId="6" xfId="0" applyFill="1" applyBorder="1"/>
    <xf numFmtId="0" fontId="0" fillId="12" borderId="7" xfId="0" applyFill="1" applyBorder="1"/>
    <xf numFmtId="0" fontId="0" fillId="12" borderId="8" xfId="0" applyFill="1" applyBorder="1"/>
    <xf numFmtId="0" fontId="0" fillId="0" borderId="0" xfId="0" applyAlignment="1">
      <alignment wrapText="1"/>
    </xf>
    <xf numFmtId="0" fontId="17" fillId="0" borderId="0" xfId="0" applyFont="1" applyAlignment="1">
      <alignment textRotation="255"/>
    </xf>
    <xf numFmtId="9" fontId="0" fillId="0" borderId="0" xfId="5" applyFont="1" applyFill="1" applyBorder="1"/>
    <xf numFmtId="9" fontId="0" fillId="0" borderId="0" xfId="5" quotePrefix="1" applyFont="1" applyFill="1" applyBorder="1" applyAlignment="1">
      <alignment horizontal="right"/>
    </xf>
    <xf numFmtId="0" fontId="18" fillId="0" borderId="0" xfId="0" applyFont="1"/>
    <xf numFmtId="164" fontId="0" fillId="0" borderId="0" xfId="4" applyNumberFormat="1" applyFont="1"/>
    <xf numFmtId="0" fontId="0" fillId="0" borderId="0" xfId="0" applyAlignment="1">
      <alignment horizontal="left"/>
    </xf>
    <xf numFmtId="2" fontId="0" fillId="0" borderId="0" xfId="0" quotePrefix="1" applyNumberFormat="1"/>
    <xf numFmtId="0" fontId="16" fillId="0" borderId="0" xfId="6"/>
    <xf numFmtId="164" fontId="0" fillId="0" borderId="0" xfId="4" applyNumberFormat="1" applyFont="1" applyAlignment="1">
      <alignment horizontal="left"/>
    </xf>
    <xf numFmtId="10" fontId="0" fillId="0" borderId="0" xfId="0" applyNumberFormat="1"/>
    <xf numFmtId="0" fontId="0" fillId="13" borderId="0" xfId="0" applyFill="1"/>
    <xf numFmtId="168" fontId="0" fillId="13" borderId="0" xfId="7" applyNumberFormat="1" applyFont="1" applyFill="1"/>
    <xf numFmtId="9" fontId="0" fillId="13" borderId="0" xfId="0" applyNumberFormat="1" applyFill="1"/>
    <xf numFmtId="165" fontId="0" fillId="13" borderId="0" xfId="0" applyNumberFormat="1" applyFill="1"/>
    <xf numFmtId="168" fontId="0" fillId="13" borderId="11" xfId="7" applyNumberFormat="1" applyFont="1" applyFill="1" applyBorder="1"/>
    <xf numFmtId="0" fontId="0" fillId="4" borderId="0" xfId="0" applyFill="1" applyAlignment="1">
      <alignment horizontal="center"/>
    </xf>
    <xf numFmtId="168" fontId="0" fillId="4" borderId="0" xfId="0" applyNumberFormat="1" applyFill="1"/>
    <xf numFmtId="164" fontId="0" fillId="4" borderId="0" xfId="1" applyNumberFormat="1" applyFont="1" applyFill="1" applyAlignment="1"/>
    <xf numFmtId="168" fontId="0" fillId="13" borderId="0" xfId="0" applyNumberFormat="1" applyFill="1"/>
    <xf numFmtId="0" fontId="0" fillId="12" borderId="0" xfId="0" applyFill="1"/>
    <xf numFmtId="0" fontId="5" fillId="14" borderId="7" xfId="0" applyFont="1" applyFill="1" applyBorder="1"/>
    <xf numFmtId="0" fontId="0" fillId="14" borderId="1" xfId="0" applyFill="1" applyBorder="1"/>
    <xf numFmtId="0" fontId="0" fillId="14" borderId="2" xfId="0" applyFill="1" applyBorder="1"/>
    <xf numFmtId="0" fontId="0" fillId="14" borderId="3" xfId="0" applyFill="1" applyBorder="1"/>
    <xf numFmtId="0" fontId="0" fillId="14" borderId="4" xfId="0" applyFill="1" applyBorder="1"/>
    <xf numFmtId="0" fontId="5" fillId="14" borderId="0" xfId="0" applyFont="1" applyFill="1"/>
    <xf numFmtId="0" fontId="0" fillId="14" borderId="5" xfId="0" applyFill="1" applyBorder="1"/>
    <xf numFmtId="0" fontId="3" fillId="14" borderId="0" xfId="0" applyFont="1" applyFill="1"/>
    <xf numFmtId="0" fontId="4" fillId="14" borderId="0" xfId="0" applyFont="1" applyFill="1"/>
    <xf numFmtId="0" fontId="0" fillId="14" borderId="6" xfId="0" applyFill="1" applyBorder="1"/>
    <xf numFmtId="0" fontId="0" fillId="14" borderId="7" xfId="0" applyFill="1" applyBorder="1"/>
    <xf numFmtId="0" fontId="0" fillId="14" borderId="8" xfId="0" applyFill="1" applyBorder="1"/>
    <xf numFmtId="0" fontId="5" fillId="14" borderId="7" xfId="0" applyFont="1" applyFill="1" applyBorder="1" applyAlignment="1">
      <alignment horizontal="center" vertical="center"/>
    </xf>
    <xf numFmtId="0" fontId="5" fillId="14" borderId="0" xfId="0" applyFont="1" applyFill="1" applyAlignment="1">
      <alignment horizontal="center" vertical="center"/>
    </xf>
    <xf numFmtId="168" fontId="5" fillId="14" borderId="0" xfId="0" applyNumberFormat="1" applyFont="1" applyFill="1" applyAlignment="1">
      <alignment horizontal="center" vertical="center"/>
    </xf>
    <xf numFmtId="169" fontId="4" fillId="14" borderId="0" xfId="5" applyNumberFormat="1" applyFont="1" applyFill="1" applyBorder="1" applyAlignment="1">
      <alignment horizontal="center" vertical="center"/>
    </xf>
    <xf numFmtId="0" fontId="0" fillId="14" borderId="0" xfId="0" applyFill="1"/>
    <xf numFmtId="0" fontId="3" fillId="14" borderId="5" xfId="0" applyFont="1" applyFill="1" applyBorder="1"/>
    <xf numFmtId="168" fontId="0" fillId="5" borderId="0" xfId="0" applyNumberFormat="1" applyFill="1"/>
    <xf numFmtId="0" fontId="0" fillId="5" borderId="0" xfId="0" applyFill="1" applyAlignment="1">
      <alignment vertical="top"/>
    </xf>
    <xf numFmtId="168" fontId="0" fillId="5" borderId="0" xfId="0" applyNumberFormat="1" applyFill="1" applyAlignment="1">
      <alignment vertical="top"/>
    </xf>
    <xf numFmtId="0" fontId="0" fillId="15" borderId="0" xfId="0" applyFill="1"/>
    <xf numFmtId="164" fontId="0" fillId="13" borderId="0" xfId="0" quotePrefix="1" applyNumberFormat="1" applyFill="1"/>
    <xf numFmtId="164" fontId="0" fillId="4" borderId="0" xfId="0" quotePrefix="1" applyNumberFormat="1" applyFill="1"/>
    <xf numFmtId="170" fontId="0" fillId="13" borderId="0" xfId="0" quotePrefix="1" applyNumberFormat="1" applyFill="1"/>
    <xf numFmtId="1" fontId="5" fillId="14" borderId="0" xfId="0" applyNumberFormat="1" applyFont="1" applyFill="1" applyAlignment="1">
      <alignment horizontal="center" vertical="center"/>
    </xf>
    <xf numFmtId="164" fontId="0" fillId="13" borderId="0" xfId="0" applyNumberFormat="1" applyFill="1"/>
    <xf numFmtId="9" fontId="11" fillId="9" borderId="10" xfId="2" applyFont="1" applyFill="1" applyBorder="1" applyAlignment="1">
      <alignment horizontal="center" vertical="center"/>
    </xf>
    <xf numFmtId="168" fontId="0" fillId="13" borderId="12" xfId="0" applyNumberFormat="1" applyFill="1" applyBorder="1"/>
    <xf numFmtId="168" fontId="0" fillId="13" borderId="13" xfId="0" applyNumberFormat="1" applyFill="1" applyBorder="1"/>
    <xf numFmtId="168" fontId="0" fillId="13" borderId="14" xfId="0" applyNumberFormat="1" applyFill="1" applyBorder="1"/>
    <xf numFmtId="0" fontId="3" fillId="14" borderId="0" xfId="0" applyFont="1" applyFill="1" applyAlignment="1">
      <alignment horizontal="center"/>
    </xf>
    <xf numFmtId="0" fontId="0" fillId="0" borderId="1" xfId="0" applyBorder="1" applyAlignment="1">
      <alignment wrapText="1"/>
    </xf>
    <xf numFmtId="0" fontId="0" fillId="0" borderId="2" xfId="0" applyBorder="1" applyAlignment="1">
      <alignment wrapText="1"/>
    </xf>
    <xf numFmtId="0" fontId="4" fillId="0" borderId="2" xfId="0" applyFont="1" applyBorder="1" applyAlignment="1">
      <alignment wrapText="1"/>
    </xf>
    <xf numFmtId="0" fontId="0" fillId="0" borderId="2" xfId="0" applyBorder="1"/>
    <xf numFmtId="0" fontId="0" fillId="0" borderId="3" xfId="0" applyBorder="1" applyAlignment="1">
      <alignment wrapText="1"/>
    </xf>
    <xf numFmtId="0" fontId="0" fillId="0" borderId="4" xfId="0" applyBorder="1" applyAlignment="1">
      <alignment horizontal="center"/>
    </xf>
    <xf numFmtId="0" fontId="0" fillId="0" borderId="5" xfId="0" applyBorder="1"/>
    <xf numFmtId="164" fontId="0" fillId="0" borderId="0" xfId="1" applyNumberFormat="1" applyFont="1" applyFill="1" applyBorder="1"/>
    <xf numFmtId="0" fontId="0" fillId="0" borderId="4" xfId="0" applyBorder="1"/>
    <xf numFmtId="0" fontId="0" fillId="0" borderId="6" xfId="0" applyBorder="1" applyAlignment="1">
      <alignment horizontal="center"/>
    </xf>
    <xf numFmtId="0" fontId="0" fillId="0" borderId="7" xfId="0" applyBorder="1"/>
    <xf numFmtId="164" fontId="0" fillId="0" borderId="7" xfId="1" applyNumberFormat="1" applyFont="1" applyFill="1" applyBorder="1"/>
    <xf numFmtId="164" fontId="0" fillId="0" borderId="7" xfId="0" quotePrefix="1" applyNumberFormat="1" applyBorder="1"/>
    <xf numFmtId="0" fontId="0" fillId="0" borderId="7" xfId="0" quotePrefix="1" applyBorder="1"/>
    <xf numFmtId="0" fontId="0" fillId="0" borderId="8" xfId="0" applyBorder="1"/>
    <xf numFmtId="168" fontId="0" fillId="4" borderId="0" xfId="0" applyNumberFormat="1" applyFill="1" applyAlignment="1">
      <alignment horizontal="center" vertical="center"/>
    </xf>
    <xf numFmtId="0" fontId="0" fillId="16" borderId="0" xfId="0" applyFill="1"/>
    <xf numFmtId="1" fontId="0" fillId="13" borderId="0" xfId="0" applyNumberFormat="1" applyFill="1"/>
    <xf numFmtId="168" fontId="4" fillId="14" borderId="0" xfId="5" applyNumberFormat="1" applyFont="1" applyFill="1" applyBorder="1" applyAlignment="1">
      <alignment horizontal="center" vertical="center"/>
    </xf>
    <xf numFmtId="9" fontId="0" fillId="5" borderId="0" xfId="0" quotePrefix="1" applyNumberFormat="1" applyFill="1"/>
    <xf numFmtId="6" fontId="0" fillId="5" borderId="0" xfId="0" applyNumberFormat="1" applyFill="1"/>
    <xf numFmtId="0" fontId="0" fillId="6" borderId="0" xfId="0" quotePrefix="1" applyFill="1"/>
    <xf numFmtId="9" fontId="0" fillId="5" borderId="0" xfId="2" applyFont="1" applyFill="1"/>
    <xf numFmtId="0" fontId="0" fillId="0" borderId="0" xfId="0" applyAlignment="1">
      <alignment horizontal="left" indent="1"/>
    </xf>
    <xf numFmtId="9" fontId="0" fillId="13" borderId="0" xfId="2" quotePrefix="1" applyFont="1" applyFill="1" applyBorder="1"/>
    <xf numFmtId="1" fontId="0" fillId="13" borderId="0" xfId="0" quotePrefix="1" applyNumberFormat="1" applyFill="1"/>
    <xf numFmtId="0" fontId="20" fillId="0" borderId="0" xfId="0" applyFont="1"/>
    <xf numFmtId="0" fontId="0" fillId="17" borderId="1" xfId="0" applyFill="1" applyBorder="1"/>
    <xf numFmtId="0" fontId="0" fillId="17" borderId="2" xfId="0" applyFill="1" applyBorder="1"/>
    <xf numFmtId="0" fontId="0" fillId="17" borderId="3" xfId="0" applyFill="1" applyBorder="1"/>
    <xf numFmtId="0" fontId="0" fillId="17" borderId="4" xfId="0" applyFill="1" applyBorder="1"/>
    <xf numFmtId="0" fontId="0" fillId="17" borderId="0" xfId="0" applyFill="1"/>
    <xf numFmtId="0" fontId="0" fillId="17" borderId="5" xfId="0" applyFill="1" applyBorder="1"/>
    <xf numFmtId="0" fontId="0" fillId="17" borderId="6" xfId="0" applyFill="1" applyBorder="1"/>
    <xf numFmtId="0" fontId="0" fillId="17" borderId="7" xfId="0" applyFill="1" applyBorder="1"/>
    <xf numFmtId="0" fontId="0" fillId="17" borderId="8" xfId="0" applyFill="1" applyBorder="1"/>
    <xf numFmtId="171" fontId="0" fillId="13" borderId="0" xfId="0" applyNumberFormat="1" applyFill="1"/>
    <xf numFmtId="0" fontId="0" fillId="0" borderId="1" xfId="0" applyBorder="1"/>
    <xf numFmtId="164" fontId="0" fillId="13" borderId="2" xfId="0" applyNumberFormat="1" applyFill="1" applyBorder="1"/>
    <xf numFmtId="164" fontId="0" fillId="13" borderId="3" xfId="0" applyNumberFormat="1" applyFill="1" applyBorder="1"/>
    <xf numFmtId="0" fontId="0" fillId="0" borderId="4" xfId="0" applyBorder="1" applyAlignment="1">
      <alignment horizontal="left" indent="1"/>
    </xf>
    <xf numFmtId="164" fontId="0" fillId="13" borderId="5" xfId="0" applyNumberFormat="1" applyFill="1" applyBorder="1"/>
    <xf numFmtId="0" fontId="0" fillId="0" borderId="6" xfId="0" applyBorder="1" applyAlignment="1">
      <alignment horizontal="left" indent="1"/>
    </xf>
    <xf numFmtId="172" fontId="0" fillId="13" borderId="7" xfId="0" applyNumberFormat="1" applyFill="1" applyBorder="1"/>
    <xf numFmtId="172" fontId="0" fillId="13" borderId="8" xfId="0" applyNumberFormat="1" applyFill="1" applyBorder="1"/>
    <xf numFmtId="0" fontId="0" fillId="0" borderId="3" xfId="0" applyBorder="1"/>
    <xf numFmtId="0" fontId="0" fillId="0" borderId="6" xfId="0" applyBorder="1"/>
    <xf numFmtId="0" fontId="21" fillId="14" borderId="0" xfId="0" applyFont="1" applyFill="1"/>
    <xf numFmtId="169" fontId="21" fillId="14" borderId="0" xfId="5" applyNumberFormat="1" applyFont="1" applyFill="1" applyBorder="1" applyAlignment="1">
      <alignment horizontal="center" vertical="center"/>
    </xf>
    <xf numFmtId="164" fontId="0" fillId="13" borderId="0" xfId="0" applyNumberFormat="1" applyFill="1" applyAlignment="1">
      <alignment horizontal="left" indent="1"/>
    </xf>
    <xf numFmtId="164" fontId="0" fillId="13" borderId="5" xfId="0" applyNumberFormat="1" applyFill="1" applyBorder="1" applyAlignment="1">
      <alignment horizontal="left" indent="1"/>
    </xf>
    <xf numFmtId="164" fontId="0" fillId="13" borderId="7" xfId="0" applyNumberFormat="1" applyFill="1" applyBorder="1" applyAlignment="1">
      <alignment horizontal="left" indent="1"/>
    </xf>
    <xf numFmtId="164" fontId="0" fillId="13" borderId="8" xfId="0" applyNumberFormat="1" applyFill="1" applyBorder="1" applyAlignment="1">
      <alignment horizontal="left" indent="1"/>
    </xf>
    <xf numFmtId="6" fontId="0" fillId="13" borderId="0" xfId="0" applyNumberFormat="1" applyFill="1"/>
    <xf numFmtId="0" fontId="0" fillId="12" borderId="10" xfId="0" applyFill="1" applyBorder="1"/>
    <xf numFmtId="10" fontId="0" fillId="5" borderId="0" xfId="0" applyNumberFormat="1" applyFill="1"/>
    <xf numFmtId="0" fontId="19" fillId="16" borderId="1" xfId="0" applyFont="1" applyFill="1" applyBorder="1" applyAlignment="1">
      <alignment horizontal="center" vertical="center"/>
    </xf>
    <xf numFmtId="0" fontId="19" fillId="16" borderId="2" xfId="0" applyFont="1" applyFill="1" applyBorder="1" applyAlignment="1">
      <alignment horizontal="center" vertical="center"/>
    </xf>
    <xf numFmtId="0" fontId="19" fillId="16" borderId="3" xfId="0" applyFont="1" applyFill="1" applyBorder="1" applyAlignment="1">
      <alignment horizontal="center" vertical="center"/>
    </xf>
    <xf numFmtId="0" fontId="19" fillId="16" borderId="6" xfId="0" applyFont="1" applyFill="1" applyBorder="1" applyAlignment="1">
      <alignment horizontal="center" vertical="center"/>
    </xf>
    <xf numFmtId="0" fontId="19" fillId="16" borderId="7" xfId="0" applyFont="1" applyFill="1" applyBorder="1" applyAlignment="1">
      <alignment horizontal="center" vertical="center"/>
    </xf>
    <xf numFmtId="0" fontId="19" fillId="16" borderId="8" xfId="0" applyFont="1" applyFill="1" applyBorder="1" applyAlignment="1">
      <alignment horizontal="center" vertical="center"/>
    </xf>
  </cellXfs>
  <cellStyles count="8">
    <cellStyle name="40% - Accent3" xfId="3" builtinId="39"/>
    <cellStyle name="Comma" xfId="1" builtinId="3"/>
    <cellStyle name="Comma 2" xfId="4" xr:uid="{5B0AD05E-EF7C-4315-88B0-862B4D47C8BA}"/>
    <cellStyle name="Currency" xfId="7" builtinId="4"/>
    <cellStyle name="Hyperlink" xfId="6" builtinId="8"/>
    <cellStyle name="Normal" xfId="0" builtinId="0"/>
    <cellStyle name="Percent" xfId="2" builtinId="5"/>
    <cellStyle name="Percent 2" xfId="5" xr:uid="{89CA211C-4DE0-463E-9242-81937E31F4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acculytic.com/accounts-payable-benchmarking-by-industry" TargetMode="External"/><Relationship Id="rId2" Type="http://schemas.openxmlformats.org/officeDocument/2006/relationships/hyperlink" Target="https://www.oversightsystems.com/blog/duplicate-invoice-payments-avoid-cash-leakage-accounts-payable" TargetMode="External"/><Relationship Id="rId1" Type="http://schemas.openxmlformats.org/officeDocument/2006/relationships/hyperlink" Target="https://www.concur.com/newsroom/article/how-much-money-is-your-business-throwing-away-in-duplicate-invoice" TargetMode="External"/><Relationship Id="rId5" Type="http://schemas.openxmlformats.org/officeDocument/2006/relationships/hyperlink" Target="http://www.calculconversion.com/work-hour-calculator.html" TargetMode="External"/><Relationship Id="rId4" Type="http://schemas.openxmlformats.org/officeDocument/2006/relationships/hyperlink" Target="http://8c12cf0ca0d6cec91f49-3bebbe33c01fdefb20dab8ed73fa2504.r68.cf2.rackcdn.com/ePayables_2013_APs_New_Dawn_Ardent_Partn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3F035-C8B0-4D6E-A6F7-A8CC6608024D}">
  <dimension ref="A2:W78"/>
  <sheetViews>
    <sheetView topLeftCell="A16" zoomScaleNormal="100" workbookViewId="0">
      <selection activeCell="I38" sqref="I38"/>
    </sheetView>
  </sheetViews>
  <sheetFormatPr defaultRowHeight="15" x14ac:dyDescent="0.25"/>
  <cols>
    <col min="3" max="3" width="35.85546875" customWidth="1"/>
    <col min="4" max="4" width="17" customWidth="1"/>
    <col min="5" max="5" width="15.42578125" customWidth="1"/>
    <col min="6" max="6" width="15.28515625" customWidth="1"/>
    <col min="7" max="7" width="10.7109375" customWidth="1"/>
    <col min="8" max="8" width="17" customWidth="1"/>
    <col min="9" max="9" width="16.7109375" customWidth="1"/>
    <col min="10" max="10" width="19.7109375" customWidth="1"/>
    <col min="12" max="12" width="16.140625" customWidth="1"/>
    <col min="13" max="13" width="14.5703125" customWidth="1"/>
    <col min="15" max="15" width="9.5703125" bestFit="1" customWidth="1"/>
  </cols>
  <sheetData>
    <row r="2" spans="2:12" x14ac:dyDescent="0.25">
      <c r="B2" s="23"/>
      <c r="C2" s="24"/>
      <c r="D2" s="24"/>
      <c r="E2" s="25"/>
      <c r="G2" s="6"/>
      <c r="H2" s="1" t="s">
        <v>301</v>
      </c>
    </row>
    <row r="3" spans="2:12" x14ac:dyDescent="0.25">
      <c r="B3" s="26"/>
      <c r="C3" s="27" t="s">
        <v>0</v>
      </c>
      <c r="D3" s="88" t="s">
        <v>1</v>
      </c>
      <c r="E3" s="28"/>
      <c r="G3" s="3"/>
      <c r="H3" s="1" t="s">
        <v>299</v>
      </c>
    </row>
    <row r="4" spans="2:12" x14ac:dyDescent="0.25">
      <c r="B4" s="26"/>
      <c r="C4" s="27" t="s">
        <v>2</v>
      </c>
      <c r="D4" s="88" t="s">
        <v>3</v>
      </c>
      <c r="E4" s="28"/>
      <c r="G4" s="83"/>
      <c r="H4" s="1" t="s">
        <v>300</v>
      </c>
    </row>
    <row r="5" spans="2:12" x14ac:dyDescent="0.25">
      <c r="B5" s="26"/>
      <c r="C5" s="27" t="s">
        <v>5</v>
      </c>
      <c r="D5" s="88">
        <v>1</v>
      </c>
      <c r="E5" s="28"/>
      <c r="F5" s="33"/>
      <c r="G5" s="114"/>
      <c r="H5" s="1" t="s">
        <v>6</v>
      </c>
    </row>
    <row r="6" spans="2:12" x14ac:dyDescent="0.25">
      <c r="B6" s="26"/>
      <c r="C6" s="27" t="s">
        <v>7</v>
      </c>
      <c r="D6" s="88" t="s">
        <v>8</v>
      </c>
      <c r="E6" s="28"/>
      <c r="F6" s="33"/>
    </row>
    <row r="7" spans="2:12" x14ac:dyDescent="0.25">
      <c r="B7" s="26"/>
      <c r="C7" s="27" t="s">
        <v>9</v>
      </c>
      <c r="D7" s="88">
        <v>1</v>
      </c>
      <c r="E7" s="28"/>
      <c r="F7" s="33"/>
    </row>
    <row r="8" spans="2:12" x14ac:dyDescent="0.25">
      <c r="B8" s="29"/>
      <c r="C8" s="30"/>
      <c r="D8" s="30"/>
      <c r="E8" s="31"/>
      <c r="F8" s="33"/>
    </row>
    <row r="10" spans="2:12" x14ac:dyDescent="0.25">
      <c r="B10" t="s">
        <v>10</v>
      </c>
    </row>
    <row r="11" spans="2:12" x14ac:dyDescent="0.25">
      <c r="B11" s="23"/>
      <c r="C11" s="24"/>
      <c r="D11" s="24"/>
      <c r="E11" s="25"/>
    </row>
    <row r="12" spans="2:12" x14ac:dyDescent="0.25">
      <c r="B12" s="26"/>
      <c r="C12" s="27" t="s">
        <v>11</v>
      </c>
      <c r="D12" s="89">
        <v>1800000000</v>
      </c>
      <c r="E12" s="28"/>
    </row>
    <row r="13" spans="2:12" x14ac:dyDescent="0.25">
      <c r="B13" s="26"/>
      <c r="C13" s="27" t="s">
        <v>12</v>
      </c>
      <c r="D13" s="90">
        <v>1156000</v>
      </c>
      <c r="E13" s="28"/>
      <c r="L13" s="5"/>
    </row>
    <row r="14" spans="2:12" x14ac:dyDescent="0.25">
      <c r="B14" s="26"/>
      <c r="C14" s="27" t="s">
        <v>13</v>
      </c>
      <c r="D14" s="88" t="s">
        <v>14</v>
      </c>
      <c r="E14" s="28"/>
    </row>
    <row r="15" spans="2:12" x14ac:dyDescent="0.25">
      <c r="B15" s="26"/>
      <c r="C15" s="27" t="s">
        <v>15</v>
      </c>
      <c r="D15" s="88">
        <v>2</v>
      </c>
      <c r="E15" s="28"/>
    </row>
    <row r="16" spans="2:12" x14ac:dyDescent="0.25">
      <c r="B16" s="26"/>
      <c r="C16" s="27" t="s">
        <v>16</v>
      </c>
      <c r="D16" s="88" t="s">
        <v>17</v>
      </c>
      <c r="E16" s="28"/>
    </row>
    <row r="17" spans="1:18" x14ac:dyDescent="0.25">
      <c r="B17" s="29"/>
      <c r="C17" s="30"/>
      <c r="D17" s="30"/>
      <c r="E17" s="31"/>
    </row>
    <row r="18" spans="1:18" x14ac:dyDescent="0.25">
      <c r="L18" s="5"/>
    </row>
    <row r="19" spans="1:18" x14ac:dyDescent="0.25">
      <c r="B19" t="s">
        <v>18</v>
      </c>
      <c r="L19" s="5"/>
    </row>
    <row r="20" spans="1:18" x14ac:dyDescent="0.25">
      <c r="B20" s="63"/>
      <c r="C20" s="64"/>
      <c r="D20" s="64"/>
      <c r="E20" s="64"/>
      <c r="F20" s="64"/>
      <c r="G20" s="65"/>
      <c r="L20" s="5"/>
    </row>
    <row r="21" spans="1:18" x14ac:dyDescent="0.25">
      <c r="B21" s="66"/>
      <c r="C21" s="92" t="s">
        <v>19</v>
      </c>
      <c r="D21" s="91">
        <f>HLOOKUP(D13,'Price List'!C4:I10,7)</f>
        <v>64800</v>
      </c>
      <c r="E21" s="91">
        <f>HLOOKUP(D13,'Price List'!C4:I10,7)</f>
        <v>64800</v>
      </c>
      <c r="F21" s="91">
        <f>HLOOKUP(D13,'Price List'!C4:I10,7)</f>
        <v>64800</v>
      </c>
      <c r="G21" s="67"/>
    </row>
    <row r="22" spans="1:18" x14ac:dyDescent="0.25">
      <c r="B22" s="66"/>
      <c r="C22" s="92" t="s">
        <v>20</v>
      </c>
      <c r="D22" s="91">
        <f>HLOOKUP(D13,'Price List'!C4:I10,4)</f>
        <v>16200</v>
      </c>
      <c r="E22" s="91">
        <v>0</v>
      </c>
      <c r="F22" s="91">
        <v>0</v>
      </c>
      <c r="G22" s="67"/>
    </row>
    <row r="23" spans="1:18" x14ac:dyDescent="0.25">
      <c r="B23" s="66"/>
      <c r="C23" s="92" t="s">
        <v>21</v>
      </c>
      <c r="D23" s="91">
        <f>HLOOKUP(D13,'Price List'!C4:I10,5)</f>
        <v>7800</v>
      </c>
      <c r="E23" s="91">
        <f>HLOOKUP(D13,'Price List'!C4:I10,5)</f>
        <v>7800</v>
      </c>
      <c r="F23" s="91">
        <f>HLOOKUP(D13,'Price List'!C4:I10,5)</f>
        <v>7800</v>
      </c>
      <c r="G23" s="67"/>
    </row>
    <row r="24" spans="1:18" x14ac:dyDescent="0.25">
      <c r="B24" s="66"/>
      <c r="C24" s="92" t="s">
        <v>22</v>
      </c>
      <c r="D24" s="91">
        <f>HLOOKUP(D13,'Price List'!C4:I13,10)</f>
        <v>5000</v>
      </c>
      <c r="E24" s="91">
        <f>HLOOKUP(D13,'Price List'!C4:I13,10)</f>
        <v>5000</v>
      </c>
      <c r="F24" s="91">
        <f>HLOOKUP(D13,'Price List'!C4:I13,10)</f>
        <v>5000</v>
      </c>
      <c r="G24" s="67"/>
      <c r="I24" s="94"/>
      <c r="J24" s="95"/>
      <c r="K24" s="95"/>
      <c r="L24" s="95"/>
      <c r="M24" s="95"/>
      <c r="N24" s="95"/>
      <c r="O24" s="96"/>
    </row>
    <row r="25" spans="1:18" x14ac:dyDescent="0.25">
      <c r="B25" s="66"/>
      <c r="C25" s="92" t="s">
        <v>23</v>
      </c>
      <c r="D25" s="91">
        <f>(D5-1)*'Price List'!C41</f>
        <v>0</v>
      </c>
      <c r="E25" s="91">
        <f>(D5-1)*'Price List'!C41</f>
        <v>0</v>
      </c>
      <c r="F25" s="91">
        <f>(D5-1)*'Price List'!C41</f>
        <v>0</v>
      </c>
      <c r="G25" s="67"/>
      <c r="I25" s="97"/>
      <c r="J25" s="109"/>
      <c r="K25" s="109"/>
      <c r="L25" s="109" t="s">
        <v>24</v>
      </c>
      <c r="M25" s="109" t="s">
        <v>25</v>
      </c>
      <c r="N25" s="109" t="s">
        <v>26</v>
      </c>
      <c r="O25" s="99"/>
    </row>
    <row r="26" spans="1:18" x14ac:dyDescent="0.25">
      <c r="B26" s="66"/>
      <c r="C26" s="92" t="s">
        <v>27</v>
      </c>
      <c r="D26" s="121">
        <f>IF($K$26 = "yes", L26, SUM(D21:D25))</f>
        <v>60000</v>
      </c>
      <c r="E26" s="122">
        <f>IF($K$26 = "yes", M26, SUM(E21:E25))</f>
        <v>60000</v>
      </c>
      <c r="F26" s="123">
        <f>IF($K$26 = "yes", N26, SUM(F21:F25))</f>
        <v>60000</v>
      </c>
      <c r="G26" s="67"/>
      <c r="I26" s="97"/>
      <c r="J26" s="109" t="s">
        <v>71</v>
      </c>
      <c r="K26" s="3" t="s">
        <v>159</v>
      </c>
      <c r="L26" s="111">
        <v>60000</v>
      </c>
      <c r="M26" s="111">
        <v>60000</v>
      </c>
      <c r="N26" s="111">
        <v>60000</v>
      </c>
      <c r="O26" s="99"/>
    </row>
    <row r="27" spans="1:18" x14ac:dyDescent="0.25">
      <c r="B27" s="66"/>
      <c r="C27" s="92"/>
      <c r="D27" s="92"/>
      <c r="E27" s="92"/>
      <c r="F27" s="92"/>
      <c r="G27" s="67"/>
      <c r="I27" s="97"/>
      <c r="J27" s="109" t="s">
        <v>28</v>
      </c>
      <c r="K27" s="8">
        <v>0</v>
      </c>
      <c r="L27" s="109"/>
      <c r="M27" s="109"/>
      <c r="N27" s="109"/>
      <c r="O27" s="110"/>
      <c r="P27" s="33"/>
      <c r="Q27" s="2"/>
      <c r="R27" s="2"/>
    </row>
    <row r="28" spans="1:18" x14ac:dyDescent="0.25">
      <c r="B28" s="69"/>
      <c r="C28" s="70"/>
      <c r="D28" s="70"/>
      <c r="E28" s="70"/>
      <c r="F28" s="70"/>
      <c r="G28" s="71"/>
      <c r="I28" s="102"/>
      <c r="J28" s="103"/>
      <c r="K28" s="103"/>
      <c r="L28" s="103"/>
      <c r="M28" s="103"/>
      <c r="N28" s="103"/>
      <c r="O28" s="104"/>
      <c r="Q28" s="2"/>
      <c r="R28" s="2"/>
    </row>
    <row r="30" spans="1:18" x14ac:dyDescent="0.25">
      <c r="A30" s="181" t="s">
        <v>73</v>
      </c>
      <c r="B30" s="182"/>
      <c r="C30" s="182"/>
      <c r="D30" s="182"/>
      <c r="E30" s="182"/>
      <c r="F30" s="182"/>
      <c r="G30" s="182"/>
      <c r="H30" s="182"/>
      <c r="I30" s="182"/>
      <c r="J30" s="182"/>
      <c r="K30" s="182"/>
      <c r="L30" s="182"/>
      <c r="M30" s="182"/>
      <c r="N30" s="182"/>
      <c r="O30" s="182"/>
      <c r="P30" s="182"/>
      <c r="Q30" s="183"/>
    </row>
    <row r="31" spans="1:18" x14ac:dyDescent="0.25">
      <c r="A31" s="184"/>
      <c r="B31" s="185"/>
      <c r="C31" s="185"/>
      <c r="D31" s="185"/>
      <c r="E31" s="185"/>
      <c r="F31" s="185"/>
      <c r="G31" s="185"/>
      <c r="H31" s="185"/>
      <c r="I31" s="185"/>
      <c r="J31" s="185"/>
      <c r="K31" s="185"/>
      <c r="L31" s="185"/>
      <c r="M31" s="185"/>
      <c r="N31" s="185"/>
      <c r="O31" s="185"/>
      <c r="P31" s="185"/>
      <c r="Q31" s="186"/>
    </row>
    <row r="34" spans="1:18" x14ac:dyDescent="0.25">
      <c r="B34" s="94"/>
      <c r="C34" s="95"/>
      <c r="D34" s="95"/>
      <c r="E34" s="95"/>
      <c r="F34" s="95"/>
      <c r="G34" s="96"/>
      <c r="I34" s="179" t="s">
        <v>295</v>
      </c>
    </row>
    <row r="35" spans="1:18" ht="15.75" x14ac:dyDescent="0.25">
      <c r="B35" s="97"/>
      <c r="C35" s="93" t="s">
        <v>29</v>
      </c>
      <c r="D35" s="105" t="s">
        <v>24</v>
      </c>
      <c r="E35" s="105" t="s">
        <v>25</v>
      </c>
      <c r="F35" s="105" t="s">
        <v>26</v>
      </c>
      <c r="G35" s="99"/>
    </row>
    <row r="36" spans="1:18" ht="15.75" x14ac:dyDescent="0.25">
      <c r="B36" s="97"/>
      <c r="C36" s="98"/>
      <c r="D36" s="106"/>
      <c r="E36" s="106"/>
      <c r="F36" s="106"/>
      <c r="G36" s="99"/>
      <c r="I36" t="s">
        <v>310</v>
      </c>
    </row>
    <row r="37" spans="1:18" ht="15.75" x14ac:dyDescent="0.25">
      <c r="B37" s="97"/>
      <c r="C37" s="100" t="s">
        <v>30</v>
      </c>
      <c r="D37" s="107">
        <f>F58*(1-$K$27)</f>
        <v>8100000</v>
      </c>
      <c r="E37" s="107">
        <f>F58*(1-$K$27)</f>
        <v>8100000</v>
      </c>
      <c r="F37" s="107">
        <f>F58*(1-$K$27)</f>
        <v>8100000</v>
      </c>
      <c r="G37" s="99"/>
      <c r="I37" t="s">
        <v>314</v>
      </c>
    </row>
    <row r="38" spans="1:18" ht="15.75" x14ac:dyDescent="0.25">
      <c r="B38" s="97"/>
      <c r="C38" s="100" t="s">
        <v>31</v>
      </c>
      <c r="D38" s="107">
        <f>F68*(1-$K$27)</f>
        <v>7776000</v>
      </c>
      <c r="E38" s="107">
        <v>0</v>
      </c>
      <c r="F38" s="107">
        <v>0</v>
      </c>
      <c r="G38" s="99"/>
      <c r="I38" t="s">
        <v>316</v>
      </c>
    </row>
    <row r="39" spans="1:18" ht="15.75" x14ac:dyDescent="0.25">
      <c r="B39" s="97"/>
      <c r="C39" s="100" t="s">
        <v>32</v>
      </c>
      <c r="D39" s="107">
        <f>F71*(1-$K$27)</f>
        <v>0</v>
      </c>
      <c r="E39" s="107">
        <v>0</v>
      </c>
      <c r="F39" s="107">
        <v>0</v>
      </c>
      <c r="G39" s="99"/>
      <c r="I39" t="s">
        <v>315</v>
      </c>
    </row>
    <row r="40" spans="1:18" ht="15.75" x14ac:dyDescent="0.25">
      <c r="B40" s="97"/>
      <c r="C40" s="100"/>
      <c r="D40" s="107"/>
      <c r="E40" s="107"/>
      <c r="F40" s="107"/>
      <c r="G40" s="99"/>
    </row>
    <row r="41" spans="1:18" ht="15.75" x14ac:dyDescent="0.25">
      <c r="B41" s="97"/>
      <c r="C41" s="100" t="s">
        <v>33</v>
      </c>
      <c r="D41" s="107">
        <f>SUM(D37:D39)</f>
        <v>15876000</v>
      </c>
      <c r="E41" s="107">
        <f t="shared" ref="E41:F41" si="0">SUM(E37:E39)</f>
        <v>8100000</v>
      </c>
      <c r="F41" s="107">
        <f t="shared" si="0"/>
        <v>8100000</v>
      </c>
      <c r="G41" s="99"/>
    </row>
    <row r="42" spans="1:18" x14ac:dyDescent="0.25">
      <c r="B42" s="97"/>
      <c r="C42" s="101" t="s">
        <v>34</v>
      </c>
      <c r="D42" s="108" t="str">
        <f>"X "&amp;TRUNC(D41/D26)</f>
        <v>X 264</v>
      </c>
      <c r="E42" s="108" t="str">
        <f>"X "&amp;TRUNC(E41/E26)</f>
        <v>X 135</v>
      </c>
      <c r="F42" s="108" t="str">
        <f>"X "&amp;TRUNC(F41/F26)</f>
        <v>X 135</v>
      </c>
      <c r="G42" s="99"/>
    </row>
    <row r="43" spans="1:18" x14ac:dyDescent="0.25">
      <c r="B43" s="102"/>
      <c r="C43" s="103"/>
      <c r="D43" s="103"/>
      <c r="E43" s="103"/>
      <c r="F43" s="103"/>
      <c r="G43" s="104"/>
    </row>
    <row r="46" spans="1:18" x14ac:dyDescent="0.25">
      <c r="A46" s="181" t="s">
        <v>261</v>
      </c>
      <c r="B46" s="182"/>
      <c r="C46" s="182"/>
      <c r="D46" s="182"/>
      <c r="E46" s="182"/>
      <c r="F46" s="182"/>
      <c r="G46" s="182"/>
      <c r="H46" s="182"/>
      <c r="I46" s="182"/>
      <c r="J46" s="182"/>
      <c r="K46" s="182"/>
      <c r="L46" s="182"/>
      <c r="M46" s="182"/>
      <c r="N46" s="182"/>
      <c r="O46" s="182"/>
      <c r="P46" s="182"/>
      <c r="Q46" s="183"/>
    </row>
    <row r="47" spans="1:18" x14ac:dyDescent="0.25">
      <c r="A47" s="184"/>
      <c r="B47" s="185"/>
      <c r="C47" s="185"/>
      <c r="D47" s="185"/>
      <c r="E47" s="185"/>
      <c r="F47" s="185"/>
      <c r="G47" s="185"/>
      <c r="H47" s="185"/>
      <c r="I47" s="185"/>
      <c r="J47" s="185"/>
      <c r="K47" s="185"/>
      <c r="L47" s="185"/>
      <c r="M47" s="185"/>
      <c r="N47" s="185"/>
      <c r="O47" s="185"/>
      <c r="P47" s="185"/>
      <c r="Q47" s="186"/>
      <c r="R47" s="10"/>
    </row>
    <row r="48" spans="1:18" x14ac:dyDescent="0.25">
      <c r="R48" s="10"/>
    </row>
    <row r="49" spans="1:23" x14ac:dyDescent="0.25">
      <c r="L49" s="5"/>
      <c r="R49" s="10"/>
    </row>
    <row r="50" spans="1:23" x14ac:dyDescent="0.25">
      <c r="B50" s="7" t="s">
        <v>35</v>
      </c>
      <c r="R50" s="10"/>
    </row>
    <row r="51" spans="1:23" x14ac:dyDescent="0.25">
      <c r="A51" s="9">
        <v>1</v>
      </c>
      <c r="B51" t="s">
        <v>36</v>
      </c>
      <c r="F51" s="180">
        <v>5.0000000000000001E-3</v>
      </c>
      <c r="H51" t="s">
        <v>311</v>
      </c>
      <c r="R51" s="10"/>
      <c r="T51" s="2"/>
    </row>
    <row r="52" spans="1:23" hidden="1" x14ac:dyDescent="0.25">
      <c r="A52" s="9"/>
      <c r="B52" t="s">
        <v>37</v>
      </c>
      <c r="F52" s="114" t="s">
        <v>38</v>
      </c>
      <c r="H52" t="s">
        <v>312</v>
      </c>
      <c r="R52" s="10"/>
    </row>
    <row r="53" spans="1:23" hidden="1" x14ac:dyDescent="0.25">
      <c r="A53" s="9"/>
      <c r="B53" t="s">
        <v>39</v>
      </c>
      <c r="F53" s="114" t="s">
        <v>38</v>
      </c>
      <c r="H53" t="s">
        <v>40</v>
      </c>
      <c r="R53" s="10"/>
    </row>
    <row r="54" spans="1:23" hidden="1" x14ac:dyDescent="0.25">
      <c r="A54" s="9"/>
      <c r="B54" t="s">
        <v>41</v>
      </c>
      <c r="F54" s="114" t="s">
        <v>38</v>
      </c>
      <c r="H54" t="s">
        <v>42</v>
      </c>
      <c r="R54" s="10"/>
    </row>
    <row r="55" spans="1:23" x14ac:dyDescent="0.25">
      <c r="A55" s="9"/>
      <c r="B55" t="s">
        <v>43</v>
      </c>
      <c r="D55" s="85">
        <f>VLOOKUP(D14,'Lookup tables'!A5:C8,3,0)</f>
        <v>1</v>
      </c>
      <c r="F55" s="86">
        <f>F51*D55</f>
        <v>5.0000000000000001E-3</v>
      </c>
      <c r="H55" t="s">
        <v>44</v>
      </c>
      <c r="K55" s="2"/>
    </row>
    <row r="56" spans="1:23" x14ac:dyDescent="0.25">
      <c r="A56" s="9"/>
      <c r="B56" t="s">
        <v>45</v>
      </c>
      <c r="F56" s="84">
        <f>D12*F55</f>
        <v>9000000</v>
      </c>
    </row>
    <row r="57" spans="1:23" ht="15.75" thickBot="1" x14ac:dyDescent="0.3">
      <c r="A57" s="9"/>
      <c r="B57" t="s">
        <v>46</v>
      </c>
      <c r="F57" s="8">
        <v>0.1</v>
      </c>
      <c r="H57" t="s">
        <v>47</v>
      </c>
      <c r="W57" s="14"/>
    </row>
    <row r="58" spans="1:23" ht="15.75" thickBot="1" x14ac:dyDescent="0.3">
      <c r="A58" s="9"/>
      <c r="B58" t="s">
        <v>48</v>
      </c>
      <c r="F58" s="87">
        <f>F56*(1-F57)</f>
        <v>8100000</v>
      </c>
      <c r="H58" s="12" t="s">
        <v>49</v>
      </c>
      <c r="K58" s="12"/>
    </row>
    <row r="59" spans="1:23" x14ac:dyDescent="0.25">
      <c r="A59" s="9"/>
      <c r="F59" s="11"/>
      <c r="G59" s="13"/>
      <c r="H59" s="12"/>
      <c r="K59" s="12"/>
    </row>
    <row r="60" spans="1:23" hidden="1" x14ac:dyDescent="0.25">
      <c r="A60" s="9"/>
      <c r="B60" s="7" t="s">
        <v>303</v>
      </c>
      <c r="F60" s="13">
        <v>0.23</v>
      </c>
      <c r="H60" s="12"/>
      <c r="K60" s="12"/>
    </row>
    <row r="61" spans="1:23" hidden="1" x14ac:dyDescent="0.25">
      <c r="A61" s="9"/>
      <c r="B61" s="7"/>
      <c r="C61" t="s">
        <v>304</v>
      </c>
      <c r="F61" s="11"/>
      <c r="G61" s="13"/>
      <c r="H61" s="12"/>
      <c r="K61" s="12"/>
    </row>
    <row r="62" spans="1:23" x14ac:dyDescent="0.25">
      <c r="A62" s="9"/>
      <c r="B62" s="7"/>
      <c r="F62" s="11"/>
      <c r="G62" s="13"/>
      <c r="H62" s="12"/>
      <c r="K62" s="12"/>
    </row>
    <row r="63" spans="1:23" x14ac:dyDescent="0.25">
      <c r="A63" s="9"/>
      <c r="F63" s="11"/>
      <c r="G63" s="13"/>
      <c r="H63" s="12"/>
      <c r="K63" s="12"/>
    </row>
    <row r="64" spans="1:23" x14ac:dyDescent="0.25">
      <c r="A64" s="9">
        <v>2</v>
      </c>
      <c r="B64" s="7" t="s">
        <v>50</v>
      </c>
      <c r="F64" s="11"/>
      <c r="G64" s="12"/>
      <c r="H64" s="12"/>
      <c r="K64" s="12"/>
    </row>
    <row r="65" spans="1:11" x14ac:dyDescent="0.25">
      <c r="A65" s="9"/>
      <c r="B65" t="s">
        <v>51</v>
      </c>
      <c r="F65" s="83">
        <v>2</v>
      </c>
      <c r="G65" s="15"/>
      <c r="H65" s="12"/>
    </row>
    <row r="66" spans="1:11" x14ac:dyDescent="0.25">
      <c r="A66" s="9"/>
      <c r="B66" t="s">
        <v>52</v>
      </c>
      <c r="F66" s="84">
        <f>F58*F65</f>
        <v>16200000</v>
      </c>
      <c r="G66" s="15"/>
      <c r="H66" s="12" t="s">
        <v>53</v>
      </c>
    </row>
    <row r="67" spans="1:11" ht="15.75" thickBot="1" x14ac:dyDescent="0.3">
      <c r="A67" s="9"/>
      <c r="B67" t="s">
        <v>54</v>
      </c>
      <c r="D67" s="85">
        <f>VLOOKUP(D15,'Lookup tables'!A11:B14,2,0)</f>
        <v>0.6</v>
      </c>
      <c r="F67" s="84">
        <f>F66*D67</f>
        <v>9720000</v>
      </c>
      <c r="G67" s="15"/>
      <c r="H67" s="12" t="s">
        <v>55</v>
      </c>
    </row>
    <row r="68" spans="1:11" ht="15.75" thickBot="1" x14ac:dyDescent="0.3">
      <c r="A68" s="9"/>
      <c r="B68" t="s">
        <v>56</v>
      </c>
      <c r="D68" s="85">
        <v>0.8</v>
      </c>
      <c r="F68" s="87">
        <f>F67*D68</f>
        <v>7776000</v>
      </c>
      <c r="H68" t="s">
        <v>57</v>
      </c>
      <c r="K68" s="12"/>
    </row>
    <row r="69" spans="1:11" x14ac:dyDescent="0.25">
      <c r="A69" s="9"/>
      <c r="K69" s="12"/>
    </row>
    <row r="70" spans="1:11" ht="15.75" thickBot="1" x14ac:dyDescent="0.3">
      <c r="A70" s="9">
        <v>3</v>
      </c>
      <c r="B70" s="7" t="s">
        <v>58</v>
      </c>
      <c r="K70" s="12"/>
    </row>
    <row r="71" spans="1:11" ht="15.75" thickBot="1" x14ac:dyDescent="0.3">
      <c r="A71" s="9"/>
      <c r="B71" t="s">
        <v>59</v>
      </c>
      <c r="F71" s="87">
        <f>IF(D16="YES", (0.25*F58), 0)</f>
        <v>0</v>
      </c>
      <c r="H71" t="s">
        <v>60</v>
      </c>
      <c r="K71" s="12"/>
    </row>
    <row r="72" spans="1:11" x14ac:dyDescent="0.25">
      <c r="A72" s="9"/>
      <c r="H72" s="22"/>
      <c r="K72" s="12"/>
    </row>
    <row r="73" spans="1:11" x14ac:dyDescent="0.25">
      <c r="A73" s="9"/>
      <c r="K73" s="12"/>
    </row>
    <row r="74" spans="1:11" x14ac:dyDescent="0.25">
      <c r="A74" s="9"/>
      <c r="B74" s="7" t="s">
        <v>313</v>
      </c>
      <c r="F74" t="s">
        <v>302</v>
      </c>
      <c r="K74" s="12"/>
    </row>
    <row r="75" spans="1:11" x14ac:dyDescent="0.25">
      <c r="A75" s="9"/>
      <c r="B75" t="s">
        <v>61</v>
      </c>
      <c r="K75" s="12"/>
    </row>
    <row r="76" spans="1:11" x14ac:dyDescent="0.25">
      <c r="A76" s="9"/>
      <c r="B76" t="s">
        <v>62</v>
      </c>
      <c r="K76" s="12"/>
    </row>
    <row r="77" spans="1:11" x14ac:dyDescent="0.25">
      <c r="A77" s="9"/>
      <c r="B77" t="s">
        <v>63</v>
      </c>
      <c r="K77" s="12"/>
    </row>
    <row r="78" spans="1:11" x14ac:dyDescent="0.25">
      <c r="A78" s="9"/>
      <c r="K78" s="12"/>
    </row>
  </sheetData>
  <mergeCells count="2">
    <mergeCell ref="A30:Q31"/>
    <mergeCell ref="A46:Q47"/>
  </mergeCells>
  <dataValidations count="1">
    <dataValidation type="list" allowBlank="1" showInputMessage="1" showErrorMessage="1" sqref="K26 D16" xr:uid="{487EA88E-D0A2-4417-9E69-B342AF74676C}">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702BB49-B0BD-427F-93B3-B3D64F716BAB}">
          <x14:formula1>
            <xm:f>'Lookup tables'!$A$11:$A$14</xm:f>
          </x14:formula1>
          <xm:sqref>D15</xm:sqref>
        </x14:dataValidation>
        <x14:dataValidation type="list" allowBlank="1" showInputMessage="1" showErrorMessage="1" xr:uid="{B15D86DA-5EE5-4C51-9DD0-A86C7C09470D}">
          <x14:formula1>
            <xm:f>'Lookup tables'!$A$5:$A$8</xm:f>
          </x14:formula1>
          <xm:sqref>D14</xm:sqref>
        </x14:dataValidation>
        <x14:dataValidation type="list" allowBlank="1" showInputMessage="1" showErrorMessage="1" xr:uid="{9F804CFC-5FDF-4302-A559-809A90D240A5}">
          <x14:formula1>
            <xm:f>'Lookup tables'!$A$33:$A$50</xm:f>
          </x14:formula1>
          <xm:sqref>D4</xm:sqref>
        </x14:dataValidation>
        <x14:dataValidation type="list" allowBlank="1" showInputMessage="1" showErrorMessage="1" xr:uid="{02BF75DD-A3F5-4954-9A34-F33638B84CEC}">
          <x14:formula1>
            <xm:f>'Lookup tables'!$D$33:$D$60</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69A11-8652-4830-BE99-9B647A5342C5}">
  <dimension ref="A2:W130"/>
  <sheetViews>
    <sheetView tabSelected="1" topLeftCell="A7" zoomScaleNormal="100" workbookViewId="0">
      <selection activeCell="H44" sqref="H44"/>
    </sheetView>
  </sheetViews>
  <sheetFormatPr defaultRowHeight="15" x14ac:dyDescent="0.25"/>
  <cols>
    <col min="3" max="3" width="53.5703125" customWidth="1"/>
    <col min="4" max="4" width="17" customWidth="1"/>
    <col min="5" max="5" width="15.42578125" customWidth="1"/>
    <col min="6" max="6" width="15.28515625" customWidth="1"/>
    <col min="7" max="7" width="14.5703125" customWidth="1"/>
    <col min="8" max="8" width="17" customWidth="1"/>
    <col min="9" max="9" width="17.85546875" customWidth="1"/>
    <col min="10" max="10" width="19.7109375" customWidth="1"/>
    <col min="12" max="12" width="16.140625" customWidth="1"/>
    <col min="13" max="13" width="14.5703125" customWidth="1"/>
    <col min="15" max="15" width="9.5703125" bestFit="1" customWidth="1"/>
  </cols>
  <sheetData>
    <row r="2" spans="2:13" x14ac:dyDescent="0.25">
      <c r="B2" s="23"/>
      <c r="C2" s="24"/>
      <c r="D2" s="24"/>
      <c r="E2" s="25"/>
    </row>
    <row r="3" spans="2:13" x14ac:dyDescent="0.25">
      <c r="B3" s="26"/>
      <c r="C3" s="27" t="s">
        <v>0</v>
      </c>
      <c r="D3" s="88" t="s">
        <v>319</v>
      </c>
      <c r="E3" s="28"/>
      <c r="G3" s="6"/>
      <c r="H3" s="1" t="s">
        <v>64</v>
      </c>
    </row>
    <row r="4" spans="2:13" x14ac:dyDescent="0.25">
      <c r="B4" s="26"/>
      <c r="C4" s="27" t="s">
        <v>2</v>
      </c>
      <c r="D4" s="88" t="s">
        <v>197</v>
      </c>
      <c r="E4" s="28"/>
    </row>
    <row r="5" spans="2:13" x14ac:dyDescent="0.25">
      <c r="B5" s="26"/>
      <c r="C5" s="27" t="s">
        <v>5</v>
      </c>
      <c r="D5" s="88">
        <v>1</v>
      </c>
      <c r="E5" s="28"/>
    </row>
    <row r="6" spans="2:13" x14ac:dyDescent="0.25">
      <c r="B6" s="26"/>
      <c r="C6" s="27" t="s">
        <v>7</v>
      </c>
      <c r="D6" s="88" t="s">
        <v>66</v>
      </c>
      <c r="E6" s="28"/>
    </row>
    <row r="7" spans="2:13" x14ac:dyDescent="0.25">
      <c r="B7" s="29"/>
      <c r="C7" s="30"/>
      <c r="D7" s="30"/>
      <c r="E7" s="31"/>
    </row>
    <row r="9" spans="2:13" x14ac:dyDescent="0.25">
      <c r="B9" t="s">
        <v>10</v>
      </c>
    </row>
    <row r="10" spans="2:13" x14ac:dyDescent="0.25">
      <c r="B10" s="23"/>
      <c r="C10" s="24"/>
      <c r="D10" s="24"/>
      <c r="E10" s="25"/>
    </row>
    <row r="11" spans="2:13" x14ac:dyDescent="0.25">
      <c r="B11" s="26"/>
      <c r="C11" s="27" t="s">
        <v>12</v>
      </c>
      <c r="D11" s="90">
        <v>300000</v>
      </c>
      <c r="E11" s="28"/>
      <c r="I11" t="s">
        <v>318</v>
      </c>
      <c r="J11" t="s">
        <v>68</v>
      </c>
    </row>
    <row r="12" spans="2:13" x14ac:dyDescent="0.25">
      <c r="B12" s="26"/>
      <c r="C12" s="27" t="s">
        <v>11</v>
      </c>
      <c r="D12" s="89">
        <v>1800000000</v>
      </c>
      <c r="E12" s="28"/>
    </row>
    <row r="13" spans="2:13" x14ac:dyDescent="0.25">
      <c r="B13" s="26"/>
      <c r="C13" s="27" t="s">
        <v>67</v>
      </c>
      <c r="D13" s="90">
        <v>4000</v>
      </c>
      <c r="E13" s="28"/>
      <c r="I13" s="152"/>
      <c r="J13" s="153"/>
      <c r="K13" s="154"/>
    </row>
    <row r="14" spans="2:13" x14ac:dyDescent="0.25">
      <c r="B14" s="26"/>
      <c r="C14" s="27" t="s">
        <v>260</v>
      </c>
      <c r="D14" s="90">
        <v>65</v>
      </c>
      <c r="E14" s="28"/>
      <c r="I14" s="155"/>
      <c r="J14" s="156" t="s">
        <v>251</v>
      </c>
      <c r="K14" s="157"/>
    </row>
    <row r="15" spans="2:13" x14ac:dyDescent="0.25">
      <c r="B15" s="26"/>
      <c r="C15" s="27" t="s">
        <v>69</v>
      </c>
      <c r="D15" s="140" t="s">
        <v>317</v>
      </c>
      <c r="E15" s="28"/>
      <c r="I15" s="155"/>
      <c r="J15" s="119">
        <f>D16*8</f>
        <v>1200</v>
      </c>
      <c r="K15" s="157"/>
    </row>
    <row r="16" spans="2:13" x14ac:dyDescent="0.25">
      <c r="B16" s="26"/>
      <c r="C16" s="27" t="s">
        <v>250</v>
      </c>
      <c r="D16" s="90">
        <v>150</v>
      </c>
      <c r="E16" s="28"/>
      <c r="I16" s="155"/>
      <c r="J16" s="161">
        <f>D14/J15</f>
        <v>5.4166666666666669E-2</v>
      </c>
      <c r="K16" s="157"/>
      <c r="M16" t="s">
        <v>252</v>
      </c>
    </row>
    <row r="17" spans="1:18" x14ac:dyDescent="0.25">
      <c r="B17" s="29"/>
      <c r="C17" s="30"/>
      <c r="D17" s="30"/>
      <c r="E17" s="31"/>
      <c r="I17" s="158"/>
      <c r="J17" s="159"/>
      <c r="K17" s="160"/>
    </row>
    <row r="19" spans="1:18" hidden="1" x14ac:dyDescent="0.25">
      <c r="B19" t="s">
        <v>70</v>
      </c>
    </row>
    <row r="20" spans="1:18" hidden="1" x14ac:dyDescent="0.25">
      <c r="B20" s="63"/>
      <c r="C20" s="64"/>
      <c r="D20" s="64"/>
      <c r="E20" s="64"/>
      <c r="F20" s="64"/>
      <c r="G20" s="65"/>
      <c r="I20" s="94"/>
      <c r="J20" s="95"/>
      <c r="K20" s="95"/>
      <c r="L20" s="95"/>
      <c r="M20" s="95"/>
      <c r="N20" s="95"/>
      <c r="O20" s="96"/>
    </row>
    <row r="21" spans="1:18" hidden="1" x14ac:dyDescent="0.25">
      <c r="B21" s="66"/>
      <c r="C21" s="92" t="s">
        <v>19</v>
      </c>
      <c r="D21" s="91">
        <f>HLOOKUP(D11,'Price List'!C4:I18,15)</f>
        <v>25200</v>
      </c>
      <c r="E21" s="91">
        <f>D21</f>
        <v>25200</v>
      </c>
      <c r="F21" s="91">
        <f>D21</f>
        <v>25200</v>
      </c>
      <c r="G21" s="67"/>
      <c r="I21" s="97"/>
      <c r="J21" s="109"/>
      <c r="K21" s="109"/>
      <c r="L21" s="109" t="s">
        <v>24</v>
      </c>
      <c r="M21" s="109" t="s">
        <v>25</v>
      </c>
      <c r="N21" s="109" t="s">
        <v>26</v>
      </c>
      <c r="O21" s="99"/>
    </row>
    <row r="22" spans="1:18" hidden="1" x14ac:dyDescent="0.25">
      <c r="B22" s="66"/>
      <c r="C22" s="92" t="s">
        <v>22</v>
      </c>
      <c r="D22" s="91">
        <f>D21*10%</f>
        <v>2520</v>
      </c>
      <c r="E22" s="91">
        <f>D22</f>
        <v>2520</v>
      </c>
      <c r="F22" s="91">
        <f>D22</f>
        <v>2520</v>
      </c>
      <c r="G22" s="67"/>
      <c r="I22" s="97"/>
      <c r="J22" s="109" t="s">
        <v>71</v>
      </c>
      <c r="K22" s="112" t="s">
        <v>159</v>
      </c>
      <c r="L22" s="113">
        <v>40000</v>
      </c>
      <c r="M22" s="113">
        <v>40000</v>
      </c>
      <c r="N22" s="113">
        <v>40000</v>
      </c>
      <c r="O22" s="99"/>
    </row>
    <row r="23" spans="1:18" hidden="1" x14ac:dyDescent="0.25">
      <c r="B23" s="66"/>
      <c r="C23" s="92" t="s">
        <v>23</v>
      </c>
      <c r="D23" s="91">
        <f>(D5-1)*'Price List'!C41</f>
        <v>0</v>
      </c>
      <c r="E23" s="91">
        <f>(D5-1)*'Price List'!C41</f>
        <v>0</v>
      </c>
      <c r="F23" s="91">
        <f>(D5-1)*'Price List'!C41</f>
        <v>0</v>
      </c>
      <c r="G23" s="67"/>
      <c r="I23" s="97"/>
      <c r="J23" s="109"/>
      <c r="K23" s="109"/>
      <c r="L23" s="109"/>
      <c r="M23" s="109"/>
      <c r="N23" s="109"/>
      <c r="O23" s="99"/>
    </row>
    <row r="24" spans="1:18" hidden="1" x14ac:dyDescent="0.25">
      <c r="B24" s="66"/>
      <c r="C24" s="92" t="s">
        <v>72</v>
      </c>
      <c r="D24" s="121">
        <f>IF($K$22 = "yes", L22, SUM(D21:D23))</f>
        <v>40000</v>
      </c>
      <c r="E24" s="122">
        <f>IF($K$22 = "yes", M22, SUM(E21:E23))</f>
        <v>40000</v>
      </c>
      <c r="F24" s="123">
        <f>IF($K$22 = "yes", N22, SUM(F21:F23))</f>
        <v>40000</v>
      </c>
      <c r="G24" s="67"/>
      <c r="I24" s="102"/>
      <c r="J24" s="103"/>
      <c r="K24" s="103"/>
      <c r="L24" s="103"/>
      <c r="M24" s="103"/>
      <c r="N24" s="103"/>
      <c r="O24" s="104"/>
    </row>
    <row r="25" spans="1:18" hidden="1" x14ac:dyDescent="0.25">
      <c r="B25" s="69"/>
      <c r="C25" s="70"/>
      <c r="D25" s="70"/>
      <c r="E25" s="70"/>
      <c r="F25" s="70"/>
      <c r="G25" s="71"/>
      <c r="Q25" s="2"/>
      <c r="R25" s="2"/>
    </row>
    <row r="26" spans="1:18" x14ac:dyDescent="0.25">
      <c r="Q26" s="2"/>
      <c r="R26" s="2"/>
    </row>
    <row r="28" spans="1:18" x14ac:dyDescent="0.25">
      <c r="A28" s="181" t="s">
        <v>73</v>
      </c>
      <c r="B28" s="182"/>
      <c r="C28" s="182"/>
      <c r="D28" s="182"/>
      <c r="E28" s="182"/>
      <c r="F28" s="182"/>
      <c r="G28" s="182"/>
      <c r="H28" s="182"/>
      <c r="I28" s="182"/>
      <c r="J28" s="182"/>
      <c r="K28" s="182"/>
      <c r="L28" s="182"/>
      <c r="M28" s="182"/>
      <c r="N28" s="182"/>
      <c r="O28" s="182"/>
      <c r="P28" s="182"/>
      <c r="Q28" s="183"/>
    </row>
    <row r="29" spans="1:18" x14ac:dyDescent="0.25">
      <c r="A29" s="184"/>
      <c r="B29" s="185"/>
      <c r="C29" s="185"/>
      <c r="D29" s="185"/>
      <c r="E29" s="185"/>
      <c r="F29" s="185"/>
      <c r="G29" s="185"/>
      <c r="H29" s="185"/>
      <c r="I29" s="185"/>
      <c r="J29" s="185"/>
      <c r="K29" s="185"/>
      <c r="L29" s="185"/>
      <c r="M29" s="185"/>
      <c r="N29" s="185"/>
      <c r="O29" s="185"/>
      <c r="P29" s="185"/>
      <c r="Q29" s="186"/>
    </row>
    <row r="32" spans="1:18" x14ac:dyDescent="0.25">
      <c r="B32" s="94"/>
      <c r="C32" s="95"/>
      <c r="D32" s="95"/>
      <c r="E32" s="95"/>
      <c r="F32" s="95"/>
      <c r="G32" s="96"/>
      <c r="I32" s="179" t="s">
        <v>295</v>
      </c>
    </row>
    <row r="33" spans="1:17" ht="15.75" x14ac:dyDescent="0.25">
      <c r="B33" s="97"/>
      <c r="C33" s="93" t="s">
        <v>74</v>
      </c>
      <c r="D33" s="105" t="s">
        <v>24</v>
      </c>
      <c r="E33" s="105" t="s">
        <v>25</v>
      </c>
      <c r="F33" s="105" t="s">
        <v>26</v>
      </c>
      <c r="G33" s="99"/>
    </row>
    <row r="34" spans="1:17" ht="15.6" customHeight="1" x14ac:dyDescent="0.25">
      <c r="B34" s="97"/>
      <c r="C34" s="98"/>
      <c r="D34" s="106"/>
      <c r="E34" s="106"/>
      <c r="F34" s="106"/>
      <c r="G34" s="99"/>
      <c r="I34" t="s">
        <v>298</v>
      </c>
    </row>
    <row r="35" spans="1:17" ht="15.6" customHeight="1" x14ac:dyDescent="0.25">
      <c r="B35" s="97"/>
      <c r="C35" s="98" t="s">
        <v>75</v>
      </c>
      <c r="D35" s="118">
        <f>D56</f>
        <v>455</v>
      </c>
      <c r="E35" s="118">
        <f t="shared" ref="E35:F35" si="0">E56</f>
        <v>535</v>
      </c>
      <c r="F35" s="118">
        <f t="shared" si="0"/>
        <v>535</v>
      </c>
      <c r="G35" s="99"/>
      <c r="I35" t="s">
        <v>293</v>
      </c>
    </row>
    <row r="36" spans="1:17" ht="15.6" customHeight="1" x14ac:dyDescent="0.25">
      <c r="B36" s="97"/>
      <c r="C36" s="98" t="s">
        <v>288</v>
      </c>
      <c r="D36" s="118">
        <f>D57</f>
        <v>151.66666666666666</v>
      </c>
      <c r="E36" s="118">
        <f t="shared" ref="E36:F36" si="1">E57</f>
        <v>178.33333333333334</v>
      </c>
      <c r="F36" s="118">
        <f t="shared" si="1"/>
        <v>178.33333333333334</v>
      </c>
      <c r="G36" s="99"/>
      <c r="I36" s="18" t="s">
        <v>296</v>
      </c>
    </row>
    <row r="37" spans="1:17" ht="15.6" customHeight="1" x14ac:dyDescent="0.25">
      <c r="B37" s="97"/>
      <c r="C37" s="98" t="s">
        <v>289</v>
      </c>
      <c r="D37" s="107">
        <f>D66</f>
        <v>226135</v>
      </c>
      <c r="E37" s="107">
        <f t="shared" ref="E37:F37" si="2">E66</f>
        <v>265895</v>
      </c>
      <c r="F37" s="107">
        <f t="shared" si="2"/>
        <v>265895</v>
      </c>
      <c r="G37" s="99"/>
      <c r="I37" t="s">
        <v>305</v>
      </c>
      <c r="J37" s="18"/>
    </row>
    <row r="38" spans="1:17" ht="15.6" customHeight="1" x14ac:dyDescent="0.25">
      <c r="B38" s="97"/>
      <c r="C38" s="98" t="s">
        <v>290</v>
      </c>
      <c r="D38" s="118">
        <f t="shared" ref="D38:E38" si="3">D88</f>
        <v>3744</v>
      </c>
      <c r="E38" s="118">
        <f t="shared" si="3"/>
        <v>4320</v>
      </c>
      <c r="F38" s="118">
        <f>F88</f>
        <v>4320</v>
      </c>
      <c r="G38" s="99"/>
      <c r="I38" t="s">
        <v>294</v>
      </c>
    </row>
    <row r="39" spans="1:17" ht="15.6" customHeight="1" x14ac:dyDescent="0.25">
      <c r="B39" s="97"/>
      <c r="C39" s="98" t="s">
        <v>291</v>
      </c>
      <c r="D39" s="107">
        <f>D96</f>
        <v>269568</v>
      </c>
      <c r="E39" s="107">
        <f t="shared" ref="E39:F39" si="4">E96</f>
        <v>311040</v>
      </c>
      <c r="F39" s="107">
        <f t="shared" si="4"/>
        <v>311040</v>
      </c>
      <c r="G39" s="99"/>
    </row>
    <row r="40" spans="1:17" x14ac:dyDescent="0.25">
      <c r="B40" s="97"/>
      <c r="C40" s="100"/>
      <c r="D40" s="124"/>
      <c r="E40" s="124"/>
      <c r="F40" s="124"/>
      <c r="G40" s="99"/>
    </row>
    <row r="41" spans="1:17" x14ac:dyDescent="0.25">
      <c r="B41" s="97"/>
      <c r="C41" s="101" t="s">
        <v>274</v>
      </c>
      <c r="D41" s="143">
        <f>D37+D39-D24</f>
        <v>455703</v>
      </c>
      <c r="E41" s="143">
        <f>E37+E39-E24</f>
        <v>536935</v>
      </c>
      <c r="F41" s="143">
        <f>F37+F39-F24</f>
        <v>536935</v>
      </c>
      <c r="G41" s="99"/>
    </row>
    <row r="42" spans="1:17" ht="15.75" x14ac:dyDescent="0.25">
      <c r="B42" s="97"/>
      <c r="C42" s="172" t="s">
        <v>273</v>
      </c>
      <c r="D42" s="173" t="str">
        <f>"X "&amp;TRUNC((D37+D39)/D24)</f>
        <v>X 12</v>
      </c>
      <c r="E42" s="173" t="str">
        <f>"X "&amp;TRUNC((E37+E39)/E24)</f>
        <v>X 14</v>
      </c>
      <c r="F42" s="173" t="str">
        <f>"X "&amp;TRUNC((F37+F39)/F24)</f>
        <v>X 14</v>
      </c>
      <c r="G42" s="99"/>
    </row>
    <row r="43" spans="1:17" x14ac:dyDescent="0.25">
      <c r="B43" s="102"/>
      <c r="C43" s="103"/>
      <c r="D43" s="103"/>
      <c r="E43" s="103"/>
      <c r="F43" s="103"/>
      <c r="G43" s="104"/>
      <c r="I43" t="s">
        <v>297</v>
      </c>
    </row>
    <row r="46" spans="1:17" x14ac:dyDescent="0.25">
      <c r="A46" s="181" t="s">
        <v>261</v>
      </c>
      <c r="B46" s="182"/>
      <c r="C46" s="182"/>
      <c r="D46" s="182"/>
      <c r="E46" s="182"/>
      <c r="F46" s="182"/>
      <c r="G46" s="182"/>
      <c r="H46" s="182"/>
      <c r="I46" s="182"/>
      <c r="J46" s="182"/>
      <c r="K46" s="182"/>
      <c r="L46" s="182"/>
      <c r="M46" s="182"/>
      <c r="N46" s="182"/>
      <c r="O46" s="182"/>
      <c r="P46" s="182"/>
      <c r="Q46" s="183"/>
    </row>
    <row r="47" spans="1:17" x14ac:dyDescent="0.25">
      <c r="A47" s="184"/>
      <c r="B47" s="185"/>
      <c r="C47" s="185"/>
      <c r="D47" s="185"/>
      <c r="E47" s="185"/>
      <c r="F47" s="185"/>
      <c r="G47" s="185"/>
      <c r="H47" s="185"/>
      <c r="I47" s="185"/>
      <c r="J47" s="185"/>
      <c r="K47" s="185"/>
      <c r="L47" s="185"/>
      <c r="M47" s="185"/>
      <c r="N47" s="185"/>
      <c r="O47" s="185"/>
      <c r="P47" s="185"/>
      <c r="Q47" s="186"/>
    </row>
    <row r="49" spans="1:23" x14ac:dyDescent="0.25">
      <c r="G49" s="72"/>
      <c r="H49" s="72"/>
      <c r="I49" s="72"/>
      <c r="J49" s="72"/>
      <c r="K49" s="72"/>
    </row>
    <row r="50" spans="1:23" s="72" customFormat="1" x14ac:dyDescent="0.25">
      <c r="A50" s="125"/>
      <c r="B50" s="126"/>
      <c r="C50" s="127"/>
      <c r="D50" s="126"/>
      <c r="E50" s="126"/>
      <c r="F50" s="126"/>
      <c r="G50" s="128"/>
      <c r="H50" s="128"/>
      <c r="I50" s="128"/>
      <c r="J50" s="128"/>
      <c r="K50" s="128"/>
      <c r="L50" s="128"/>
      <c r="M50" s="126"/>
      <c r="N50" s="126"/>
      <c r="O50" s="126"/>
      <c r="P50" s="126"/>
      <c r="Q50" s="129"/>
    </row>
    <row r="51" spans="1:23" x14ac:dyDescent="0.25">
      <c r="A51" s="130">
        <v>1</v>
      </c>
      <c r="B51" s="7" t="s">
        <v>76</v>
      </c>
      <c r="M51" s="3"/>
      <c r="N51" s="1" t="s">
        <v>262</v>
      </c>
      <c r="Q51" s="131"/>
    </row>
    <row r="52" spans="1:23" x14ac:dyDescent="0.25">
      <c r="A52" s="130"/>
      <c r="B52" t="s">
        <v>77</v>
      </c>
      <c r="D52" s="116">
        <f>$D$14</f>
        <v>65</v>
      </c>
      <c r="E52" s="116">
        <f>$D$14</f>
        <v>65</v>
      </c>
      <c r="F52" s="116">
        <f>$D$14</f>
        <v>65</v>
      </c>
      <c r="M52" s="83"/>
      <c r="N52" s="1" t="s">
        <v>4</v>
      </c>
      <c r="Q52" s="131"/>
    </row>
    <row r="53" spans="1:23" x14ac:dyDescent="0.25">
      <c r="A53" s="130"/>
      <c r="B53" t="s">
        <v>269</v>
      </c>
      <c r="D53" s="119">
        <f>$D$13</f>
        <v>4000</v>
      </c>
      <c r="E53" s="119">
        <f t="shared" ref="E53:F53" si="5">$D$13</f>
        <v>4000</v>
      </c>
      <c r="F53" s="119">
        <f t="shared" si="5"/>
        <v>4000</v>
      </c>
      <c r="I53" s="12"/>
      <c r="Q53" s="131"/>
    </row>
    <row r="54" spans="1:23" x14ac:dyDescent="0.25">
      <c r="A54" s="130"/>
      <c r="B54" t="s">
        <v>270</v>
      </c>
      <c r="D54" s="8">
        <v>0.13</v>
      </c>
      <c r="E54" s="8">
        <v>0.15</v>
      </c>
      <c r="F54" s="144">
        <v>0.15</v>
      </c>
      <c r="H54" s="12" t="s">
        <v>78</v>
      </c>
      <c r="I54" s="12"/>
      <c r="Q54" s="131"/>
    </row>
    <row r="55" spans="1:23" x14ac:dyDescent="0.25">
      <c r="A55" s="130"/>
      <c r="B55" t="s">
        <v>79</v>
      </c>
      <c r="D55" s="115">
        <f>$D$13*D54</f>
        <v>520</v>
      </c>
      <c r="E55" s="115">
        <f>$D$13*E54</f>
        <v>600</v>
      </c>
      <c r="F55" s="115">
        <f>$D$13*F54</f>
        <v>600</v>
      </c>
      <c r="H55" s="151"/>
      <c r="I55" s="12"/>
      <c r="Q55" s="131"/>
    </row>
    <row r="56" spans="1:23" x14ac:dyDescent="0.25">
      <c r="A56" s="130"/>
      <c r="B56" t="s">
        <v>271</v>
      </c>
      <c r="D56" s="115">
        <f>D55-D52</f>
        <v>455</v>
      </c>
      <c r="E56" s="115">
        <f>E55-E52</f>
        <v>535</v>
      </c>
      <c r="F56" s="115">
        <f>F55-F52</f>
        <v>535</v>
      </c>
      <c r="Q56" s="131"/>
    </row>
    <row r="57" spans="1:23" x14ac:dyDescent="0.25">
      <c r="A57" s="130"/>
      <c r="B57" t="s">
        <v>272</v>
      </c>
      <c r="D57" s="115">
        <f>D56/3</f>
        <v>151.66666666666666</v>
      </c>
      <c r="E57" s="115">
        <f>E56/3</f>
        <v>178.33333333333334</v>
      </c>
      <c r="F57" s="115">
        <f>F56/3</f>
        <v>178.33333333333334</v>
      </c>
      <c r="H57" t="s">
        <v>263</v>
      </c>
      <c r="Q57" s="131"/>
    </row>
    <row r="58" spans="1:23" x14ac:dyDescent="0.25">
      <c r="A58" s="130"/>
      <c r="F58" s="12"/>
      <c r="G58" s="13"/>
      <c r="I58" s="13"/>
      <c r="Q58" s="131"/>
    </row>
    <row r="59" spans="1:23" x14ac:dyDescent="0.25">
      <c r="A59" s="130"/>
      <c r="F59" s="12"/>
      <c r="I59" s="12"/>
      <c r="Q59" s="131"/>
    </row>
    <row r="60" spans="1:23" x14ac:dyDescent="0.25">
      <c r="A60" s="130">
        <v>2</v>
      </c>
      <c r="B60" s="7" t="s">
        <v>80</v>
      </c>
      <c r="F60" s="12"/>
      <c r="I60" s="12"/>
      <c r="Q60" s="131"/>
      <c r="W60" s="14"/>
    </row>
    <row r="61" spans="1:23" x14ac:dyDescent="0.25">
      <c r="A61" s="130"/>
      <c r="B61" t="s">
        <v>81</v>
      </c>
      <c r="D61" s="115">
        <f>D56</f>
        <v>455</v>
      </c>
      <c r="E61" s="115">
        <f>E56</f>
        <v>535</v>
      </c>
      <c r="F61" s="115">
        <f>F56</f>
        <v>535</v>
      </c>
      <c r="H61" t="s">
        <v>82</v>
      </c>
      <c r="I61" s="12"/>
      <c r="Q61" s="131"/>
    </row>
    <row r="62" spans="1:23" hidden="1" x14ac:dyDescent="0.25">
      <c r="A62" s="130"/>
      <c r="B62" t="s">
        <v>83</v>
      </c>
      <c r="D62" s="141">
        <v>2500</v>
      </c>
      <c r="E62" s="141">
        <v>2500</v>
      </c>
      <c r="F62" s="141">
        <v>2500</v>
      </c>
      <c r="H62" t="s">
        <v>84</v>
      </c>
      <c r="I62" s="12"/>
      <c r="Q62" s="131"/>
    </row>
    <row r="63" spans="1:23" x14ac:dyDescent="0.25">
      <c r="A63" s="130"/>
      <c r="B63" t="s">
        <v>85</v>
      </c>
      <c r="D63" s="149">
        <f>LOOKUP(D55,'Lookup tables'!A92:F92,'Lookup tables'!A93:F93)/100</f>
        <v>7.0000000000000007E-2</v>
      </c>
      <c r="E63" s="149">
        <f>LOOKUP(E55,'Lookup tables'!B92:G92,'Lookup tables'!B93:G93)/100</f>
        <v>7.0000000000000007E-2</v>
      </c>
      <c r="F63" s="149">
        <f>LOOKUP(F55,'Lookup tables'!C92:H92,'Lookup tables'!C93:H93)/100</f>
        <v>7.0000000000000007E-2</v>
      </c>
      <c r="H63" t="s">
        <v>264</v>
      </c>
      <c r="I63" s="12"/>
      <c r="P63" s="5"/>
      <c r="Q63" s="131"/>
    </row>
    <row r="64" spans="1:23" x14ac:dyDescent="0.25">
      <c r="A64" s="130"/>
      <c r="B64" t="s">
        <v>86</v>
      </c>
      <c r="D64" s="115">
        <f>(D61*D63)</f>
        <v>31.85</v>
      </c>
      <c r="E64" s="115">
        <f>(E61*E63)</f>
        <v>37.450000000000003</v>
      </c>
      <c r="F64" s="115">
        <f>(F61*F63)</f>
        <v>37.450000000000003</v>
      </c>
      <c r="G64" s="5"/>
      <c r="I64" s="12"/>
      <c r="Q64" s="131"/>
    </row>
    <row r="65" spans="1:17" x14ac:dyDescent="0.25">
      <c r="A65" s="130"/>
      <c r="B65" t="s">
        <v>87</v>
      </c>
      <c r="D65" s="150">
        <f>LOOKUP(D55,'Lookup tables'!B92:G92,'Lookup tables'!B94:G94)</f>
        <v>7100</v>
      </c>
      <c r="E65" s="150">
        <f>LOOKUP(E55,'Lookup tables'!B92:G92,'Lookup tables'!B94:G94)</f>
        <v>7100</v>
      </c>
      <c r="F65" s="150">
        <f>LOOKUP(F55,'Lookup tables'!B92:G92,'Lookup tables'!B94:G94)</f>
        <v>7100</v>
      </c>
      <c r="H65" t="s">
        <v>88</v>
      </c>
      <c r="I65" s="12"/>
      <c r="Q65" s="131"/>
    </row>
    <row r="66" spans="1:17" x14ac:dyDescent="0.25">
      <c r="A66" s="130"/>
      <c r="B66" t="s">
        <v>89</v>
      </c>
      <c r="D66" s="117">
        <f>+D64*D65</f>
        <v>226135</v>
      </c>
      <c r="E66" s="117">
        <f>+E64*E65</f>
        <v>265895</v>
      </c>
      <c r="F66" s="117">
        <f>+F64*F65</f>
        <v>265895</v>
      </c>
      <c r="H66" t="s">
        <v>90</v>
      </c>
      <c r="I66" s="12"/>
      <c r="Q66" s="131"/>
    </row>
    <row r="67" spans="1:17" x14ac:dyDescent="0.25">
      <c r="A67" s="130"/>
      <c r="B67" t="s">
        <v>91</v>
      </c>
      <c r="D67" s="117">
        <f>D66*95%</f>
        <v>214828.25</v>
      </c>
      <c r="E67" s="117">
        <f>E66*95%</f>
        <v>252600.25</v>
      </c>
      <c r="F67" s="117">
        <f>F66*95%</f>
        <v>252600.25</v>
      </c>
      <c r="H67" t="s">
        <v>92</v>
      </c>
      <c r="I67" s="12"/>
      <c r="Q67" s="131"/>
    </row>
    <row r="68" spans="1:17" x14ac:dyDescent="0.25">
      <c r="A68" s="130"/>
      <c r="F68" s="132"/>
      <c r="G68" s="13"/>
      <c r="H68" s="12"/>
      <c r="K68" s="12"/>
      <c r="Q68" s="131"/>
    </row>
    <row r="69" spans="1:17" x14ac:dyDescent="0.25">
      <c r="A69" s="130">
        <v>3</v>
      </c>
      <c r="B69" s="7" t="s">
        <v>282</v>
      </c>
      <c r="K69" s="12"/>
      <c r="Q69" s="131"/>
    </row>
    <row r="70" spans="1:17" x14ac:dyDescent="0.25">
      <c r="A70" s="130"/>
      <c r="K70" s="12"/>
      <c r="Q70" s="131"/>
    </row>
    <row r="71" spans="1:17" x14ac:dyDescent="0.25">
      <c r="A71" s="130"/>
      <c r="B71" t="s">
        <v>254</v>
      </c>
      <c r="D71" s="161">
        <f>$J$16</f>
        <v>5.4166666666666669E-2</v>
      </c>
      <c r="E71" s="161">
        <f>$J$16</f>
        <v>5.4166666666666669E-2</v>
      </c>
      <c r="F71" s="161">
        <f>$J$16</f>
        <v>5.4166666666666669E-2</v>
      </c>
      <c r="H71" t="s">
        <v>253</v>
      </c>
      <c r="K71" s="12"/>
      <c r="Q71" s="131"/>
    </row>
    <row r="72" spans="1:17" x14ac:dyDescent="0.25">
      <c r="A72" s="130"/>
      <c r="B72" t="s">
        <v>93</v>
      </c>
      <c r="D72" s="3">
        <v>0.1</v>
      </c>
      <c r="E72" s="3">
        <v>0.1</v>
      </c>
      <c r="F72" s="3">
        <v>0.1</v>
      </c>
      <c r="H72" s="12" t="s">
        <v>265</v>
      </c>
      <c r="K72" s="12"/>
      <c r="Q72" s="131"/>
    </row>
    <row r="73" spans="1:17" x14ac:dyDescent="0.25">
      <c r="A73" s="130"/>
      <c r="B73" t="s">
        <v>292</v>
      </c>
      <c r="D73" s="3">
        <v>1</v>
      </c>
      <c r="E73" s="3">
        <v>1</v>
      </c>
      <c r="F73" s="3">
        <v>1</v>
      </c>
      <c r="H73" s="12" t="s">
        <v>94</v>
      </c>
      <c r="K73" s="12"/>
      <c r="Q73" s="131"/>
    </row>
    <row r="74" spans="1:17" x14ac:dyDescent="0.25">
      <c r="A74" s="130"/>
      <c r="K74" s="12"/>
      <c r="Q74" s="131"/>
    </row>
    <row r="75" spans="1:17" x14ac:dyDescent="0.25">
      <c r="A75" s="130"/>
      <c r="B75" s="162" t="s">
        <v>95</v>
      </c>
      <c r="C75" s="128"/>
      <c r="D75" s="163">
        <f>D55</f>
        <v>520</v>
      </c>
      <c r="E75" s="163">
        <f t="shared" ref="E75:F75" si="6">E55</f>
        <v>600</v>
      </c>
      <c r="F75" s="164">
        <f t="shared" si="6"/>
        <v>600</v>
      </c>
      <c r="H75" s="146"/>
      <c r="K75" s="12"/>
      <c r="Q75" s="131"/>
    </row>
    <row r="76" spans="1:17" x14ac:dyDescent="0.25">
      <c r="A76" s="130"/>
      <c r="B76" s="165" t="s">
        <v>266</v>
      </c>
      <c r="D76" s="119">
        <f>D75*$H$76</f>
        <v>104</v>
      </c>
      <c r="E76" s="119">
        <f t="shared" ref="E76:F76" si="7">E75*$H$76</f>
        <v>120</v>
      </c>
      <c r="F76" s="166">
        <f t="shared" si="7"/>
        <v>120</v>
      </c>
      <c r="H76" s="147">
        <v>0.2</v>
      </c>
      <c r="K76" s="12"/>
      <c r="Q76" s="131"/>
    </row>
    <row r="77" spans="1:17" x14ac:dyDescent="0.25">
      <c r="A77" s="130"/>
      <c r="B77" s="165" t="s">
        <v>255</v>
      </c>
      <c r="D77" s="119">
        <f>D75*$H$77</f>
        <v>416</v>
      </c>
      <c r="E77" s="119">
        <f t="shared" ref="E77:F77" si="8">E75*$H$77</f>
        <v>480</v>
      </c>
      <c r="F77" s="166">
        <f t="shared" si="8"/>
        <v>480</v>
      </c>
      <c r="H77" s="147">
        <v>0.8</v>
      </c>
      <c r="K77" s="12"/>
      <c r="Q77" s="131"/>
    </row>
    <row r="78" spans="1:17" x14ac:dyDescent="0.25">
      <c r="A78" s="130"/>
      <c r="B78" s="165" t="s">
        <v>257</v>
      </c>
      <c r="D78" s="119">
        <f>D76/D72</f>
        <v>1040</v>
      </c>
      <c r="E78" s="119">
        <f>E76/E72</f>
        <v>1200</v>
      </c>
      <c r="F78" s="166">
        <f>F76/F72</f>
        <v>1200</v>
      </c>
      <c r="H78" s="17"/>
      <c r="K78" s="12"/>
      <c r="Q78" s="131"/>
    </row>
    <row r="79" spans="1:17" x14ac:dyDescent="0.25">
      <c r="A79" s="130"/>
      <c r="B79" s="165" t="s">
        <v>258</v>
      </c>
      <c r="D79" s="119">
        <f>D77/D73</f>
        <v>416</v>
      </c>
      <c r="E79" s="119">
        <f t="shared" ref="E79" si="9">E77/E73</f>
        <v>480</v>
      </c>
      <c r="F79" s="166">
        <f>F77/F73</f>
        <v>480</v>
      </c>
      <c r="H79" s="17"/>
      <c r="K79" s="12"/>
      <c r="Q79" s="131"/>
    </row>
    <row r="80" spans="1:17" x14ac:dyDescent="0.25">
      <c r="A80" s="130"/>
      <c r="B80" s="165" t="s">
        <v>285</v>
      </c>
      <c r="D80" s="119">
        <f>D79+D78</f>
        <v>1456</v>
      </c>
      <c r="E80" s="119">
        <f t="shared" ref="E80:F80" si="10">E79+E78</f>
        <v>1680</v>
      </c>
      <c r="F80" s="166">
        <f t="shared" si="10"/>
        <v>1680</v>
      </c>
      <c r="H80" s="17"/>
      <c r="K80" s="12"/>
      <c r="Q80" s="131"/>
    </row>
    <row r="81" spans="1:17" x14ac:dyDescent="0.25">
      <c r="A81" s="130"/>
      <c r="B81" s="167" t="s">
        <v>286</v>
      </c>
      <c r="C81" s="135" t="s">
        <v>256</v>
      </c>
      <c r="D81" s="168">
        <f>D80/7</f>
        <v>208</v>
      </c>
      <c r="E81" s="168">
        <f t="shared" ref="E81:F81" si="11">E80/7</f>
        <v>240</v>
      </c>
      <c r="F81" s="169">
        <f t="shared" si="11"/>
        <v>240</v>
      </c>
      <c r="G81" s="5"/>
      <c r="H81" s="5"/>
      <c r="K81" s="12"/>
      <c r="Q81" s="131"/>
    </row>
    <row r="82" spans="1:17" x14ac:dyDescent="0.25">
      <c r="A82" s="130"/>
      <c r="B82" s="148"/>
      <c r="H82" s="17"/>
      <c r="K82" s="12"/>
      <c r="Q82" s="131"/>
    </row>
    <row r="83" spans="1:17" x14ac:dyDescent="0.25">
      <c r="A83" s="130"/>
      <c r="B83" s="162" t="s">
        <v>96</v>
      </c>
      <c r="C83" s="128"/>
      <c r="D83" s="128"/>
      <c r="E83" s="128"/>
      <c r="F83" s="170"/>
      <c r="H83" s="17"/>
      <c r="K83" s="12"/>
      <c r="Q83" s="131"/>
    </row>
    <row r="84" spans="1:17" x14ac:dyDescent="0.25">
      <c r="A84" s="130"/>
      <c r="B84" s="165" t="s">
        <v>283</v>
      </c>
      <c r="D84" s="174">
        <f>D55</f>
        <v>520</v>
      </c>
      <c r="E84" s="174">
        <f t="shared" ref="E84" si="12">E55</f>
        <v>600</v>
      </c>
      <c r="F84" s="175">
        <f>F55</f>
        <v>600</v>
      </c>
      <c r="K84" s="12"/>
      <c r="Q84" s="131"/>
    </row>
    <row r="85" spans="1:17" x14ac:dyDescent="0.25">
      <c r="A85" s="130"/>
      <c r="B85" s="165" t="s">
        <v>284</v>
      </c>
      <c r="D85" s="174">
        <f>D84/D72</f>
        <v>5200</v>
      </c>
      <c r="E85" s="174">
        <f>E84/E72</f>
        <v>6000</v>
      </c>
      <c r="F85" s="175">
        <f>F84/F72</f>
        <v>6000</v>
      </c>
      <c r="K85" s="12"/>
      <c r="Q85" s="131"/>
    </row>
    <row r="86" spans="1:17" x14ac:dyDescent="0.25">
      <c r="A86" s="130"/>
      <c r="B86" s="171" t="s">
        <v>287</v>
      </c>
      <c r="C86" s="135"/>
      <c r="D86" s="176">
        <f>D85/7</f>
        <v>742.85714285714289</v>
      </c>
      <c r="E86" s="176">
        <f t="shared" ref="E86:F86" si="13">E85/7</f>
        <v>857.14285714285711</v>
      </c>
      <c r="F86" s="177">
        <f t="shared" si="13"/>
        <v>857.14285714285711</v>
      </c>
      <c r="H86" s="17"/>
      <c r="K86" s="12"/>
      <c r="Q86" s="131"/>
    </row>
    <row r="87" spans="1:17" x14ac:dyDescent="0.25">
      <c r="A87" s="130"/>
      <c r="D87" s="148"/>
      <c r="E87" s="148"/>
      <c r="F87" s="148"/>
      <c r="K87" s="12"/>
      <c r="Q87" s="131"/>
    </row>
    <row r="88" spans="1:17" x14ac:dyDescent="0.25">
      <c r="A88" s="130"/>
      <c r="B88" s="78" t="s">
        <v>259</v>
      </c>
      <c r="D88" s="174">
        <f>D85-D80</f>
        <v>3744</v>
      </c>
      <c r="E88" s="174">
        <f t="shared" ref="E88:F88" si="14">E85-E80</f>
        <v>4320</v>
      </c>
      <c r="F88" s="174">
        <f t="shared" si="14"/>
        <v>4320</v>
      </c>
      <c r="K88" s="12"/>
      <c r="Q88" s="131"/>
    </row>
    <row r="89" spans="1:17" x14ac:dyDescent="0.25">
      <c r="A89" s="130"/>
      <c r="B89" s="78"/>
      <c r="K89" s="12"/>
      <c r="Q89" s="131"/>
    </row>
    <row r="90" spans="1:17" x14ac:dyDescent="0.25">
      <c r="A90" s="130"/>
      <c r="B90" t="s">
        <v>275</v>
      </c>
      <c r="K90" s="12"/>
      <c r="Q90" s="131"/>
    </row>
    <row r="91" spans="1:17" x14ac:dyDescent="0.25">
      <c r="A91" s="130"/>
      <c r="B91" s="148" t="s">
        <v>97</v>
      </c>
      <c r="D91" s="83">
        <f>D55</f>
        <v>520</v>
      </c>
      <c r="E91" s="83">
        <f>E55</f>
        <v>600</v>
      </c>
      <c r="F91" s="83">
        <f>F55</f>
        <v>600</v>
      </c>
      <c r="H91" t="s">
        <v>98</v>
      </c>
      <c r="K91" s="12"/>
      <c r="Q91" s="131"/>
    </row>
    <row r="92" spans="1:17" x14ac:dyDescent="0.25">
      <c r="A92" s="130"/>
      <c r="B92" s="148" t="s">
        <v>267</v>
      </c>
      <c r="D92" s="119">
        <f>D85</f>
        <v>5200</v>
      </c>
      <c r="E92" s="119">
        <f>E85</f>
        <v>6000</v>
      </c>
      <c r="F92" s="119">
        <f>F85</f>
        <v>6000</v>
      </c>
      <c r="K92" s="12"/>
      <c r="Q92" s="131"/>
    </row>
    <row r="93" spans="1:17" x14ac:dyDescent="0.25">
      <c r="A93" s="130"/>
      <c r="B93" s="148" t="s">
        <v>268</v>
      </c>
      <c r="D93" s="119">
        <f>D80</f>
        <v>1456</v>
      </c>
      <c r="E93" s="119">
        <f t="shared" ref="E93" si="15">E80</f>
        <v>1680</v>
      </c>
      <c r="F93" s="119">
        <f>F80</f>
        <v>1680</v>
      </c>
      <c r="K93" s="12"/>
      <c r="Q93" s="131"/>
    </row>
    <row r="94" spans="1:17" x14ac:dyDescent="0.25">
      <c r="A94" s="133"/>
      <c r="B94" s="148" t="s">
        <v>99</v>
      </c>
      <c r="D94" s="178">
        <f>($G$94*18%)+$G$94</f>
        <v>11800</v>
      </c>
      <c r="E94" s="178">
        <f t="shared" ref="E94:F94" si="16">($G$94*18%)+$G$94</f>
        <v>11800</v>
      </c>
      <c r="F94" s="178">
        <f t="shared" si="16"/>
        <v>11800</v>
      </c>
      <c r="G94" s="145">
        <v>10000</v>
      </c>
      <c r="H94" t="s">
        <v>100</v>
      </c>
      <c r="K94" s="12"/>
      <c r="Q94" s="131"/>
    </row>
    <row r="95" spans="1:17" x14ac:dyDescent="0.25">
      <c r="A95" s="133"/>
      <c r="B95" s="148" t="s">
        <v>101</v>
      </c>
      <c r="D95" s="142">
        <f>ROUNDUP(D94/260/8,0)</f>
        <v>6</v>
      </c>
      <c r="E95" s="142">
        <f>ROUNDUP(E94/260/8,0)</f>
        <v>6</v>
      </c>
      <c r="F95" s="142">
        <f>ROUNDUP(F94/260/8,0)</f>
        <v>6</v>
      </c>
      <c r="H95" t="s">
        <v>102</v>
      </c>
      <c r="K95" s="12"/>
      <c r="Q95" s="131"/>
    </row>
    <row r="96" spans="1:17" x14ac:dyDescent="0.25">
      <c r="A96" s="133"/>
      <c r="B96" s="148" t="s">
        <v>103</v>
      </c>
      <c r="D96" s="91">
        <f>(D95*D88)*$G$96</f>
        <v>269568</v>
      </c>
      <c r="E96" s="91">
        <f t="shared" ref="D96:E96" si="17">(E95*E88)*$G$96</f>
        <v>311040</v>
      </c>
      <c r="F96" s="91">
        <f>(F95*F88)*$G$96</f>
        <v>311040</v>
      </c>
      <c r="G96" s="3">
        <v>12</v>
      </c>
      <c r="H96" t="s">
        <v>320</v>
      </c>
      <c r="K96" s="12"/>
      <c r="Q96" s="131"/>
    </row>
    <row r="97" spans="1:17" x14ac:dyDescent="0.25">
      <c r="A97" s="134"/>
      <c r="B97" s="135"/>
      <c r="C97" s="135"/>
      <c r="D97" s="135"/>
      <c r="E97" s="135"/>
      <c r="F97" s="136"/>
      <c r="G97" s="137"/>
      <c r="H97" s="138"/>
      <c r="I97" s="135"/>
      <c r="J97" s="135"/>
      <c r="K97" s="138"/>
      <c r="L97" s="135"/>
      <c r="M97" s="135"/>
      <c r="N97" s="135"/>
      <c r="O97" s="135"/>
      <c r="P97" s="135"/>
      <c r="Q97" s="139"/>
    </row>
    <row r="98" spans="1:17" x14ac:dyDescent="0.25">
      <c r="A98" s="9"/>
      <c r="F98" s="11"/>
      <c r="G98" s="13"/>
      <c r="H98" s="12"/>
      <c r="K98" s="12"/>
    </row>
    <row r="99" spans="1:17" x14ac:dyDescent="0.25">
      <c r="A99" s="9"/>
      <c r="E99" s="12"/>
      <c r="F99" s="12"/>
      <c r="K99" s="12"/>
    </row>
    <row r="111" spans="1:17" ht="15" customHeight="1" x14ac:dyDescent="0.25"/>
    <row r="114" ht="15" customHeight="1" x14ac:dyDescent="0.25"/>
    <row r="123" ht="15.75" customHeight="1" x14ac:dyDescent="0.25"/>
    <row r="125" ht="15" customHeight="1" x14ac:dyDescent="0.25"/>
    <row r="127" ht="15" customHeight="1" x14ac:dyDescent="0.25"/>
    <row r="130" ht="15" customHeight="1" x14ac:dyDescent="0.25"/>
  </sheetData>
  <mergeCells count="2">
    <mergeCell ref="A46:Q47"/>
    <mergeCell ref="A28:Q29"/>
  </mergeCells>
  <dataValidations count="2">
    <dataValidation type="list" allowBlank="1" showInputMessage="1" showErrorMessage="1" sqref="D15" xr:uid="{6AEF82F8-A6D5-4BE7-AB93-526343FF9206}">
      <formula1>"Manual, Excel"</formula1>
    </dataValidation>
    <dataValidation type="list" allowBlank="1" showInputMessage="1" showErrorMessage="1" sqref="K22" xr:uid="{4468D1C7-99D9-4F2D-84DC-0077CD690AE6}">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073E277-E19D-477D-8605-8F1C929844D9}">
          <x14:formula1>
            <xm:f>'Lookup tables'!$D$33:$D$60</xm:f>
          </x14:formula1>
          <xm:sqref>D6</xm:sqref>
        </x14:dataValidation>
        <x14:dataValidation type="list" allowBlank="1" showInputMessage="1" showErrorMessage="1" xr:uid="{4D1303DD-AF72-4ED8-ADFB-7039C9DE9A8B}">
          <x14:formula1>
            <xm:f>'Lookup tables'!$A$33:$A$50</xm:f>
          </x14:formula1>
          <xm:sqref>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1277-AC6D-4274-AA1D-8C6B8C22BD08}">
  <dimension ref="A1:P94"/>
  <sheetViews>
    <sheetView topLeftCell="A65" workbookViewId="0">
      <selection activeCell="B93" sqref="B93"/>
    </sheetView>
  </sheetViews>
  <sheetFormatPr defaultRowHeight="15" x14ac:dyDescent="0.25"/>
  <cols>
    <col min="1" max="2" width="25.28515625" customWidth="1"/>
    <col min="3" max="3" width="17.7109375" customWidth="1"/>
    <col min="4" max="4" width="15.7109375" bestFit="1" customWidth="1"/>
    <col min="5" max="5" width="17.7109375" customWidth="1"/>
    <col min="6" max="6" width="13" customWidth="1"/>
    <col min="7" max="7" width="32.28515625" customWidth="1"/>
    <col min="8" max="8" width="20" customWidth="1"/>
    <col min="9" max="9" width="77.7109375" bestFit="1" customWidth="1"/>
  </cols>
  <sheetData>
    <row r="1" spans="1:16" x14ac:dyDescent="0.25">
      <c r="F1" s="19"/>
    </row>
    <row r="2" spans="1:16" ht="69" customHeight="1" x14ac:dyDescent="0.25">
      <c r="F2" s="19" t="s">
        <v>153</v>
      </c>
      <c r="H2" t="s">
        <v>0</v>
      </c>
      <c r="I2" s="72" t="s">
        <v>154</v>
      </c>
    </row>
    <row r="3" spans="1:16" ht="69" customHeight="1" x14ac:dyDescent="0.25">
      <c r="F3" s="19"/>
      <c r="I3" s="72"/>
    </row>
    <row r="4" spans="1:16" x14ac:dyDescent="0.25">
      <c r="A4" s="2" t="s">
        <v>155</v>
      </c>
      <c r="B4" s="2"/>
      <c r="C4" t="s">
        <v>156</v>
      </c>
      <c r="D4" s="2" t="s">
        <v>157</v>
      </c>
      <c r="F4" s="19"/>
    </row>
    <row r="5" spans="1:16" x14ac:dyDescent="0.25">
      <c r="A5" t="s">
        <v>158</v>
      </c>
      <c r="C5" s="18">
        <v>0.8</v>
      </c>
      <c r="D5" t="s">
        <v>159</v>
      </c>
      <c r="F5" s="19"/>
    </row>
    <row r="6" spans="1:16" x14ac:dyDescent="0.25">
      <c r="A6" t="s">
        <v>14</v>
      </c>
      <c r="C6" s="18">
        <v>1</v>
      </c>
      <c r="D6" t="s">
        <v>17</v>
      </c>
      <c r="F6" s="19"/>
      <c r="G6" s="12" t="s">
        <v>160</v>
      </c>
    </row>
    <row r="7" spans="1:16" x14ac:dyDescent="0.25">
      <c r="A7" t="s">
        <v>161</v>
      </c>
      <c r="C7" s="18">
        <v>1.1000000000000001</v>
      </c>
      <c r="F7" s="19"/>
    </row>
    <row r="8" spans="1:16" x14ac:dyDescent="0.25">
      <c r="A8" t="s">
        <v>162</v>
      </c>
      <c r="C8" s="18">
        <v>1.2</v>
      </c>
      <c r="F8" s="19"/>
    </row>
    <row r="9" spans="1:16" x14ac:dyDescent="0.25">
      <c r="F9" s="19"/>
    </row>
    <row r="10" spans="1:16" x14ac:dyDescent="0.25">
      <c r="A10" s="2" t="s">
        <v>163</v>
      </c>
      <c r="B10" s="2" t="s">
        <v>164</v>
      </c>
      <c r="C10" s="2" t="s">
        <v>165</v>
      </c>
    </row>
    <row r="11" spans="1:16" x14ac:dyDescent="0.25">
      <c r="A11" s="16" t="s">
        <v>166</v>
      </c>
      <c r="B11" s="82">
        <v>0.1</v>
      </c>
      <c r="C11" s="68">
        <v>25</v>
      </c>
    </row>
    <row r="12" spans="1:16" ht="15.75" x14ac:dyDescent="0.25">
      <c r="A12" s="16">
        <v>1</v>
      </c>
      <c r="B12" s="82">
        <v>0.3</v>
      </c>
      <c r="C12" s="68">
        <v>10</v>
      </c>
      <c r="F12" t="s">
        <v>167</v>
      </c>
      <c r="K12" s="32"/>
    </row>
    <row r="13" spans="1:16" x14ac:dyDescent="0.25">
      <c r="A13" s="16">
        <v>2</v>
      </c>
      <c r="B13" s="82">
        <v>0.6</v>
      </c>
      <c r="I13" s="73"/>
      <c r="K13" s="2"/>
    </row>
    <row r="14" spans="1:16" x14ac:dyDescent="0.25">
      <c r="A14" s="16" t="s">
        <v>168</v>
      </c>
      <c r="B14" s="82">
        <v>1</v>
      </c>
      <c r="C14" s="2" t="s">
        <v>169</v>
      </c>
      <c r="I14" s="2"/>
      <c r="J14" s="2"/>
      <c r="K14" s="74"/>
      <c r="L14" s="74"/>
      <c r="M14" s="74"/>
      <c r="N14" s="74"/>
      <c r="O14" s="74"/>
    </row>
    <row r="15" spans="1:16" x14ac:dyDescent="0.25">
      <c r="D15">
        <v>3900</v>
      </c>
      <c r="E15">
        <f>D15*1000000</f>
        <v>3900000000</v>
      </c>
      <c r="J15" s="73"/>
      <c r="K15" s="75"/>
      <c r="L15" s="20"/>
      <c r="M15" s="20"/>
      <c r="N15" s="20"/>
      <c r="O15" s="20"/>
      <c r="P15" s="21"/>
    </row>
    <row r="16" spans="1:16" x14ac:dyDescent="0.25">
      <c r="A16" s="76" t="s">
        <v>170</v>
      </c>
      <c r="B16" s="76"/>
      <c r="J16" s="73"/>
      <c r="K16" s="75"/>
      <c r="L16" s="20"/>
      <c r="M16" s="20"/>
      <c r="N16" s="20"/>
      <c r="O16" s="20"/>
      <c r="P16" s="21"/>
    </row>
    <row r="17" spans="1:16" x14ac:dyDescent="0.25">
      <c r="A17" s="76" t="s">
        <v>171</v>
      </c>
      <c r="B17" s="76"/>
      <c r="J17" s="73"/>
      <c r="K17" s="75"/>
      <c r="L17" s="20"/>
      <c r="M17" s="20"/>
      <c r="N17" s="21"/>
      <c r="O17" s="21"/>
      <c r="P17" s="21"/>
    </row>
    <row r="18" spans="1:16" x14ac:dyDescent="0.25">
      <c r="A18" s="76" t="s">
        <v>172</v>
      </c>
      <c r="B18" s="76"/>
      <c r="C18" s="77"/>
      <c r="D18" s="19"/>
      <c r="J18" s="73"/>
      <c r="K18" s="75"/>
      <c r="L18" s="20"/>
      <c r="M18" s="20"/>
      <c r="N18" s="21"/>
      <c r="O18" s="21"/>
      <c r="P18" s="21"/>
    </row>
    <row r="19" spans="1:16" x14ac:dyDescent="0.25">
      <c r="A19" s="77"/>
      <c r="B19" s="77"/>
      <c r="C19" s="77"/>
      <c r="D19" s="19"/>
      <c r="J19" s="73"/>
      <c r="K19" s="75"/>
      <c r="L19" s="21"/>
      <c r="M19" s="21"/>
      <c r="N19" s="21"/>
      <c r="O19" s="21"/>
      <c r="P19" s="21"/>
    </row>
    <row r="20" spans="1:16" x14ac:dyDescent="0.25">
      <c r="A20" s="2" t="s">
        <v>173</v>
      </c>
      <c r="B20" s="2"/>
      <c r="C20" s="2" t="s">
        <v>174</v>
      </c>
      <c r="D20" s="2" t="s">
        <v>175</v>
      </c>
    </row>
    <row r="21" spans="1:16" x14ac:dyDescent="0.25">
      <c r="A21" t="s">
        <v>153</v>
      </c>
      <c r="C21" t="s">
        <v>176</v>
      </c>
      <c r="D21">
        <v>1680</v>
      </c>
    </row>
    <row r="22" spans="1:16" x14ac:dyDescent="0.25">
      <c r="A22" t="s">
        <v>177</v>
      </c>
      <c r="C22" t="s">
        <v>178</v>
      </c>
      <c r="D22">
        <v>1680</v>
      </c>
    </row>
    <row r="23" spans="1:16" x14ac:dyDescent="0.25">
      <c r="A23" s="77"/>
      <c r="B23" s="77"/>
      <c r="C23" s="77"/>
      <c r="D23" s="19"/>
    </row>
    <row r="24" spans="1:16" x14ac:dyDescent="0.25">
      <c r="A24" s="77"/>
      <c r="B24" s="77"/>
      <c r="C24" s="77"/>
      <c r="D24" s="19"/>
    </row>
    <row r="25" spans="1:16" x14ac:dyDescent="0.25">
      <c r="A25" s="2" t="s">
        <v>179</v>
      </c>
      <c r="B25" s="2"/>
      <c r="D25" s="19"/>
    </row>
    <row r="26" spans="1:16" x14ac:dyDescent="0.25">
      <c r="A26" s="16" t="s">
        <v>153</v>
      </c>
      <c r="B26" s="16"/>
      <c r="C26" s="78">
        <f>25000*1.25</f>
        <v>31250</v>
      </c>
      <c r="D26" s="79" t="s">
        <v>180</v>
      </c>
    </row>
    <row r="27" spans="1:16" x14ac:dyDescent="0.25">
      <c r="A27" s="16" t="s">
        <v>177</v>
      </c>
      <c r="B27" s="16"/>
      <c r="C27" s="78">
        <f>28000*1.25</f>
        <v>35000</v>
      </c>
      <c r="D27" s="19"/>
    </row>
    <row r="28" spans="1:16" x14ac:dyDescent="0.25">
      <c r="A28" s="2" t="s">
        <v>181</v>
      </c>
      <c r="B28" s="2"/>
      <c r="D28" s="19"/>
    </row>
    <row r="29" spans="1:16" x14ac:dyDescent="0.25">
      <c r="A29" s="16" t="s">
        <v>153</v>
      </c>
      <c r="B29" s="16"/>
      <c r="C29" s="78">
        <f>18000*1.25</f>
        <v>22500</v>
      </c>
      <c r="D29" s="19"/>
    </row>
    <row r="30" spans="1:16" x14ac:dyDescent="0.25">
      <c r="A30" s="16" t="s">
        <v>177</v>
      </c>
      <c r="B30" s="16"/>
      <c r="C30" s="78">
        <f>20000*1.25</f>
        <v>25000</v>
      </c>
    </row>
    <row r="32" spans="1:16" x14ac:dyDescent="0.25">
      <c r="A32" s="2" t="s">
        <v>182</v>
      </c>
      <c r="B32" s="2"/>
      <c r="D32" s="2" t="s">
        <v>183</v>
      </c>
    </row>
    <row r="33" spans="1:4" x14ac:dyDescent="0.25">
      <c r="A33" t="s">
        <v>184</v>
      </c>
      <c r="D33" t="s">
        <v>185</v>
      </c>
    </row>
    <row r="34" spans="1:4" x14ac:dyDescent="0.25">
      <c r="A34" t="s">
        <v>186</v>
      </c>
      <c r="D34" t="s">
        <v>187</v>
      </c>
    </row>
    <row r="35" spans="1:4" x14ac:dyDescent="0.25">
      <c r="A35" t="s">
        <v>188</v>
      </c>
      <c r="D35" t="s">
        <v>189</v>
      </c>
    </row>
    <row r="36" spans="1:4" x14ac:dyDescent="0.25">
      <c r="A36" t="s">
        <v>65</v>
      </c>
      <c r="D36" t="s">
        <v>190</v>
      </c>
    </row>
    <row r="37" spans="1:4" x14ac:dyDescent="0.25">
      <c r="A37" t="s">
        <v>191</v>
      </c>
      <c r="D37" t="s">
        <v>192</v>
      </c>
    </row>
    <row r="38" spans="1:4" x14ac:dyDescent="0.25">
      <c r="A38" t="s">
        <v>193</v>
      </c>
      <c r="D38" t="s">
        <v>194</v>
      </c>
    </row>
    <row r="39" spans="1:4" x14ac:dyDescent="0.25">
      <c r="A39" t="s">
        <v>195</v>
      </c>
      <c r="D39" t="s">
        <v>196</v>
      </c>
    </row>
    <row r="40" spans="1:4" x14ac:dyDescent="0.25">
      <c r="A40" t="s">
        <v>197</v>
      </c>
      <c r="D40" t="s">
        <v>198</v>
      </c>
    </row>
    <row r="41" spans="1:4" x14ac:dyDescent="0.25">
      <c r="A41" t="s">
        <v>199</v>
      </c>
      <c r="D41" t="s">
        <v>200</v>
      </c>
    </row>
    <row r="42" spans="1:4" x14ac:dyDescent="0.25">
      <c r="A42" t="s">
        <v>201</v>
      </c>
      <c r="D42" t="s">
        <v>202</v>
      </c>
    </row>
    <row r="43" spans="1:4" x14ac:dyDescent="0.25">
      <c r="A43" t="s">
        <v>203</v>
      </c>
      <c r="D43" t="s">
        <v>204</v>
      </c>
    </row>
    <row r="44" spans="1:4" x14ac:dyDescent="0.25">
      <c r="A44" t="s">
        <v>205</v>
      </c>
      <c r="D44" t="s">
        <v>206</v>
      </c>
    </row>
    <row r="45" spans="1:4" x14ac:dyDescent="0.25">
      <c r="A45" t="s">
        <v>207</v>
      </c>
      <c r="D45" t="s">
        <v>208</v>
      </c>
    </row>
    <row r="46" spans="1:4" x14ac:dyDescent="0.25">
      <c r="A46" t="s">
        <v>209</v>
      </c>
      <c r="D46" t="s">
        <v>210</v>
      </c>
    </row>
    <row r="47" spans="1:4" x14ac:dyDescent="0.25">
      <c r="A47" t="s">
        <v>211</v>
      </c>
      <c r="D47" t="s">
        <v>212</v>
      </c>
    </row>
    <row r="48" spans="1:4" x14ac:dyDescent="0.25">
      <c r="A48" t="s">
        <v>213</v>
      </c>
      <c r="D48" t="s">
        <v>214</v>
      </c>
    </row>
    <row r="49" spans="1:4" x14ac:dyDescent="0.25">
      <c r="A49" t="s">
        <v>215</v>
      </c>
      <c r="D49" t="s">
        <v>216</v>
      </c>
    </row>
    <row r="50" spans="1:4" x14ac:dyDescent="0.25">
      <c r="A50" t="s">
        <v>3</v>
      </c>
      <c r="D50" t="s">
        <v>217</v>
      </c>
    </row>
    <row r="51" spans="1:4" x14ac:dyDescent="0.25">
      <c r="D51" t="s">
        <v>218</v>
      </c>
    </row>
    <row r="52" spans="1:4" x14ac:dyDescent="0.25">
      <c r="D52" t="s">
        <v>219</v>
      </c>
    </row>
    <row r="53" spans="1:4" x14ac:dyDescent="0.25">
      <c r="D53" t="s">
        <v>220</v>
      </c>
    </row>
    <row r="54" spans="1:4" x14ac:dyDescent="0.25">
      <c r="D54" t="s">
        <v>221</v>
      </c>
    </row>
    <row r="55" spans="1:4" x14ac:dyDescent="0.25">
      <c r="D55" t="s">
        <v>8</v>
      </c>
    </row>
    <row r="56" spans="1:4" x14ac:dyDescent="0.25">
      <c r="D56" t="s">
        <v>66</v>
      </c>
    </row>
    <row r="57" spans="1:4" x14ac:dyDescent="0.25">
      <c r="D57" t="s">
        <v>222</v>
      </c>
    </row>
    <row r="58" spans="1:4" x14ac:dyDescent="0.25">
      <c r="D58" t="s">
        <v>223</v>
      </c>
    </row>
    <row r="59" spans="1:4" x14ac:dyDescent="0.25">
      <c r="D59" t="s">
        <v>224</v>
      </c>
    </row>
    <row r="60" spans="1:4" x14ac:dyDescent="0.25">
      <c r="D60" t="s">
        <v>3</v>
      </c>
    </row>
    <row r="65" spans="1:8" x14ac:dyDescent="0.25">
      <c r="A65" s="2" t="s">
        <v>225</v>
      </c>
      <c r="B65" s="2"/>
    </row>
    <row r="66" spans="1:8" x14ac:dyDescent="0.25">
      <c r="A66" t="s">
        <v>226</v>
      </c>
    </row>
    <row r="67" spans="1:8" x14ac:dyDescent="0.25">
      <c r="A67" t="s">
        <v>227</v>
      </c>
    </row>
    <row r="68" spans="1:8" x14ac:dyDescent="0.25">
      <c r="A68" s="80" t="s">
        <v>228</v>
      </c>
      <c r="B68" s="80"/>
    </row>
    <row r="69" spans="1:8" x14ac:dyDescent="0.25">
      <c r="A69" s="80" t="s">
        <v>229</v>
      </c>
      <c r="B69" s="80"/>
    </row>
    <row r="70" spans="1:8" x14ac:dyDescent="0.25">
      <c r="A70" s="80" t="s">
        <v>230</v>
      </c>
      <c r="B70" s="80"/>
    </row>
    <row r="71" spans="1:8" x14ac:dyDescent="0.25">
      <c r="A71" s="80" t="s">
        <v>231</v>
      </c>
      <c r="B71" s="80"/>
    </row>
    <row r="73" spans="1:8" x14ac:dyDescent="0.25">
      <c r="A73" t="s">
        <v>232</v>
      </c>
    </row>
    <row r="74" spans="1:8" x14ac:dyDescent="0.25">
      <c r="A74" t="s">
        <v>233</v>
      </c>
      <c r="D74" s="80" t="s">
        <v>234</v>
      </c>
    </row>
    <row r="76" spans="1:8" x14ac:dyDescent="0.25">
      <c r="A76" s="81" t="s">
        <v>235</v>
      </c>
      <c r="B76" s="81"/>
      <c r="C76" s="77">
        <v>65</v>
      </c>
    </row>
    <row r="77" spans="1:8" x14ac:dyDescent="0.25">
      <c r="A77" s="81" t="s">
        <v>236</v>
      </c>
      <c r="B77" s="81"/>
      <c r="C77" s="77">
        <v>25</v>
      </c>
    </row>
    <row r="78" spans="1:8" x14ac:dyDescent="0.25">
      <c r="G78" s="4"/>
    </row>
    <row r="79" spans="1:8" x14ac:dyDescent="0.25">
      <c r="A79" s="7" t="s">
        <v>237</v>
      </c>
      <c r="B79" s="7"/>
    </row>
    <row r="80" spans="1:8" x14ac:dyDescent="0.25">
      <c r="A80" s="2" t="s">
        <v>238</v>
      </c>
      <c r="B80" s="2"/>
      <c r="C80" s="2" t="s">
        <v>239</v>
      </c>
      <c r="D80" s="2" t="s">
        <v>240</v>
      </c>
      <c r="E80" s="2" t="s">
        <v>241</v>
      </c>
      <c r="G80" s="2" t="s">
        <v>242</v>
      </c>
      <c r="H80" s="2" t="s">
        <v>243</v>
      </c>
    </row>
    <row r="81" spans="1:8" x14ac:dyDescent="0.25">
      <c r="A81" t="s">
        <v>211</v>
      </c>
      <c r="C81" s="77">
        <v>1051000000</v>
      </c>
      <c r="D81" s="77">
        <f>C81*50%</f>
        <v>525500000</v>
      </c>
      <c r="E81" s="77">
        <f t="shared" ref="E81:E86" si="0">D81/2500</f>
        <v>210200</v>
      </c>
      <c r="G81" s="81">
        <f>ROUNDUP(E81/16000,0)</f>
        <v>14</v>
      </c>
      <c r="H81" s="4">
        <f>D81/23000</f>
        <v>22847.82608695652</v>
      </c>
    </row>
    <row r="82" spans="1:8" x14ac:dyDescent="0.25">
      <c r="A82" t="s">
        <v>201</v>
      </c>
      <c r="C82" s="77">
        <v>1051000000</v>
      </c>
      <c r="D82" s="77">
        <f>C82*50%</f>
        <v>525500000</v>
      </c>
      <c r="E82" s="77">
        <f t="shared" si="0"/>
        <v>210200</v>
      </c>
      <c r="G82" s="81">
        <f>ROUNDUP(E82/16000,0)</f>
        <v>14</v>
      </c>
      <c r="H82" s="4">
        <f>D82/35000</f>
        <v>15014.285714285714</v>
      </c>
    </row>
    <row r="83" spans="1:8" x14ac:dyDescent="0.25">
      <c r="A83" t="s">
        <v>244</v>
      </c>
      <c r="C83" s="77">
        <v>1051000000</v>
      </c>
      <c r="D83" s="77">
        <f>C83*40%</f>
        <v>420400000</v>
      </c>
      <c r="E83" s="77">
        <f t="shared" si="0"/>
        <v>168160</v>
      </c>
      <c r="G83" s="81">
        <f>ROUNDUP(E83/16000,0)</f>
        <v>11</v>
      </c>
      <c r="H83" s="4">
        <f>D83/22000</f>
        <v>19109.090909090908</v>
      </c>
    </row>
    <row r="84" spans="1:8" x14ac:dyDescent="0.25">
      <c r="A84" t="s">
        <v>65</v>
      </c>
      <c r="C84" s="77">
        <v>1051000000</v>
      </c>
      <c r="D84" s="77">
        <f>C84*50%</f>
        <v>525500000</v>
      </c>
      <c r="E84" s="77">
        <f t="shared" si="0"/>
        <v>210200</v>
      </c>
      <c r="G84" s="81">
        <f>ROUNDUP(E84/16000,0)</f>
        <v>14</v>
      </c>
      <c r="H84" s="4">
        <f>D84/40000</f>
        <v>13137.5</v>
      </c>
    </row>
    <row r="85" spans="1:8" x14ac:dyDescent="0.25">
      <c r="A85" t="s">
        <v>245</v>
      </c>
      <c r="C85" s="77">
        <v>1051000000</v>
      </c>
      <c r="D85" s="77">
        <f>C85*50%</f>
        <v>525500000</v>
      </c>
      <c r="E85" s="77">
        <f t="shared" si="0"/>
        <v>210200</v>
      </c>
      <c r="G85" s="81">
        <f>ROUNDUP(E85/19000,0)</f>
        <v>12</v>
      </c>
      <c r="H85" s="4">
        <f>D85/40000</f>
        <v>13137.5</v>
      </c>
    </row>
    <row r="86" spans="1:8" x14ac:dyDescent="0.25">
      <c r="A86" t="s">
        <v>199</v>
      </c>
      <c r="C86" s="77">
        <v>1051000000</v>
      </c>
      <c r="D86" s="77">
        <f>C86*40%</f>
        <v>420400000</v>
      </c>
      <c r="E86" s="77">
        <f t="shared" si="0"/>
        <v>168160</v>
      </c>
      <c r="G86" s="81">
        <f>ROUNDUP(E86/16000,0)</f>
        <v>11</v>
      </c>
      <c r="H86" s="4">
        <f>D86/20000</f>
        <v>21020</v>
      </c>
    </row>
    <row r="87" spans="1:8" x14ac:dyDescent="0.25">
      <c r="C87" s="77"/>
      <c r="D87" s="77"/>
      <c r="E87" s="77"/>
      <c r="F87" s="77"/>
    </row>
    <row r="88" spans="1:8" x14ac:dyDescent="0.25">
      <c r="C88" s="77"/>
      <c r="D88" s="77"/>
      <c r="E88" s="77"/>
      <c r="F88" s="77"/>
      <c r="G88" s="77"/>
    </row>
    <row r="89" spans="1:8" x14ac:dyDescent="0.25">
      <c r="C89" s="77"/>
      <c r="D89" s="77"/>
      <c r="E89" s="77"/>
      <c r="F89" s="77"/>
      <c r="G89" s="77"/>
    </row>
    <row r="90" spans="1:8" x14ac:dyDescent="0.25">
      <c r="E90" s="77"/>
      <c r="F90" s="77"/>
      <c r="G90" s="77"/>
    </row>
    <row r="91" spans="1:8" x14ac:dyDescent="0.25">
      <c r="A91" t="s">
        <v>246</v>
      </c>
      <c r="B91" t="s">
        <v>279</v>
      </c>
      <c r="C91" t="s">
        <v>278</v>
      </c>
      <c r="D91" t="s">
        <v>277</v>
      </c>
      <c r="E91" s="77" t="s">
        <v>276</v>
      </c>
      <c r="F91" s="77" t="s">
        <v>280</v>
      </c>
      <c r="G91" s="77" t="s">
        <v>281</v>
      </c>
    </row>
    <row r="92" spans="1:8" x14ac:dyDescent="0.25">
      <c r="A92" t="s">
        <v>247</v>
      </c>
      <c r="B92">
        <v>1</v>
      </c>
      <c r="C92">
        <v>250</v>
      </c>
      <c r="D92">
        <v>400</v>
      </c>
      <c r="E92">
        <v>750</v>
      </c>
      <c r="F92">
        <v>1000</v>
      </c>
      <c r="G92">
        <v>1250</v>
      </c>
    </row>
    <row r="93" spans="1:8" x14ac:dyDescent="0.25">
      <c r="A93" t="s">
        <v>248</v>
      </c>
      <c r="B93">
        <v>11</v>
      </c>
      <c r="C93">
        <v>9</v>
      </c>
      <c r="D93">
        <v>7</v>
      </c>
      <c r="E93">
        <v>5</v>
      </c>
      <c r="F93">
        <v>3.3</v>
      </c>
      <c r="G93">
        <v>3.3</v>
      </c>
      <c r="H93" s="18"/>
    </row>
    <row r="94" spans="1:8" x14ac:dyDescent="0.25">
      <c r="A94" t="s">
        <v>249</v>
      </c>
      <c r="B94">
        <v>9600</v>
      </c>
      <c r="C94">
        <v>8350</v>
      </c>
      <c r="D94">
        <v>7100</v>
      </c>
      <c r="E94">
        <v>4800</v>
      </c>
      <c r="F94">
        <v>2500</v>
      </c>
      <c r="G94">
        <v>2500</v>
      </c>
    </row>
  </sheetData>
  <sortState xmlns:xlrd2="http://schemas.microsoft.com/office/spreadsheetml/2017/richdata2" ref="A33:A50">
    <sortCondition ref="A33:A50"/>
  </sortState>
  <hyperlinks>
    <hyperlink ref="A69" r:id="rId1" xr:uid="{0E99CC56-4062-4336-8372-CD4FF9DC111B}"/>
    <hyperlink ref="A68" r:id="rId2" xr:uid="{807781F4-C8CA-4AE9-9D5F-F7477B58EB6C}"/>
    <hyperlink ref="A71" r:id="rId3" xr:uid="{CBFFF078-E2AA-4077-A251-584611EA7A4E}"/>
    <hyperlink ref="A70" r:id="rId4" xr:uid="{BD25009D-39CF-462D-802E-EBFD59212E1C}"/>
    <hyperlink ref="D74" r:id="rId5" xr:uid="{EC7CF2FF-DA8F-449E-BC58-1AF331804D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9B68-CCB6-4A0C-AFCD-8E39BD48AFF0}">
  <dimension ref="B2:J54"/>
  <sheetViews>
    <sheetView workbookViewId="0">
      <selection activeCell="G4" sqref="G4"/>
    </sheetView>
  </sheetViews>
  <sheetFormatPr defaultRowHeight="15" x14ac:dyDescent="0.25"/>
  <cols>
    <col min="2" max="2" width="70" bestFit="1" customWidth="1"/>
    <col min="3" max="3" width="12" bestFit="1" customWidth="1"/>
    <col min="4" max="5" width="16.28515625" bestFit="1" customWidth="1"/>
    <col min="6" max="6" width="16.85546875" bestFit="1" customWidth="1"/>
    <col min="7" max="7" width="19.42578125" bestFit="1" customWidth="1"/>
    <col min="8" max="8" width="19" bestFit="1" customWidth="1"/>
    <col min="9" max="10" width="20.140625" bestFit="1" customWidth="1"/>
  </cols>
  <sheetData>
    <row r="2" spans="2:10" ht="22.5" x14ac:dyDescent="0.3">
      <c r="B2" s="34" t="s">
        <v>104</v>
      </c>
      <c r="C2" s="35"/>
      <c r="D2" s="35"/>
      <c r="E2" s="35"/>
      <c r="F2" s="35"/>
      <c r="G2" s="36"/>
      <c r="H2" s="36"/>
      <c r="I2" s="36"/>
      <c r="J2" s="36"/>
    </row>
    <row r="3" spans="2:10" x14ac:dyDescent="0.25">
      <c r="B3" s="37" t="s">
        <v>105</v>
      </c>
      <c r="C3" s="38" t="s">
        <v>106</v>
      </c>
      <c r="D3" s="38" t="s">
        <v>107</v>
      </c>
      <c r="E3" s="38" t="s">
        <v>108</v>
      </c>
      <c r="F3" s="38" t="s">
        <v>109</v>
      </c>
      <c r="G3" s="38" t="s">
        <v>110</v>
      </c>
      <c r="H3" s="38" t="s">
        <v>111</v>
      </c>
      <c r="I3" s="38" t="s">
        <v>112</v>
      </c>
      <c r="J3" s="38" t="s">
        <v>113</v>
      </c>
    </row>
    <row r="4" spans="2:10" x14ac:dyDescent="0.25">
      <c r="B4" s="39" t="s">
        <v>114</v>
      </c>
      <c r="C4" s="52">
        <v>0</v>
      </c>
      <c r="D4" s="52">
        <v>15000</v>
      </c>
      <c r="E4" s="52">
        <v>25000</v>
      </c>
      <c r="F4" s="52">
        <v>50000</v>
      </c>
      <c r="G4" s="52">
        <v>10000</v>
      </c>
      <c r="H4" s="52">
        <v>250000</v>
      </c>
      <c r="I4" s="52">
        <v>500000</v>
      </c>
      <c r="J4" s="40" t="s">
        <v>115</v>
      </c>
    </row>
    <row r="5" spans="2:10" x14ac:dyDescent="0.25">
      <c r="B5" s="41" t="s">
        <v>116</v>
      </c>
      <c r="C5" s="42"/>
      <c r="D5" s="42"/>
      <c r="E5" s="42"/>
      <c r="F5" s="42"/>
      <c r="G5" s="42"/>
      <c r="H5" s="42"/>
      <c r="I5" s="42"/>
      <c r="J5" s="42"/>
    </row>
    <row r="6" spans="2:10" x14ac:dyDescent="0.25">
      <c r="B6" s="43" t="s">
        <v>117</v>
      </c>
      <c r="C6" s="44">
        <v>2</v>
      </c>
      <c r="D6" s="44">
        <v>2</v>
      </c>
      <c r="E6" s="44">
        <v>4</v>
      </c>
      <c r="F6" s="44">
        <v>5</v>
      </c>
      <c r="G6" s="44">
        <v>6</v>
      </c>
      <c r="H6" s="44">
        <v>7</v>
      </c>
      <c r="I6" s="44">
        <v>8</v>
      </c>
      <c r="J6" s="44" t="s">
        <v>118</v>
      </c>
    </row>
    <row r="7" spans="2:10" x14ac:dyDescent="0.25">
      <c r="B7" s="45" t="s">
        <v>119</v>
      </c>
      <c r="C7" s="46">
        <v>3850</v>
      </c>
      <c r="D7" s="46">
        <v>4900</v>
      </c>
      <c r="E7" s="46">
        <v>6200</v>
      </c>
      <c r="F7" s="46">
        <v>7750</v>
      </c>
      <c r="G7" s="46">
        <v>10350</v>
      </c>
      <c r="H7" s="46">
        <v>12950</v>
      </c>
      <c r="I7" s="46">
        <v>16200</v>
      </c>
      <c r="J7" s="47"/>
    </row>
    <row r="8" spans="2:10" x14ac:dyDescent="0.25">
      <c r="B8" s="45" t="s">
        <v>120</v>
      </c>
      <c r="C8" s="46">
        <v>2450</v>
      </c>
      <c r="D8" s="46">
        <v>2350</v>
      </c>
      <c r="E8" s="46">
        <v>3100</v>
      </c>
      <c r="F8" s="46">
        <v>3900</v>
      </c>
      <c r="G8" s="46">
        <v>5050</v>
      </c>
      <c r="H8" s="46">
        <v>6250</v>
      </c>
      <c r="I8" s="46">
        <v>7800</v>
      </c>
      <c r="J8" s="48"/>
    </row>
    <row r="9" spans="2:10" x14ac:dyDescent="0.25">
      <c r="B9" s="41"/>
      <c r="C9" s="120">
        <f t="shared" ref="C9:F9" si="0">C8/C10</f>
        <v>0.15123456790123457</v>
      </c>
      <c r="D9" s="120">
        <f t="shared" si="0"/>
        <v>0.12082262210796915</v>
      </c>
      <c r="E9" s="120">
        <f t="shared" si="0"/>
        <v>0.11969111969111969</v>
      </c>
      <c r="F9" s="120">
        <f t="shared" si="0"/>
        <v>0.12018489984591679</v>
      </c>
      <c r="G9" s="120">
        <f>G8/G10</f>
        <v>0.12038140643623362</v>
      </c>
      <c r="H9" s="120">
        <f t="shared" ref="H9:I9" si="1">H8/H10</f>
        <v>0.12030798845043311</v>
      </c>
      <c r="I9" s="120">
        <f t="shared" si="1"/>
        <v>0.12037037037037036</v>
      </c>
      <c r="J9" s="49"/>
    </row>
    <row r="10" spans="2:10" x14ac:dyDescent="0.25">
      <c r="B10" s="45" t="s">
        <v>121</v>
      </c>
      <c r="C10" s="46">
        <v>16200</v>
      </c>
      <c r="D10" s="46">
        <v>19450</v>
      </c>
      <c r="E10" s="46">
        <v>25900</v>
      </c>
      <c r="F10" s="46">
        <v>32450</v>
      </c>
      <c r="G10" s="46">
        <v>41950</v>
      </c>
      <c r="H10" s="46">
        <v>51950</v>
      </c>
      <c r="I10" s="46">
        <v>64800</v>
      </c>
      <c r="J10" s="46" t="s">
        <v>122</v>
      </c>
    </row>
    <row r="11" spans="2:10" x14ac:dyDescent="0.25">
      <c r="C11" s="17"/>
      <c r="D11" s="17"/>
      <c r="E11" s="17"/>
      <c r="F11" s="17"/>
      <c r="G11" s="17"/>
      <c r="H11" s="17"/>
      <c r="I11" s="17"/>
    </row>
    <row r="12" spans="2:10" x14ac:dyDescent="0.25">
      <c r="B12" s="37" t="s">
        <v>123</v>
      </c>
      <c r="C12" s="38" t="s">
        <v>106</v>
      </c>
      <c r="D12" s="38" t="s">
        <v>107</v>
      </c>
      <c r="E12" s="38" t="s">
        <v>108</v>
      </c>
      <c r="F12" s="38" t="s">
        <v>109</v>
      </c>
      <c r="G12" s="38" t="s">
        <v>110</v>
      </c>
      <c r="H12" s="38" t="s">
        <v>111</v>
      </c>
      <c r="I12" s="38" t="s">
        <v>112</v>
      </c>
      <c r="J12" s="38" t="s">
        <v>113</v>
      </c>
    </row>
    <row r="13" spans="2:10" x14ac:dyDescent="0.25">
      <c r="B13" s="45" t="s">
        <v>121</v>
      </c>
      <c r="C13" s="46">
        <v>1500</v>
      </c>
      <c r="D13" s="46">
        <v>1500</v>
      </c>
      <c r="E13" s="46">
        <v>1500</v>
      </c>
      <c r="F13" s="46">
        <v>2500</v>
      </c>
      <c r="G13" s="46">
        <v>3250</v>
      </c>
      <c r="H13" s="46">
        <v>4000</v>
      </c>
      <c r="I13" s="46">
        <v>5000</v>
      </c>
      <c r="J13" s="45"/>
    </row>
    <row r="14" spans="2:10" x14ac:dyDescent="0.25">
      <c r="F14" s="18"/>
    </row>
    <row r="15" spans="2:10" x14ac:dyDescent="0.25">
      <c r="B15" s="37" t="s">
        <v>124</v>
      </c>
      <c r="C15" s="38" t="s">
        <v>106</v>
      </c>
      <c r="D15" s="38" t="s">
        <v>107</v>
      </c>
      <c r="E15" s="38" t="s">
        <v>108</v>
      </c>
      <c r="F15" s="38" t="s">
        <v>109</v>
      </c>
      <c r="G15" s="38" t="s">
        <v>110</v>
      </c>
      <c r="H15" s="38" t="s">
        <v>111</v>
      </c>
      <c r="I15" s="38" t="s">
        <v>112</v>
      </c>
      <c r="J15" s="38" t="s">
        <v>113</v>
      </c>
    </row>
    <row r="16" spans="2:10" x14ac:dyDescent="0.25">
      <c r="B16" s="45" t="s">
        <v>125</v>
      </c>
      <c r="C16" s="46">
        <f>D16</f>
        <v>1000</v>
      </c>
      <c r="D16" s="46">
        <v>1000</v>
      </c>
      <c r="E16" s="46">
        <v>1300</v>
      </c>
      <c r="F16" s="46">
        <v>1600</v>
      </c>
      <c r="G16" s="46">
        <v>2200</v>
      </c>
      <c r="H16" s="46">
        <v>2800</v>
      </c>
      <c r="I16" s="46">
        <v>3400</v>
      </c>
      <c r="J16" s="45"/>
    </row>
    <row r="17" spans="2:10" x14ac:dyDescent="0.25">
      <c r="B17" s="41"/>
      <c r="C17" s="49"/>
      <c r="D17" s="49"/>
      <c r="E17" s="49"/>
      <c r="F17" s="49"/>
      <c r="G17" s="49"/>
      <c r="H17" s="49"/>
      <c r="I17" s="49"/>
      <c r="J17" s="49"/>
    </row>
    <row r="18" spans="2:10" x14ac:dyDescent="0.25">
      <c r="B18" s="45" t="s">
        <v>121</v>
      </c>
      <c r="C18" s="46">
        <f>D18</f>
        <v>9000</v>
      </c>
      <c r="D18" s="46">
        <v>9000</v>
      </c>
      <c r="E18" s="46">
        <v>11220</v>
      </c>
      <c r="F18" s="46">
        <v>14400</v>
      </c>
      <c r="G18" s="46">
        <v>19800</v>
      </c>
      <c r="H18" s="46">
        <v>25200</v>
      </c>
      <c r="I18" s="46">
        <v>30600</v>
      </c>
      <c r="J18" s="45"/>
    </row>
    <row r="20" spans="2:10" x14ac:dyDescent="0.25">
      <c r="B20" s="50" t="s">
        <v>126</v>
      </c>
      <c r="C20" s="51"/>
      <c r="D20" s="51"/>
      <c r="E20" s="51"/>
      <c r="F20" s="51"/>
      <c r="G20" s="51"/>
      <c r="H20" s="51"/>
      <c r="I20" s="51"/>
      <c r="J20" s="51" t="s">
        <v>113</v>
      </c>
    </row>
    <row r="21" spans="2:10" x14ac:dyDescent="0.25">
      <c r="B21" s="39" t="s">
        <v>127</v>
      </c>
      <c r="C21" s="52">
        <v>1000</v>
      </c>
      <c r="D21" s="52">
        <v>2500</v>
      </c>
      <c r="E21" s="52">
        <v>5000</v>
      </c>
      <c r="F21" s="52">
        <v>7500</v>
      </c>
      <c r="G21" s="52">
        <v>10000</v>
      </c>
      <c r="H21" s="52">
        <v>15000</v>
      </c>
      <c r="I21" s="52">
        <v>30000</v>
      </c>
      <c r="J21" s="40" t="s">
        <v>128</v>
      </c>
    </row>
    <row r="22" spans="2:10" x14ac:dyDescent="0.25">
      <c r="B22" s="45" t="s">
        <v>129</v>
      </c>
      <c r="C22" s="46">
        <v>1000</v>
      </c>
      <c r="D22" s="46">
        <v>2000</v>
      </c>
      <c r="E22" s="46">
        <v>2500</v>
      </c>
      <c r="F22" s="46">
        <v>3500</v>
      </c>
      <c r="G22" s="46">
        <v>5000</v>
      </c>
      <c r="H22" s="46">
        <v>7500</v>
      </c>
      <c r="I22" s="46">
        <v>15000</v>
      </c>
      <c r="J22" s="46">
        <v>0.25</v>
      </c>
    </row>
    <row r="24" spans="2:10" x14ac:dyDescent="0.25">
      <c r="B24" s="53" t="s">
        <v>130</v>
      </c>
      <c r="C24" s="38"/>
      <c r="D24" s="38"/>
      <c r="E24" s="38"/>
      <c r="F24" s="38"/>
      <c r="G24" s="38"/>
      <c r="H24" s="38"/>
      <c r="I24" s="38"/>
      <c r="J24" s="38" t="s">
        <v>113</v>
      </c>
    </row>
    <row r="25" spans="2:10" x14ac:dyDescent="0.25">
      <c r="B25" s="39" t="s">
        <v>127</v>
      </c>
      <c r="C25" s="52">
        <v>1000</v>
      </c>
      <c r="D25" s="52">
        <v>2500</v>
      </c>
      <c r="E25" s="52">
        <v>5000</v>
      </c>
      <c r="F25" s="52">
        <v>7500</v>
      </c>
      <c r="G25" s="52">
        <v>10000</v>
      </c>
      <c r="H25" s="52">
        <v>15000</v>
      </c>
      <c r="I25" s="52">
        <v>30000</v>
      </c>
      <c r="J25" s="40" t="s">
        <v>128</v>
      </c>
    </row>
    <row r="26" spans="2:10" x14ac:dyDescent="0.25">
      <c r="B26" s="45" t="s">
        <v>130</v>
      </c>
      <c r="C26" s="46">
        <v>2000</v>
      </c>
      <c r="D26" s="46">
        <v>3750</v>
      </c>
      <c r="E26" s="46">
        <v>5000</v>
      </c>
      <c r="F26" s="46">
        <v>5625</v>
      </c>
      <c r="G26" s="46">
        <v>7500</v>
      </c>
      <c r="H26" s="46">
        <v>9000</v>
      </c>
      <c r="I26" s="46">
        <v>15000</v>
      </c>
      <c r="J26" s="46" t="s">
        <v>131</v>
      </c>
    </row>
    <row r="28" spans="2:10" x14ac:dyDescent="0.25">
      <c r="B28" s="50" t="s">
        <v>132</v>
      </c>
      <c r="C28" s="51"/>
      <c r="D28" s="51"/>
      <c r="E28" s="51"/>
      <c r="F28" s="51"/>
      <c r="G28" s="51"/>
      <c r="H28" s="51"/>
      <c r="I28" s="51"/>
      <c r="J28" s="51" t="s">
        <v>113</v>
      </c>
    </row>
    <row r="29" spans="2:10" x14ac:dyDescent="0.25">
      <c r="B29" s="39" t="s">
        <v>127</v>
      </c>
      <c r="C29" s="52">
        <v>1000</v>
      </c>
      <c r="D29" s="52">
        <v>2500</v>
      </c>
      <c r="E29" s="52">
        <v>5000</v>
      </c>
      <c r="F29" s="52">
        <v>7500</v>
      </c>
      <c r="G29" s="52">
        <v>10000</v>
      </c>
      <c r="H29" s="52">
        <v>15000</v>
      </c>
      <c r="I29" s="52">
        <v>30000</v>
      </c>
      <c r="J29" s="40" t="s">
        <v>128</v>
      </c>
    </row>
    <row r="30" spans="2:10" x14ac:dyDescent="0.25">
      <c r="B30" s="45" t="s">
        <v>132</v>
      </c>
      <c r="C30" s="46">
        <v>2000</v>
      </c>
      <c r="D30" s="46">
        <v>3750</v>
      </c>
      <c r="E30" s="46">
        <v>5000</v>
      </c>
      <c r="F30" s="46">
        <v>5625</v>
      </c>
      <c r="G30" s="46">
        <v>7500</v>
      </c>
      <c r="H30" s="46">
        <v>9000</v>
      </c>
      <c r="I30" s="46">
        <v>15000</v>
      </c>
      <c r="J30" s="46" t="s">
        <v>131</v>
      </c>
    </row>
    <row r="32" spans="2:10" x14ac:dyDescent="0.25">
      <c r="B32" s="50" t="s">
        <v>133</v>
      </c>
      <c r="C32" s="51"/>
      <c r="D32" s="51"/>
      <c r="E32" s="51"/>
      <c r="F32" s="51"/>
      <c r="G32" s="51"/>
      <c r="H32" s="51"/>
      <c r="I32" s="51"/>
      <c r="J32" s="51" t="s">
        <v>113</v>
      </c>
    </row>
    <row r="33" spans="2:10" x14ac:dyDescent="0.25">
      <c r="B33" s="39" t="s">
        <v>134</v>
      </c>
      <c r="C33" s="52">
        <v>500</v>
      </c>
      <c r="D33" s="52">
        <v>1000</v>
      </c>
      <c r="E33" s="52">
        <v>2500</v>
      </c>
      <c r="F33" s="52">
        <v>5000</v>
      </c>
      <c r="G33" s="52">
        <v>10000</v>
      </c>
      <c r="H33" s="52">
        <v>20000</v>
      </c>
      <c r="I33" s="52">
        <v>30000</v>
      </c>
      <c r="J33" s="40" t="s">
        <v>128</v>
      </c>
    </row>
    <row r="34" spans="2:10" x14ac:dyDescent="0.25">
      <c r="B34" s="45" t="s">
        <v>133</v>
      </c>
      <c r="C34" s="46">
        <v>1000</v>
      </c>
      <c r="D34" s="46">
        <v>1500</v>
      </c>
      <c r="E34" s="46">
        <v>2000</v>
      </c>
      <c r="F34" s="46">
        <v>3000</v>
      </c>
      <c r="G34" s="46">
        <v>4000</v>
      </c>
      <c r="H34" s="46">
        <v>5000</v>
      </c>
      <c r="I34" s="46">
        <v>6000</v>
      </c>
      <c r="J34" s="46" t="s">
        <v>135</v>
      </c>
    </row>
    <row r="37" spans="2:10" x14ac:dyDescent="0.25">
      <c r="B37" s="37" t="s">
        <v>136</v>
      </c>
      <c r="C37" s="38" t="s">
        <v>106</v>
      </c>
      <c r="D37" s="38" t="s">
        <v>107</v>
      </c>
      <c r="E37" s="38" t="s">
        <v>108</v>
      </c>
      <c r="F37" s="38" t="s">
        <v>109</v>
      </c>
      <c r="G37" s="38" t="s">
        <v>110</v>
      </c>
      <c r="H37" s="38" t="s">
        <v>111</v>
      </c>
      <c r="I37" s="38" t="s">
        <v>112</v>
      </c>
      <c r="J37" s="38" t="s">
        <v>113</v>
      </c>
    </row>
    <row r="38" spans="2:10" x14ac:dyDescent="0.25">
      <c r="B38" s="54" t="s">
        <v>137</v>
      </c>
      <c r="C38" s="55"/>
      <c r="D38" s="55"/>
      <c r="E38" s="55"/>
      <c r="F38" s="55"/>
      <c r="G38" s="55"/>
      <c r="H38" s="55"/>
      <c r="I38" s="55"/>
      <c r="J38" s="55"/>
    </row>
    <row r="39" spans="2:10" x14ac:dyDescent="0.25">
      <c r="B39" s="45" t="s">
        <v>138</v>
      </c>
      <c r="C39" s="46">
        <v>150</v>
      </c>
      <c r="D39" s="46">
        <v>220</v>
      </c>
      <c r="E39" s="46">
        <v>220</v>
      </c>
      <c r="F39" s="46">
        <v>220</v>
      </c>
      <c r="G39" s="46">
        <v>220</v>
      </c>
      <c r="H39" s="46">
        <v>220</v>
      </c>
      <c r="I39" s="46">
        <v>220</v>
      </c>
      <c r="J39" s="47"/>
    </row>
    <row r="40" spans="2:10" x14ac:dyDescent="0.25">
      <c r="B40" s="45" t="s">
        <v>139</v>
      </c>
      <c r="C40" s="46" t="s">
        <v>140</v>
      </c>
      <c r="D40" s="46" t="s">
        <v>140</v>
      </c>
      <c r="E40" s="46">
        <v>10000</v>
      </c>
      <c r="F40" s="46">
        <v>10000</v>
      </c>
      <c r="G40" s="46">
        <v>10000</v>
      </c>
      <c r="H40" s="46">
        <v>10000</v>
      </c>
      <c r="I40" s="46">
        <v>10000</v>
      </c>
      <c r="J40" s="47"/>
    </row>
    <row r="41" spans="2:10" x14ac:dyDescent="0.25">
      <c r="B41" s="45" t="s">
        <v>141</v>
      </c>
      <c r="C41" s="46">
        <v>1950</v>
      </c>
      <c r="D41" s="46">
        <v>1950</v>
      </c>
      <c r="E41" s="46">
        <v>1950</v>
      </c>
      <c r="F41" s="46">
        <v>1950</v>
      </c>
      <c r="G41" s="46">
        <v>1950</v>
      </c>
      <c r="H41" s="46">
        <v>1950</v>
      </c>
      <c r="I41" s="46">
        <v>1950</v>
      </c>
      <c r="J41" s="47"/>
    </row>
    <row r="42" spans="2:10" x14ac:dyDescent="0.25">
      <c r="B42" s="45" t="s">
        <v>142</v>
      </c>
      <c r="C42" s="46">
        <v>1250</v>
      </c>
      <c r="D42" s="46">
        <v>1250</v>
      </c>
      <c r="E42" s="46">
        <v>1650</v>
      </c>
      <c r="F42" s="46">
        <v>1950</v>
      </c>
      <c r="G42" s="46">
        <v>2650</v>
      </c>
      <c r="H42" s="46">
        <v>3350</v>
      </c>
      <c r="I42" s="46">
        <v>4500</v>
      </c>
      <c r="J42" s="47"/>
    </row>
    <row r="43" spans="2:10" x14ac:dyDescent="0.25">
      <c r="B43" s="45" t="s">
        <v>143</v>
      </c>
      <c r="C43" s="46">
        <v>1750</v>
      </c>
      <c r="D43" s="46">
        <v>1750</v>
      </c>
      <c r="E43" s="46">
        <v>1750</v>
      </c>
      <c r="F43" s="46">
        <v>1750</v>
      </c>
      <c r="G43" s="46">
        <v>2450</v>
      </c>
      <c r="H43" s="46">
        <v>2450</v>
      </c>
      <c r="I43" s="46">
        <v>2450</v>
      </c>
      <c r="J43" s="47"/>
    </row>
    <row r="44" spans="2:10" x14ac:dyDescent="0.25">
      <c r="B44" s="56"/>
      <c r="C44" s="57"/>
      <c r="D44" s="57"/>
      <c r="E44" s="57"/>
      <c r="F44" s="57"/>
      <c r="G44" s="57"/>
      <c r="H44" s="57"/>
      <c r="I44" s="57"/>
      <c r="J44" s="57"/>
    </row>
    <row r="45" spans="2:10" x14ac:dyDescent="0.25">
      <c r="B45" s="58" t="s">
        <v>144</v>
      </c>
      <c r="C45" s="59"/>
      <c r="D45" s="59"/>
      <c r="E45" s="59"/>
      <c r="F45" s="59"/>
      <c r="G45" s="59"/>
      <c r="H45" s="59"/>
      <c r="I45" s="59"/>
      <c r="J45" s="59"/>
    </row>
    <row r="46" spans="2:10" x14ac:dyDescent="0.25">
      <c r="B46" s="45" t="s">
        <v>145</v>
      </c>
      <c r="C46" s="46">
        <v>2750</v>
      </c>
      <c r="D46" s="46">
        <v>4500</v>
      </c>
      <c r="E46" s="46">
        <v>4500</v>
      </c>
      <c r="F46" s="46">
        <v>4500</v>
      </c>
      <c r="G46" s="46">
        <v>4500</v>
      </c>
      <c r="H46" s="46">
        <v>4500</v>
      </c>
      <c r="I46" s="46">
        <v>4500</v>
      </c>
      <c r="J46" s="46">
        <v>4500</v>
      </c>
    </row>
    <row r="47" spans="2:10" x14ac:dyDescent="0.25">
      <c r="B47" s="45" t="s">
        <v>146</v>
      </c>
      <c r="C47" s="46">
        <v>1200</v>
      </c>
      <c r="D47" s="46">
        <v>1200</v>
      </c>
      <c r="E47" s="46">
        <v>1200</v>
      </c>
      <c r="F47" s="46">
        <v>1200</v>
      </c>
      <c r="G47" s="46">
        <v>1200</v>
      </c>
      <c r="H47" s="46">
        <v>1200</v>
      </c>
      <c r="I47" s="46">
        <v>1200</v>
      </c>
      <c r="J47" s="46">
        <v>1200</v>
      </c>
    </row>
    <row r="48" spans="2:10" x14ac:dyDescent="0.25">
      <c r="B48" s="45" t="s">
        <v>147</v>
      </c>
      <c r="C48" s="46">
        <v>4950</v>
      </c>
      <c r="D48" s="46">
        <v>4950</v>
      </c>
      <c r="E48" s="46">
        <v>4950</v>
      </c>
      <c r="F48" s="46">
        <v>4950</v>
      </c>
      <c r="G48" s="46">
        <v>4950</v>
      </c>
      <c r="H48" s="46">
        <v>4950</v>
      </c>
      <c r="I48" s="46">
        <v>4950</v>
      </c>
      <c r="J48" s="46">
        <v>4950</v>
      </c>
    </row>
    <row r="49" spans="2:10" x14ac:dyDescent="0.25">
      <c r="B49" s="60"/>
      <c r="C49" s="61"/>
      <c r="D49" s="61"/>
      <c r="E49" s="61"/>
      <c r="F49" s="61"/>
      <c r="G49" s="61"/>
      <c r="H49" s="61"/>
      <c r="I49" s="61"/>
      <c r="J49" s="57"/>
    </row>
    <row r="50" spans="2:10" x14ac:dyDescent="0.25">
      <c r="B50" s="41" t="s">
        <v>148</v>
      </c>
      <c r="C50" s="62"/>
      <c r="D50" s="62"/>
      <c r="E50" s="62"/>
      <c r="F50" s="62"/>
      <c r="G50" s="62"/>
      <c r="H50" s="62"/>
      <c r="I50" s="62"/>
      <c r="J50" s="62"/>
    </row>
    <row r="51" spans="2:10" x14ac:dyDescent="0.25">
      <c r="B51" s="45" t="s">
        <v>149</v>
      </c>
      <c r="C51" s="46">
        <v>850</v>
      </c>
      <c r="D51" s="46">
        <v>850</v>
      </c>
      <c r="E51" s="46">
        <v>850</v>
      </c>
      <c r="F51" s="46">
        <v>850</v>
      </c>
      <c r="G51" s="46">
        <v>850</v>
      </c>
      <c r="H51" s="46">
        <v>850</v>
      </c>
      <c r="I51" s="46">
        <v>850</v>
      </c>
      <c r="J51" s="47"/>
    </row>
    <row r="52" spans="2:10" x14ac:dyDescent="0.25">
      <c r="B52" s="45" t="s">
        <v>150</v>
      </c>
      <c r="C52" s="46">
        <v>995</v>
      </c>
      <c r="D52" s="46">
        <v>995</v>
      </c>
      <c r="E52" s="46">
        <v>995</v>
      </c>
      <c r="F52" s="46">
        <v>995</v>
      </c>
      <c r="G52" s="46">
        <v>995</v>
      </c>
      <c r="H52" s="46">
        <v>995</v>
      </c>
      <c r="I52" s="46">
        <v>995</v>
      </c>
      <c r="J52" s="47"/>
    </row>
    <row r="53" spans="2:10" x14ac:dyDescent="0.25">
      <c r="B53" s="45" t="s">
        <v>151</v>
      </c>
      <c r="C53" s="46">
        <v>4950</v>
      </c>
      <c r="D53" s="46">
        <v>4950</v>
      </c>
      <c r="E53" s="46">
        <v>4950</v>
      </c>
      <c r="F53" s="46">
        <v>4950</v>
      </c>
      <c r="G53" s="46">
        <v>4950</v>
      </c>
      <c r="H53" s="46">
        <v>4950</v>
      </c>
      <c r="I53" s="46">
        <v>4950</v>
      </c>
      <c r="J53" s="47"/>
    </row>
    <row r="54" spans="2:10" x14ac:dyDescent="0.25">
      <c r="B54" s="45" t="s">
        <v>152</v>
      </c>
      <c r="C54" s="46">
        <v>9850</v>
      </c>
      <c r="D54" s="46">
        <v>9850</v>
      </c>
      <c r="E54" s="46">
        <v>9850</v>
      </c>
      <c r="F54" s="46">
        <v>9850</v>
      </c>
      <c r="G54" s="46">
        <v>9850</v>
      </c>
      <c r="H54" s="46">
        <v>9850</v>
      </c>
      <c r="I54" s="46">
        <v>9850</v>
      </c>
      <c r="J54"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95F30-759C-40BC-8CD5-10DED90AF4AB}">
  <dimension ref="A3:A9"/>
  <sheetViews>
    <sheetView workbookViewId="0">
      <selection activeCell="F23" sqref="F23"/>
    </sheetView>
  </sheetViews>
  <sheetFormatPr defaultRowHeight="15" x14ac:dyDescent="0.25"/>
  <sheetData>
    <row r="3" spans="1:1" x14ac:dyDescent="0.25">
      <c r="A3" t="s">
        <v>306</v>
      </c>
    </row>
    <row r="5" spans="1:1" x14ac:dyDescent="0.25">
      <c r="A5" t="s">
        <v>307</v>
      </c>
    </row>
    <row r="7" spans="1:1" x14ac:dyDescent="0.25">
      <c r="A7" t="s">
        <v>308</v>
      </c>
    </row>
    <row r="9" spans="1:1" x14ac:dyDescent="0.25">
      <c r="A9" t="s">
        <v>309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1c5489-8914-4a06-a097-937b0be8f8e2">
      <Terms xmlns="http://schemas.microsoft.com/office/infopath/2007/PartnerControls"/>
    </lcf76f155ced4ddcb4097134ff3c332f>
    <TaxCatchAll xmlns="9daee180-3c8e-4826-b1bc-b84f270dbda1" xsi:nil="true"/>
    <Month xmlns="ec1c5489-8914-4a06-a097-937b0be8f8e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863E2D4158304459125664AC98CFD16" ma:contentTypeVersion="19" ma:contentTypeDescription="Create a new document." ma:contentTypeScope="" ma:versionID="6037516bded50d7391c6a0cb312fe1a7">
  <xsd:schema xmlns:xsd="http://www.w3.org/2001/XMLSchema" xmlns:xs="http://www.w3.org/2001/XMLSchema" xmlns:p="http://schemas.microsoft.com/office/2006/metadata/properties" xmlns:ns2="ec1c5489-8914-4a06-a097-937b0be8f8e2" xmlns:ns3="9daee180-3c8e-4826-b1bc-b84f270dbda1" targetNamespace="http://schemas.microsoft.com/office/2006/metadata/properties" ma:root="true" ma:fieldsID="6b1d06ec63375d792906482d36994052" ns2:_="" ns3:_="">
    <xsd:import namespace="ec1c5489-8914-4a06-a097-937b0be8f8e2"/>
    <xsd:import namespace="9daee180-3c8e-4826-b1bc-b84f270dbd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Location" minOccurs="0"/>
                <xsd:element ref="ns2:MediaServiceSearchProperties" minOccurs="0"/>
                <xsd:element ref="ns2:Mont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1c5489-8914-4a06-a097-937b0be8f8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dd90e18-3696-40d0-9e0d-4d8f5fa24298"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onth" ma:index="26" nillable="true" ma:displayName="Month" ma:format="Dropdown" ma:internalName="Month"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9daee180-3c8e-4826-b1bc-b84f270dbda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ed2bad8-ac94-41d7-97c7-a3ea92f860ae}" ma:internalName="TaxCatchAll" ma:showField="CatchAllData" ma:web="9daee180-3c8e-4826-b1bc-b84f270dbd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C54902-90BA-4612-A8C0-CD161607786E}">
  <ds:schemaRefs>
    <ds:schemaRef ds:uri="http://schemas.openxmlformats.org/package/2006/metadata/core-properties"/>
    <ds:schemaRef ds:uri="http://purl.org/dc/elements/1.1/"/>
    <ds:schemaRef ds:uri="http://purl.org/dc/dcmitype/"/>
    <ds:schemaRef ds:uri="http://purl.org/dc/terms/"/>
    <ds:schemaRef ds:uri="http://www.w3.org/XML/1998/namespace"/>
    <ds:schemaRef ds:uri="http://schemas.microsoft.com/office/2006/documentManagement/types"/>
    <ds:schemaRef ds:uri="9daee180-3c8e-4826-b1bc-b84f270dbda1"/>
    <ds:schemaRef ds:uri="http://schemas.microsoft.com/office/infopath/2007/PartnerControls"/>
    <ds:schemaRef ds:uri="ec1c5489-8914-4a06-a097-937b0be8f8e2"/>
    <ds:schemaRef ds:uri="http://schemas.microsoft.com/office/2006/metadata/properties"/>
  </ds:schemaRefs>
</ds:datastoreItem>
</file>

<file path=customXml/itemProps2.xml><?xml version="1.0" encoding="utf-8"?>
<ds:datastoreItem xmlns:ds="http://schemas.openxmlformats.org/officeDocument/2006/customXml" ds:itemID="{BC7F1F43-A142-4225-91B3-CED66337D487}">
  <ds:schemaRefs>
    <ds:schemaRef ds:uri="http://schemas.microsoft.com/sharepoint/v3/contenttype/forms"/>
  </ds:schemaRefs>
</ds:datastoreItem>
</file>

<file path=customXml/itemProps3.xml><?xml version="1.0" encoding="utf-8"?>
<ds:datastoreItem xmlns:ds="http://schemas.openxmlformats.org/officeDocument/2006/customXml" ds:itemID="{57638853-401E-416D-A123-828FBCE09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1c5489-8914-4a06-a097-937b0be8f8e2"/>
    <ds:schemaRef ds:uri="9daee180-3c8e-4826-b1bc-b84f270dbd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Transactions ROI</vt:lpstr>
      <vt:lpstr>SR ROI</vt:lpstr>
      <vt:lpstr>Lookup tables</vt:lpstr>
      <vt:lpstr>Price List</vt:lpstr>
      <vt:lpstr>Supplier</vt:lpstr>
      <vt:lpstr>industry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Reed</dc:creator>
  <cp:keywords/>
  <dc:description/>
  <cp:lastModifiedBy>Chris Reed</cp:lastModifiedBy>
  <cp:revision/>
  <dcterms:created xsi:type="dcterms:W3CDTF">2024-02-08T11:31:07Z</dcterms:created>
  <dcterms:modified xsi:type="dcterms:W3CDTF">2025-02-28T11:56:00Z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1d841c7-4de6-4fa4-bc7a-1a90c40eb561_Enabled">
    <vt:lpwstr>true</vt:lpwstr>
  </property>
  <property fmtid="{D5CDD505-2E9C-101B-9397-08002B2CF9AE}" pid="3" name="MSIP_Label_61d841c7-4de6-4fa4-bc7a-1a90c40eb561_SetDate">
    <vt:lpwstr>2024-02-08T11:31:54Z</vt:lpwstr>
  </property>
  <property fmtid="{D5CDD505-2E9C-101B-9397-08002B2CF9AE}" pid="4" name="MSIP_Label_61d841c7-4de6-4fa4-bc7a-1a90c40eb561_Method">
    <vt:lpwstr>Standard</vt:lpwstr>
  </property>
  <property fmtid="{D5CDD505-2E9C-101B-9397-08002B2CF9AE}" pid="5" name="MSIP_Label_61d841c7-4de6-4fa4-bc7a-1a90c40eb561_Name">
    <vt:lpwstr>Internal Use</vt:lpwstr>
  </property>
  <property fmtid="{D5CDD505-2E9C-101B-9397-08002B2CF9AE}" pid="6" name="MSIP_Label_61d841c7-4de6-4fa4-bc7a-1a90c40eb561_SiteId">
    <vt:lpwstr>75bd6050-92a8-4bde-a406-50000b310c86</vt:lpwstr>
  </property>
  <property fmtid="{D5CDD505-2E9C-101B-9397-08002B2CF9AE}" pid="7" name="MSIP_Label_61d841c7-4de6-4fa4-bc7a-1a90c40eb561_ActionId">
    <vt:lpwstr>16a62c4c-4ad7-451a-af46-d698123edc2c</vt:lpwstr>
  </property>
  <property fmtid="{D5CDD505-2E9C-101B-9397-08002B2CF9AE}" pid="8" name="MSIP_Label_61d841c7-4de6-4fa4-bc7a-1a90c40eb561_ContentBits">
    <vt:lpwstr>0</vt:lpwstr>
  </property>
  <property fmtid="{D5CDD505-2E9C-101B-9397-08002B2CF9AE}" pid="9" name="ContentTypeId">
    <vt:lpwstr>0x0101001863E2D4158304459125664AC98CFD16</vt:lpwstr>
  </property>
  <property fmtid="{D5CDD505-2E9C-101B-9397-08002B2CF9AE}" pid="10" name="MediaServiceImageTags">
    <vt:lpwstr/>
  </property>
</Properties>
</file>