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Arnaldo\Documents\Documentos Toti\Escola Politécnica - USP\Pós-Graduação\Doutorado\14 - Relatórios Técnicos\07 - Estudo de Caso 4\2023 07 27 Revisão 15.5\"/>
    </mc:Choice>
  </mc:AlternateContent>
  <bookViews>
    <workbookView xWindow="5865" yWindow="165" windowWidth="20730" windowHeight="11760" firstSheet="2" activeTab="4"/>
  </bookViews>
  <sheets>
    <sheet name="Hazard and Risk Analyses" sheetId="37" r:id="rId1"/>
    <sheet name="Safety Requirements - H&amp;R Anal." sheetId="51" r:id="rId2"/>
    <sheet name="Traceability Matrix 2" sheetId="54" r:id="rId3"/>
    <sheet name="Traceability Matrix 3" sheetId="55" r:id="rId4"/>
    <sheet name="Traceability Matrix 4" sheetId="56" r:id="rId5"/>
    <sheet name="Phy Tests Pin Planner DE0-CV" sheetId="52" r:id="rId6"/>
    <sheet name="7-Segment with Burnt Segment 4" sheetId="53" r:id="rId7"/>
    <sheet name="Scenario 1 - Physical" sheetId="45" r:id="rId8"/>
    <sheet name="Scenario 2 - Physical" sheetId="46" r:id="rId9"/>
    <sheet name="Subscenario 3.1 - Physical" sheetId="47" r:id="rId10"/>
    <sheet name="Subscenario 3.2 - Physical" sheetId="48" r:id="rId11"/>
    <sheet name="Scenario 4 - Physical" sheetId="49" r:id="rId12"/>
    <sheet name="Lambda-UC_Diag" sheetId="1" r:id="rId13"/>
    <sheet name="Lambda-UC_Sys" sheetId="16" r:id="rId14"/>
    <sheet name="Lambda-Flash (All)" sheetId="5" r:id="rId15"/>
    <sheet name="Lambda-Resistor (All)" sheetId="19" r:id="rId16"/>
    <sheet name="Lambda-Optocoupler (All)" sheetId="20" r:id="rId17"/>
    <sheet name="Lambda-OR Gate" sheetId="21" r:id="rId18"/>
    <sheet name="Lambda-MOSFET" sheetId="22" r:id="rId19"/>
    <sheet name="Lambda-Fuse" sheetId="23" r:id="rId20"/>
    <sheet name="Lambda-Relay" sheetId="24" r:id="rId21"/>
    <sheet name="Lambda-Diode" sheetId="26" r:id="rId22"/>
    <sheet name="Lambda-Zener" sheetId="18" r:id="rId23"/>
    <sheet name="Lambda-DC DC Converter (All)" sheetId="25" r:id="rId24"/>
    <sheet name="Lambda-Capacitor" sheetId="29" r:id="rId25"/>
    <sheet name="FMECA" sheetId="27" r:id="rId26"/>
    <sheet name="Failure Rates" sheetId="6" r:id="rId27"/>
  </sheets>
  <externalReferences>
    <externalReference r:id="rId28"/>
  </externalReferences>
  <definedNames>
    <definedName name="_xlnm._FilterDatabase" localSheetId="26" hidden="1">'Failure Rates'!$A$1:$Q$219</definedName>
    <definedName name="_xlnm._FilterDatabase" localSheetId="25" hidden="1">FMECA!$A$2:$AC$220</definedName>
    <definedName name="_xlnm._FilterDatabase" localSheetId="0" hidden="1">'Hazard and Risk Analyses'!$A$2:$L$378</definedName>
    <definedName name="_xlnm._FilterDatabase" localSheetId="20" hidden="1">'Lambda-Relay'!$A$30:$E$58</definedName>
    <definedName name="_xlnm._FilterDatabase" localSheetId="5" hidden="1">'Phy Tests Pin Planner DE0-CV'!$A$1:$E$58</definedName>
    <definedName name="_xlnm._FilterDatabase" localSheetId="1" hidden="1">'Safety Requirements - H&amp;R Anal.'!$A$1:$C$63</definedName>
    <definedName name="_xlnm._FilterDatabase" localSheetId="2" hidden="1">'Traceability Matrix 2'!$A$3:$D$76</definedName>
    <definedName name="_xlnm._FilterDatabase" localSheetId="3" hidden="1">'Traceability Matrix 3'!$A$3:$D$94</definedName>
    <definedName name="_xlnm._FilterDatabase" localSheetId="4" hidden="1">'Traceability Matrix 4'!$A$3:$D$67</definedName>
    <definedName name="app" localSheetId="3">#REF!</definedName>
    <definedName name="app" localSheetId="4">#REF!</definedName>
    <definedName name="app">#REF!</definedName>
    <definedName name="applicationdate" localSheetId="25">#REF!</definedName>
    <definedName name="applicationdate" localSheetId="24">#REF!</definedName>
    <definedName name="applicationdate" localSheetId="3">#REF!</definedName>
    <definedName name="applicationdate" localSheetId="4">#REF!</definedName>
    <definedName name="applicationdate">#REF!</definedName>
    <definedName name="arrumado" localSheetId="25">#REF!</definedName>
    <definedName name="arrumado" localSheetId="24">#REF!</definedName>
    <definedName name="arrumado" localSheetId="3">#REF!</definedName>
    <definedName name="arrumado" localSheetId="4">#REF!</definedName>
    <definedName name="arrumado">#REF!</definedName>
    <definedName name="cdcdcdc" localSheetId="25">#REF!</definedName>
    <definedName name="cdcdcdc" localSheetId="24">#REF!</definedName>
    <definedName name="cdcdcdc" localSheetId="3">#REF!</definedName>
    <definedName name="cdcdcdc" localSheetId="4">#REF!</definedName>
    <definedName name="cdcdcdc">#REF!</definedName>
    <definedName name="Date" localSheetId="25">#REF!</definedName>
    <definedName name="Date" localSheetId="24">#REF!</definedName>
    <definedName name="Date" localSheetId="3">#REF!</definedName>
    <definedName name="Date" localSheetId="4">#REF!</definedName>
    <definedName name="Date">#REF!</definedName>
    <definedName name="fff" localSheetId="25">#REF!</definedName>
    <definedName name="fff" localSheetId="24">#REF!</definedName>
    <definedName name="fff" localSheetId="3">#REF!</definedName>
    <definedName name="fff" localSheetId="4">#REF!</definedName>
    <definedName name="fff">#REF!</definedName>
    <definedName name="InputZoneA">'[1]Input Form'!$C$2,'[1]Input Form'!$C$7:$C$17,'[1]Input Form'!$E$9,'[1]Input Form'!$H$7:$H$8,'[1]Input Form'!$H$9,'[1]Input Form'!$J$6,'[1]Input Form'!$H$13:$H$14,'[1]Input Form'!$H$16:$H$17,'[1]Input Form'!$J$13:$K$17,'[1]Input Form'!$K$18,'[1]Input Form'!$J$18,'[1]Input Form'!$D$19,'[1]Input Form'!$D$19:$D$20,'[1]Input Form'!$D$21:$F$23,'[1]Input Form'!$H$20:$H$23,'[1]Input Form'!$B$25:$H$30</definedName>
    <definedName name="InputZoneB">'[1]Input Form'!$D$66:$E$66,'[1]Input Form'!$C$95:$G$100,'[1]Input Form'!$E$91:$G$94,'[1]Input Form'!$J$91:$K$100,'[1]Input Form'!$P$91,'[1]Input Form'!$A$45,'[1]Input Form'!$E$9,'[1]Input Form'!$I$91:$I$100,'[1]Input Form'!$I$63:$I$64</definedName>
    <definedName name="InputZoneC">'[1]Input Form'!$D$39:$H$39,'[1]Input Form'!$I$39:$J$39,'[1]Input Form'!$D$42:$G$42,'[1]Input Form'!$H$42:$H$43,'[1]Input Form'!$I$42:$J$43,'[1]Input Form'!$D$45,'[1]Input Form'!$D$57:$G$57,'[1]Input Form'!$H$57:$J$58,'[1]Input Form'!$I$60:$J$60</definedName>
    <definedName name="InputZoneD">'[1]Input Form'!$E$45:$G$45,'[1]Input Form'!$H$45:$J$46</definedName>
    <definedName name="InputZoneE">'[1]Input Form'!$D$48:$G$48,'[1]Input Form'!$H$48:$J$49,'[1]Input Form'!$D$51:$G$51</definedName>
    <definedName name="InputZoneF">'[1]Input Form'!$H$51:$J$52,'[1]Input Form'!$D$54:$G$54,'[1]Input Form'!$H$54:$J$55</definedName>
    <definedName name="InputZoneG">'[1]Input Form'!$A$39,'[1]Input Form'!$A$42,'[1]Input Form'!$A$45,'[1]Input Form'!$A$48,'[1]Input Form'!$A$51,'[1]Input Form'!$A$54,'[1]Input Form'!$B$54,'[1]Input Form'!$D$39,'[1]Input Form'!$D$39:$G$39,'[1]Input Form'!$D$42:$G$42,'[1]Input Form'!$D$45:$G$45,'[1]Input Form'!$D$48:$G$48,'[1]Input Form'!$D$51:$G$51,'[1]Input Form'!$D$54:$G$54,'[1]Input Form'!$H$39,'[1]Input Form'!$H$42,'[1]Input Form'!$H$45,'[1]Input Form'!$H$48,'[1]Input Form'!$H$51,'[1]Input Form'!$H$54,'[1]Input Form'!$H$57,'[1]Input Form'!$I$39,'[1]Input Form'!$I$42,'[1]Input Form'!$I$45,'[1]Input Form'!$I$48,'[1]Input Form'!$I$51,'[1]Input Form'!$I$54,'[1]Input Form'!$I$57,'[1]Input Form'!$I$60,'[1]Input Form'!$J$60,'[1]Input Form'!$J$57,'[1]Input Form'!$J$54,'[1]Input Form'!$J$51,'[1]Input Form'!$J$48,'[1]Input Form'!$J$45</definedName>
    <definedName name="Internal_Standard" localSheetId="25">#REF!</definedName>
    <definedName name="Internal_Standard" localSheetId="24">#REF!</definedName>
    <definedName name="Internal_Standard" localSheetId="3">#REF!</definedName>
    <definedName name="Internal_Standard" localSheetId="4">#REF!</definedName>
    <definedName name="Internal_Standard">#REF!</definedName>
    <definedName name="KM" localSheetId="25">#REF!</definedName>
    <definedName name="KM" localSheetId="24">#REF!</definedName>
    <definedName name="KM" localSheetId="3">#REF!</definedName>
    <definedName name="KM" localSheetId="4">#REF!</definedName>
    <definedName name="KM">#REF!</definedName>
    <definedName name="KMRama" localSheetId="25">#REF!</definedName>
    <definedName name="KMRama" localSheetId="24">#REF!</definedName>
    <definedName name="KMRama" localSheetId="3">#REF!</definedName>
    <definedName name="KMRama" localSheetId="4">#REF!</definedName>
    <definedName name="KMRama">#REF!</definedName>
    <definedName name="LBS" localSheetId="25">#REF!</definedName>
    <definedName name="LBS" localSheetId="24">#REF!</definedName>
    <definedName name="LBS" localSheetId="3">#REF!</definedName>
    <definedName name="LBS" localSheetId="4">#REF!</definedName>
    <definedName name="LBS">#REF!</definedName>
    <definedName name="project" localSheetId="25">#REF!</definedName>
    <definedName name="project" localSheetId="24">#REF!</definedName>
    <definedName name="project" localSheetId="3">#REF!</definedName>
    <definedName name="project" localSheetId="4">#REF!</definedName>
    <definedName name="project">#REF!</definedName>
    <definedName name="projet" localSheetId="25">#REF!</definedName>
    <definedName name="projet" localSheetId="24">#REF!</definedName>
    <definedName name="projet" localSheetId="3">#REF!</definedName>
    <definedName name="projet" localSheetId="4">#REF!</definedName>
    <definedName name="projet">#REF!</definedName>
    <definedName name="rate" localSheetId="25">#REF!</definedName>
    <definedName name="rate" localSheetId="24">#REF!</definedName>
    <definedName name="rate" localSheetId="3">#REF!</definedName>
    <definedName name="rate" localSheetId="4">#REF!</definedName>
    <definedName name="rate">#REF!</definedName>
    <definedName name="reference" localSheetId="25">#REF!</definedName>
    <definedName name="reference" localSheetId="24">#REF!</definedName>
    <definedName name="reference" localSheetId="3">#REF!</definedName>
    <definedName name="reference" localSheetId="4">#REF!</definedName>
    <definedName name="reference">#REF!</definedName>
    <definedName name="step1fonction" localSheetId="25">#REF!</definedName>
    <definedName name="step1fonction" localSheetId="24">#REF!</definedName>
    <definedName name="step1fonction" localSheetId="3">#REF!</definedName>
    <definedName name="step1fonction" localSheetId="4">#REF!</definedName>
    <definedName name="step1fonction">#REF!</definedName>
    <definedName name="step1function" localSheetId="25">#REF!</definedName>
    <definedName name="step1function" localSheetId="24">#REF!</definedName>
    <definedName name="step1function" localSheetId="3">#REF!</definedName>
    <definedName name="step1function" localSheetId="4">#REF!</definedName>
    <definedName name="step1function">#REF!</definedName>
    <definedName name="step1name" localSheetId="25">#REF!</definedName>
    <definedName name="step1name" localSheetId="24">#REF!</definedName>
    <definedName name="step1name" localSheetId="3">#REF!</definedName>
    <definedName name="step1name" localSheetId="4">#REF!</definedName>
    <definedName name="step1name">#REF!</definedName>
    <definedName name="step1signature" localSheetId="25">#REF!</definedName>
    <definedName name="step1signature" localSheetId="24">#REF!</definedName>
    <definedName name="step1signature" localSheetId="3">#REF!</definedName>
    <definedName name="step1signature" localSheetId="4">#REF!</definedName>
    <definedName name="step1signature">#REF!</definedName>
    <definedName name="step2fonction" localSheetId="25">#REF!</definedName>
    <definedName name="step2fonction" localSheetId="24">#REF!</definedName>
    <definedName name="step2fonction" localSheetId="3">#REF!</definedName>
    <definedName name="step2fonction" localSheetId="4">#REF!</definedName>
    <definedName name="step2fonction">#REF!</definedName>
    <definedName name="step2function" localSheetId="25">#REF!</definedName>
    <definedName name="step2function" localSheetId="24">#REF!</definedName>
    <definedName name="step2function" localSheetId="3">#REF!</definedName>
    <definedName name="step2function" localSheetId="4">#REF!</definedName>
    <definedName name="step2function">#REF!</definedName>
    <definedName name="step2name" localSheetId="25">#REF!</definedName>
    <definedName name="step2name" localSheetId="24">#REF!</definedName>
    <definedName name="step2name" localSheetId="3">#REF!</definedName>
    <definedName name="step2name" localSheetId="4">#REF!</definedName>
    <definedName name="step2name">#REF!</definedName>
    <definedName name="step2signature" localSheetId="25">#REF!</definedName>
    <definedName name="step2signature" localSheetId="24">#REF!</definedName>
    <definedName name="step2signature" localSheetId="3">#REF!</definedName>
    <definedName name="step2signature" localSheetId="4">#REF!</definedName>
    <definedName name="step2signature">#REF!</definedName>
    <definedName name="step3fonction" localSheetId="25">#REF!</definedName>
    <definedName name="step3fonction" localSheetId="24">#REF!</definedName>
    <definedName name="step3fonction" localSheetId="3">#REF!</definedName>
    <definedName name="step3fonction" localSheetId="4">#REF!</definedName>
    <definedName name="step3fonction">#REF!</definedName>
    <definedName name="step3function" localSheetId="25">#REF!</definedName>
    <definedName name="step3function" localSheetId="24">#REF!</definedName>
    <definedName name="step3function" localSheetId="3">#REF!</definedName>
    <definedName name="step3function" localSheetId="4">#REF!</definedName>
    <definedName name="step3function">#REF!</definedName>
    <definedName name="step3name" localSheetId="25">#REF!</definedName>
    <definedName name="step3name" localSheetId="24">#REF!</definedName>
    <definedName name="step3name" localSheetId="3">#REF!</definedName>
    <definedName name="step3name" localSheetId="4">#REF!</definedName>
    <definedName name="step3name">#REF!</definedName>
    <definedName name="step3signature" localSheetId="25">#REF!</definedName>
    <definedName name="step3signature" localSheetId="24">#REF!</definedName>
    <definedName name="step3signature" localSheetId="3">#REF!</definedName>
    <definedName name="step3signature" localSheetId="4">#REF!</definedName>
    <definedName name="step3signature">#REF!</definedName>
    <definedName name="title" localSheetId="25">#REF!</definedName>
    <definedName name="title" localSheetId="24">#REF!</definedName>
    <definedName name="title" localSheetId="3">#REF!</definedName>
    <definedName name="title" localSheetId="4">#REF!</definedName>
    <definedName name="title">#REF!</definedName>
    <definedName name="type" localSheetId="25">#REF!</definedName>
    <definedName name="type" localSheetId="24">#REF!</definedName>
    <definedName name="type" localSheetId="3">#REF!</definedName>
    <definedName name="type" localSheetId="4">#REF!</definedName>
    <definedName name="type">#REF!</definedName>
    <definedName name="Vale" localSheetId="25">#REF!</definedName>
    <definedName name="Vale" localSheetId="24">#REF!</definedName>
    <definedName name="Vale" localSheetId="3">#REF!</definedName>
    <definedName name="Vale" localSheetId="4">#REF!</definedName>
    <definedName name="Vale">#REF!</definedName>
    <definedName name="version" localSheetId="25">#REF!</definedName>
    <definedName name="version" localSheetId="24">#REF!</definedName>
    <definedName name="version" localSheetId="3">#REF!</definedName>
    <definedName name="version" localSheetId="4">#REF!</definedName>
    <definedName name="version">#REF!</definedName>
  </definedNames>
  <calcPr calcId="152511"/>
</workbook>
</file>

<file path=xl/calcChain.xml><?xml version="1.0" encoding="utf-8"?>
<calcChain xmlns="http://schemas.openxmlformats.org/spreadsheetml/2006/main">
  <c r="H5" i="49" l="1"/>
  <c r="E5" i="49"/>
  <c r="Y5" i="48"/>
  <c r="Y54" i="46"/>
  <c r="Y30" i="46"/>
  <c r="J64" i="46"/>
  <c r="J63" i="46"/>
  <c r="J62" i="46"/>
  <c r="J61" i="46"/>
  <c r="J60" i="46"/>
  <c r="J59" i="46"/>
  <c r="J58" i="46"/>
  <c r="J57" i="46"/>
  <c r="J56" i="46"/>
  <c r="J55" i="46"/>
  <c r="J54" i="46"/>
  <c r="J53" i="46"/>
  <c r="J52" i="46"/>
  <c r="J51" i="46"/>
  <c r="J50" i="46"/>
  <c r="J49" i="46"/>
  <c r="J48" i="46"/>
  <c r="J47" i="46"/>
  <c r="J46" i="46"/>
  <c r="J45" i="46"/>
  <c r="J44" i="46"/>
  <c r="J43" i="46"/>
  <c r="J42" i="46"/>
  <c r="J41" i="46"/>
  <c r="J40" i="46"/>
  <c r="J39" i="46"/>
  <c r="J38" i="46"/>
  <c r="J37" i="46"/>
  <c r="J36" i="46"/>
  <c r="J35" i="46"/>
  <c r="J34" i="46"/>
  <c r="J33" i="46"/>
  <c r="J32" i="46"/>
  <c r="J31" i="46"/>
  <c r="J30" i="46"/>
  <c r="J29" i="46"/>
  <c r="J28" i="46"/>
  <c r="J27" i="46"/>
  <c r="J26" i="46"/>
  <c r="J25" i="46"/>
  <c r="J24" i="46"/>
  <c r="J23" i="46"/>
  <c r="J22" i="46"/>
  <c r="J21" i="46"/>
  <c r="J20" i="46"/>
  <c r="J19" i="46"/>
  <c r="J18" i="46"/>
  <c r="J17" i="46"/>
  <c r="J16" i="46"/>
  <c r="J15" i="46"/>
  <c r="J14" i="46"/>
  <c r="J13" i="46"/>
  <c r="J12" i="46"/>
  <c r="J11" i="46"/>
  <c r="J10" i="46"/>
  <c r="J9" i="46"/>
  <c r="J8" i="46"/>
  <c r="J7" i="46"/>
  <c r="J6" i="46"/>
  <c r="J5" i="46"/>
  <c r="G64" i="46"/>
  <c r="G63" i="46"/>
  <c r="G62" i="46"/>
  <c r="G61" i="46"/>
  <c r="G60" i="46"/>
  <c r="G59" i="46"/>
  <c r="G58" i="46"/>
  <c r="G57" i="46"/>
  <c r="G56" i="46"/>
  <c r="G55" i="46"/>
  <c r="G54" i="46"/>
  <c r="G53" i="46"/>
  <c r="G52" i="46"/>
  <c r="G51" i="46"/>
  <c r="G50" i="46"/>
  <c r="G49" i="46"/>
  <c r="G48" i="46"/>
  <c r="G47" i="46"/>
  <c r="G46" i="46"/>
  <c r="G45" i="46"/>
  <c r="G44" i="46"/>
  <c r="G43" i="46"/>
  <c r="G42" i="46"/>
  <c r="G41" i="46"/>
  <c r="G40" i="46"/>
  <c r="G39" i="46"/>
  <c r="G38" i="46"/>
  <c r="G37" i="46"/>
  <c r="G36" i="46"/>
  <c r="G35" i="46"/>
  <c r="G34" i="46"/>
  <c r="G33" i="46"/>
  <c r="G32" i="46"/>
  <c r="G31" i="46"/>
  <c r="G30" i="46"/>
  <c r="G29" i="46"/>
  <c r="G28" i="46"/>
  <c r="G27" i="46"/>
  <c r="G26" i="46"/>
  <c r="G25" i="46"/>
  <c r="G24" i="46"/>
  <c r="G23" i="46"/>
  <c r="G22" i="46"/>
  <c r="G21" i="46"/>
  <c r="G20" i="46"/>
  <c r="G19" i="46"/>
  <c r="G18" i="46"/>
  <c r="G17" i="46"/>
  <c r="G16" i="46"/>
  <c r="G15" i="46"/>
  <c r="G14" i="46"/>
  <c r="G13" i="46"/>
  <c r="G12" i="46"/>
  <c r="G11" i="46"/>
  <c r="G10" i="46"/>
  <c r="G9" i="46"/>
  <c r="G8" i="46"/>
  <c r="G7" i="46"/>
  <c r="G6" i="46"/>
  <c r="G5" i="46"/>
  <c r="K20" i="48"/>
  <c r="H20" i="48"/>
  <c r="E20" i="48"/>
  <c r="K19" i="48"/>
  <c r="H19" i="48"/>
  <c r="E19" i="48"/>
  <c r="K18" i="48"/>
  <c r="H18" i="48"/>
  <c r="E18" i="48"/>
  <c r="K17" i="48"/>
  <c r="H17" i="48"/>
  <c r="E17" i="48"/>
  <c r="K16" i="48"/>
  <c r="H16" i="48"/>
  <c r="E16" i="48"/>
  <c r="K15" i="48"/>
  <c r="H15" i="48"/>
  <c r="E15" i="48"/>
  <c r="K14" i="48"/>
  <c r="H14" i="48"/>
  <c r="E14" i="48"/>
  <c r="K13" i="48"/>
  <c r="H13" i="48"/>
  <c r="E13" i="48"/>
  <c r="K12" i="48"/>
  <c r="H12" i="48"/>
  <c r="E12" i="48"/>
  <c r="K11" i="48"/>
  <c r="H11" i="48"/>
  <c r="E11" i="48"/>
  <c r="K10" i="48"/>
  <c r="H10" i="48"/>
  <c r="E10" i="48"/>
  <c r="K9" i="48"/>
  <c r="H9" i="48"/>
  <c r="E9" i="48"/>
  <c r="K8" i="48"/>
  <c r="H8" i="48"/>
  <c r="E8" i="48"/>
  <c r="K7" i="48"/>
  <c r="H7" i="48"/>
  <c r="E7" i="48"/>
  <c r="K6" i="48"/>
  <c r="H6" i="48"/>
  <c r="E6" i="48"/>
  <c r="K5" i="48"/>
  <c r="H5" i="48"/>
  <c r="E5" i="48"/>
  <c r="K20" i="47"/>
  <c r="H20" i="47"/>
  <c r="E20" i="47"/>
  <c r="K19" i="47"/>
  <c r="H19" i="47"/>
  <c r="E19" i="47"/>
  <c r="K18" i="47"/>
  <c r="H18" i="47"/>
  <c r="E18" i="47"/>
  <c r="K17" i="47"/>
  <c r="H17" i="47"/>
  <c r="E17" i="47"/>
  <c r="K16" i="47"/>
  <c r="H16" i="47"/>
  <c r="E16" i="47"/>
  <c r="K15" i="47"/>
  <c r="H15" i="47"/>
  <c r="E15" i="47"/>
  <c r="K14" i="47"/>
  <c r="H14" i="47"/>
  <c r="E14" i="47"/>
  <c r="K13" i="47"/>
  <c r="H13" i="47"/>
  <c r="E13" i="47"/>
  <c r="K12" i="47"/>
  <c r="H12" i="47"/>
  <c r="E12" i="47"/>
  <c r="K11" i="47"/>
  <c r="H11" i="47"/>
  <c r="E11" i="47"/>
  <c r="K10" i="47"/>
  <c r="H10" i="47"/>
  <c r="E10" i="47"/>
  <c r="K9" i="47"/>
  <c r="H9" i="47"/>
  <c r="E9" i="47"/>
  <c r="K8" i="47"/>
  <c r="H8" i="47"/>
  <c r="E8" i="47"/>
  <c r="K7" i="47"/>
  <c r="H7" i="47"/>
  <c r="E7" i="47"/>
  <c r="K6" i="47"/>
  <c r="H6" i="47"/>
  <c r="E6" i="47"/>
  <c r="K5" i="47"/>
  <c r="H5" i="47"/>
  <c r="E5" i="47"/>
  <c r="K64" i="46"/>
  <c r="H64" i="46"/>
  <c r="E64" i="46"/>
  <c r="K63" i="46"/>
  <c r="H63" i="46"/>
  <c r="E63" i="46"/>
  <c r="K62" i="46"/>
  <c r="H62" i="46"/>
  <c r="E62" i="46"/>
  <c r="K61" i="46"/>
  <c r="H61" i="46"/>
  <c r="E61" i="46"/>
  <c r="K60" i="46"/>
  <c r="H60" i="46"/>
  <c r="E60" i="46"/>
  <c r="K59" i="46"/>
  <c r="H59" i="46"/>
  <c r="E59" i="46"/>
  <c r="K58" i="46"/>
  <c r="H58" i="46"/>
  <c r="E58" i="46"/>
  <c r="K57" i="46"/>
  <c r="H57" i="46"/>
  <c r="E57" i="46"/>
  <c r="K56" i="46"/>
  <c r="H56" i="46"/>
  <c r="E56" i="46"/>
  <c r="K55" i="46"/>
  <c r="H55" i="46"/>
  <c r="E55" i="46"/>
  <c r="K54" i="46"/>
  <c r="H54" i="46"/>
  <c r="E54" i="46"/>
  <c r="K53" i="46"/>
  <c r="H53" i="46"/>
  <c r="E53" i="46"/>
  <c r="K52" i="46"/>
  <c r="H52" i="46"/>
  <c r="E52" i="46"/>
  <c r="K51" i="46"/>
  <c r="H51" i="46"/>
  <c r="E51" i="46"/>
  <c r="K50" i="46"/>
  <c r="H50" i="46"/>
  <c r="E50" i="46"/>
  <c r="K49" i="46"/>
  <c r="H49" i="46"/>
  <c r="E49" i="46"/>
  <c r="K48" i="46"/>
  <c r="H48" i="46"/>
  <c r="E48" i="46"/>
  <c r="K47" i="46"/>
  <c r="H47" i="46"/>
  <c r="E47" i="46"/>
  <c r="K46" i="46"/>
  <c r="H46" i="46"/>
  <c r="E46" i="46"/>
  <c r="K45" i="46"/>
  <c r="H45" i="46"/>
  <c r="E45" i="46"/>
  <c r="K44" i="46"/>
  <c r="H44" i="46"/>
  <c r="E44" i="46"/>
  <c r="K43" i="46"/>
  <c r="H43" i="46"/>
  <c r="E43" i="46"/>
  <c r="K42" i="46"/>
  <c r="H42" i="46"/>
  <c r="E42" i="46"/>
  <c r="K41" i="46"/>
  <c r="H41" i="46"/>
  <c r="E41" i="46"/>
  <c r="K40" i="46"/>
  <c r="H40" i="46"/>
  <c r="E40" i="46"/>
  <c r="K39" i="46"/>
  <c r="H39" i="46"/>
  <c r="E39" i="46"/>
  <c r="K38" i="46"/>
  <c r="H38" i="46"/>
  <c r="E38" i="46"/>
  <c r="K37" i="46"/>
  <c r="H37" i="46"/>
  <c r="E37" i="46"/>
  <c r="K36" i="46"/>
  <c r="H36" i="46"/>
  <c r="E36" i="46"/>
  <c r="K35" i="46"/>
  <c r="H35" i="46"/>
  <c r="E35" i="46"/>
  <c r="K34" i="46"/>
  <c r="H34" i="46"/>
  <c r="E34" i="46"/>
  <c r="K33" i="46"/>
  <c r="H33" i="46"/>
  <c r="E33" i="46"/>
  <c r="K32" i="46"/>
  <c r="H32" i="46"/>
  <c r="E32" i="46"/>
  <c r="K31" i="46"/>
  <c r="H31" i="46"/>
  <c r="E31" i="46"/>
  <c r="K30" i="46"/>
  <c r="H30" i="46"/>
  <c r="E30" i="46"/>
  <c r="K29" i="46"/>
  <c r="H29" i="46"/>
  <c r="E29" i="46"/>
  <c r="K28" i="46"/>
  <c r="H28" i="46"/>
  <c r="E28" i="46"/>
  <c r="K27" i="46"/>
  <c r="H27" i="46"/>
  <c r="E27" i="46"/>
  <c r="K26" i="46"/>
  <c r="H26" i="46"/>
  <c r="E26" i="46"/>
  <c r="K25" i="46"/>
  <c r="H25" i="46"/>
  <c r="E25" i="46"/>
  <c r="K24" i="46"/>
  <c r="H24" i="46"/>
  <c r="E24" i="46"/>
  <c r="K23" i="46"/>
  <c r="H23" i="46"/>
  <c r="E23" i="46"/>
  <c r="K22" i="46"/>
  <c r="H22" i="46"/>
  <c r="E22" i="46"/>
  <c r="K21" i="46"/>
  <c r="H21" i="46"/>
  <c r="E21" i="46"/>
  <c r="K20" i="46"/>
  <c r="H20" i="46"/>
  <c r="E20" i="46"/>
  <c r="K19" i="46"/>
  <c r="H19" i="46"/>
  <c r="E19" i="46"/>
  <c r="K18" i="46"/>
  <c r="H18" i="46"/>
  <c r="E18" i="46"/>
  <c r="K17" i="46"/>
  <c r="H17" i="46"/>
  <c r="E17" i="46"/>
  <c r="K16" i="46"/>
  <c r="H16" i="46"/>
  <c r="E16" i="46"/>
  <c r="K15" i="46"/>
  <c r="H15" i="46"/>
  <c r="E15" i="46"/>
  <c r="K14" i="46"/>
  <c r="H14" i="46"/>
  <c r="E14" i="46"/>
  <c r="K13" i="46"/>
  <c r="H13" i="46"/>
  <c r="E13" i="46"/>
  <c r="K12" i="46"/>
  <c r="H12" i="46"/>
  <c r="E12" i="46"/>
  <c r="K11" i="46"/>
  <c r="H11" i="46"/>
  <c r="E11" i="46"/>
  <c r="K10" i="46"/>
  <c r="H10" i="46"/>
  <c r="E10" i="46"/>
  <c r="K9" i="46"/>
  <c r="H9" i="46"/>
  <c r="E9" i="46"/>
  <c r="K8" i="46"/>
  <c r="H8" i="46"/>
  <c r="E8" i="46"/>
  <c r="K7" i="46"/>
  <c r="H7" i="46"/>
  <c r="E7" i="46"/>
  <c r="K6" i="46"/>
  <c r="H6" i="46"/>
  <c r="E6" i="46"/>
  <c r="K5" i="46"/>
  <c r="H5" i="46"/>
  <c r="E5" i="46"/>
  <c r="Y5" i="49" l="1"/>
  <c r="Y20" i="48"/>
  <c r="Y19" i="48"/>
  <c r="Y18" i="48"/>
  <c r="Y17" i="48"/>
  <c r="Y16" i="48"/>
  <c r="Y15" i="48"/>
  <c r="Y14" i="48"/>
  <c r="Y13" i="48"/>
  <c r="Y12" i="48"/>
  <c r="Y11" i="48"/>
  <c r="Y10" i="48"/>
  <c r="Y9" i="48"/>
  <c r="Y8" i="48"/>
  <c r="Y7" i="48"/>
  <c r="Y6" i="48"/>
  <c r="Y20" i="47"/>
  <c r="Y19" i="47"/>
  <c r="Y18" i="47"/>
  <c r="Y17" i="47"/>
  <c r="Y16" i="47"/>
  <c r="Y15" i="47"/>
  <c r="Y14" i="47"/>
  <c r="Y13" i="47"/>
  <c r="Y12" i="47"/>
  <c r="Y11" i="47"/>
  <c r="Y10" i="47"/>
  <c r="Y9" i="47"/>
  <c r="Y8" i="47"/>
  <c r="Y7" i="47"/>
  <c r="Y6" i="47"/>
  <c r="Y5" i="47"/>
  <c r="Y6" i="46"/>
  <c r="Y7" i="46"/>
  <c r="Y8" i="46"/>
  <c r="Y9" i="46"/>
  <c r="Y10" i="46"/>
  <c r="Y11" i="46"/>
  <c r="Y12" i="46"/>
  <c r="Y13" i="46"/>
  <c r="Y14" i="46"/>
  <c r="Y15" i="46"/>
  <c r="Y16" i="46"/>
  <c r="Y17" i="46"/>
  <c r="Y18" i="46"/>
  <c r="Y19" i="46"/>
  <c r="Y20" i="46"/>
  <c r="Y21" i="46"/>
  <c r="Y22" i="46"/>
  <c r="Y23" i="46"/>
  <c r="Y24" i="46"/>
  <c r="Y25" i="46"/>
  <c r="Y26" i="46"/>
  <c r="Y27" i="46"/>
  <c r="Y28" i="46"/>
  <c r="Y29" i="46"/>
  <c r="Y31" i="46"/>
  <c r="Y32" i="46"/>
  <c r="Y33" i="46"/>
  <c r="Y34" i="46"/>
  <c r="Y35" i="46"/>
  <c r="Y36" i="46"/>
  <c r="Y37" i="46"/>
  <c r="Y38" i="46"/>
  <c r="Y39" i="46"/>
  <c r="Y40" i="46"/>
  <c r="Y41" i="46"/>
  <c r="Y42" i="46"/>
  <c r="Y43" i="46"/>
  <c r="Y44" i="46"/>
  <c r="Y45" i="46"/>
  <c r="Y46" i="46"/>
  <c r="Y47" i="46"/>
  <c r="Y48" i="46"/>
  <c r="Y49" i="46"/>
  <c r="Y50" i="46"/>
  <c r="Y51" i="46"/>
  <c r="Y52" i="46"/>
  <c r="Y53" i="46"/>
  <c r="Y55" i="46"/>
  <c r="Y56" i="46"/>
  <c r="Y57" i="46"/>
  <c r="Y58" i="46"/>
  <c r="Y59" i="46"/>
  <c r="Y60" i="46"/>
  <c r="Y61" i="46"/>
  <c r="Y62" i="46"/>
  <c r="Y63" i="46"/>
  <c r="Y64" i="46"/>
  <c r="Y5" i="46"/>
  <c r="Y5" i="45"/>
  <c r="P32" i="6" l="1"/>
  <c r="P68" i="6"/>
  <c r="M15" i="6"/>
  <c r="M33" i="6"/>
  <c r="M88" i="6"/>
  <c r="M124" i="6"/>
  <c r="M159" i="6"/>
  <c r="M174" i="6"/>
  <c r="M192" i="6"/>
  <c r="M210" i="6"/>
  <c r="A218" i="6"/>
  <c r="B218" i="6"/>
  <c r="C218" i="6"/>
  <c r="D218" i="6"/>
  <c r="E218" i="6"/>
  <c r="M218" i="6" s="1"/>
  <c r="G218" i="6"/>
  <c r="N218" i="6" s="1"/>
  <c r="H218" i="6"/>
  <c r="A3" i="6"/>
  <c r="B3" i="6"/>
  <c r="C3" i="6"/>
  <c r="D3" i="6"/>
  <c r="E3" i="6"/>
  <c r="G3" i="6"/>
  <c r="M3" i="6" s="1"/>
  <c r="H3" i="6"/>
  <c r="O3" i="6" s="1"/>
  <c r="L3" i="6"/>
  <c r="A4" i="6"/>
  <c r="B4" i="6"/>
  <c r="C4" i="6"/>
  <c r="D4" i="6"/>
  <c r="E4" i="6"/>
  <c r="G4" i="6"/>
  <c r="H4" i="6"/>
  <c r="Q4" i="6" s="1"/>
  <c r="L4" i="6"/>
  <c r="A5" i="6"/>
  <c r="B5" i="6"/>
  <c r="C5" i="6"/>
  <c r="D5" i="6"/>
  <c r="E5" i="6"/>
  <c r="G5" i="6"/>
  <c r="H5" i="6"/>
  <c r="O5" i="6"/>
  <c r="Q5" i="6"/>
  <c r="A6" i="6"/>
  <c r="B6" i="6"/>
  <c r="C6" i="6"/>
  <c r="D6" i="6"/>
  <c r="E6" i="6"/>
  <c r="G6" i="6"/>
  <c r="H6" i="6"/>
  <c r="O6" i="6" s="1"/>
  <c r="A7" i="6"/>
  <c r="B7" i="6"/>
  <c r="C7" i="6"/>
  <c r="D7" i="6"/>
  <c r="E7" i="6"/>
  <c r="J7" i="6" s="1"/>
  <c r="G7" i="6"/>
  <c r="H7" i="6"/>
  <c r="A8" i="6"/>
  <c r="B8" i="6"/>
  <c r="C8" i="6"/>
  <c r="D8" i="6"/>
  <c r="E8" i="6"/>
  <c r="G8" i="6"/>
  <c r="H8" i="6"/>
  <c r="L8" i="6"/>
  <c r="A9" i="6"/>
  <c r="B9" i="6"/>
  <c r="C9" i="6"/>
  <c r="D9" i="6"/>
  <c r="E9" i="6"/>
  <c r="M9" i="6" s="1"/>
  <c r="G9" i="6"/>
  <c r="H9" i="6"/>
  <c r="O9" i="6" s="1"/>
  <c r="A10" i="6"/>
  <c r="B10" i="6"/>
  <c r="C10" i="6"/>
  <c r="D10" i="6"/>
  <c r="E10" i="6"/>
  <c r="I10" i="6" s="1"/>
  <c r="G10" i="6"/>
  <c r="H10" i="6"/>
  <c r="A11" i="6"/>
  <c r="B11" i="6"/>
  <c r="C11" i="6"/>
  <c r="D11" i="6"/>
  <c r="E11" i="6"/>
  <c r="G11" i="6"/>
  <c r="H11" i="6"/>
  <c r="Q11" i="6" s="1"/>
  <c r="K11" i="6"/>
  <c r="O11" i="6"/>
  <c r="A12" i="6"/>
  <c r="B12" i="6"/>
  <c r="C12" i="6"/>
  <c r="D12" i="6"/>
  <c r="E12" i="6"/>
  <c r="G12" i="6"/>
  <c r="H12" i="6"/>
  <c r="O12" i="6" s="1"/>
  <c r="A13" i="6"/>
  <c r="B13" i="6"/>
  <c r="C13" i="6"/>
  <c r="D13" i="6"/>
  <c r="E13" i="6"/>
  <c r="G13" i="6"/>
  <c r="H13" i="6"/>
  <c r="Q13" i="6" s="1"/>
  <c r="A14" i="6"/>
  <c r="B14" i="6"/>
  <c r="C14" i="6"/>
  <c r="D14" i="6"/>
  <c r="E14" i="6"/>
  <c r="G14" i="6"/>
  <c r="H14" i="6"/>
  <c r="Q14" i="6" s="1"/>
  <c r="A15" i="6"/>
  <c r="B15" i="6"/>
  <c r="C15" i="6"/>
  <c r="D15" i="6"/>
  <c r="E15" i="6"/>
  <c r="G15" i="6"/>
  <c r="H15" i="6"/>
  <c r="A16" i="6"/>
  <c r="B16" i="6"/>
  <c r="C16" i="6"/>
  <c r="D16" i="6"/>
  <c r="E16" i="6"/>
  <c r="G16" i="6"/>
  <c r="H16" i="6"/>
  <c r="Q16" i="6" s="1"/>
  <c r="O16" i="6"/>
  <c r="A17" i="6"/>
  <c r="B17" i="6"/>
  <c r="C17" i="6"/>
  <c r="D17" i="6"/>
  <c r="E17" i="6"/>
  <c r="G17" i="6"/>
  <c r="K17" i="6" s="1"/>
  <c r="H17" i="6"/>
  <c r="Q17" i="6" s="1"/>
  <c r="O17" i="6"/>
  <c r="A18" i="6"/>
  <c r="B18" i="6"/>
  <c r="C18" i="6"/>
  <c r="D18" i="6"/>
  <c r="E18" i="6"/>
  <c r="M18" i="6" s="1"/>
  <c r="G18" i="6"/>
  <c r="H18" i="6"/>
  <c r="A19" i="6"/>
  <c r="B19" i="6"/>
  <c r="C19" i="6"/>
  <c r="D19" i="6"/>
  <c r="E19" i="6"/>
  <c r="G19" i="6"/>
  <c r="K19" i="6" s="1"/>
  <c r="H19" i="6"/>
  <c r="Q19" i="6" s="1"/>
  <c r="O19" i="6"/>
  <c r="A20" i="6"/>
  <c r="B20" i="6"/>
  <c r="C20" i="6"/>
  <c r="J20" i="6" s="1"/>
  <c r="D20" i="6"/>
  <c r="E20" i="6"/>
  <c r="P20" i="6" s="1"/>
  <c r="G20" i="6"/>
  <c r="H20" i="6"/>
  <c r="O20" i="6" s="1"/>
  <c r="Q20" i="6"/>
  <c r="A21" i="6"/>
  <c r="B21" i="6"/>
  <c r="C21" i="6"/>
  <c r="D21" i="6"/>
  <c r="E21" i="6"/>
  <c r="G21" i="6"/>
  <c r="H21" i="6"/>
  <c r="A22" i="6"/>
  <c r="B22" i="6"/>
  <c r="C22" i="6"/>
  <c r="D22" i="6"/>
  <c r="E22" i="6"/>
  <c r="G22" i="6"/>
  <c r="H22" i="6"/>
  <c r="Q22" i="6" s="1"/>
  <c r="O22" i="6"/>
  <c r="A23" i="6"/>
  <c r="B23" i="6"/>
  <c r="C23" i="6"/>
  <c r="D23" i="6"/>
  <c r="E23" i="6"/>
  <c r="G23" i="6"/>
  <c r="H23" i="6"/>
  <c r="O23" i="6" s="1"/>
  <c r="A24" i="6"/>
  <c r="B24" i="6"/>
  <c r="C24" i="6"/>
  <c r="D24" i="6"/>
  <c r="E24" i="6"/>
  <c r="G24" i="6"/>
  <c r="H24" i="6"/>
  <c r="A25" i="6"/>
  <c r="B25" i="6"/>
  <c r="C25" i="6"/>
  <c r="D25" i="6"/>
  <c r="E25" i="6"/>
  <c r="G25" i="6"/>
  <c r="H25" i="6"/>
  <c r="Q25" i="6" s="1"/>
  <c r="A26" i="6"/>
  <c r="B26" i="6"/>
  <c r="C26" i="6"/>
  <c r="D26" i="6"/>
  <c r="E26" i="6"/>
  <c r="G26" i="6"/>
  <c r="H26" i="6"/>
  <c r="O26" i="6" s="1"/>
  <c r="L26" i="6"/>
  <c r="Q26" i="6"/>
  <c r="A27" i="6"/>
  <c r="B27" i="6"/>
  <c r="C27" i="6"/>
  <c r="D27" i="6"/>
  <c r="E27" i="6"/>
  <c r="G27" i="6"/>
  <c r="H27" i="6"/>
  <c r="A28" i="6"/>
  <c r="B28" i="6"/>
  <c r="C28" i="6"/>
  <c r="D28" i="6"/>
  <c r="E28" i="6"/>
  <c r="G28" i="6"/>
  <c r="H28" i="6"/>
  <c r="Q28" i="6" s="1"/>
  <c r="O28" i="6"/>
  <c r="A29" i="6"/>
  <c r="B29" i="6"/>
  <c r="C29" i="6"/>
  <c r="D29" i="6"/>
  <c r="E29" i="6"/>
  <c r="G29" i="6"/>
  <c r="H29" i="6"/>
  <c r="Q29" i="6"/>
  <c r="A30" i="6"/>
  <c r="B30" i="6"/>
  <c r="C30" i="6"/>
  <c r="D30" i="6"/>
  <c r="E30" i="6"/>
  <c r="M30" i="6" s="1"/>
  <c r="G30" i="6"/>
  <c r="H30" i="6"/>
  <c r="A31" i="6"/>
  <c r="B31" i="6"/>
  <c r="C31" i="6"/>
  <c r="D31" i="6"/>
  <c r="E31" i="6"/>
  <c r="G31" i="6"/>
  <c r="H31" i="6"/>
  <c r="Q31" i="6" s="1"/>
  <c r="A32" i="6"/>
  <c r="B32" i="6"/>
  <c r="C32" i="6"/>
  <c r="D32" i="6"/>
  <c r="E32" i="6"/>
  <c r="G32" i="6"/>
  <c r="H32" i="6"/>
  <c r="O32" i="6" s="1"/>
  <c r="Q32" i="6"/>
  <c r="A33" i="6"/>
  <c r="B33" i="6"/>
  <c r="C33" i="6"/>
  <c r="D33" i="6"/>
  <c r="E33" i="6"/>
  <c r="G33" i="6"/>
  <c r="H33" i="6"/>
  <c r="A34" i="6"/>
  <c r="B34" i="6"/>
  <c r="C34" i="6"/>
  <c r="D34" i="6"/>
  <c r="E34" i="6"/>
  <c r="G34" i="6"/>
  <c r="H34" i="6"/>
  <c r="Q34" i="6" s="1"/>
  <c r="A35" i="6"/>
  <c r="B35" i="6"/>
  <c r="C35" i="6"/>
  <c r="D35" i="6"/>
  <c r="E35" i="6"/>
  <c r="G35" i="6"/>
  <c r="H35" i="6"/>
  <c r="O35" i="6" s="1"/>
  <c r="A36" i="6"/>
  <c r="B36" i="6"/>
  <c r="C36" i="6"/>
  <c r="D36" i="6"/>
  <c r="E36" i="6"/>
  <c r="G36" i="6"/>
  <c r="H36" i="6"/>
  <c r="J36" i="6"/>
  <c r="A37" i="6"/>
  <c r="B37" i="6"/>
  <c r="C37" i="6"/>
  <c r="D37" i="6"/>
  <c r="E37" i="6"/>
  <c r="G37" i="6"/>
  <c r="H37" i="6"/>
  <c r="Q37" i="6" s="1"/>
  <c r="I37" i="6"/>
  <c r="A38" i="6"/>
  <c r="B38" i="6"/>
  <c r="C38" i="6"/>
  <c r="D38" i="6"/>
  <c r="E38" i="6"/>
  <c r="G38" i="6"/>
  <c r="H38" i="6"/>
  <c r="Q38" i="6"/>
  <c r="A39" i="6"/>
  <c r="B39" i="6"/>
  <c r="C39" i="6"/>
  <c r="D39" i="6"/>
  <c r="E39" i="6"/>
  <c r="G39" i="6"/>
  <c r="H39" i="6"/>
  <c r="A40" i="6"/>
  <c r="B40" i="6"/>
  <c r="C40" i="6"/>
  <c r="D40" i="6"/>
  <c r="E40" i="6"/>
  <c r="G40" i="6"/>
  <c r="H40" i="6"/>
  <c r="Q40" i="6" s="1"/>
  <c r="J40" i="6"/>
  <c r="A41" i="6"/>
  <c r="B41" i="6"/>
  <c r="C41" i="6"/>
  <c r="D41" i="6"/>
  <c r="E41" i="6"/>
  <c r="G41" i="6"/>
  <c r="H41" i="6"/>
  <c r="O41" i="6" s="1"/>
  <c r="A42" i="6"/>
  <c r="B42" i="6"/>
  <c r="C42" i="6"/>
  <c r="D42" i="6"/>
  <c r="E42" i="6"/>
  <c r="G42" i="6"/>
  <c r="H42" i="6"/>
  <c r="A43" i="6"/>
  <c r="B43" i="6"/>
  <c r="C43" i="6"/>
  <c r="D43" i="6"/>
  <c r="E43" i="6"/>
  <c r="G43" i="6"/>
  <c r="H43" i="6"/>
  <c r="L43" i="6"/>
  <c r="A44" i="6"/>
  <c r="B44" i="6"/>
  <c r="C44" i="6"/>
  <c r="D44" i="6"/>
  <c r="E44" i="6"/>
  <c r="G44" i="6"/>
  <c r="H44" i="6"/>
  <c r="A45" i="6"/>
  <c r="B45" i="6"/>
  <c r="C45" i="6"/>
  <c r="D45" i="6"/>
  <c r="E45" i="6"/>
  <c r="G45" i="6"/>
  <c r="H45" i="6"/>
  <c r="A46" i="6"/>
  <c r="B46" i="6"/>
  <c r="C46" i="6"/>
  <c r="D46" i="6"/>
  <c r="E46" i="6"/>
  <c r="G46" i="6"/>
  <c r="H46" i="6"/>
  <c r="Q46" i="6" s="1"/>
  <c r="A47" i="6"/>
  <c r="B47" i="6"/>
  <c r="C47" i="6"/>
  <c r="D47" i="6"/>
  <c r="E47" i="6"/>
  <c r="G47" i="6"/>
  <c r="H47" i="6"/>
  <c r="Q47" i="6"/>
  <c r="A48" i="6"/>
  <c r="B48" i="6"/>
  <c r="C48" i="6"/>
  <c r="D48" i="6"/>
  <c r="E48" i="6"/>
  <c r="L48" i="6" s="1"/>
  <c r="G48" i="6"/>
  <c r="H48" i="6"/>
  <c r="A49" i="6"/>
  <c r="B49" i="6"/>
  <c r="C49" i="6"/>
  <c r="D49" i="6"/>
  <c r="E49" i="6"/>
  <c r="G49" i="6"/>
  <c r="H49" i="6"/>
  <c r="Q49" i="6" s="1"/>
  <c r="A50" i="6"/>
  <c r="B50" i="6"/>
  <c r="C50" i="6"/>
  <c r="D50" i="6"/>
  <c r="E50" i="6"/>
  <c r="G50" i="6"/>
  <c r="H50" i="6"/>
  <c r="K50" i="6"/>
  <c r="O50" i="6"/>
  <c r="A51" i="6"/>
  <c r="B51" i="6"/>
  <c r="C51" i="6"/>
  <c r="D51" i="6"/>
  <c r="E51" i="6"/>
  <c r="L51" i="6" s="1"/>
  <c r="G51" i="6"/>
  <c r="H51" i="6"/>
  <c r="A52" i="6"/>
  <c r="B52" i="6"/>
  <c r="C52" i="6"/>
  <c r="D52" i="6"/>
  <c r="E52" i="6"/>
  <c r="G52" i="6"/>
  <c r="H52" i="6"/>
  <c r="Q52" i="6" s="1"/>
  <c r="A53" i="6"/>
  <c r="B53" i="6"/>
  <c r="C53" i="6"/>
  <c r="D53" i="6"/>
  <c r="E53" i="6"/>
  <c r="K53" i="6" s="1"/>
  <c r="G53" i="6"/>
  <c r="H53" i="6"/>
  <c r="Q53" i="6" s="1"/>
  <c r="J53" i="6"/>
  <c r="A54" i="6"/>
  <c r="B54" i="6"/>
  <c r="C54" i="6"/>
  <c r="D54" i="6"/>
  <c r="E54" i="6"/>
  <c r="G54" i="6"/>
  <c r="H54" i="6"/>
  <c r="A55" i="6"/>
  <c r="B55" i="6"/>
  <c r="C55" i="6"/>
  <c r="D55" i="6"/>
  <c r="E55" i="6"/>
  <c r="M55" i="6" s="1"/>
  <c r="G55" i="6"/>
  <c r="H55" i="6"/>
  <c r="O55" i="6" s="1"/>
  <c r="J55" i="6"/>
  <c r="A56" i="6"/>
  <c r="B56" i="6"/>
  <c r="C56" i="6"/>
  <c r="D56" i="6"/>
  <c r="E56" i="6"/>
  <c r="G56" i="6"/>
  <c r="H56" i="6"/>
  <c r="L56" i="6"/>
  <c r="A57" i="6"/>
  <c r="B57" i="6"/>
  <c r="C57" i="6"/>
  <c r="D57" i="6"/>
  <c r="E57" i="6"/>
  <c r="G57" i="6"/>
  <c r="H57" i="6"/>
  <c r="O57" i="6" s="1"/>
  <c r="L57" i="6"/>
  <c r="A58" i="6"/>
  <c r="B58" i="6"/>
  <c r="C58" i="6"/>
  <c r="D58" i="6"/>
  <c r="E58" i="6"/>
  <c r="G58" i="6"/>
  <c r="H58" i="6"/>
  <c r="O58" i="6" s="1"/>
  <c r="Q58" i="6"/>
  <c r="A59" i="6"/>
  <c r="B59" i="6"/>
  <c r="C59" i="6"/>
  <c r="D59" i="6"/>
  <c r="E59" i="6"/>
  <c r="G59" i="6"/>
  <c r="H59" i="6"/>
  <c r="A60" i="6"/>
  <c r="B60" i="6"/>
  <c r="C60" i="6"/>
  <c r="D60" i="6"/>
  <c r="E60" i="6"/>
  <c r="K60" i="6" s="1"/>
  <c r="G60" i="6"/>
  <c r="H60" i="6"/>
  <c r="Q60" i="6" s="1"/>
  <c r="J60" i="6"/>
  <c r="A61" i="6"/>
  <c r="B61" i="6"/>
  <c r="C61" i="6"/>
  <c r="D61" i="6"/>
  <c r="E61" i="6"/>
  <c r="M61" i="6" s="1"/>
  <c r="G61" i="6"/>
  <c r="H61" i="6"/>
  <c r="A62" i="6"/>
  <c r="B62" i="6"/>
  <c r="C62" i="6"/>
  <c r="D62" i="6"/>
  <c r="E62" i="6"/>
  <c r="P62" i="6" s="1"/>
  <c r="G62" i="6"/>
  <c r="H62" i="6"/>
  <c r="Q62" i="6" s="1"/>
  <c r="O62" i="6"/>
  <c r="A63" i="6"/>
  <c r="B63" i="6"/>
  <c r="C63" i="6"/>
  <c r="D63" i="6"/>
  <c r="E63" i="6"/>
  <c r="G63" i="6"/>
  <c r="H63" i="6"/>
  <c r="A64" i="6"/>
  <c r="B64" i="6"/>
  <c r="C64" i="6"/>
  <c r="D64" i="6"/>
  <c r="E64" i="6"/>
  <c r="G64" i="6"/>
  <c r="H64" i="6"/>
  <c r="A65" i="6"/>
  <c r="B65" i="6"/>
  <c r="C65" i="6"/>
  <c r="D65" i="6"/>
  <c r="E65" i="6"/>
  <c r="G65" i="6"/>
  <c r="H65" i="6"/>
  <c r="Q65" i="6" s="1"/>
  <c r="A66" i="6"/>
  <c r="B66" i="6"/>
  <c r="C66" i="6"/>
  <c r="D66" i="6"/>
  <c r="E66" i="6"/>
  <c r="G66" i="6"/>
  <c r="H66" i="6"/>
  <c r="O66" i="6" s="1"/>
  <c r="J66" i="6"/>
  <c r="A67" i="6"/>
  <c r="B67" i="6"/>
  <c r="C67" i="6"/>
  <c r="D67" i="6"/>
  <c r="E67" i="6"/>
  <c r="G67" i="6"/>
  <c r="H67" i="6"/>
  <c r="O67" i="6" s="1"/>
  <c r="A68" i="6"/>
  <c r="B68" i="6"/>
  <c r="C68" i="6"/>
  <c r="D68" i="6"/>
  <c r="E68" i="6"/>
  <c r="G68" i="6"/>
  <c r="H68" i="6"/>
  <c r="L68" i="6"/>
  <c r="A69" i="6"/>
  <c r="B69" i="6"/>
  <c r="C69" i="6"/>
  <c r="D69" i="6"/>
  <c r="E69" i="6"/>
  <c r="G69" i="6"/>
  <c r="H69" i="6"/>
  <c r="O69" i="6" s="1"/>
  <c r="L69" i="6"/>
  <c r="A70" i="6"/>
  <c r="B70" i="6"/>
  <c r="C70" i="6"/>
  <c r="D70" i="6"/>
  <c r="E70" i="6"/>
  <c r="G70" i="6"/>
  <c r="M70" i="6" s="1"/>
  <c r="H70" i="6"/>
  <c r="O70" i="6" s="1"/>
  <c r="A71" i="6"/>
  <c r="B71" i="6"/>
  <c r="C71" i="6"/>
  <c r="D71" i="6"/>
  <c r="E71" i="6"/>
  <c r="G71" i="6"/>
  <c r="H71" i="6"/>
  <c r="Q71" i="6" s="1"/>
  <c r="A72" i="6"/>
  <c r="B72" i="6"/>
  <c r="C72" i="6"/>
  <c r="D72" i="6"/>
  <c r="E72" i="6"/>
  <c r="G72" i="6"/>
  <c r="H72" i="6"/>
  <c r="A73" i="6"/>
  <c r="B73" i="6"/>
  <c r="C73" i="6"/>
  <c r="D73" i="6"/>
  <c r="E73" i="6"/>
  <c r="M73" i="6" s="1"/>
  <c r="G73" i="6"/>
  <c r="H73" i="6"/>
  <c r="O73" i="6" s="1"/>
  <c r="A74" i="6"/>
  <c r="B74" i="6"/>
  <c r="C74" i="6"/>
  <c r="D74" i="6"/>
  <c r="E74" i="6"/>
  <c r="P74" i="6" s="1"/>
  <c r="G74" i="6"/>
  <c r="H74" i="6"/>
  <c r="Q74" i="6" s="1"/>
  <c r="A75" i="6"/>
  <c r="B75" i="6"/>
  <c r="C75" i="6"/>
  <c r="D75" i="6"/>
  <c r="E75" i="6"/>
  <c r="L75" i="6" s="1"/>
  <c r="G75" i="6"/>
  <c r="H75" i="6"/>
  <c r="A76" i="6"/>
  <c r="B76" i="6"/>
  <c r="C76" i="6"/>
  <c r="D76" i="6"/>
  <c r="E76" i="6"/>
  <c r="G76" i="6"/>
  <c r="H76" i="6"/>
  <c r="O76" i="6" s="1"/>
  <c r="A77" i="6"/>
  <c r="B77" i="6"/>
  <c r="C77" i="6"/>
  <c r="D77" i="6"/>
  <c r="E77" i="6"/>
  <c r="G77" i="6"/>
  <c r="H77" i="6"/>
  <c r="O77" i="6" s="1"/>
  <c r="L77" i="6"/>
  <c r="A78" i="6"/>
  <c r="B78" i="6"/>
  <c r="C78" i="6"/>
  <c r="D78" i="6"/>
  <c r="E78" i="6"/>
  <c r="G78" i="6"/>
  <c r="H78" i="6"/>
  <c r="Q78" i="6" s="1"/>
  <c r="A79" i="6"/>
  <c r="B79" i="6"/>
  <c r="C79" i="6"/>
  <c r="D79" i="6"/>
  <c r="E79" i="6"/>
  <c r="G79" i="6"/>
  <c r="H79" i="6"/>
  <c r="O79" i="6" s="1"/>
  <c r="A80" i="6"/>
  <c r="B80" i="6"/>
  <c r="C80" i="6"/>
  <c r="D80" i="6"/>
  <c r="E80" i="6"/>
  <c r="G80" i="6"/>
  <c r="H80" i="6"/>
  <c r="Q80" i="6" s="1"/>
  <c r="O80" i="6"/>
  <c r="A81" i="6"/>
  <c r="B81" i="6"/>
  <c r="C81" i="6"/>
  <c r="D81" i="6"/>
  <c r="E81" i="6"/>
  <c r="G81" i="6"/>
  <c r="H81" i="6"/>
  <c r="O81" i="6" s="1"/>
  <c r="A82" i="6"/>
  <c r="B82" i="6"/>
  <c r="C82" i="6"/>
  <c r="D82" i="6"/>
  <c r="E82" i="6"/>
  <c r="G82" i="6"/>
  <c r="H82" i="6"/>
  <c r="A83" i="6"/>
  <c r="B83" i="6"/>
  <c r="C83" i="6"/>
  <c r="D83" i="6"/>
  <c r="E83" i="6"/>
  <c r="G83" i="6"/>
  <c r="H83" i="6"/>
  <c r="Q83" i="6" s="1"/>
  <c r="A84" i="6"/>
  <c r="B84" i="6"/>
  <c r="C84" i="6"/>
  <c r="D84" i="6"/>
  <c r="E84" i="6"/>
  <c r="G84" i="6"/>
  <c r="H84" i="6"/>
  <c r="O84" i="6" s="1"/>
  <c r="A85" i="6"/>
  <c r="B85" i="6"/>
  <c r="C85" i="6"/>
  <c r="D85" i="6"/>
  <c r="E85" i="6"/>
  <c r="M85" i="6" s="1"/>
  <c r="G85" i="6"/>
  <c r="H85" i="6"/>
  <c r="Q85" i="6" s="1"/>
  <c r="O85" i="6"/>
  <c r="A86" i="6"/>
  <c r="B86" i="6"/>
  <c r="C86" i="6"/>
  <c r="D86" i="6"/>
  <c r="E86" i="6"/>
  <c r="G86" i="6"/>
  <c r="H86" i="6"/>
  <c r="O86" i="6" s="1"/>
  <c r="Q86" i="6"/>
  <c r="A87" i="6"/>
  <c r="B87" i="6"/>
  <c r="C87" i="6"/>
  <c r="D87" i="6"/>
  <c r="E87" i="6"/>
  <c r="G87" i="6"/>
  <c r="H87" i="6"/>
  <c r="O87" i="6" s="1"/>
  <c r="A88" i="6"/>
  <c r="B88" i="6"/>
  <c r="C88" i="6"/>
  <c r="D88" i="6"/>
  <c r="E88" i="6"/>
  <c r="G88" i="6"/>
  <c r="H88" i="6"/>
  <c r="Q88" i="6" s="1"/>
  <c r="A89" i="6"/>
  <c r="B89" i="6"/>
  <c r="C89" i="6"/>
  <c r="D89" i="6"/>
  <c r="E89" i="6"/>
  <c r="G89" i="6"/>
  <c r="H89" i="6"/>
  <c r="O89" i="6" s="1"/>
  <c r="A90" i="6"/>
  <c r="B90" i="6"/>
  <c r="C90" i="6"/>
  <c r="D90" i="6"/>
  <c r="E90" i="6"/>
  <c r="G90" i="6"/>
  <c r="H90" i="6"/>
  <c r="Q90" i="6" s="1"/>
  <c r="A91" i="6"/>
  <c r="B91" i="6"/>
  <c r="C91" i="6"/>
  <c r="D91" i="6"/>
  <c r="E91" i="6"/>
  <c r="M91" i="6" s="1"/>
  <c r="G91" i="6"/>
  <c r="H91" i="6"/>
  <c r="O91" i="6" s="1"/>
  <c r="A92" i="6"/>
  <c r="B92" i="6"/>
  <c r="C92" i="6"/>
  <c r="D92" i="6"/>
  <c r="E92" i="6"/>
  <c r="G92" i="6"/>
  <c r="H92" i="6"/>
  <c r="A93" i="6"/>
  <c r="B93" i="6"/>
  <c r="C93" i="6"/>
  <c r="D93" i="6"/>
  <c r="E93" i="6"/>
  <c r="G93" i="6"/>
  <c r="H93" i="6"/>
  <c r="Q93" i="6" s="1"/>
  <c r="A94" i="6"/>
  <c r="B94" i="6"/>
  <c r="C94" i="6"/>
  <c r="D94" i="6"/>
  <c r="E94" i="6"/>
  <c r="G94" i="6"/>
  <c r="H94" i="6"/>
  <c r="Q94" i="6" s="1"/>
  <c r="L94" i="6"/>
  <c r="O94" i="6"/>
  <c r="A95" i="6"/>
  <c r="B95" i="6"/>
  <c r="C95" i="6"/>
  <c r="D95" i="6"/>
  <c r="E95" i="6"/>
  <c r="G95" i="6"/>
  <c r="H95" i="6"/>
  <c r="O95" i="6" s="1"/>
  <c r="A96" i="6"/>
  <c r="B96" i="6"/>
  <c r="C96" i="6"/>
  <c r="D96" i="6"/>
  <c r="E96" i="6"/>
  <c r="G96" i="6"/>
  <c r="H96" i="6"/>
  <c r="A97" i="6"/>
  <c r="B97" i="6"/>
  <c r="C97" i="6"/>
  <c r="D97" i="6"/>
  <c r="E97" i="6"/>
  <c r="M97" i="6" s="1"/>
  <c r="G97" i="6"/>
  <c r="H97" i="6"/>
  <c r="Q97" i="6" s="1"/>
  <c r="I97" i="6"/>
  <c r="L97" i="6"/>
  <c r="A98" i="6"/>
  <c r="B98" i="6"/>
  <c r="C98" i="6"/>
  <c r="D98" i="6"/>
  <c r="E98" i="6"/>
  <c r="G98" i="6"/>
  <c r="H98" i="6"/>
  <c r="A99" i="6"/>
  <c r="B99" i="6"/>
  <c r="C99" i="6"/>
  <c r="D99" i="6"/>
  <c r="E99" i="6"/>
  <c r="G99" i="6"/>
  <c r="J99" i="6" s="1"/>
  <c r="H99" i="6"/>
  <c r="Q99" i="6" s="1"/>
  <c r="A100" i="6"/>
  <c r="B100" i="6"/>
  <c r="C100" i="6"/>
  <c r="D100" i="6"/>
  <c r="E100" i="6"/>
  <c r="M100" i="6" s="1"/>
  <c r="G100" i="6"/>
  <c r="H100" i="6"/>
  <c r="O100" i="6" s="1"/>
  <c r="L100" i="6"/>
  <c r="A101" i="6"/>
  <c r="B101" i="6"/>
  <c r="C101" i="6"/>
  <c r="D101" i="6"/>
  <c r="E101" i="6"/>
  <c r="G101" i="6"/>
  <c r="H101" i="6"/>
  <c r="O101" i="6" s="1"/>
  <c r="A102" i="6"/>
  <c r="B102" i="6"/>
  <c r="C102" i="6"/>
  <c r="D102" i="6"/>
  <c r="E102" i="6"/>
  <c r="G102" i="6"/>
  <c r="I102" i="6" s="1"/>
  <c r="H102" i="6"/>
  <c r="Q102" i="6" s="1"/>
  <c r="O102" i="6"/>
  <c r="A103" i="6"/>
  <c r="B103" i="6"/>
  <c r="C103" i="6"/>
  <c r="D103" i="6"/>
  <c r="E103" i="6"/>
  <c r="M103" i="6" s="1"/>
  <c r="G103" i="6"/>
  <c r="H103" i="6"/>
  <c r="Q103" i="6" s="1"/>
  <c r="A104" i="6"/>
  <c r="B104" i="6"/>
  <c r="C104" i="6"/>
  <c r="D104" i="6"/>
  <c r="E104" i="6"/>
  <c r="G104" i="6"/>
  <c r="H104" i="6"/>
  <c r="O104" i="6" s="1"/>
  <c r="Q104" i="6"/>
  <c r="A105" i="6"/>
  <c r="B105" i="6"/>
  <c r="C105" i="6"/>
  <c r="D105" i="6"/>
  <c r="E105" i="6"/>
  <c r="G105" i="6"/>
  <c r="H105" i="6"/>
  <c r="O105" i="6" s="1"/>
  <c r="A106" i="6"/>
  <c r="B106" i="6"/>
  <c r="C106" i="6"/>
  <c r="D106" i="6"/>
  <c r="E106" i="6"/>
  <c r="G106" i="6"/>
  <c r="M106" i="6" s="1"/>
  <c r="H106" i="6"/>
  <c r="A107" i="6"/>
  <c r="B107" i="6"/>
  <c r="C107" i="6"/>
  <c r="D107" i="6"/>
  <c r="E107" i="6"/>
  <c r="G107" i="6"/>
  <c r="H107" i="6"/>
  <c r="O107" i="6" s="1"/>
  <c r="A108" i="6"/>
  <c r="B108" i="6"/>
  <c r="C108" i="6"/>
  <c r="D108" i="6"/>
  <c r="E108" i="6"/>
  <c r="G108" i="6"/>
  <c r="H108" i="6"/>
  <c r="Q108" i="6" s="1"/>
  <c r="A109" i="6"/>
  <c r="B109" i="6"/>
  <c r="C109" i="6"/>
  <c r="D109" i="6"/>
  <c r="E109" i="6"/>
  <c r="M109" i="6" s="1"/>
  <c r="G109" i="6"/>
  <c r="H109" i="6"/>
  <c r="L109" i="6"/>
  <c r="A110" i="6"/>
  <c r="B110" i="6"/>
  <c r="C110" i="6"/>
  <c r="D110" i="6"/>
  <c r="E110" i="6"/>
  <c r="P110" i="6" s="1"/>
  <c r="G110" i="6"/>
  <c r="H110" i="6"/>
  <c r="L110" i="6"/>
  <c r="A111" i="6"/>
  <c r="B111" i="6"/>
  <c r="C111" i="6"/>
  <c r="D111" i="6"/>
  <c r="E111" i="6"/>
  <c r="G111" i="6"/>
  <c r="H111" i="6"/>
  <c r="A112" i="6"/>
  <c r="B112" i="6"/>
  <c r="C112" i="6"/>
  <c r="D112" i="6"/>
  <c r="E112" i="6"/>
  <c r="G112" i="6"/>
  <c r="H112" i="6"/>
  <c r="O112" i="6" s="1"/>
  <c r="L112" i="6"/>
  <c r="A113" i="6"/>
  <c r="B113" i="6"/>
  <c r="C113" i="6"/>
  <c r="D113" i="6"/>
  <c r="E113" i="6"/>
  <c r="G113" i="6"/>
  <c r="H113" i="6"/>
  <c r="A114" i="6"/>
  <c r="B114" i="6"/>
  <c r="C114" i="6"/>
  <c r="D114" i="6"/>
  <c r="E114" i="6"/>
  <c r="G114" i="6"/>
  <c r="H114" i="6"/>
  <c r="Q114" i="6" s="1"/>
  <c r="A115" i="6"/>
  <c r="B115" i="6"/>
  <c r="C115" i="6"/>
  <c r="D115" i="6"/>
  <c r="E115" i="6"/>
  <c r="M115" i="6" s="1"/>
  <c r="G115" i="6"/>
  <c r="H115" i="6"/>
  <c r="Q115" i="6" s="1"/>
  <c r="A116" i="6"/>
  <c r="B116" i="6"/>
  <c r="C116" i="6"/>
  <c r="D116" i="6"/>
  <c r="E116" i="6"/>
  <c r="G116" i="6"/>
  <c r="H116" i="6"/>
  <c r="O116" i="6" s="1"/>
  <c r="Q116" i="6"/>
  <c r="A117" i="6"/>
  <c r="B117" i="6"/>
  <c r="C117" i="6"/>
  <c r="D117" i="6"/>
  <c r="E117" i="6"/>
  <c r="G117" i="6"/>
  <c r="H117" i="6"/>
  <c r="O117" i="6"/>
  <c r="Q117" i="6"/>
  <c r="A118" i="6"/>
  <c r="B118" i="6"/>
  <c r="C118" i="6"/>
  <c r="D118" i="6"/>
  <c r="E118" i="6"/>
  <c r="M118" i="6" s="1"/>
  <c r="G118" i="6"/>
  <c r="H118" i="6"/>
  <c r="O118" i="6" s="1"/>
  <c r="L118" i="6"/>
  <c r="A119" i="6"/>
  <c r="B119" i="6"/>
  <c r="C119" i="6"/>
  <c r="D119" i="6"/>
  <c r="E119" i="6"/>
  <c r="G119" i="6"/>
  <c r="H119" i="6"/>
  <c r="A120" i="6"/>
  <c r="B120" i="6"/>
  <c r="C120" i="6"/>
  <c r="D120" i="6"/>
  <c r="E120" i="6"/>
  <c r="G120" i="6"/>
  <c r="H120" i="6"/>
  <c r="Q120" i="6" s="1"/>
  <c r="A121" i="6"/>
  <c r="B121" i="6"/>
  <c r="C121" i="6"/>
  <c r="D121" i="6"/>
  <c r="E121" i="6"/>
  <c r="M121" i="6" s="1"/>
  <c r="G121" i="6"/>
  <c r="H121" i="6"/>
  <c r="O121" i="6" s="1"/>
  <c r="A122" i="6"/>
  <c r="B122" i="6"/>
  <c r="C122" i="6"/>
  <c r="D122" i="6"/>
  <c r="E122" i="6"/>
  <c r="I122" i="6" s="1"/>
  <c r="G122" i="6"/>
  <c r="H122" i="6"/>
  <c r="Q122" i="6" s="1"/>
  <c r="A123" i="6"/>
  <c r="B123" i="6"/>
  <c r="C123" i="6"/>
  <c r="D123" i="6"/>
  <c r="E123" i="6"/>
  <c r="G123" i="6"/>
  <c r="H123" i="6"/>
  <c r="A124" i="6"/>
  <c r="B124" i="6"/>
  <c r="C124" i="6"/>
  <c r="D124" i="6"/>
  <c r="E124" i="6"/>
  <c r="G124" i="6"/>
  <c r="H124" i="6"/>
  <c r="A125" i="6"/>
  <c r="B125" i="6"/>
  <c r="C125" i="6"/>
  <c r="D125" i="6"/>
  <c r="E125" i="6"/>
  <c r="G125" i="6"/>
  <c r="H125" i="6"/>
  <c r="Q125" i="6" s="1"/>
  <c r="O125" i="6"/>
  <c r="A126" i="6"/>
  <c r="B126" i="6"/>
  <c r="C126" i="6"/>
  <c r="D126" i="6"/>
  <c r="E126" i="6"/>
  <c r="G126" i="6"/>
  <c r="H126" i="6"/>
  <c r="A127" i="6"/>
  <c r="B127" i="6"/>
  <c r="C127" i="6"/>
  <c r="D127" i="6"/>
  <c r="E127" i="6"/>
  <c r="G127" i="6"/>
  <c r="H127" i="6"/>
  <c r="A128" i="6"/>
  <c r="B128" i="6"/>
  <c r="C128" i="6"/>
  <c r="D128" i="6"/>
  <c r="E128" i="6"/>
  <c r="G128" i="6"/>
  <c r="H128" i="6"/>
  <c r="Q128" i="6" s="1"/>
  <c r="A129" i="6"/>
  <c r="B129" i="6"/>
  <c r="C129" i="6"/>
  <c r="D129" i="6"/>
  <c r="E129" i="6"/>
  <c r="K129" i="6" s="1"/>
  <c r="G129" i="6"/>
  <c r="H129" i="6"/>
  <c r="O129" i="6" s="1"/>
  <c r="J129" i="6"/>
  <c r="A130" i="6"/>
  <c r="B130" i="6"/>
  <c r="C130" i="6"/>
  <c r="D130" i="6"/>
  <c r="E130" i="6"/>
  <c r="G130" i="6"/>
  <c r="H130" i="6"/>
  <c r="A131" i="6"/>
  <c r="B131" i="6"/>
  <c r="C131" i="6"/>
  <c r="D131" i="6"/>
  <c r="E131" i="6"/>
  <c r="G131" i="6"/>
  <c r="H131" i="6"/>
  <c r="Q131" i="6" s="1"/>
  <c r="A132" i="6"/>
  <c r="B132" i="6"/>
  <c r="C132" i="6"/>
  <c r="D132" i="6"/>
  <c r="E132" i="6"/>
  <c r="G132" i="6"/>
  <c r="H132" i="6"/>
  <c r="O132" i="6" s="1"/>
  <c r="L132" i="6"/>
  <c r="A133" i="6"/>
  <c r="B133" i="6"/>
  <c r="C133" i="6"/>
  <c r="D133" i="6"/>
  <c r="E133" i="6"/>
  <c r="G133" i="6"/>
  <c r="H133" i="6"/>
  <c r="A134" i="6"/>
  <c r="B134" i="6"/>
  <c r="C134" i="6"/>
  <c r="D134" i="6"/>
  <c r="E134" i="6"/>
  <c r="G134" i="6"/>
  <c r="H134" i="6"/>
  <c r="A135" i="6"/>
  <c r="B135" i="6"/>
  <c r="C135" i="6"/>
  <c r="D135" i="6"/>
  <c r="E135" i="6"/>
  <c r="G135" i="6"/>
  <c r="H135" i="6"/>
  <c r="O135" i="6" s="1"/>
  <c r="Q135" i="6"/>
  <c r="A136" i="6"/>
  <c r="B136" i="6"/>
  <c r="C136" i="6"/>
  <c r="D136" i="6"/>
  <c r="E136" i="6"/>
  <c r="L136" i="6" s="1"/>
  <c r="G136" i="6"/>
  <c r="H136" i="6"/>
  <c r="A137" i="6"/>
  <c r="B137" i="6"/>
  <c r="C137" i="6"/>
  <c r="D137" i="6"/>
  <c r="E137" i="6"/>
  <c r="G137" i="6"/>
  <c r="H137" i="6"/>
  <c r="Q137" i="6" s="1"/>
  <c r="A138" i="6"/>
  <c r="B138" i="6"/>
  <c r="C138" i="6"/>
  <c r="D138" i="6"/>
  <c r="E138" i="6"/>
  <c r="G138" i="6"/>
  <c r="H138" i="6"/>
  <c r="O138" i="6" s="1"/>
  <c r="A139" i="6"/>
  <c r="B139" i="6"/>
  <c r="C139" i="6"/>
  <c r="D139" i="6"/>
  <c r="E139" i="6"/>
  <c r="M139" i="6" s="1"/>
  <c r="G139" i="6"/>
  <c r="H139" i="6"/>
  <c r="A140" i="6"/>
  <c r="B140" i="6"/>
  <c r="C140" i="6"/>
  <c r="D140" i="6"/>
  <c r="E140" i="6"/>
  <c r="G140" i="6"/>
  <c r="H140" i="6"/>
  <c r="P140" i="6" s="1"/>
  <c r="A141" i="6"/>
  <c r="B141" i="6"/>
  <c r="C141" i="6"/>
  <c r="D141" i="6"/>
  <c r="E141" i="6"/>
  <c r="G141" i="6"/>
  <c r="H141" i="6"/>
  <c r="A142" i="6"/>
  <c r="B142" i="6"/>
  <c r="C142" i="6"/>
  <c r="D142" i="6"/>
  <c r="E142" i="6"/>
  <c r="G142" i="6"/>
  <c r="M142" i="6" s="1"/>
  <c r="H142" i="6"/>
  <c r="A143" i="6"/>
  <c r="B143" i="6"/>
  <c r="C143" i="6"/>
  <c r="D143" i="6"/>
  <c r="E143" i="6"/>
  <c r="G143" i="6"/>
  <c r="H143" i="6"/>
  <c r="Q143" i="6" s="1"/>
  <c r="O143" i="6"/>
  <c r="A144" i="6"/>
  <c r="B144" i="6"/>
  <c r="C144" i="6"/>
  <c r="D144" i="6"/>
  <c r="E144" i="6"/>
  <c r="I144" i="6" s="1"/>
  <c r="G144" i="6"/>
  <c r="H144" i="6"/>
  <c r="Q144" i="6" s="1"/>
  <c r="A145" i="6"/>
  <c r="B145" i="6"/>
  <c r="C145" i="6"/>
  <c r="D145" i="6"/>
  <c r="E145" i="6"/>
  <c r="G145" i="6"/>
  <c r="H145" i="6"/>
  <c r="O145" i="6" s="1"/>
  <c r="A146" i="6"/>
  <c r="B146" i="6"/>
  <c r="C146" i="6"/>
  <c r="D146" i="6"/>
  <c r="E146" i="6"/>
  <c r="G146" i="6"/>
  <c r="H146" i="6"/>
  <c r="O146" i="6" s="1"/>
  <c r="L146" i="6"/>
  <c r="Q146" i="6"/>
  <c r="A147" i="6"/>
  <c r="B147" i="6"/>
  <c r="C147" i="6"/>
  <c r="D147" i="6"/>
  <c r="E147" i="6"/>
  <c r="G147" i="6"/>
  <c r="H147" i="6"/>
  <c r="O147" i="6" s="1"/>
  <c r="A148" i="6"/>
  <c r="B148" i="6"/>
  <c r="C148" i="6"/>
  <c r="D148" i="6"/>
  <c r="E148" i="6"/>
  <c r="G148" i="6"/>
  <c r="H148" i="6"/>
  <c r="A149" i="6"/>
  <c r="B149" i="6"/>
  <c r="C149" i="6"/>
  <c r="D149" i="6"/>
  <c r="E149" i="6"/>
  <c r="G149" i="6"/>
  <c r="J149" i="6" s="1"/>
  <c r="H149" i="6"/>
  <c r="O149" i="6" s="1"/>
  <c r="A150" i="6"/>
  <c r="B150" i="6"/>
  <c r="C150" i="6"/>
  <c r="D150" i="6"/>
  <c r="E150" i="6"/>
  <c r="G150" i="6"/>
  <c r="M150" i="6" s="1"/>
  <c r="H150" i="6"/>
  <c r="O150" i="6" s="1"/>
  <c r="A151" i="6"/>
  <c r="B151" i="6"/>
  <c r="C151" i="6"/>
  <c r="D151" i="6"/>
  <c r="E151" i="6"/>
  <c r="G151" i="6"/>
  <c r="H151" i="6"/>
  <c r="Q151" i="6" s="1"/>
  <c r="A152" i="6"/>
  <c r="B152" i="6"/>
  <c r="C152" i="6"/>
  <c r="D152" i="6"/>
  <c r="E152" i="6"/>
  <c r="P152" i="6" s="1"/>
  <c r="G152" i="6"/>
  <c r="H152" i="6"/>
  <c r="A153" i="6"/>
  <c r="B153" i="6"/>
  <c r="C153" i="6"/>
  <c r="D153" i="6"/>
  <c r="E153" i="6"/>
  <c r="G153" i="6"/>
  <c r="H153" i="6"/>
  <c r="A154" i="6"/>
  <c r="B154" i="6"/>
  <c r="C154" i="6"/>
  <c r="D154" i="6"/>
  <c r="E154" i="6"/>
  <c r="G154" i="6"/>
  <c r="H154" i="6"/>
  <c r="A155" i="6"/>
  <c r="B155" i="6"/>
  <c r="C155" i="6"/>
  <c r="D155" i="6"/>
  <c r="E155" i="6"/>
  <c r="G155" i="6"/>
  <c r="H155" i="6"/>
  <c r="O155" i="6" s="1"/>
  <c r="L155" i="6"/>
  <c r="A156" i="6"/>
  <c r="B156" i="6"/>
  <c r="C156" i="6"/>
  <c r="D156" i="6"/>
  <c r="E156" i="6"/>
  <c r="G156" i="6"/>
  <c r="M156" i="6" s="1"/>
  <c r="H156" i="6"/>
  <c r="L156" i="6"/>
  <c r="A157" i="6"/>
  <c r="B157" i="6"/>
  <c r="C157" i="6"/>
  <c r="D157" i="6"/>
  <c r="E157" i="6"/>
  <c r="G157" i="6"/>
  <c r="H157" i="6"/>
  <c r="Q157" i="6" s="1"/>
  <c r="A158" i="6"/>
  <c r="B158" i="6"/>
  <c r="C158" i="6"/>
  <c r="D158" i="6"/>
  <c r="E158" i="6"/>
  <c r="P158" i="6" s="1"/>
  <c r="G158" i="6"/>
  <c r="H158" i="6"/>
  <c r="A159" i="6"/>
  <c r="B159" i="6"/>
  <c r="C159" i="6"/>
  <c r="D159" i="6"/>
  <c r="E159" i="6"/>
  <c r="N159" i="6" s="1"/>
  <c r="G159" i="6"/>
  <c r="H159" i="6"/>
  <c r="L159" i="6"/>
  <c r="A160" i="6"/>
  <c r="B160" i="6"/>
  <c r="C160" i="6"/>
  <c r="D160" i="6"/>
  <c r="E160" i="6"/>
  <c r="G160" i="6"/>
  <c r="H160" i="6"/>
  <c r="Q160" i="6" s="1"/>
  <c r="A161" i="6"/>
  <c r="B161" i="6"/>
  <c r="C161" i="6"/>
  <c r="D161" i="6"/>
  <c r="E161" i="6"/>
  <c r="G161" i="6"/>
  <c r="H161" i="6"/>
  <c r="A162" i="6"/>
  <c r="B162" i="6"/>
  <c r="C162" i="6"/>
  <c r="D162" i="6"/>
  <c r="E162" i="6"/>
  <c r="G162" i="6"/>
  <c r="H162" i="6"/>
  <c r="A163" i="6"/>
  <c r="B163" i="6"/>
  <c r="C163" i="6"/>
  <c r="D163" i="6"/>
  <c r="E163" i="6"/>
  <c r="G163" i="6"/>
  <c r="H163" i="6"/>
  <c r="Q163" i="6" s="1"/>
  <c r="A164" i="6"/>
  <c r="B164" i="6"/>
  <c r="C164" i="6"/>
  <c r="D164" i="6"/>
  <c r="E164" i="6"/>
  <c r="G164" i="6"/>
  <c r="J164" i="6" s="1"/>
  <c r="H164" i="6"/>
  <c r="O164" i="6" s="1"/>
  <c r="A165" i="6"/>
  <c r="B165" i="6"/>
  <c r="C165" i="6"/>
  <c r="D165" i="6"/>
  <c r="E165" i="6"/>
  <c r="G165" i="6"/>
  <c r="H165" i="6"/>
  <c r="A166" i="6"/>
  <c r="B166" i="6"/>
  <c r="C166" i="6"/>
  <c r="D166" i="6"/>
  <c r="E166" i="6"/>
  <c r="G166" i="6"/>
  <c r="I166" i="6" s="1"/>
  <c r="H166" i="6"/>
  <c r="Q166" i="6" s="1"/>
  <c r="A167" i="6"/>
  <c r="B167" i="6"/>
  <c r="C167" i="6"/>
  <c r="D167" i="6"/>
  <c r="E167" i="6"/>
  <c r="G167" i="6"/>
  <c r="H167" i="6"/>
  <c r="O167" i="6" s="1"/>
  <c r="L167" i="6"/>
  <c r="A168" i="6"/>
  <c r="B168" i="6"/>
  <c r="C168" i="6"/>
  <c r="D168" i="6"/>
  <c r="E168" i="6"/>
  <c r="N168" i="6" s="1"/>
  <c r="G168" i="6"/>
  <c r="M168" i="6" s="1"/>
  <c r="H168" i="6"/>
  <c r="Q168" i="6" s="1"/>
  <c r="L168" i="6"/>
  <c r="A169" i="6"/>
  <c r="B169" i="6"/>
  <c r="C169" i="6"/>
  <c r="D169" i="6"/>
  <c r="E169" i="6"/>
  <c r="G169" i="6"/>
  <c r="H169" i="6"/>
  <c r="A170" i="6"/>
  <c r="B170" i="6"/>
  <c r="C170" i="6"/>
  <c r="D170" i="6"/>
  <c r="E170" i="6"/>
  <c r="G170" i="6"/>
  <c r="H170" i="6"/>
  <c r="O170" i="6" s="1"/>
  <c r="L170" i="6"/>
  <c r="A171" i="6"/>
  <c r="B171" i="6"/>
  <c r="C171" i="6"/>
  <c r="D171" i="6"/>
  <c r="E171" i="6"/>
  <c r="G171" i="6"/>
  <c r="M171" i="6" s="1"/>
  <c r="H171" i="6"/>
  <c r="Q171" i="6" s="1"/>
  <c r="A172" i="6"/>
  <c r="B172" i="6"/>
  <c r="C172" i="6"/>
  <c r="D172" i="6"/>
  <c r="E172" i="6"/>
  <c r="G172" i="6"/>
  <c r="H172" i="6"/>
  <c r="O172" i="6" s="1"/>
  <c r="L172" i="6"/>
  <c r="A173" i="6"/>
  <c r="B173" i="6"/>
  <c r="C173" i="6"/>
  <c r="D173" i="6"/>
  <c r="E173" i="6"/>
  <c r="G173" i="6"/>
  <c r="H173" i="6"/>
  <c r="O173" i="6" s="1"/>
  <c r="A174" i="6"/>
  <c r="B174" i="6"/>
  <c r="C174" i="6"/>
  <c r="D174" i="6"/>
  <c r="E174" i="6"/>
  <c r="G174" i="6"/>
  <c r="H174" i="6"/>
  <c r="Q174" i="6" s="1"/>
  <c r="A175" i="6"/>
  <c r="B175" i="6"/>
  <c r="C175" i="6"/>
  <c r="D175" i="6"/>
  <c r="E175" i="6"/>
  <c r="G175" i="6"/>
  <c r="H175" i="6"/>
  <c r="A176" i="6"/>
  <c r="B176" i="6"/>
  <c r="C176" i="6"/>
  <c r="D176" i="6"/>
  <c r="E176" i="6"/>
  <c r="P176" i="6" s="1"/>
  <c r="G176" i="6"/>
  <c r="H176" i="6"/>
  <c r="A177" i="6"/>
  <c r="B177" i="6"/>
  <c r="C177" i="6"/>
  <c r="D177" i="6"/>
  <c r="E177" i="6"/>
  <c r="G177" i="6"/>
  <c r="H177" i="6"/>
  <c r="Q177" i="6" s="1"/>
  <c r="A178" i="6"/>
  <c r="B178" i="6"/>
  <c r="C178" i="6"/>
  <c r="D178" i="6"/>
  <c r="E178" i="6"/>
  <c r="G178" i="6"/>
  <c r="H178" i="6"/>
  <c r="Q178" i="6" s="1"/>
  <c r="I178" i="6"/>
  <c r="L178" i="6"/>
  <c r="A179" i="6"/>
  <c r="B179" i="6"/>
  <c r="C179" i="6"/>
  <c r="D179" i="6"/>
  <c r="E179" i="6"/>
  <c r="G179" i="6"/>
  <c r="H179" i="6"/>
  <c r="A180" i="6"/>
  <c r="B180" i="6"/>
  <c r="C180" i="6"/>
  <c r="D180" i="6"/>
  <c r="E180" i="6"/>
  <c r="G180" i="6"/>
  <c r="H180" i="6"/>
  <c r="Q180" i="6" s="1"/>
  <c r="A181" i="6"/>
  <c r="B181" i="6"/>
  <c r="C181" i="6"/>
  <c r="D181" i="6"/>
  <c r="E181" i="6"/>
  <c r="G181" i="6"/>
  <c r="H181" i="6"/>
  <c r="L181" i="6"/>
  <c r="A182" i="6"/>
  <c r="B182" i="6"/>
  <c r="C182" i="6"/>
  <c r="D182" i="6"/>
  <c r="E182" i="6"/>
  <c r="G182" i="6"/>
  <c r="H182" i="6"/>
  <c r="A183" i="6"/>
  <c r="B183" i="6"/>
  <c r="C183" i="6"/>
  <c r="D183" i="6"/>
  <c r="E183" i="6"/>
  <c r="G183" i="6"/>
  <c r="H183" i="6"/>
  <c r="O183" i="6" s="1"/>
  <c r="Q183" i="6"/>
  <c r="A184" i="6"/>
  <c r="B184" i="6"/>
  <c r="C184" i="6"/>
  <c r="D184" i="6"/>
  <c r="E184" i="6"/>
  <c r="G184" i="6"/>
  <c r="H184" i="6"/>
  <c r="L184" i="6"/>
  <c r="A185" i="6"/>
  <c r="B185" i="6"/>
  <c r="C185" i="6"/>
  <c r="D185" i="6"/>
  <c r="E185" i="6"/>
  <c r="G185" i="6"/>
  <c r="H185" i="6"/>
  <c r="L185" i="6"/>
  <c r="A186" i="6"/>
  <c r="B186" i="6"/>
  <c r="C186" i="6"/>
  <c r="D186" i="6"/>
  <c r="E186" i="6"/>
  <c r="N186" i="6" s="1"/>
  <c r="G186" i="6"/>
  <c r="M186" i="6" s="1"/>
  <c r="H186" i="6"/>
  <c r="O186" i="6" s="1"/>
  <c r="L186" i="6"/>
  <c r="A187" i="6"/>
  <c r="B187" i="6"/>
  <c r="C187" i="6"/>
  <c r="D187" i="6"/>
  <c r="E187" i="6"/>
  <c r="G187" i="6"/>
  <c r="H187" i="6"/>
  <c r="O187" i="6"/>
  <c r="A188" i="6"/>
  <c r="B188" i="6"/>
  <c r="C188" i="6"/>
  <c r="D188" i="6"/>
  <c r="E188" i="6"/>
  <c r="L188" i="6" s="1"/>
  <c r="G188" i="6"/>
  <c r="H188" i="6"/>
  <c r="O188" i="6" s="1"/>
  <c r="A189" i="6"/>
  <c r="B189" i="6"/>
  <c r="C189" i="6"/>
  <c r="D189" i="6"/>
  <c r="E189" i="6"/>
  <c r="N189" i="6" s="1"/>
  <c r="G189" i="6"/>
  <c r="M189" i="6" s="1"/>
  <c r="H189" i="6"/>
  <c r="O189" i="6" s="1"/>
  <c r="A190" i="6"/>
  <c r="B190" i="6"/>
  <c r="C190" i="6"/>
  <c r="D190" i="6"/>
  <c r="E190" i="6"/>
  <c r="G190" i="6"/>
  <c r="I190" i="6" s="1"/>
  <c r="H190" i="6"/>
  <c r="O190" i="6" s="1"/>
  <c r="A191" i="6"/>
  <c r="B191" i="6"/>
  <c r="C191" i="6"/>
  <c r="D191" i="6"/>
  <c r="E191" i="6"/>
  <c r="L191" i="6" s="1"/>
  <c r="G191" i="6"/>
  <c r="H191" i="6"/>
  <c r="O191" i="6" s="1"/>
  <c r="A192" i="6"/>
  <c r="B192" i="6"/>
  <c r="C192" i="6"/>
  <c r="D192" i="6"/>
  <c r="E192" i="6"/>
  <c r="G192" i="6"/>
  <c r="H192" i="6"/>
  <c r="O192" i="6" s="1"/>
  <c r="A193" i="6"/>
  <c r="B193" i="6"/>
  <c r="C193" i="6"/>
  <c r="D193" i="6"/>
  <c r="E193" i="6"/>
  <c r="G193" i="6"/>
  <c r="H193" i="6"/>
  <c r="O193" i="6"/>
  <c r="A194" i="6"/>
  <c r="B194" i="6"/>
  <c r="C194" i="6"/>
  <c r="D194" i="6"/>
  <c r="E194" i="6"/>
  <c r="G194" i="6"/>
  <c r="H194" i="6"/>
  <c r="A195" i="6"/>
  <c r="B195" i="6"/>
  <c r="C195" i="6"/>
  <c r="D195" i="6"/>
  <c r="E195" i="6"/>
  <c r="G195" i="6"/>
  <c r="H195" i="6"/>
  <c r="O195" i="6" s="1"/>
  <c r="A196" i="6"/>
  <c r="B196" i="6"/>
  <c r="C196" i="6"/>
  <c r="D196" i="6"/>
  <c r="E196" i="6"/>
  <c r="G196" i="6"/>
  <c r="H196" i="6"/>
  <c r="A197" i="6"/>
  <c r="B197" i="6"/>
  <c r="C197" i="6"/>
  <c r="D197" i="6"/>
  <c r="E197" i="6"/>
  <c r="G197" i="6"/>
  <c r="H197" i="6"/>
  <c r="O197" i="6" s="1"/>
  <c r="Q197" i="6"/>
  <c r="A198" i="6"/>
  <c r="B198" i="6"/>
  <c r="C198" i="6"/>
  <c r="D198" i="6"/>
  <c r="E198" i="6"/>
  <c r="G198" i="6"/>
  <c r="H198" i="6"/>
  <c r="O198" i="6" s="1"/>
  <c r="A199" i="6"/>
  <c r="B199" i="6"/>
  <c r="C199" i="6"/>
  <c r="D199" i="6"/>
  <c r="E199" i="6"/>
  <c r="G199" i="6"/>
  <c r="H199" i="6"/>
  <c r="A200" i="6"/>
  <c r="B200" i="6"/>
  <c r="C200" i="6"/>
  <c r="D200" i="6"/>
  <c r="E200" i="6"/>
  <c r="G200" i="6"/>
  <c r="J200" i="6" s="1"/>
  <c r="H200" i="6"/>
  <c r="A201" i="6"/>
  <c r="B201" i="6"/>
  <c r="C201" i="6"/>
  <c r="D201" i="6"/>
  <c r="E201" i="6"/>
  <c r="G201" i="6"/>
  <c r="H201" i="6"/>
  <c r="O201" i="6" s="1"/>
  <c r="A202" i="6"/>
  <c r="B202" i="6"/>
  <c r="C202" i="6"/>
  <c r="D202" i="6"/>
  <c r="E202" i="6"/>
  <c r="G202" i="6"/>
  <c r="H202" i="6"/>
  <c r="A203" i="6"/>
  <c r="B203" i="6"/>
  <c r="C203" i="6"/>
  <c r="D203" i="6"/>
  <c r="E203" i="6"/>
  <c r="J203" i="6" s="1"/>
  <c r="G203" i="6"/>
  <c r="H203" i="6"/>
  <c r="A204" i="6"/>
  <c r="B204" i="6"/>
  <c r="C204" i="6"/>
  <c r="D204" i="6"/>
  <c r="E204" i="6"/>
  <c r="M204" i="6" s="1"/>
  <c r="G204" i="6"/>
  <c r="H204" i="6"/>
  <c r="O204" i="6" s="1"/>
  <c r="A205" i="6"/>
  <c r="B205" i="6"/>
  <c r="C205" i="6"/>
  <c r="D205" i="6"/>
  <c r="E205" i="6"/>
  <c r="G205" i="6"/>
  <c r="H205" i="6"/>
  <c r="I205" i="6"/>
  <c r="A206" i="6"/>
  <c r="B206" i="6"/>
  <c r="C206" i="6"/>
  <c r="D206" i="6"/>
  <c r="E206" i="6"/>
  <c r="G206" i="6"/>
  <c r="H206" i="6"/>
  <c r="O206" i="6" s="1"/>
  <c r="Q206" i="6"/>
  <c r="A207" i="6"/>
  <c r="B207" i="6"/>
  <c r="C207" i="6"/>
  <c r="D207" i="6"/>
  <c r="E207" i="6"/>
  <c r="M207" i="6" s="1"/>
  <c r="G207" i="6"/>
  <c r="H207" i="6"/>
  <c r="O207" i="6" s="1"/>
  <c r="L207" i="6"/>
  <c r="A208" i="6"/>
  <c r="B208" i="6"/>
  <c r="C208" i="6"/>
  <c r="D208" i="6"/>
  <c r="E208" i="6"/>
  <c r="G208" i="6"/>
  <c r="H208" i="6"/>
  <c r="L208" i="6"/>
  <c r="A209" i="6"/>
  <c r="B209" i="6"/>
  <c r="C209" i="6"/>
  <c r="D209" i="6"/>
  <c r="E209" i="6"/>
  <c r="G209" i="6"/>
  <c r="H209" i="6"/>
  <c r="A210" i="6"/>
  <c r="B210" i="6"/>
  <c r="C210" i="6"/>
  <c r="D210" i="6"/>
  <c r="E210" i="6"/>
  <c r="G210" i="6"/>
  <c r="H210" i="6"/>
  <c r="O210" i="6" s="1"/>
  <c r="A211" i="6"/>
  <c r="B211" i="6"/>
  <c r="C211" i="6"/>
  <c r="D211" i="6"/>
  <c r="E211" i="6"/>
  <c r="G211" i="6"/>
  <c r="J211" i="6" s="1"/>
  <c r="H211" i="6"/>
  <c r="A212" i="6"/>
  <c r="B212" i="6"/>
  <c r="C212" i="6"/>
  <c r="D212" i="6"/>
  <c r="E212" i="6"/>
  <c r="P212" i="6" s="1"/>
  <c r="G212" i="6"/>
  <c r="H212" i="6"/>
  <c r="A213" i="6"/>
  <c r="B213" i="6"/>
  <c r="C213" i="6"/>
  <c r="D213" i="6"/>
  <c r="E213" i="6"/>
  <c r="M213" i="6" s="1"/>
  <c r="G213" i="6"/>
  <c r="H213" i="6"/>
  <c r="O213" i="6" s="1"/>
  <c r="A214" i="6"/>
  <c r="B214" i="6"/>
  <c r="C214" i="6"/>
  <c r="D214" i="6"/>
  <c r="E214" i="6"/>
  <c r="G214" i="6"/>
  <c r="H214" i="6"/>
  <c r="O214" i="6" s="1"/>
  <c r="A215" i="6"/>
  <c r="B215" i="6"/>
  <c r="C215" i="6"/>
  <c r="D215" i="6"/>
  <c r="E215" i="6"/>
  <c r="G215" i="6"/>
  <c r="H215" i="6"/>
  <c r="Q215" i="6" s="1"/>
  <c r="K215" i="6"/>
  <c r="A216" i="6"/>
  <c r="B216" i="6"/>
  <c r="C216" i="6"/>
  <c r="D216" i="6"/>
  <c r="E216" i="6"/>
  <c r="G216" i="6"/>
  <c r="H216" i="6"/>
  <c r="O216" i="6" s="1"/>
  <c r="A217" i="6"/>
  <c r="B217" i="6"/>
  <c r="C217" i="6"/>
  <c r="D217" i="6"/>
  <c r="E217" i="6"/>
  <c r="G217" i="6"/>
  <c r="J217" i="6" s="1"/>
  <c r="H217" i="6"/>
  <c r="O217" i="6"/>
  <c r="G2" i="6"/>
  <c r="E2" i="6"/>
  <c r="I2" i="6" s="1"/>
  <c r="C2" i="6"/>
  <c r="H2" i="6"/>
  <c r="D2" i="6"/>
  <c r="B2" i="6"/>
  <c r="A2" i="6"/>
  <c r="P199" i="6" l="1"/>
  <c r="M199" i="6"/>
  <c r="N199" i="6"/>
  <c r="P147" i="6"/>
  <c r="M147" i="6"/>
  <c r="N147" i="6"/>
  <c r="N145" i="6"/>
  <c r="P145" i="6"/>
  <c r="M145" i="6"/>
  <c r="N127" i="6"/>
  <c r="P127" i="6"/>
  <c r="M127" i="6"/>
  <c r="J215" i="6"/>
  <c r="P215" i="6"/>
  <c r="M215" i="6"/>
  <c r="N215" i="6"/>
  <c r="K205" i="6"/>
  <c r="P205" i="6"/>
  <c r="M205" i="6"/>
  <c r="N205" i="6"/>
  <c r="P197" i="6"/>
  <c r="M197" i="6"/>
  <c r="N197" i="6"/>
  <c r="P217" i="6"/>
  <c r="M217" i="6"/>
  <c r="N217" i="6"/>
  <c r="L215" i="6"/>
  <c r="I214" i="6"/>
  <c r="P214" i="6"/>
  <c r="M214" i="6"/>
  <c r="N214" i="6"/>
  <c r="P210" i="6"/>
  <c r="N210" i="6"/>
  <c r="P195" i="6"/>
  <c r="N195" i="6"/>
  <c r="P192" i="6"/>
  <c r="N192" i="6"/>
  <c r="P190" i="6"/>
  <c r="M190" i="6"/>
  <c r="N190" i="6"/>
  <c r="P180" i="6"/>
  <c r="N180" i="6"/>
  <c r="P177" i="6"/>
  <c r="J177" i="6"/>
  <c r="N177" i="6"/>
  <c r="I172" i="6"/>
  <c r="P172" i="6"/>
  <c r="M172" i="6"/>
  <c r="N172" i="6"/>
  <c r="L165" i="6"/>
  <c r="P165" i="6"/>
  <c r="N165" i="6"/>
  <c r="P157" i="6"/>
  <c r="M157" i="6"/>
  <c r="N157" i="6"/>
  <c r="L153" i="6"/>
  <c r="P153" i="6"/>
  <c r="N153" i="6"/>
  <c r="J137" i="6"/>
  <c r="M137" i="6"/>
  <c r="P137" i="6"/>
  <c r="N137" i="6"/>
  <c r="M128" i="6"/>
  <c r="N128" i="6"/>
  <c r="J128" i="6"/>
  <c r="P128" i="6"/>
  <c r="L128" i="6"/>
  <c r="J123" i="6"/>
  <c r="P123" i="6"/>
  <c r="M123" i="6"/>
  <c r="N123" i="6"/>
  <c r="M89" i="6"/>
  <c r="P89" i="6"/>
  <c r="N89" i="6"/>
  <c r="J89" i="6"/>
  <c r="O44" i="6"/>
  <c r="Q44" i="6"/>
  <c r="M195" i="6"/>
  <c r="M177" i="6"/>
  <c r="P183" i="6"/>
  <c r="N183" i="6"/>
  <c r="N12" i="6"/>
  <c r="P12" i="6"/>
  <c r="L12" i="6"/>
  <c r="M12" i="6"/>
  <c r="L217" i="6"/>
  <c r="M206" i="6"/>
  <c r="P206" i="6"/>
  <c r="N206" i="6"/>
  <c r="P202" i="6"/>
  <c r="M202" i="6"/>
  <c r="N202" i="6"/>
  <c r="P198" i="6"/>
  <c r="N198" i="6"/>
  <c r="J194" i="6"/>
  <c r="P194" i="6"/>
  <c r="M194" i="6"/>
  <c r="N194" i="6"/>
  <c r="J182" i="6"/>
  <c r="M182" i="6"/>
  <c r="L182" i="6"/>
  <c r="N182" i="6"/>
  <c r="P182" i="6"/>
  <c r="P175" i="6"/>
  <c r="M175" i="6"/>
  <c r="N175" i="6"/>
  <c r="N171" i="6"/>
  <c r="J166" i="6"/>
  <c r="L160" i="6"/>
  <c r="P160" i="6"/>
  <c r="M160" i="6"/>
  <c r="N160" i="6"/>
  <c r="N156" i="6"/>
  <c r="K149" i="6"/>
  <c r="J141" i="6"/>
  <c r="P141" i="6"/>
  <c r="M141" i="6"/>
  <c r="N141" i="6"/>
  <c r="Q134" i="6"/>
  <c r="O134" i="6"/>
  <c r="M131" i="6"/>
  <c r="P131" i="6"/>
  <c r="N131" i="6"/>
  <c r="M83" i="6"/>
  <c r="P83" i="6"/>
  <c r="N83" i="6"/>
  <c r="P78" i="6"/>
  <c r="M78" i="6"/>
  <c r="N78" i="6"/>
  <c r="J64" i="6"/>
  <c r="N64" i="6"/>
  <c r="P64" i="6"/>
  <c r="M64" i="6"/>
  <c r="K49" i="6"/>
  <c r="N49" i="6"/>
  <c r="P49" i="6"/>
  <c r="M49" i="6"/>
  <c r="M153" i="6"/>
  <c r="P45" i="6"/>
  <c r="M45" i="6"/>
  <c r="N45" i="6"/>
  <c r="Q7" i="6"/>
  <c r="O7" i="6"/>
  <c r="P5" i="6"/>
  <c r="M5" i="6"/>
  <c r="N5" i="6"/>
  <c r="P213" i="6"/>
  <c r="N213" i="6"/>
  <c r="I217" i="6"/>
  <c r="J212" i="6"/>
  <c r="M212" i="6"/>
  <c r="N212" i="6"/>
  <c r="P208" i="6"/>
  <c r="M208" i="6"/>
  <c r="N208" i="6"/>
  <c r="P201" i="6"/>
  <c r="N201" i="6"/>
  <c r="Q192" i="6"/>
  <c r="P191" i="6"/>
  <c r="M191" i="6"/>
  <c r="N191" i="6"/>
  <c r="P188" i="6"/>
  <c r="M188" i="6"/>
  <c r="N188" i="6"/>
  <c r="J185" i="6"/>
  <c r="P185" i="6"/>
  <c r="M185" i="6"/>
  <c r="K185" i="6"/>
  <c r="N185" i="6"/>
  <c r="J180" i="6"/>
  <c r="L177" i="6"/>
  <c r="N174" i="6"/>
  <c r="P167" i="6"/>
  <c r="M167" i="6"/>
  <c r="J167" i="6"/>
  <c r="N167" i="6"/>
  <c r="L164" i="6"/>
  <c r="P164" i="6"/>
  <c r="M164" i="6"/>
  <c r="N164" i="6"/>
  <c r="L145" i="6"/>
  <c r="L144" i="6"/>
  <c r="P144" i="6"/>
  <c r="M144" i="6"/>
  <c r="N144" i="6"/>
  <c r="K144" i="6"/>
  <c r="L135" i="6"/>
  <c r="P135" i="6"/>
  <c r="M135" i="6"/>
  <c r="N135" i="6"/>
  <c r="L130" i="6"/>
  <c r="N130" i="6"/>
  <c r="P130" i="6"/>
  <c r="M130" i="6"/>
  <c r="J130" i="6"/>
  <c r="P120" i="6"/>
  <c r="M120" i="6"/>
  <c r="N120" i="6"/>
  <c r="L120" i="6"/>
  <c r="M104" i="6"/>
  <c r="N104" i="6"/>
  <c r="J104" i="6"/>
  <c r="L104" i="6"/>
  <c r="M92" i="6"/>
  <c r="N92" i="6"/>
  <c r="P92" i="6"/>
  <c r="N52" i="6"/>
  <c r="P52" i="6"/>
  <c r="I52" i="6"/>
  <c r="Q10" i="6"/>
  <c r="O10" i="6"/>
  <c r="M52" i="6"/>
  <c r="P104" i="6"/>
  <c r="P216" i="6"/>
  <c r="N216" i="6"/>
  <c r="P179" i="6"/>
  <c r="M179" i="6"/>
  <c r="N179" i="6"/>
  <c r="P114" i="6"/>
  <c r="M114" i="6"/>
  <c r="N114" i="6"/>
  <c r="M101" i="6"/>
  <c r="P101" i="6"/>
  <c r="N101" i="6"/>
  <c r="L199" i="6"/>
  <c r="P193" i="6"/>
  <c r="M193" i="6"/>
  <c r="N193" i="6"/>
  <c r="P181" i="6"/>
  <c r="M181" i="6"/>
  <c r="N181" i="6"/>
  <c r="L173" i="6"/>
  <c r="P173" i="6"/>
  <c r="M173" i="6"/>
  <c r="N173" i="6"/>
  <c r="M170" i="6"/>
  <c r="J170" i="6"/>
  <c r="P170" i="6"/>
  <c r="N170" i="6"/>
  <c r="O161" i="6"/>
  <c r="Q161" i="6"/>
  <c r="I146" i="6"/>
  <c r="M146" i="6"/>
  <c r="N146" i="6"/>
  <c r="P146" i="6"/>
  <c r="I145" i="6"/>
  <c r="M134" i="6"/>
  <c r="N134" i="6"/>
  <c r="P134" i="6"/>
  <c r="N112" i="6"/>
  <c r="P112" i="6"/>
  <c r="M112" i="6"/>
  <c r="I112" i="6"/>
  <c r="J112" i="6"/>
  <c r="K112" i="6"/>
  <c r="M95" i="6"/>
  <c r="P95" i="6"/>
  <c r="N95" i="6"/>
  <c r="K86" i="6"/>
  <c r="M86" i="6"/>
  <c r="N86" i="6"/>
  <c r="P86" i="6"/>
  <c r="J86" i="6"/>
  <c r="L86" i="6"/>
  <c r="O75" i="6"/>
  <c r="Q75" i="6"/>
  <c r="M71" i="6"/>
  <c r="P71" i="6"/>
  <c r="N71" i="6"/>
  <c r="L67" i="6"/>
  <c r="N67" i="6"/>
  <c r="P67" i="6"/>
  <c r="M67" i="6"/>
  <c r="P35" i="6"/>
  <c r="M35" i="6"/>
  <c r="N35" i="6"/>
  <c r="Q218" i="6"/>
  <c r="O218" i="6"/>
  <c r="M201" i="6"/>
  <c r="M183" i="6"/>
  <c r="M165" i="6"/>
  <c r="L209" i="6"/>
  <c r="P209" i="6"/>
  <c r="M209" i="6"/>
  <c r="N209" i="6"/>
  <c r="P203" i="6"/>
  <c r="M203" i="6"/>
  <c r="N203" i="6"/>
  <c r="L176" i="6"/>
  <c r="M176" i="6"/>
  <c r="N176" i="6"/>
  <c r="O109" i="6"/>
  <c r="Q109" i="6"/>
  <c r="L2" i="6"/>
  <c r="P2" i="6"/>
  <c r="M2" i="6"/>
  <c r="N2" i="6"/>
  <c r="L213" i="6"/>
  <c r="P211" i="6"/>
  <c r="M211" i="6"/>
  <c r="N211" i="6"/>
  <c r="P207" i="6"/>
  <c r="N207" i="6"/>
  <c r="J206" i="6"/>
  <c r="P204" i="6"/>
  <c r="N204" i="6"/>
  <c r="P200" i="6"/>
  <c r="M200" i="6"/>
  <c r="N200" i="6"/>
  <c r="I196" i="6"/>
  <c r="P196" i="6"/>
  <c r="M196" i="6"/>
  <c r="N196" i="6"/>
  <c r="K194" i="6"/>
  <c r="Q191" i="6"/>
  <c r="P187" i="6"/>
  <c r="M187" i="6"/>
  <c r="N187" i="6"/>
  <c r="P184" i="6"/>
  <c r="M184" i="6"/>
  <c r="N184" i="6"/>
  <c r="O179" i="6"/>
  <c r="Q179" i="6"/>
  <c r="K172" i="6"/>
  <c r="O171" i="6"/>
  <c r="L169" i="6"/>
  <c r="P169" i="6"/>
  <c r="M169" i="6"/>
  <c r="N169" i="6"/>
  <c r="K164" i="6"/>
  <c r="P162" i="6"/>
  <c r="N162" i="6"/>
  <c r="J160" i="6"/>
  <c r="P154" i="6"/>
  <c r="M154" i="6"/>
  <c r="N154" i="6"/>
  <c r="N149" i="6"/>
  <c r="K141" i="6"/>
  <c r="N133" i="6"/>
  <c r="P133" i="6"/>
  <c r="M133" i="6"/>
  <c r="M107" i="6"/>
  <c r="P107" i="6"/>
  <c r="N107" i="6"/>
  <c r="J107" i="6"/>
  <c r="M98" i="6"/>
  <c r="N98" i="6"/>
  <c r="P98" i="6"/>
  <c r="K38" i="6"/>
  <c r="M38" i="6"/>
  <c r="N38" i="6"/>
  <c r="P38" i="6"/>
  <c r="P22" i="6"/>
  <c r="M22" i="6"/>
  <c r="N22" i="6"/>
  <c r="L22" i="6"/>
  <c r="M216" i="6"/>
  <c r="M198" i="6"/>
  <c r="M180" i="6"/>
  <c r="M162" i="6"/>
  <c r="P161" i="6"/>
  <c r="J155" i="6"/>
  <c r="P155" i="6"/>
  <c r="P150" i="6"/>
  <c r="N142" i="6"/>
  <c r="P142" i="6"/>
  <c r="P138" i="6"/>
  <c r="M138" i="6"/>
  <c r="N138" i="6"/>
  <c r="N124" i="6"/>
  <c r="P124" i="6"/>
  <c r="K109" i="6"/>
  <c r="P102" i="6"/>
  <c r="M102" i="6"/>
  <c r="N102" i="6"/>
  <c r="P99" i="6"/>
  <c r="M99" i="6"/>
  <c r="N99" i="6"/>
  <c r="O97" i="6"/>
  <c r="P96" i="6"/>
  <c r="M96" i="6"/>
  <c r="N96" i="6"/>
  <c r="P93" i="6"/>
  <c r="M93" i="6"/>
  <c r="N93" i="6"/>
  <c r="P84" i="6"/>
  <c r="M84" i="6"/>
  <c r="N84" i="6"/>
  <c r="J79" i="6"/>
  <c r="N79" i="6"/>
  <c r="P79" i="6"/>
  <c r="P72" i="6"/>
  <c r="M72" i="6"/>
  <c r="N72" i="6"/>
  <c r="K68" i="6"/>
  <c r="M68" i="6"/>
  <c r="N68" i="6"/>
  <c r="M65" i="6"/>
  <c r="P65" i="6"/>
  <c r="N65" i="6"/>
  <c r="M56" i="6"/>
  <c r="N56" i="6"/>
  <c r="L55" i="6"/>
  <c r="L50" i="6"/>
  <c r="M50" i="6"/>
  <c r="N50" i="6"/>
  <c r="I46" i="6"/>
  <c r="N46" i="6"/>
  <c r="P46" i="6"/>
  <c r="N42" i="6"/>
  <c r="P42" i="6"/>
  <c r="O37" i="6"/>
  <c r="N36" i="6"/>
  <c r="P36" i="6"/>
  <c r="M26" i="6"/>
  <c r="N26" i="6"/>
  <c r="M8" i="6"/>
  <c r="N8" i="6"/>
  <c r="O4" i="6"/>
  <c r="P3" i="6"/>
  <c r="N3" i="6"/>
  <c r="N150" i="6"/>
  <c r="M36" i="6"/>
  <c r="P218" i="6"/>
  <c r="M119" i="6"/>
  <c r="P119" i="6"/>
  <c r="N119" i="6"/>
  <c r="P117" i="6"/>
  <c r="M117" i="6"/>
  <c r="N117" i="6"/>
  <c r="M113" i="6"/>
  <c r="P113" i="6"/>
  <c r="N113" i="6"/>
  <c r="L111" i="6"/>
  <c r="P111" i="6"/>
  <c r="M111" i="6"/>
  <c r="N111" i="6"/>
  <c r="N106" i="6"/>
  <c r="P106" i="6"/>
  <c r="L88" i="6"/>
  <c r="N88" i="6"/>
  <c r="P88" i="6"/>
  <c r="N82" i="6"/>
  <c r="P82" i="6"/>
  <c r="N70" i="6"/>
  <c r="P70" i="6"/>
  <c r="P63" i="6"/>
  <c r="M63" i="6"/>
  <c r="N63" i="6"/>
  <c r="N58" i="6"/>
  <c r="P58" i="6"/>
  <c r="P41" i="6"/>
  <c r="M41" i="6"/>
  <c r="N41" i="6"/>
  <c r="I34" i="6"/>
  <c r="P34" i="6"/>
  <c r="M34" i="6"/>
  <c r="N34" i="6"/>
  <c r="M31" i="6"/>
  <c r="N31" i="6"/>
  <c r="P31" i="6"/>
  <c r="P28" i="6"/>
  <c r="M28" i="6"/>
  <c r="N28" i="6"/>
  <c r="M25" i="6"/>
  <c r="N25" i="6"/>
  <c r="P25" i="6"/>
  <c r="L21" i="6"/>
  <c r="P21" i="6"/>
  <c r="N21" i="6"/>
  <c r="J19" i="6"/>
  <c r="M19" i="6"/>
  <c r="N19" i="6"/>
  <c r="P19" i="6"/>
  <c r="K16" i="6"/>
  <c r="P16" i="6"/>
  <c r="M16" i="6"/>
  <c r="N16" i="6"/>
  <c r="N161" i="6"/>
  <c r="N158" i="6"/>
  <c r="N155" i="6"/>
  <c r="N152" i="6"/>
  <c r="P26" i="6"/>
  <c r="P189" i="6"/>
  <c r="P186" i="6"/>
  <c r="P178" i="6"/>
  <c r="P174" i="6"/>
  <c r="P171" i="6"/>
  <c r="P168" i="6"/>
  <c r="P166" i="6"/>
  <c r="J165" i="6"/>
  <c r="Q164" i="6"/>
  <c r="I163" i="6"/>
  <c r="P163" i="6"/>
  <c r="J158" i="6"/>
  <c r="J156" i="6"/>
  <c r="P156" i="6"/>
  <c r="K155" i="6"/>
  <c r="L150" i="6"/>
  <c r="P149" i="6"/>
  <c r="L142" i="6"/>
  <c r="I140" i="6"/>
  <c r="M140" i="6"/>
  <c r="N140" i="6"/>
  <c r="Q138" i="6"/>
  <c r="N136" i="6"/>
  <c r="P136" i="6"/>
  <c r="I128" i="6"/>
  <c r="P126" i="6"/>
  <c r="M126" i="6"/>
  <c r="N126" i="6"/>
  <c r="M122" i="6"/>
  <c r="N122" i="6"/>
  <c r="N109" i="6"/>
  <c r="P109" i="6"/>
  <c r="Q107" i="6"/>
  <c r="L105" i="6"/>
  <c r="P105" i="6"/>
  <c r="M105" i="6"/>
  <c r="N105" i="6"/>
  <c r="N103" i="6"/>
  <c r="P103" i="6"/>
  <c r="N91" i="6"/>
  <c r="P91" i="6"/>
  <c r="Q89" i="6"/>
  <c r="L87" i="6"/>
  <c r="P87" i="6"/>
  <c r="M87" i="6"/>
  <c r="N87" i="6"/>
  <c r="P81" i="6"/>
  <c r="M81" i="6"/>
  <c r="N81" i="6"/>
  <c r="P75" i="6"/>
  <c r="M75" i="6"/>
  <c r="N75" i="6"/>
  <c r="I69" i="6"/>
  <c r="O65" i="6"/>
  <c r="O52" i="6"/>
  <c r="P51" i="6"/>
  <c r="M51" i="6"/>
  <c r="N51" i="6"/>
  <c r="P48" i="6"/>
  <c r="M48" i="6"/>
  <c r="N48" i="6"/>
  <c r="M44" i="6"/>
  <c r="N44" i="6"/>
  <c r="P33" i="6"/>
  <c r="N33" i="6"/>
  <c r="L30" i="6"/>
  <c r="N30" i="6"/>
  <c r="P30" i="6"/>
  <c r="P27" i="6"/>
  <c r="N27" i="6"/>
  <c r="N24" i="6"/>
  <c r="P24" i="6"/>
  <c r="L18" i="6"/>
  <c r="N18" i="6"/>
  <c r="P18" i="6"/>
  <c r="P15" i="6"/>
  <c r="N15" i="6"/>
  <c r="K14" i="6"/>
  <c r="J10" i="6"/>
  <c r="P10" i="6"/>
  <c r="M10" i="6"/>
  <c r="N10" i="6"/>
  <c r="M7" i="6"/>
  <c r="N7" i="6"/>
  <c r="P7" i="6"/>
  <c r="M161" i="6"/>
  <c r="M158" i="6"/>
  <c r="M155" i="6"/>
  <c r="M152" i="6"/>
  <c r="M149" i="6"/>
  <c r="M136" i="6"/>
  <c r="M82" i="6"/>
  <c r="M46" i="6"/>
  <c r="M27" i="6"/>
  <c r="P56" i="6"/>
  <c r="P159" i="6"/>
  <c r="P151" i="6"/>
  <c r="P148" i="6"/>
  <c r="M143" i="6"/>
  <c r="P143" i="6"/>
  <c r="N143" i="6"/>
  <c r="N139" i="6"/>
  <c r="P139" i="6"/>
  <c r="P132" i="6"/>
  <c r="M132" i="6"/>
  <c r="N132" i="6"/>
  <c r="L129" i="6"/>
  <c r="P129" i="6"/>
  <c r="M129" i="6"/>
  <c r="N129" i="6"/>
  <c r="L121" i="6"/>
  <c r="N121" i="6"/>
  <c r="P121" i="6"/>
  <c r="N118" i="6"/>
  <c r="P118" i="6"/>
  <c r="M116" i="6"/>
  <c r="N116" i="6"/>
  <c r="O114" i="6"/>
  <c r="M110" i="6"/>
  <c r="N110" i="6"/>
  <c r="P108" i="6"/>
  <c r="M108" i="6"/>
  <c r="N108" i="6"/>
  <c r="N100" i="6"/>
  <c r="P100" i="6"/>
  <c r="P90" i="6"/>
  <c r="M90" i="6"/>
  <c r="N90" i="6"/>
  <c r="N85" i="6"/>
  <c r="P85" i="6"/>
  <c r="M77" i="6"/>
  <c r="P77" i="6"/>
  <c r="N77" i="6"/>
  <c r="M74" i="6"/>
  <c r="N74" i="6"/>
  <c r="P69" i="6"/>
  <c r="M69" i="6"/>
  <c r="N69" i="6"/>
  <c r="P66" i="6"/>
  <c r="M66" i="6"/>
  <c r="N66" i="6"/>
  <c r="M62" i="6"/>
  <c r="N62" i="6"/>
  <c r="O60" i="6"/>
  <c r="I60" i="6"/>
  <c r="P60" i="6"/>
  <c r="M60" i="6"/>
  <c r="N60" i="6"/>
  <c r="P57" i="6"/>
  <c r="M57" i="6"/>
  <c r="N57" i="6"/>
  <c r="K55" i="6"/>
  <c r="N55" i="6"/>
  <c r="P55" i="6"/>
  <c r="O53" i="6"/>
  <c r="M53" i="6"/>
  <c r="P53" i="6"/>
  <c r="N53" i="6"/>
  <c r="P40" i="6"/>
  <c r="M40" i="6"/>
  <c r="N40" i="6"/>
  <c r="M37" i="6"/>
  <c r="N37" i="6"/>
  <c r="P37" i="6"/>
  <c r="L31" i="6"/>
  <c r="O31" i="6"/>
  <c r="P23" i="6"/>
  <c r="M23" i="6"/>
  <c r="N23" i="6"/>
  <c r="L14" i="6"/>
  <c r="M14" i="6"/>
  <c r="N14" i="6"/>
  <c r="L9" i="6"/>
  <c r="P9" i="6"/>
  <c r="N9" i="6"/>
  <c r="L6" i="6"/>
  <c r="N6" i="6"/>
  <c r="P6" i="6"/>
  <c r="P4" i="6"/>
  <c r="M4" i="6"/>
  <c r="N4" i="6"/>
  <c r="N178" i="6"/>
  <c r="N166" i="6"/>
  <c r="N163" i="6"/>
  <c r="N151" i="6"/>
  <c r="N148" i="6"/>
  <c r="M79" i="6"/>
  <c r="M42" i="6"/>
  <c r="M24" i="6"/>
  <c r="M6" i="6"/>
  <c r="P122" i="6"/>
  <c r="P50" i="6"/>
  <c r="P14" i="6"/>
  <c r="M125" i="6"/>
  <c r="P125" i="6"/>
  <c r="N125" i="6"/>
  <c r="L117" i="6"/>
  <c r="N115" i="6"/>
  <c r="P115" i="6"/>
  <c r="J109" i="6"/>
  <c r="N97" i="6"/>
  <c r="P97" i="6"/>
  <c r="N94" i="6"/>
  <c r="P94" i="6"/>
  <c r="L80" i="6"/>
  <c r="M80" i="6"/>
  <c r="N80" i="6"/>
  <c r="N76" i="6"/>
  <c r="P76" i="6"/>
  <c r="L73" i="6"/>
  <c r="N73" i="6"/>
  <c r="P73" i="6"/>
  <c r="I61" i="6"/>
  <c r="N61" i="6"/>
  <c r="P61" i="6"/>
  <c r="L60" i="6"/>
  <c r="M59" i="6"/>
  <c r="P59" i="6"/>
  <c r="N59" i="6"/>
  <c r="L58" i="6"/>
  <c r="Q55" i="6"/>
  <c r="P54" i="6"/>
  <c r="M54" i="6"/>
  <c r="N54" i="6"/>
  <c r="L53" i="6"/>
  <c r="M47" i="6"/>
  <c r="P47" i="6"/>
  <c r="N47" i="6"/>
  <c r="M43" i="6"/>
  <c r="N43" i="6"/>
  <c r="P43" i="6"/>
  <c r="Q41" i="6"/>
  <c r="L39" i="6"/>
  <c r="P39" i="6"/>
  <c r="N39" i="6"/>
  <c r="M32" i="6"/>
  <c r="N32" i="6"/>
  <c r="J31" i="6"/>
  <c r="L29" i="6"/>
  <c r="P29" i="6"/>
  <c r="M29" i="6"/>
  <c r="N29" i="6"/>
  <c r="I28" i="6"/>
  <c r="L25" i="6"/>
  <c r="K20" i="6"/>
  <c r="M20" i="6"/>
  <c r="N20" i="6"/>
  <c r="L19" i="6"/>
  <c r="L17" i="6"/>
  <c r="P17" i="6"/>
  <c r="M17" i="6"/>
  <c r="N17" i="6"/>
  <c r="I16" i="6"/>
  <c r="M13" i="6"/>
  <c r="N13" i="6"/>
  <c r="P13" i="6"/>
  <c r="P11" i="6"/>
  <c r="M11" i="6"/>
  <c r="N11" i="6"/>
  <c r="L10" i="6"/>
  <c r="M178" i="6"/>
  <c r="M166" i="6"/>
  <c r="M163" i="6"/>
  <c r="M151" i="6"/>
  <c r="M148" i="6"/>
  <c r="M94" i="6"/>
  <c r="M76" i="6"/>
  <c r="M58" i="6"/>
  <c r="M39" i="6"/>
  <c r="M21" i="6"/>
  <c r="P116" i="6"/>
  <c r="P80" i="6"/>
  <c r="P44" i="6"/>
  <c r="P8" i="6"/>
  <c r="L138" i="6"/>
  <c r="J138" i="6"/>
  <c r="K138" i="6"/>
  <c r="O194" i="6"/>
  <c r="Q194" i="6"/>
  <c r="K191" i="6"/>
  <c r="J187" i="6"/>
  <c r="I187" i="6"/>
  <c r="L187" i="6"/>
  <c r="J76" i="6"/>
  <c r="K76" i="6"/>
  <c r="L76" i="6"/>
  <c r="O2" i="6"/>
  <c r="O208" i="6"/>
  <c r="K217" i="6"/>
  <c r="I211" i="6"/>
  <c r="O175" i="6"/>
  <c r="Q175" i="6"/>
  <c r="O158" i="6"/>
  <c r="Q158" i="6"/>
  <c r="J2" i="6"/>
  <c r="O212" i="6"/>
  <c r="Q212" i="6"/>
  <c r="K208" i="6"/>
  <c r="I208" i="6"/>
  <c r="J208" i="6"/>
  <c r="O205" i="6"/>
  <c r="J191" i="6"/>
  <c r="J190" i="6"/>
  <c r="L190" i="6"/>
  <c r="J188" i="6"/>
  <c r="J116" i="6"/>
  <c r="L116" i="6"/>
  <c r="J193" i="6"/>
  <c r="O182" i="6"/>
  <c r="Q182" i="6"/>
  <c r="J157" i="6"/>
  <c r="I148" i="6"/>
  <c r="K74" i="6"/>
  <c r="I74" i="6"/>
  <c r="O211" i="6"/>
  <c r="J209" i="6"/>
  <c r="K209" i="6"/>
  <c r="I191" i="6"/>
  <c r="O126" i="6"/>
  <c r="Q126" i="6"/>
  <c r="I117" i="6"/>
  <c r="J114" i="6"/>
  <c r="L114" i="6"/>
  <c r="Q96" i="6"/>
  <c r="O96" i="6"/>
  <c r="O185" i="6"/>
  <c r="Q185" i="6"/>
  <c r="O141" i="6"/>
  <c r="Q141" i="6"/>
  <c r="O215" i="6"/>
  <c r="K197" i="6"/>
  <c r="O113" i="6"/>
  <c r="O200" i="6"/>
  <c r="Q200" i="6"/>
  <c r="I193" i="6"/>
  <c r="O176" i="6"/>
  <c r="Q176" i="6"/>
  <c r="L171" i="6"/>
  <c r="L127" i="6"/>
  <c r="L103" i="6"/>
  <c r="O209" i="6"/>
  <c r="Q209" i="6"/>
  <c r="O169" i="6"/>
  <c r="J47" i="6"/>
  <c r="L47" i="6"/>
  <c r="K214" i="6"/>
  <c r="K212" i="6"/>
  <c r="I202" i="6"/>
  <c r="I199" i="6"/>
  <c r="Q154" i="6"/>
  <c r="J151" i="6"/>
  <c r="L151" i="6"/>
  <c r="J214" i="6"/>
  <c r="L212" i="6"/>
  <c r="O203" i="6"/>
  <c r="Q203" i="6"/>
  <c r="K2" i="6"/>
  <c r="Q2" i="6"/>
  <c r="K206" i="6"/>
  <c r="J202" i="6"/>
  <c r="J197" i="6"/>
  <c r="K188" i="6"/>
  <c r="Q172" i="6"/>
  <c r="O152" i="6"/>
  <c r="Q152" i="6"/>
  <c r="Q106" i="6"/>
  <c r="O106" i="6"/>
  <c r="I100" i="6"/>
  <c r="K100" i="6"/>
  <c r="O196" i="6"/>
  <c r="I194" i="6"/>
  <c r="Q189" i="6"/>
  <c r="Q186" i="6"/>
  <c r="I185" i="6"/>
  <c r="I182" i="6"/>
  <c r="I175" i="6"/>
  <c r="K173" i="6"/>
  <c r="Q170" i="6"/>
  <c r="I170" i="6"/>
  <c r="J127" i="6"/>
  <c r="O120" i="6"/>
  <c r="Q111" i="6"/>
  <c r="I107" i="6"/>
  <c r="I99" i="6"/>
  <c r="L99" i="6"/>
  <c r="O98" i="6"/>
  <c r="Q98" i="6"/>
  <c r="O61" i="6"/>
  <c r="Q61" i="6"/>
  <c r="J27" i="6"/>
  <c r="I4" i="6"/>
  <c r="J4" i="6"/>
  <c r="J44" i="6"/>
  <c r="K44" i="6"/>
  <c r="L44" i="6"/>
  <c r="I22" i="6"/>
  <c r="J22" i="6"/>
  <c r="J205" i="6"/>
  <c r="K203" i="6"/>
  <c r="L203" i="6"/>
  <c r="K200" i="6"/>
  <c r="L200" i="6"/>
  <c r="O184" i="6"/>
  <c r="J184" i="6"/>
  <c r="I180" i="6"/>
  <c r="I179" i="6"/>
  <c r="O174" i="6"/>
  <c r="K146" i="6"/>
  <c r="J139" i="6"/>
  <c r="L137" i="6"/>
  <c r="I137" i="6"/>
  <c r="J136" i="6"/>
  <c r="J131" i="6"/>
  <c r="L115" i="6"/>
  <c r="I115" i="6"/>
  <c r="Q112" i="6"/>
  <c r="I101" i="6"/>
  <c r="K101" i="6"/>
  <c r="J100" i="6"/>
  <c r="L92" i="6"/>
  <c r="Q91" i="6"/>
  <c r="I82" i="6"/>
  <c r="J82" i="6"/>
  <c r="K82" i="6"/>
  <c r="L82" i="6"/>
  <c r="L206" i="6"/>
  <c r="L197" i="6"/>
  <c r="L189" i="6"/>
  <c r="O157" i="6"/>
  <c r="J154" i="6"/>
  <c r="Q149" i="6"/>
  <c r="J146" i="6"/>
  <c r="L123" i="6"/>
  <c r="L119" i="6"/>
  <c r="I119" i="6"/>
  <c r="K104" i="6"/>
  <c r="J96" i="6"/>
  <c r="L96" i="6"/>
  <c r="I94" i="6"/>
  <c r="J94" i="6"/>
  <c r="J85" i="6"/>
  <c r="L85" i="6"/>
  <c r="Q68" i="6"/>
  <c r="O68" i="6"/>
  <c r="O54" i="6"/>
  <c r="Q54" i="6"/>
  <c r="J51" i="6"/>
  <c r="K26" i="6"/>
  <c r="I188" i="6"/>
  <c r="K182" i="6"/>
  <c r="L175" i="6"/>
  <c r="O166" i="6"/>
  <c r="I157" i="6"/>
  <c r="L148" i="6"/>
  <c r="O144" i="6"/>
  <c r="J132" i="6"/>
  <c r="Q129" i="6"/>
  <c r="J122" i="6"/>
  <c r="K120" i="6"/>
  <c r="J117" i="6"/>
  <c r="O111" i="6"/>
  <c r="O108" i="6"/>
  <c r="J91" i="6"/>
  <c r="K91" i="6"/>
  <c r="L91" i="6"/>
  <c r="I77" i="6"/>
  <c r="J77" i="6"/>
  <c r="I75" i="6"/>
  <c r="J75" i="6"/>
  <c r="K63" i="6"/>
  <c r="L63" i="6"/>
  <c r="K13" i="6"/>
  <c r="I13" i="6"/>
  <c r="J13" i="6"/>
  <c r="L13" i="6"/>
  <c r="K211" i="6"/>
  <c r="O202" i="6"/>
  <c r="K202" i="6"/>
  <c r="O199" i="6"/>
  <c r="J199" i="6"/>
  <c r="J196" i="6"/>
  <c r="L194" i="6"/>
  <c r="Q188" i="6"/>
  <c r="I184" i="6"/>
  <c r="O180" i="6"/>
  <c r="O177" i="6"/>
  <c r="J175" i="6"/>
  <c r="K174" i="6"/>
  <c r="J172" i="6"/>
  <c r="J168" i="6"/>
  <c r="Q167" i="6"/>
  <c r="Q155" i="6"/>
  <c r="L149" i="6"/>
  <c r="L141" i="6"/>
  <c r="I131" i="6"/>
  <c r="J121" i="6"/>
  <c r="J120" i="6"/>
  <c r="O103" i="6"/>
  <c r="L101" i="6"/>
  <c r="K71" i="6"/>
  <c r="J71" i="6"/>
  <c r="J58" i="6"/>
  <c r="L15" i="6"/>
  <c r="O8" i="6"/>
  <c r="Q8" i="6"/>
  <c r="J118" i="6"/>
  <c r="O93" i="6"/>
  <c r="K92" i="6"/>
  <c r="O90" i="6"/>
  <c r="O74" i="6"/>
  <c r="O71" i="6"/>
  <c r="L66" i="6"/>
  <c r="O63" i="6"/>
  <c r="I58" i="6"/>
  <c r="O56" i="6"/>
  <c r="I53" i="6"/>
  <c r="J49" i="6"/>
  <c r="J42" i="6"/>
  <c r="L38" i="6"/>
  <c r="Q35" i="6"/>
  <c r="J35" i="6"/>
  <c r="J33" i="6"/>
  <c r="J26" i="6"/>
  <c r="Q23" i="6"/>
  <c r="K22" i="6"/>
  <c r="O14" i="6"/>
  <c r="I7" i="6"/>
  <c r="L5" i="6"/>
  <c r="K4" i="6"/>
  <c r="L34" i="6"/>
  <c r="J24" i="6"/>
  <c r="I19" i="6"/>
  <c r="O13" i="6"/>
  <c r="K5" i="6"/>
  <c r="K94" i="6"/>
  <c r="I89" i="6"/>
  <c r="O88" i="6"/>
  <c r="J87" i="6"/>
  <c r="K75" i="6"/>
  <c r="K72" i="6"/>
  <c r="Q69" i="6"/>
  <c r="L64" i="6"/>
  <c r="O59" i="6"/>
  <c r="K57" i="6"/>
  <c r="O83" i="6"/>
  <c r="O78" i="6"/>
  <c r="J72" i="6"/>
  <c r="L72" i="6"/>
  <c r="Q66" i="6"/>
  <c r="K64" i="6"/>
  <c r="J57" i="6"/>
  <c r="I56" i="6"/>
  <c r="O49" i="6"/>
  <c r="I43" i="6"/>
  <c r="O40" i="6"/>
  <c r="K35" i="6"/>
  <c r="L16" i="6"/>
  <c r="K7" i="6"/>
  <c r="K102" i="6"/>
  <c r="O99" i="6"/>
  <c r="Q84" i="6"/>
  <c r="Q79" i="6"/>
  <c r="I72" i="6"/>
  <c r="Q70" i="6"/>
  <c r="J61" i="6"/>
  <c r="I57" i="6"/>
  <c r="I25" i="6"/>
  <c r="L20" i="6"/>
  <c r="J16" i="6"/>
  <c r="L11" i="6"/>
  <c r="K10" i="6"/>
  <c r="K8" i="6"/>
  <c r="L7" i="6"/>
  <c r="L218" i="6"/>
  <c r="K218" i="6"/>
  <c r="J218" i="6"/>
  <c r="I218" i="6"/>
  <c r="O168" i="6"/>
  <c r="I162" i="6"/>
  <c r="K162" i="6"/>
  <c r="Q148" i="6"/>
  <c r="L204" i="6"/>
  <c r="L198" i="6"/>
  <c r="L192" i="6"/>
  <c r="L179" i="6"/>
  <c r="O178" i="6"/>
  <c r="K169" i="6"/>
  <c r="L163" i="6"/>
  <c r="I161" i="6"/>
  <c r="O160" i="6"/>
  <c r="L154" i="6"/>
  <c r="I152" i="6"/>
  <c r="O151" i="6"/>
  <c r="I147" i="6"/>
  <c r="K147" i="6"/>
  <c r="O123" i="6"/>
  <c r="I32" i="6"/>
  <c r="J32" i="6"/>
  <c r="K32" i="6"/>
  <c r="L32" i="6"/>
  <c r="Q216" i="6"/>
  <c r="K216" i="6"/>
  <c r="I215" i="6"/>
  <c r="Q213" i="6"/>
  <c r="K213" i="6"/>
  <c r="I212" i="6"/>
  <c r="Q210" i="6"/>
  <c r="K210" i="6"/>
  <c r="I209" i="6"/>
  <c r="Q207" i="6"/>
  <c r="K207" i="6"/>
  <c r="I206" i="6"/>
  <c r="Q204" i="6"/>
  <c r="K204" i="6"/>
  <c r="I203" i="6"/>
  <c r="Q201" i="6"/>
  <c r="K201" i="6"/>
  <c r="I200" i="6"/>
  <c r="Q198" i="6"/>
  <c r="K198" i="6"/>
  <c r="I197" i="6"/>
  <c r="Q195" i="6"/>
  <c r="K195" i="6"/>
  <c r="K192" i="6"/>
  <c r="K189" i="6"/>
  <c r="K186" i="6"/>
  <c r="K183" i="6"/>
  <c r="K179" i="6"/>
  <c r="I177" i="6"/>
  <c r="J174" i="6"/>
  <c r="I173" i="6"/>
  <c r="Q169" i="6"/>
  <c r="J169" i="6"/>
  <c r="K168" i="6"/>
  <c r="O165" i="6"/>
  <c r="Q165" i="6"/>
  <c r="J163" i="6"/>
  <c r="L162" i="6"/>
  <c r="L161" i="6"/>
  <c r="K160" i="6"/>
  <c r="I159" i="6"/>
  <c r="K159" i="6"/>
  <c r="O156" i="6"/>
  <c r="Q156" i="6"/>
  <c r="L152" i="6"/>
  <c r="K151" i="6"/>
  <c r="I150" i="6"/>
  <c r="K150" i="6"/>
  <c r="O148" i="6"/>
  <c r="K148" i="6"/>
  <c r="J148" i="6"/>
  <c r="K145" i="6"/>
  <c r="J145" i="6"/>
  <c r="J144" i="6"/>
  <c r="K140" i="6"/>
  <c r="L140" i="6"/>
  <c r="J140" i="6"/>
  <c r="O159" i="6"/>
  <c r="Q159" i="6"/>
  <c r="K154" i="6"/>
  <c r="I153" i="6"/>
  <c r="K153" i="6"/>
  <c r="Q145" i="6"/>
  <c r="K143" i="6"/>
  <c r="I143" i="6"/>
  <c r="L143" i="6"/>
  <c r="L210" i="6"/>
  <c r="L195" i="6"/>
  <c r="L183" i="6"/>
  <c r="I176" i="6"/>
  <c r="K171" i="6"/>
  <c r="L214" i="6"/>
  <c r="L211" i="6"/>
  <c r="J207" i="6"/>
  <c r="L205" i="6"/>
  <c r="L202" i="6"/>
  <c r="J198" i="6"/>
  <c r="J195" i="6"/>
  <c r="J192" i="6"/>
  <c r="J186" i="6"/>
  <c r="J183" i="6"/>
  <c r="K181" i="6"/>
  <c r="J179" i="6"/>
  <c r="K176" i="6"/>
  <c r="I174" i="6"/>
  <c r="J171" i="6"/>
  <c r="I169" i="6"/>
  <c r="I167" i="6"/>
  <c r="J162" i="6"/>
  <c r="K161" i="6"/>
  <c r="I158" i="6"/>
  <c r="I154" i="6"/>
  <c r="J153" i="6"/>
  <c r="K152" i="6"/>
  <c r="L147" i="6"/>
  <c r="J143" i="6"/>
  <c r="O139" i="6"/>
  <c r="Q139" i="6"/>
  <c r="K134" i="6"/>
  <c r="I134" i="6"/>
  <c r="J134" i="6"/>
  <c r="L134" i="6"/>
  <c r="I113" i="6"/>
  <c r="J113" i="6"/>
  <c r="K113" i="6"/>
  <c r="L113" i="6"/>
  <c r="O181" i="6"/>
  <c r="K163" i="6"/>
  <c r="L216" i="6"/>
  <c r="L174" i="6"/>
  <c r="J216" i="6"/>
  <c r="J213" i="6"/>
  <c r="J210" i="6"/>
  <c r="J204" i="6"/>
  <c r="J201" i="6"/>
  <c r="L196" i="6"/>
  <c r="L193" i="6"/>
  <c r="J189" i="6"/>
  <c r="Q217" i="6"/>
  <c r="I216" i="6"/>
  <c r="Q214" i="6"/>
  <c r="I213" i="6"/>
  <c r="Q211" i="6"/>
  <c r="I210" i="6"/>
  <c r="Q208" i="6"/>
  <c r="I207" i="6"/>
  <c r="Q205" i="6"/>
  <c r="I204" i="6"/>
  <c r="Q202" i="6"/>
  <c r="I201" i="6"/>
  <c r="Q199" i="6"/>
  <c r="K199" i="6"/>
  <c r="I198" i="6"/>
  <c r="Q196" i="6"/>
  <c r="K196" i="6"/>
  <c r="I195" i="6"/>
  <c r="Q193" i="6"/>
  <c r="K193" i="6"/>
  <c r="I192" i="6"/>
  <c r="Q190" i="6"/>
  <c r="K190" i="6"/>
  <c r="I189" i="6"/>
  <c r="Q187" i="6"/>
  <c r="K187" i="6"/>
  <c r="I186" i="6"/>
  <c r="Q184" i="6"/>
  <c r="K184" i="6"/>
  <c r="I183" i="6"/>
  <c r="Q181" i="6"/>
  <c r="J181" i="6"/>
  <c r="K180" i="6"/>
  <c r="K178" i="6"/>
  <c r="J176" i="6"/>
  <c r="I171" i="6"/>
  <c r="K166" i="6"/>
  <c r="I165" i="6"/>
  <c r="K165" i="6"/>
  <c r="O162" i="6"/>
  <c r="Q162" i="6"/>
  <c r="J161" i="6"/>
  <c r="L158" i="6"/>
  <c r="K157" i="6"/>
  <c r="I156" i="6"/>
  <c r="K156" i="6"/>
  <c r="O153" i="6"/>
  <c r="Q153" i="6"/>
  <c r="J152" i="6"/>
  <c r="J147" i="6"/>
  <c r="I142" i="6"/>
  <c r="K142" i="6"/>
  <c r="J142" i="6"/>
  <c r="Q123" i="6"/>
  <c r="O92" i="6"/>
  <c r="Q92" i="6"/>
  <c r="Q140" i="6"/>
  <c r="O140" i="6"/>
  <c r="I133" i="6"/>
  <c r="K133" i="6"/>
  <c r="J133" i="6"/>
  <c r="L133" i="6"/>
  <c r="L201" i="6"/>
  <c r="I181" i="6"/>
  <c r="L180" i="6"/>
  <c r="J178" i="6"/>
  <c r="K177" i="6"/>
  <c r="K175" i="6"/>
  <c r="Q173" i="6"/>
  <c r="J173" i="6"/>
  <c r="K170" i="6"/>
  <c r="I168" i="6"/>
  <c r="K167" i="6"/>
  <c r="L166" i="6"/>
  <c r="I164" i="6"/>
  <c r="O163" i="6"/>
  <c r="I160" i="6"/>
  <c r="J159" i="6"/>
  <c r="K158" i="6"/>
  <c r="L157" i="6"/>
  <c r="I155" i="6"/>
  <c r="O154" i="6"/>
  <c r="I151" i="6"/>
  <c r="J150" i="6"/>
  <c r="I139" i="6"/>
  <c r="K139" i="6"/>
  <c r="L139" i="6"/>
  <c r="I135" i="6"/>
  <c r="J135" i="6"/>
  <c r="K135" i="6"/>
  <c r="Q132" i="6"/>
  <c r="I126" i="6"/>
  <c r="J126" i="6"/>
  <c r="K126" i="6"/>
  <c r="L126" i="6"/>
  <c r="O142" i="6"/>
  <c r="Q142" i="6"/>
  <c r="K137" i="6"/>
  <c r="I136" i="6"/>
  <c r="K136" i="6"/>
  <c r="O133" i="6"/>
  <c r="Q133" i="6"/>
  <c r="K128" i="6"/>
  <c r="I127" i="6"/>
  <c r="K127" i="6"/>
  <c r="O124" i="6"/>
  <c r="Q124" i="6"/>
  <c r="K110" i="6"/>
  <c r="J110" i="6"/>
  <c r="O130" i="6"/>
  <c r="Q130" i="6"/>
  <c r="K125" i="6"/>
  <c r="I124" i="6"/>
  <c r="K124" i="6"/>
  <c r="Q119" i="6"/>
  <c r="I106" i="6"/>
  <c r="J106" i="6"/>
  <c r="K106" i="6"/>
  <c r="O82" i="6"/>
  <c r="J67" i="6"/>
  <c r="K67" i="6"/>
  <c r="Q150" i="6"/>
  <c r="I149" i="6"/>
  <c r="Q147" i="6"/>
  <c r="I141" i="6"/>
  <c r="I132" i="6"/>
  <c r="O131" i="6"/>
  <c r="L125" i="6"/>
  <c r="I123" i="6"/>
  <c r="O122" i="6"/>
  <c r="I118" i="6"/>
  <c r="K118" i="6"/>
  <c r="K111" i="6"/>
  <c r="I111" i="6"/>
  <c r="J111" i="6"/>
  <c r="Q100" i="6"/>
  <c r="I88" i="6"/>
  <c r="J88" i="6"/>
  <c r="K88" i="6"/>
  <c r="Q82" i="6"/>
  <c r="O136" i="6"/>
  <c r="Q136" i="6"/>
  <c r="K131" i="6"/>
  <c r="I130" i="6"/>
  <c r="K130" i="6"/>
  <c r="O127" i="6"/>
  <c r="Q127" i="6"/>
  <c r="J125" i="6"/>
  <c r="L124" i="6"/>
  <c r="K122" i="6"/>
  <c r="I121" i="6"/>
  <c r="K121" i="6"/>
  <c r="O119" i="6"/>
  <c r="K119" i="6"/>
  <c r="J119" i="6"/>
  <c r="K115" i="6"/>
  <c r="J115" i="6"/>
  <c r="Q105" i="6"/>
  <c r="I98" i="6"/>
  <c r="J98" i="6"/>
  <c r="K98" i="6"/>
  <c r="L98" i="6"/>
  <c r="I138" i="6"/>
  <c r="O137" i="6"/>
  <c r="K132" i="6"/>
  <c r="L131" i="6"/>
  <c r="I129" i="6"/>
  <c r="O128" i="6"/>
  <c r="I125" i="6"/>
  <c r="J124" i="6"/>
  <c r="K123" i="6"/>
  <c r="L122" i="6"/>
  <c r="I116" i="6"/>
  <c r="K116" i="6"/>
  <c r="O115" i="6"/>
  <c r="O110" i="6"/>
  <c r="Q110" i="6"/>
  <c r="K108" i="6"/>
  <c r="I108" i="6"/>
  <c r="J108" i="6"/>
  <c r="L108" i="6"/>
  <c r="L106" i="6"/>
  <c r="K93" i="6"/>
  <c r="I93" i="6"/>
  <c r="J93" i="6"/>
  <c r="L93" i="6"/>
  <c r="Q87" i="6"/>
  <c r="K114" i="6"/>
  <c r="K107" i="6"/>
  <c r="I105" i="6"/>
  <c r="J102" i="6"/>
  <c r="J97" i="6"/>
  <c r="K96" i="6"/>
  <c r="J92" i="6"/>
  <c r="K89" i="6"/>
  <c r="I87" i="6"/>
  <c r="Q81" i="6"/>
  <c r="I80" i="6"/>
  <c r="Q77" i="6"/>
  <c r="I70" i="6"/>
  <c r="J70" i="6"/>
  <c r="K70" i="6"/>
  <c r="L70" i="6"/>
  <c r="K65" i="6"/>
  <c r="I65" i="6"/>
  <c r="J65" i="6"/>
  <c r="L65" i="6"/>
  <c r="I62" i="6"/>
  <c r="J62" i="6"/>
  <c r="I95" i="6"/>
  <c r="K90" i="6"/>
  <c r="I84" i="6"/>
  <c r="K83" i="6"/>
  <c r="J83" i="6"/>
  <c r="L83" i="6"/>
  <c r="I81" i="6"/>
  <c r="J81" i="6"/>
  <c r="J78" i="6"/>
  <c r="K78" i="6"/>
  <c r="Q72" i="6"/>
  <c r="I41" i="6"/>
  <c r="J41" i="6"/>
  <c r="K41" i="6"/>
  <c r="L41" i="6"/>
  <c r="Q121" i="6"/>
  <c r="I120" i="6"/>
  <c r="Q118" i="6"/>
  <c r="I114" i="6"/>
  <c r="I110" i="6"/>
  <c r="I109" i="6"/>
  <c r="K105" i="6"/>
  <c r="K103" i="6"/>
  <c r="Q101" i="6"/>
  <c r="J101" i="6"/>
  <c r="I96" i="6"/>
  <c r="L95" i="6"/>
  <c r="I92" i="6"/>
  <c r="I91" i="6"/>
  <c r="L90" i="6"/>
  <c r="K87" i="6"/>
  <c r="K85" i="6"/>
  <c r="L84" i="6"/>
  <c r="I79" i="6"/>
  <c r="K79" i="6"/>
  <c r="J103" i="6"/>
  <c r="K95" i="6"/>
  <c r="J90" i="6"/>
  <c r="K84" i="6"/>
  <c r="L81" i="6"/>
  <c r="L78" i="6"/>
  <c r="O72" i="6"/>
  <c r="O64" i="6"/>
  <c r="Q64" i="6"/>
  <c r="Q57" i="6"/>
  <c r="K117" i="6"/>
  <c r="Q113" i="6"/>
  <c r="L107" i="6"/>
  <c r="J105" i="6"/>
  <c r="I104" i="6"/>
  <c r="I103" i="6"/>
  <c r="L102" i="6"/>
  <c r="K99" i="6"/>
  <c r="K97" i="6"/>
  <c r="Q95" i="6"/>
  <c r="J95" i="6"/>
  <c r="I90" i="6"/>
  <c r="L89" i="6"/>
  <c r="I86" i="6"/>
  <c r="J84" i="6"/>
  <c r="I83" i="6"/>
  <c r="K81" i="6"/>
  <c r="J80" i="6"/>
  <c r="L79" i="6"/>
  <c r="I78" i="6"/>
  <c r="K54" i="6"/>
  <c r="J74" i="6"/>
  <c r="I73" i="6"/>
  <c r="L71" i="6"/>
  <c r="J69" i="6"/>
  <c r="K66" i="6"/>
  <c r="K61" i="6"/>
  <c r="J59" i="6"/>
  <c r="K59" i="6"/>
  <c r="O51" i="6"/>
  <c r="Q51" i="6"/>
  <c r="O38" i="6"/>
  <c r="O29" i="6"/>
  <c r="I3" i="6"/>
  <c r="J3" i="6"/>
  <c r="K3" i="6"/>
  <c r="I85" i="6"/>
  <c r="K80" i="6"/>
  <c r="Q76" i="6"/>
  <c r="K73" i="6"/>
  <c r="I71" i="6"/>
  <c r="J68" i="6"/>
  <c r="I67" i="6"/>
  <c r="I66" i="6"/>
  <c r="Q63" i="6"/>
  <c r="J63" i="6"/>
  <c r="K62" i="6"/>
  <c r="L59" i="6"/>
  <c r="J56" i="6"/>
  <c r="K56" i="6"/>
  <c r="I55" i="6"/>
  <c r="I45" i="6"/>
  <c r="K45" i="6"/>
  <c r="L45" i="6"/>
  <c r="K77" i="6"/>
  <c r="Q73" i="6"/>
  <c r="J73" i="6"/>
  <c r="I68" i="6"/>
  <c r="I64" i="6"/>
  <c r="I63" i="6"/>
  <c r="L62" i="6"/>
  <c r="I59" i="6"/>
  <c r="K58" i="6"/>
  <c r="K52" i="6"/>
  <c r="J52" i="6"/>
  <c r="L52" i="6"/>
  <c r="Q50" i="6"/>
  <c r="Q43" i="6"/>
  <c r="O43" i="6"/>
  <c r="I23" i="6"/>
  <c r="J23" i="6"/>
  <c r="K23" i="6"/>
  <c r="L23" i="6"/>
  <c r="I76" i="6"/>
  <c r="L74" i="6"/>
  <c r="K69" i="6"/>
  <c r="Q67" i="6"/>
  <c r="L61" i="6"/>
  <c r="O47" i="6"/>
  <c r="K46" i="6"/>
  <c r="J46" i="6"/>
  <c r="L46" i="6"/>
  <c r="J45" i="6"/>
  <c r="Q59" i="6"/>
  <c r="Q56" i="6"/>
  <c r="I54" i="6"/>
  <c r="J50" i="6"/>
  <c r="I48" i="6"/>
  <c r="K48" i="6"/>
  <c r="O45" i="6"/>
  <c r="Q45" i="6"/>
  <c r="J43" i="6"/>
  <c r="L42" i="6"/>
  <c r="K40" i="6"/>
  <c r="I39" i="6"/>
  <c r="K39" i="6"/>
  <c r="O36" i="6"/>
  <c r="Q36" i="6"/>
  <c r="J34" i="6"/>
  <c r="L33" i="6"/>
  <c r="K31" i="6"/>
  <c r="I30" i="6"/>
  <c r="K30" i="6"/>
  <c r="O27" i="6"/>
  <c r="Q27" i="6"/>
  <c r="J25" i="6"/>
  <c r="L24" i="6"/>
  <c r="L54" i="6"/>
  <c r="I51" i="6"/>
  <c r="I50" i="6"/>
  <c r="L49" i="6"/>
  <c r="I47" i="6"/>
  <c r="O46" i="6"/>
  <c r="L40" i="6"/>
  <c r="I38" i="6"/>
  <c r="I29" i="6"/>
  <c r="I6" i="6"/>
  <c r="J6" i="6"/>
  <c r="K6" i="6"/>
  <c r="O42" i="6"/>
  <c r="Q42" i="6"/>
  <c r="K37" i="6"/>
  <c r="I36" i="6"/>
  <c r="K36" i="6"/>
  <c r="O33" i="6"/>
  <c r="Q33" i="6"/>
  <c r="K28" i="6"/>
  <c r="I27" i="6"/>
  <c r="K27" i="6"/>
  <c r="O24" i="6"/>
  <c r="Q24" i="6"/>
  <c r="O21" i="6"/>
  <c r="Q21" i="6"/>
  <c r="O18" i="6"/>
  <c r="Q18" i="6"/>
  <c r="O15" i="6"/>
  <c r="Q15" i="6"/>
  <c r="J54" i="6"/>
  <c r="K51" i="6"/>
  <c r="I49" i="6"/>
  <c r="J48" i="6"/>
  <c r="K47" i="6"/>
  <c r="I44" i="6"/>
  <c r="I40" i="6"/>
  <c r="J39" i="6"/>
  <c r="L37" i="6"/>
  <c r="I35" i="6"/>
  <c r="O34" i="6"/>
  <c r="I31" i="6"/>
  <c r="J30" i="6"/>
  <c r="K29" i="6"/>
  <c r="L28" i="6"/>
  <c r="I26" i="6"/>
  <c r="O25" i="6"/>
  <c r="I9" i="6"/>
  <c r="O48" i="6"/>
  <c r="Q48" i="6"/>
  <c r="K43" i="6"/>
  <c r="I42" i="6"/>
  <c r="K42" i="6"/>
  <c r="O39" i="6"/>
  <c r="Q39" i="6"/>
  <c r="J38" i="6"/>
  <c r="J37" i="6"/>
  <c r="L36" i="6"/>
  <c r="L35" i="6"/>
  <c r="K34" i="6"/>
  <c r="I33" i="6"/>
  <c r="K33" i="6"/>
  <c r="O30" i="6"/>
  <c r="Q30" i="6"/>
  <c r="J29" i="6"/>
  <c r="J28" i="6"/>
  <c r="L27" i="6"/>
  <c r="K25" i="6"/>
  <c r="I24" i="6"/>
  <c r="K24" i="6"/>
  <c r="I21" i="6"/>
  <c r="J21" i="6"/>
  <c r="K21" i="6"/>
  <c r="I20" i="6"/>
  <c r="I18" i="6"/>
  <c r="I17" i="6"/>
  <c r="J17" i="6"/>
  <c r="I15" i="6"/>
  <c r="I14" i="6"/>
  <c r="J14" i="6"/>
  <c r="I12" i="6"/>
  <c r="J11" i="6"/>
  <c r="J8" i="6"/>
  <c r="J5" i="6"/>
  <c r="K18" i="6"/>
  <c r="K15" i="6"/>
  <c r="Q12" i="6"/>
  <c r="K12" i="6"/>
  <c r="I11" i="6"/>
  <c r="Q9" i="6"/>
  <c r="K9" i="6"/>
  <c r="I8" i="6"/>
  <c r="Q6" i="6"/>
  <c r="I5" i="6"/>
  <c r="Q3" i="6"/>
  <c r="J18" i="6"/>
  <c r="J15" i="6"/>
  <c r="J12" i="6"/>
  <c r="J9" i="6"/>
  <c r="I219" i="6" l="1"/>
  <c r="J219" i="6"/>
  <c r="N219" i="6"/>
  <c r="O219" i="6"/>
  <c r="M219" i="6"/>
  <c r="Q219" i="6"/>
  <c r="P219" i="6"/>
  <c r="K219" i="6"/>
  <c r="L219" i="6"/>
  <c r="M48" i="27" l="1"/>
  <c r="X211" i="27" l="1"/>
  <c r="W211" i="27"/>
  <c r="V211" i="27"/>
  <c r="U211" i="27"/>
  <c r="T211" i="27"/>
  <c r="S211" i="27"/>
  <c r="X43" i="27"/>
  <c r="W43" i="27"/>
  <c r="V43" i="27"/>
  <c r="U43" i="27"/>
  <c r="T43" i="27"/>
  <c r="S43" i="27"/>
  <c r="S174" i="27" l="1"/>
  <c r="S173" i="27"/>
  <c r="S172" i="27"/>
  <c r="S170" i="27"/>
  <c r="S167" i="27"/>
  <c r="S166" i="27"/>
  <c r="S161" i="27"/>
  <c r="S157" i="27"/>
  <c r="S154" i="27"/>
  <c r="S153" i="27"/>
  <c r="S152" i="27"/>
  <c r="S151" i="27"/>
  <c r="S150" i="27"/>
  <c r="S149" i="27"/>
  <c r="S148" i="27"/>
  <c r="X192" i="27"/>
  <c r="W192" i="27"/>
  <c r="V192" i="27"/>
  <c r="U192" i="27"/>
  <c r="T192" i="27"/>
  <c r="S192" i="27"/>
  <c r="X190" i="27"/>
  <c r="W190" i="27"/>
  <c r="V190" i="27"/>
  <c r="U190" i="27"/>
  <c r="T190" i="27"/>
  <c r="S190" i="27"/>
  <c r="X174" i="27"/>
  <c r="W174" i="27"/>
  <c r="V174" i="27"/>
  <c r="U174" i="27"/>
  <c r="T174" i="27"/>
  <c r="X170" i="27"/>
  <c r="W170" i="27"/>
  <c r="V170" i="27"/>
  <c r="U170" i="27"/>
  <c r="T170" i="27"/>
  <c r="X167" i="27"/>
  <c r="W167" i="27"/>
  <c r="V167" i="27"/>
  <c r="U167" i="27"/>
  <c r="T167" i="27"/>
  <c r="X166" i="27"/>
  <c r="W166" i="27"/>
  <c r="V166" i="27"/>
  <c r="U166" i="27"/>
  <c r="T166" i="27"/>
  <c r="X161" i="27"/>
  <c r="W161" i="27"/>
  <c r="V161" i="27"/>
  <c r="U161" i="27"/>
  <c r="T161" i="27"/>
  <c r="X157" i="27"/>
  <c r="W157" i="27"/>
  <c r="V157" i="27"/>
  <c r="U157" i="27"/>
  <c r="T157" i="27"/>
  <c r="X154" i="27"/>
  <c r="W154" i="27"/>
  <c r="V154" i="27"/>
  <c r="U154" i="27"/>
  <c r="T154" i="27"/>
  <c r="X153" i="27"/>
  <c r="W153" i="27"/>
  <c r="V153" i="27"/>
  <c r="U153" i="27"/>
  <c r="T153" i="27"/>
  <c r="X152" i="27"/>
  <c r="W152" i="27"/>
  <c r="V152" i="27"/>
  <c r="U152" i="27"/>
  <c r="T152" i="27"/>
  <c r="X151" i="27"/>
  <c r="W151" i="27"/>
  <c r="V151" i="27"/>
  <c r="U151" i="27"/>
  <c r="T151" i="27"/>
  <c r="X150" i="27"/>
  <c r="W150" i="27"/>
  <c r="V150" i="27"/>
  <c r="U150" i="27"/>
  <c r="T150" i="27"/>
  <c r="X149" i="27"/>
  <c r="W149" i="27"/>
  <c r="V149" i="27"/>
  <c r="U149" i="27"/>
  <c r="T149" i="27"/>
  <c r="T148" i="27"/>
  <c r="U148" i="27"/>
  <c r="V148" i="27"/>
  <c r="W148" i="27"/>
  <c r="X148" i="27"/>
  <c r="X147" i="27"/>
  <c r="W147" i="27"/>
  <c r="V147" i="27"/>
  <c r="U147" i="27"/>
  <c r="T147" i="27"/>
  <c r="S147" i="27"/>
  <c r="X146" i="27"/>
  <c r="W146" i="27"/>
  <c r="V146" i="27"/>
  <c r="U146" i="27"/>
  <c r="T146" i="27"/>
  <c r="S146" i="27"/>
  <c r="X145" i="27"/>
  <c r="W145" i="27"/>
  <c r="V145" i="27"/>
  <c r="U145" i="27"/>
  <c r="T145" i="27"/>
  <c r="S145" i="27"/>
  <c r="X144" i="27"/>
  <c r="W144" i="27"/>
  <c r="V144" i="27"/>
  <c r="U144" i="27"/>
  <c r="T144" i="27"/>
  <c r="S144" i="27"/>
  <c r="X109" i="27"/>
  <c r="W109" i="27"/>
  <c r="V109" i="27"/>
  <c r="U109" i="27"/>
  <c r="T109" i="27"/>
  <c r="S109" i="27"/>
  <c r="D220" i="27" l="1"/>
  <c r="B220" i="27"/>
  <c r="B219" i="27"/>
  <c r="B218" i="27"/>
  <c r="D217" i="27"/>
  <c r="B217" i="27"/>
  <c r="B216" i="27"/>
  <c r="D215" i="27"/>
  <c r="B215" i="27"/>
  <c r="D214" i="27"/>
  <c r="B214" i="27"/>
  <c r="D213" i="27"/>
  <c r="B213" i="27"/>
  <c r="B212" i="27"/>
  <c r="B211" i="27"/>
  <c r="B210" i="27"/>
  <c r="D209" i="27"/>
  <c r="B209" i="27"/>
  <c r="D208" i="27"/>
  <c r="B208" i="27"/>
  <c r="D207" i="27"/>
  <c r="B207" i="27"/>
  <c r="D206" i="27"/>
  <c r="B206" i="27"/>
  <c r="D205" i="27"/>
  <c r="B205" i="27"/>
  <c r="D204" i="27"/>
  <c r="B204" i="27"/>
  <c r="B203" i="27"/>
  <c r="B202" i="27"/>
  <c r="B201" i="27"/>
  <c r="D200" i="27"/>
  <c r="B200" i="27"/>
  <c r="D199" i="27"/>
  <c r="B199" i="27"/>
  <c r="D198" i="27"/>
  <c r="B198" i="27"/>
  <c r="D197" i="27"/>
  <c r="B197" i="27"/>
  <c r="D196" i="27"/>
  <c r="B196" i="27"/>
  <c r="D195" i="27"/>
  <c r="B195" i="27"/>
  <c r="D194" i="27"/>
  <c r="B194" i="27"/>
  <c r="D193" i="27"/>
  <c r="B193" i="27"/>
  <c r="D192" i="27"/>
  <c r="B192" i="27"/>
  <c r="D191" i="27"/>
  <c r="B191" i="27"/>
  <c r="D190" i="27"/>
  <c r="B190" i="27"/>
  <c r="D189" i="27"/>
  <c r="B189" i="27"/>
  <c r="D188" i="27"/>
  <c r="B188" i="27"/>
  <c r="D187" i="27"/>
  <c r="B187" i="27"/>
  <c r="D186" i="27"/>
  <c r="B186" i="27"/>
  <c r="D185" i="27"/>
  <c r="B185" i="27"/>
  <c r="D184" i="27"/>
  <c r="B184" i="27"/>
  <c r="D183" i="27"/>
  <c r="B183" i="27"/>
  <c r="D182" i="27"/>
  <c r="B182" i="27"/>
  <c r="D181" i="27"/>
  <c r="B181" i="27"/>
  <c r="D180" i="27"/>
  <c r="B180" i="27"/>
  <c r="D179" i="27"/>
  <c r="B179" i="27"/>
  <c r="D178" i="27"/>
  <c r="B178" i="27"/>
  <c r="B177" i="27"/>
  <c r="B176" i="27"/>
  <c r="B175" i="27"/>
  <c r="B174" i="27"/>
  <c r="B173" i="27"/>
  <c r="B172" i="27"/>
  <c r="B171" i="27"/>
  <c r="B170" i="27"/>
  <c r="B169" i="27"/>
  <c r="B168" i="27"/>
  <c r="B167" i="27"/>
  <c r="B166" i="27"/>
  <c r="B165" i="27"/>
  <c r="D164" i="27"/>
  <c r="B164" i="27"/>
  <c r="D163" i="27"/>
  <c r="B163" i="27"/>
  <c r="D162" i="27"/>
  <c r="B162" i="27"/>
  <c r="B161" i="27"/>
  <c r="B160" i="27"/>
  <c r="B159" i="27"/>
  <c r="B158" i="27"/>
  <c r="B157" i="27"/>
  <c r="B156" i="27"/>
  <c r="B155" i="27"/>
  <c r="B154" i="27"/>
  <c r="B153" i="27"/>
  <c r="B152" i="27"/>
  <c r="B151" i="27"/>
  <c r="B150" i="27"/>
  <c r="B149" i="27"/>
  <c r="B148" i="27"/>
  <c r="B147" i="27"/>
  <c r="D146" i="27"/>
  <c r="B146" i="27"/>
  <c r="B145" i="27"/>
  <c r="B144" i="27"/>
  <c r="D143" i="27"/>
  <c r="B143" i="27"/>
  <c r="D142" i="27"/>
  <c r="B142" i="27"/>
  <c r="D141" i="27"/>
  <c r="B141" i="27"/>
  <c r="D140" i="27"/>
  <c r="B140" i="27"/>
  <c r="D139" i="27"/>
  <c r="B139" i="27"/>
  <c r="D138" i="27"/>
  <c r="B138" i="27"/>
  <c r="D137" i="27"/>
  <c r="B137" i="27"/>
  <c r="D136" i="27"/>
  <c r="B136" i="27"/>
  <c r="D135" i="27"/>
  <c r="B135" i="27"/>
  <c r="D134" i="27"/>
  <c r="B134" i="27"/>
  <c r="D133" i="27"/>
  <c r="B133" i="27"/>
  <c r="D132" i="27"/>
  <c r="B132" i="27"/>
  <c r="B131" i="27"/>
  <c r="B130" i="27"/>
  <c r="D129" i="27"/>
  <c r="B129" i="27"/>
  <c r="D128" i="27"/>
  <c r="B128" i="27"/>
  <c r="D127" i="27"/>
  <c r="B127" i="27"/>
  <c r="B126" i="27"/>
  <c r="B125" i="27"/>
  <c r="B124" i="27"/>
  <c r="B123" i="27"/>
  <c r="B122" i="27"/>
  <c r="B121" i="27"/>
  <c r="B120" i="27"/>
  <c r="B119" i="27"/>
  <c r="B118" i="27"/>
  <c r="B117" i="27"/>
  <c r="B116" i="27"/>
  <c r="B115" i="27"/>
  <c r="B114" i="27"/>
  <c r="B113" i="27"/>
  <c r="B112" i="27"/>
  <c r="B111" i="27"/>
  <c r="D110" i="27"/>
  <c r="B110" i="27"/>
  <c r="B109" i="27"/>
  <c r="D108" i="27"/>
  <c r="B108" i="27"/>
  <c r="B107" i="27"/>
  <c r="D106" i="27"/>
  <c r="B106" i="27"/>
  <c r="B105" i="27"/>
  <c r="B104" i="27"/>
  <c r="B103" i="27"/>
  <c r="B102" i="27"/>
  <c r="D101" i="27"/>
  <c r="B101" i="27"/>
  <c r="D100" i="27"/>
  <c r="B100" i="27"/>
  <c r="D99" i="27"/>
  <c r="B99" i="27"/>
  <c r="D98" i="27"/>
  <c r="B98" i="27"/>
  <c r="D97" i="27"/>
  <c r="B97" i="27"/>
  <c r="D96" i="27"/>
  <c r="B96" i="27"/>
  <c r="D95" i="27"/>
  <c r="B95" i="27"/>
  <c r="D94" i="27"/>
  <c r="B94" i="27"/>
  <c r="D93" i="27"/>
  <c r="B93" i="27"/>
  <c r="D92" i="27"/>
  <c r="B92" i="27"/>
  <c r="D91" i="27"/>
  <c r="B91" i="27"/>
  <c r="D90" i="27"/>
  <c r="B90" i="27"/>
  <c r="D89" i="27"/>
  <c r="B89" i="27"/>
  <c r="D88" i="27"/>
  <c r="B88" i="27"/>
  <c r="D87" i="27"/>
  <c r="B87" i="27"/>
  <c r="D86" i="27"/>
  <c r="B86" i="27"/>
  <c r="D85" i="27"/>
  <c r="B85" i="27"/>
  <c r="D84" i="27"/>
  <c r="B84" i="27"/>
  <c r="D83" i="27"/>
  <c r="B83" i="27"/>
  <c r="D82" i="27"/>
  <c r="B82" i="27"/>
  <c r="D81" i="27"/>
  <c r="B81" i="27"/>
  <c r="D80" i="27"/>
  <c r="B80" i="27"/>
  <c r="D79" i="27"/>
  <c r="B79" i="27"/>
  <c r="D78" i="27"/>
  <c r="B78" i="27"/>
  <c r="D77" i="27"/>
  <c r="B77" i="27"/>
  <c r="D76" i="27"/>
  <c r="B76" i="27"/>
  <c r="D75" i="27"/>
  <c r="B75" i="27"/>
  <c r="D74" i="27"/>
  <c r="B74" i="27"/>
  <c r="D73" i="27"/>
  <c r="B73" i="27"/>
  <c r="D72" i="27"/>
  <c r="B72" i="27"/>
  <c r="D71" i="27"/>
  <c r="B71" i="27"/>
  <c r="D70" i="27"/>
  <c r="B70" i="27"/>
  <c r="D69" i="27"/>
  <c r="B69" i="27"/>
  <c r="D68" i="27"/>
  <c r="B68" i="27"/>
  <c r="D67" i="27"/>
  <c r="B67" i="27"/>
  <c r="D66" i="27"/>
  <c r="B66" i="27"/>
  <c r="D65" i="27"/>
  <c r="B65" i="27"/>
  <c r="D64" i="27"/>
  <c r="B64" i="27"/>
  <c r="D63" i="27"/>
  <c r="B63" i="27"/>
  <c r="D62" i="27"/>
  <c r="B62" i="27"/>
  <c r="D61" i="27"/>
  <c r="B61" i="27"/>
  <c r="D60" i="27"/>
  <c r="B60" i="27"/>
  <c r="D59" i="27"/>
  <c r="B59" i="27"/>
  <c r="D58" i="27"/>
  <c r="B58" i="27"/>
  <c r="D57" i="27"/>
  <c r="B57" i="27"/>
  <c r="D56" i="27"/>
  <c r="B56" i="27"/>
  <c r="D55" i="27"/>
  <c r="B55" i="27"/>
  <c r="D54" i="27"/>
  <c r="B54" i="27"/>
  <c r="D53" i="27"/>
  <c r="B53" i="27"/>
  <c r="D52" i="27"/>
  <c r="B52" i="27"/>
  <c r="D51" i="27"/>
  <c r="B51" i="27"/>
  <c r="D50" i="27"/>
  <c r="B50" i="27"/>
  <c r="D49" i="27"/>
  <c r="B49" i="27"/>
  <c r="D48" i="27"/>
  <c r="B48" i="27"/>
  <c r="D47" i="27"/>
  <c r="B47" i="27"/>
  <c r="D46" i="27"/>
  <c r="B46" i="27"/>
  <c r="D45" i="27"/>
  <c r="B45" i="27"/>
  <c r="D44" i="27"/>
  <c r="B44" i="27"/>
  <c r="B43" i="27"/>
  <c r="B42" i="27"/>
  <c r="D41" i="27"/>
  <c r="B41" i="27"/>
  <c r="D40" i="27"/>
  <c r="B40" i="27"/>
  <c r="D39" i="27"/>
  <c r="B39" i="27"/>
  <c r="D38" i="27"/>
  <c r="B38" i="27"/>
  <c r="D37" i="27"/>
  <c r="B37" i="27"/>
  <c r="D36" i="27"/>
  <c r="B36" i="27"/>
  <c r="D35" i="27"/>
  <c r="B35" i="27"/>
  <c r="D34" i="27"/>
  <c r="B34" i="27"/>
  <c r="D33" i="27"/>
  <c r="B33" i="27"/>
  <c r="D32" i="27"/>
  <c r="B32" i="27"/>
  <c r="D31" i="27"/>
  <c r="B31" i="27"/>
  <c r="D30" i="27"/>
  <c r="B30" i="27"/>
  <c r="D29" i="27"/>
  <c r="B29" i="27"/>
  <c r="D28" i="27"/>
  <c r="B28" i="27"/>
  <c r="D27" i="27"/>
  <c r="B27" i="27"/>
  <c r="D26" i="27"/>
  <c r="B26" i="27"/>
  <c r="D25" i="27"/>
  <c r="B25" i="27"/>
  <c r="D24" i="27"/>
  <c r="B24" i="27"/>
  <c r="D23" i="27"/>
  <c r="B23" i="27"/>
  <c r="D22" i="27"/>
  <c r="B22" i="27"/>
  <c r="D21" i="27"/>
  <c r="B21" i="27"/>
  <c r="D20" i="27"/>
  <c r="B20" i="27"/>
  <c r="D19" i="27"/>
  <c r="B19" i="27"/>
  <c r="D18" i="27"/>
  <c r="B18" i="27"/>
  <c r="D17" i="27"/>
  <c r="B17" i="27"/>
  <c r="D16" i="27"/>
  <c r="B16" i="27"/>
  <c r="D15" i="27"/>
  <c r="B15" i="27"/>
  <c r="D14" i="27"/>
  <c r="B14" i="27"/>
  <c r="D13" i="27"/>
  <c r="B13" i="27"/>
  <c r="D12" i="27"/>
  <c r="B12" i="27"/>
  <c r="D11" i="27"/>
  <c r="B11" i="27"/>
  <c r="D10" i="27"/>
  <c r="B10" i="27"/>
  <c r="D9" i="27"/>
  <c r="B9" i="27"/>
  <c r="D8" i="27"/>
  <c r="B8" i="27"/>
  <c r="D7" i="27"/>
  <c r="B7" i="27"/>
  <c r="D6" i="27"/>
  <c r="B6" i="27"/>
  <c r="D5" i="27"/>
  <c r="B5" i="27"/>
  <c r="D4" i="27"/>
  <c r="B4" i="27"/>
  <c r="C46" i="29"/>
  <c r="D219" i="27" s="1"/>
  <c r="C45" i="29"/>
  <c r="D218" i="27" s="1"/>
  <c r="C43" i="29"/>
  <c r="B34" i="29"/>
  <c r="B32" i="29"/>
  <c r="B30" i="29"/>
  <c r="B26" i="29"/>
  <c r="B17" i="29"/>
  <c r="B20" i="29" s="1"/>
  <c r="B16" i="29"/>
  <c r="B11" i="29"/>
  <c r="B23" i="29" s="1"/>
  <c r="B9" i="29"/>
  <c r="B5" i="29"/>
  <c r="C37" i="25"/>
  <c r="D212" i="27" s="1"/>
  <c r="C36" i="25"/>
  <c r="C35" i="25"/>
  <c r="D210" i="27" s="1"/>
  <c r="B28" i="25"/>
  <c r="B26" i="25"/>
  <c r="B24" i="25"/>
  <c r="B20" i="25"/>
  <c r="B13" i="25"/>
  <c r="B9" i="25"/>
  <c r="B30" i="25" s="1"/>
  <c r="B31" i="25" s="1"/>
  <c r="B7" i="25"/>
  <c r="B16" i="25" s="1"/>
  <c r="B5" i="25"/>
  <c r="B29" i="18"/>
  <c r="B27" i="18"/>
  <c r="B25" i="18"/>
  <c r="B21" i="18"/>
  <c r="B15" i="18"/>
  <c r="B13" i="18"/>
  <c r="B9" i="18"/>
  <c r="B7" i="18"/>
  <c r="B18" i="18" s="1"/>
  <c r="B5" i="18"/>
  <c r="B31" i="18" s="1"/>
  <c r="B32" i="18" s="1"/>
  <c r="B29" i="26"/>
  <c r="B27" i="26"/>
  <c r="B25" i="26"/>
  <c r="B21" i="26"/>
  <c r="B18" i="26"/>
  <c r="B15" i="26"/>
  <c r="B31" i="26" s="1"/>
  <c r="B32" i="26" s="1"/>
  <c r="B13" i="26"/>
  <c r="B7" i="26"/>
  <c r="B9" i="26" s="1"/>
  <c r="B5" i="26"/>
  <c r="C55" i="24"/>
  <c r="C54" i="24"/>
  <c r="C53" i="24"/>
  <c r="D124" i="27" s="1"/>
  <c r="C52" i="24"/>
  <c r="C51" i="24"/>
  <c r="C50" i="24"/>
  <c r="D121" i="27" s="1"/>
  <c r="C49" i="24"/>
  <c r="C48" i="24"/>
  <c r="C47" i="24"/>
  <c r="D118" i="27" s="1"/>
  <c r="C46" i="24"/>
  <c r="C45" i="24"/>
  <c r="C44" i="24"/>
  <c r="D115" i="27" s="1"/>
  <c r="C43" i="24"/>
  <c r="C42" i="24"/>
  <c r="C41" i="24"/>
  <c r="D112" i="27" s="1"/>
  <c r="C40" i="24"/>
  <c r="C38" i="24"/>
  <c r="D109" i="27" s="1"/>
  <c r="C36" i="24"/>
  <c r="C34" i="24"/>
  <c r="D105" i="27" s="1"/>
  <c r="C33" i="24"/>
  <c r="D104" i="27" s="1"/>
  <c r="C32" i="24"/>
  <c r="D103" i="27" s="1"/>
  <c r="C31" i="24"/>
  <c r="D102" i="27" s="1"/>
  <c r="B25" i="24"/>
  <c r="B23" i="24"/>
  <c r="B19" i="24"/>
  <c r="B16" i="24"/>
  <c r="B13" i="24"/>
  <c r="B7" i="24"/>
  <c r="B9" i="24" s="1"/>
  <c r="B5" i="24"/>
  <c r="C14" i="23"/>
  <c r="D147" i="27" s="1"/>
  <c r="C12" i="23"/>
  <c r="C11" i="23"/>
  <c r="B7" i="23"/>
  <c r="D13" i="23" s="1"/>
  <c r="E146" i="27" s="1"/>
  <c r="C62" i="22"/>
  <c r="C61" i="22"/>
  <c r="C60" i="22"/>
  <c r="D175" i="27" s="1"/>
  <c r="C59" i="22"/>
  <c r="C58" i="22"/>
  <c r="C57" i="22"/>
  <c r="D172" i="27" s="1"/>
  <c r="C56" i="22"/>
  <c r="C55" i="22"/>
  <c r="C54" i="22"/>
  <c r="D169" i="27" s="1"/>
  <c r="C53" i="22"/>
  <c r="D168" i="27" s="1"/>
  <c r="C52" i="22"/>
  <c r="D167" i="27" s="1"/>
  <c r="C51" i="22"/>
  <c r="D166" i="27" s="1"/>
  <c r="C50" i="22"/>
  <c r="D165" i="27" s="1"/>
  <c r="C46" i="22"/>
  <c r="D161" i="27" s="1"/>
  <c r="C45" i="22"/>
  <c r="D160" i="27" s="1"/>
  <c r="C44" i="22"/>
  <c r="D159" i="27" s="1"/>
  <c r="C43" i="22"/>
  <c r="D158" i="27" s="1"/>
  <c r="C42" i="22"/>
  <c r="D157" i="27" s="1"/>
  <c r="C41" i="22"/>
  <c r="D156" i="27" s="1"/>
  <c r="C40" i="22"/>
  <c r="D155" i="27" s="1"/>
  <c r="C39" i="22"/>
  <c r="D154" i="27" s="1"/>
  <c r="C38" i="22"/>
  <c r="D153" i="27" s="1"/>
  <c r="C37" i="22"/>
  <c r="D152" i="27" s="1"/>
  <c r="C36" i="22"/>
  <c r="D151" i="27" s="1"/>
  <c r="C35" i="22"/>
  <c r="D150" i="27" s="1"/>
  <c r="C34" i="22"/>
  <c r="D149" i="27" s="1"/>
  <c r="C33" i="22"/>
  <c r="D148" i="27" s="1"/>
  <c r="B27" i="22"/>
  <c r="B25" i="22"/>
  <c r="B23" i="22"/>
  <c r="B19" i="22"/>
  <c r="B13" i="22"/>
  <c r="B9" i="22"/>
  <c r="B29" i="22" s="1"/>
  <c r="B30" i="22" s="1"/>
  <c r="B7" i="22"/>
  <c r="B16" i="22" s="1"/>
  <c r="B5" i="22"/>
  <c r="C35" i="21"/>
  <c r="D131" i="27" s="1"/>
  <c r="C34" i="21"/>
  <c r="D130" i="27" s="1"/>
  <c r="B28" i="21"/>
  <c r="B26" i="21"/>
  <c r="B24" i="21"/>
  <c r="B20" i="21"/>
  <c r="B16" i="21"/>
  <c r="B13" i="21"/>
  <c r="B9" i="21"/>
  <c r="B7" i="21"/>
  <c r="B5" i="21"/>
  <c r="B30" i="21" s="1"/>
  <c r="B31" i="21" s="1"/>
  <c r="B25" i="20"/>
  <c r="B23" i="20"/>
  <c r="B19" i="20"/>
  <c r="B16" i="20"/>
  <c r="B13" i="20"/>
  <c r="B9" i="20"/>
  <c r="B27" i="20" s="1"/>
  <c r="B28" i="20" s="1"/>
  <c r="B5" i="20"/>
  <c r="B29" i="19"/>
  <c r="B27" i="19"/>
  <c r="B25" i="19"/>
  <c r="B21" i="19"/>
  <c r="B15" i="19"/>
  <c r="B13" i="19"/>
  <c r="B7" i="19"/>
  <c r="B18" i="19" s="1"/>
  <c r="B5" i="19"/>
  <c r="B28" i="5"/>
  <c r="B26" i="5"/>
  <c r="B24" i="5"/>
  <c r="B20" i="5"/>
  <c r="B16" i="5"/>
  <c r="B13" i="5"/>
  <c r="B9" i="5"/>
  <c r="B7" i="5"/>
  <c r="B5" i="5"/>
  <c r="B30" i="5" s="1"/>
  <c r="B31" i="5" s="1"/>
  <c r="C43" i="16"/>
  <c r="D203" i="27" s="1"/>
  <c r="C42" i="16"/>
  <c r="D202" i="27" s="1"/>
  <c r="C41" i="16"/>
  <c r="D201" i="27" s="1"/>
  <c r="B28" i="16"/>
  <c r="B26" i="16"/>
  <c r="B24" i="16"/>
  <c r="B20" i="16"/>
  <c r="B13" i="16"/>
  <c r="B7" i="16"/>
  <c r="B16" i="16" s="1"/>
  <c r="B5" i="16"/>
  <c r="C43" i="1"/>
  <c r="C42" i="1"/>
  <c r="C41" i="1"/>
  <c r="B28" i="1"/>
  <c r="B26" i="1"/>
  <c r="B24" i="1"/>
  <c r="B20" i="1"/>
  <c r="B13" i="1"/>
  <c r="B7" i="1"/>
  <c r="B16" i="1" s="1"/>
  <c r="B5" i="1"/>
  <c r="X219" i="27"/>
  <c r="T216" i="27"/>
  <c r="V207" i="27"/>
  <c r="X204" i="27"/>
  <c r="T202" i="27"/>
  <c r="V198" i="27"/>
  <c r="X195" i="27"/>
  <c r="T188" i="27"/>
  <c r="V185" i="27"/>
  <c r="X164" i="27"/>
  <c r="T162" i="27"/>
  <c r="V128" i="27"/>
  <c r="X124" i="27"/>
  <c r="T122" i="27"/>
  <c r="V118" i="27"/>
  <c r="X108" i="27"/>
  <c r="T101" i="27"/>
  <c r="V85" i="27"/>
  <c r="X70" i="27"/>
  <c r="T65" i="27"/>
  <c r="S32" i="27"/>
  <c r="U218" i="27"/>
  <c r="W208" i="27"/>
  <c r="S206" i="27"/>
  <c r="U203" i="27"/>
  <c r="W199" i="27"/>
  <c r="S197" i="27"/>
  <c r="U193" i="27"/>
  <c r="W186" i="27"/>
  <c r="S184" i="27"/>
  <c r="U163" i="27"/>
  <c r="W129" i="27"/>
  <c r="S127" i="27"/>
  <c r="U123" i="27"/>
  <c r="W119" i="27"/>
  <c r="S117" i="27"/>
  <c r="U106" i="27"/>
  <c r="W86" i="27"/>
  <c r="S81" i="27"/>
  <c r="U69" i="27"/>
  <c r="W54" i="27"/>
  <c r="V32" i="27"/>
  <c r="X218" i="27"/>
  <c r="T213" i="27"/>
  <c r="V206" i="27"/>
  <c r="X203" i="27"/>
  <c r="T200" i="27"/>
  <c r="V197" i="27"/>
  <c r="X193" i="27"/>
  <c r="T187" i="27"/>
  <c r="V184" i="27"/>
  <c r="X163" i="27"/>
  <c r="T142" i="27"/>
  <c r="V127" i="27"/>
  <c r="X123" i="27"/>
  <c r="T120" i="27"/>
  <c r="V117" i="27"/>
  <c r="X106" i="27"/>
  <c r="T91" i="27"/>
  <c r="V81" i="27"/>
  <c r="X69" i="27"/>
  <c r="T59" i="27"/>
  <c r="S220" i="27"/>
  <c r="U216" i="27"/>
  <c r="W207" i="27"/>
  <c r="S205" i="27"/>
  <c r="U202" i="27"/>
  <c r="W198" i="27"/>
  <c r="S196" i="27"/>
  <c r="U188" i="27"/>
  <c r="W185" i="27"/>
  <c r="S165" i="27"/>
  <c r="U162" i="27"/>
  <c r="W128" i="27"/>
  <c r="S126" i="27"/>
  <c r="U122" i="27"/>
  <c r="W118" i="27"/>
  <c r="S110" i="27"/>
  <c r="U101" i="27"/>
  <c r="W85" i="27"/>
  <c r="S75" i="27"/>
  <c r="U65" i="27"/>
  <c r="W53" i="27"/>
  <c r="X32" i="27"/>
  <c r="T219" i="27"/>
  <c r="V213" i="27"/>
  <c r="X206" i="27"/>
  <c r="T204" i="27"/>
  <c r="V200" i="27"/>
  <c r="X197" i="27"/>
  <c r="T195" i="27"/>
  <c r="V187" i="27"/>
  <c r="X184" i="27"/>
  <c r="T164" i="27"/>
  <c r="V142" i="27"/>
  <c r="X127" i="27"/>
  <c r="T124" i="27"/>
  <c r="V120" i="27"/>
  <c r="X117" i="27"/>
  <c r="T108" i="27"/>
  <c r="V91" i="27"/>
  <c r="X81" i="27"/>
  <c r="T70" i="27"/>
  <c r="V59" i="27"/>
  <c r="U220" i="27"/>
  <c r="W216" i="27"/>
  <c r="S208" i="27"/>
  <c r="U205" i="27"/>
  <c r="W202" i="27"/>
  <c r="S199" i="27"/>
  <c r="U196" i="27"/>
  <c r="W188" i="27"/>
  <c r="S186" i="27"/>
  <c r="U165" i="27"/>
  <c r="W162" i="27"/>
  <c r="S129" i="27"/>
  <c r="U126" i="27"/>
  <c r="W122" i="27"/>
  <c r="S119" i="27"/>
  <c r="U110" i="27"/>
  <c r="W101" i="27"/>
  <c r="S86" i="27"/>
  <c r="U75" i="27"/>
  <c r="W65" i="27"/>
  <c r="S54" i="27"/>
  <c r="X220" i="27"/>
  <c r="T218" i="27"/>
  <c r="V208" i="27"/>
  <c r="X205" i="27"/>
  <c r="T203" i="27"/>
  <c r="V199" i="27"/>
  <c r="X196" i="27"/>
  <c r="T193" i="27"/>
  <c r="V186" i="27"/>
  <c r="X165" i="27"/>
  <c r="T163" i="27"/>
  <c r="V129" i="27"/>
  <c r="X126" i="27"/>
  <c r="T123" i="27"/>
  <c r="V119" i="27"/>
  <c r="X110" i="27"/>
  <c r="T106" i="27"/>
  <c r="V86" i="27"/>
  <c r="X75" i="27"/>
  <c r="T69" i="27"/>
  <c r="V54" i="27"/>
  <c r="U219" i="27"/>
  <c r="W213" i="27"/>
  <c r="S207" i="27"/>
  <c r="U204" i="27"/>
  <c r="W200" i="27"/>
  <c r="S198" i="27"/>
  <c r="U195" i="27"/>
  <c r="W187" i="27"/>
  <c r="S185" i="27"/>
  <c r="U164" i="27"/>
  <c r="W142" i="27"/>
  <c r="S128" i="27"/>
  <c r="U124" i="27"/>
  <c r="W120" i="27"/>
  <c r="S118" i="27"/>
  <c r="U108" i="27"/>
  <c r="W91" i="27"/>
  <c r="S85" i="27"/>
  <c r="U70" i="27"/>
  <c r="W59" i="27"/>
  <c r="S53" i="27"/>
  <c r="T32" i="27"/>
  <c r="V218" i="27"/>
  <c r="X208" i="27"/>
  <c r="T206" i="27"/>
  <c r="V203" i="27"/>
  <c r="X199" i="27"/>
  <c r="T197" i="27"/>
  <c r="V193" i="27"/>
  <c r="X186" i="27"/>
  <c r="T184" i="27"/>
  <c r="V163" i="27"/>
  <c r="X129" i="27"/>
  <c r="T127" i="27"/>
  <c r="V123" i="27"/>
  <c r="X119" i="27"/>
  <c r="T117" i="27"/>
  <c r="V106" i="27"/>
  <c r="X86" i="27"/>
  <c r="T81" i="27"/>
  <c r="V69" i="27"/>
  <c r="X54" i="27"/>
  <c r="W219" i="27"/>
  <c r="S216" i="27"/>
  <c r="U207" i="27"/>
  <c r="W204" i="27"/>
  <c r="S202" i="27"/>
  <c r="U198" i="27"/>
  <c r="W195" i="27"/>
  <c r="S188" i="27"/>
  <c r="U185" i="27"/>
  <c r="W164" i="27"/>
  <c r="S162" i="27"/>
  <c r="U128" i="27"/>
  <c r="W124" i="27"/>
  <c r="S122" i="27"/>
  <c r="U118" i="27"/>
  <c r="W108" i="27"/>
  <c r="S101" i="27"/>
  <c r="U85" i="27"/>
  <c r="W70" i="27"/>
  <c r="S65" i="27"/>
  <c r="U53" i="27"/>
  <c r="T220" i="27"/>
  <c r="V216" i="27"/>
  <c r="X207" i="27"/>
  <c r="T205" i="27"/>
  <c r="V202" i="27"/>
  <c r="X198" i="27"/>
  <c r="T196" i="27"/>
  <c r="V188" i="27"/>
  <c r="X185" i="27"/>
  <c r="T165" i="27"/>
  <c r="V162" i="27"/>
  <c r="X128" i="27"/>
  <c r="T126" i="27"/>
  <c r="V122" i="27"/>
  <c r="X118" i="27"/>
  <c r="T110" i="27"/>
  <c r="V101" i="27"/>
  <c r="X85" i="27"/>
  <c r="T75" i="27"/>
  <c r="V65" i="27"/>
  <c r="U32" i="27"/>
  <c r="W218" i="27"/>
  <c r="S213" i="27"/>
  <c r="U206" i="27"/>
  <c r="W203" i="27"/>
  <c r="S200" i="27"/>
  <c r="U197" i="27"/>
  <c r="W193" i="27"/>
  <c r="S187" i="27"/>
  <c r="U184" i="27"/>
  <c r="W163" i="27"/>
  <c r="S142" i="27"/>
  <c r="U127" i="27"/>
  <c r="W123" i="27"/>
  <c r="S120" i="27"/>
  <c r="U117" i="27"/>
  <c r="W106" i="27"/>
  <c r="S91" i="27"/>
  <c r="U81" i="27"/>
  <c r="W69" i="27"/>
  <c r="S59" i="27"/>
  <c r="U49" i="27"/>
  <c r="V220" i="27"/>
  <c r="X216" i="27"/>
  <c r="T208" i="27"/>
  <c r="V205" i="27"/>
  <c r="X202" i="27"/>
  <c r="T199" i="27"/>
  <c r="V196" i="27"/>
  <c r="X188" i="27"/>
  <c r="T186" i="27"/>
  <c r="V165" i="27"/>
  <c r="X162" i="27"/>
  <c r="T129" i="27"/>
  <c r="V126" i="27"/>
  <c r="X122" i="27"/>
  <c r="T119" i="27"/>
  <c r="V110" i="27"/>
  <c r="X101" i="27"/>
  <c r="T86" i="27"/>
  <c r="V75" i="27"/>
  <c r="X65" i="27"/>
  <c r="W32" i="27"/>
  <c r="S219" i="27"/>
  <c r="U213" i="27"/>
  <c r="W206" i="27"/>
  <c r="S204" i="27"/>
  <c r="U200" i="27"/>
  <c r="W197" i="27"/>
  <c r="S195" i="27"/>
  <c r="U187" i="27"/>
  <c r="W184" i="27"/>
  <c r="S164" i="27"/>
  <c r="U142" i="27"/>
  <c r="W127" i="27"/>
  <c r="S124" i="27"/>
  <c r="U120" i="27"/>
  <c r="W117" i="27"/>
  <c r="S108" i="27"/>
  <c r="U91" i="27"/>
  <c r="W81" i="27"/>
  <c r="S70" i="27"/>
  <c r="U59" i="27"/>
  <c r="W49" i="27"/>
  <c r="V219" i="27"/>
  <c r="X213" i="27"/>
  <c r="T207" i="27"/>
  <c r="V204" i="27"/>
  <c r="X200" i="27"/>
  <c r="T198" i="27"/>
  <c r="V195" i="27"/>
  <c r="X187" i="27"/>
  <c r="T185" i="27"/>
  <c r="V164" i="27"/>
  <c r="X142" i="27"/>
  <c r="T128" i="27"/>
  <c r="V124" i="27"/>
  <c r="X120" i="27"/>
  <c r="T118" i="27"/>
  <c r="V108" i="27"/>
  <c r="X91" i="27"/>
  <c r="T85" i="27"/>
  <c r="V70" i="27"/>
  <c r="X59" i="27"/>
  <c r="W220" i="27"/>
  <c r="S218" i="27"/>
  <c r="U208" i="27"/>
  <c r="W205" i="27"/>
  <c r="S203" i="27"/>
  <c r="U199" i="27"/>
  <c r="W196" i="27"/>
  <c r="S193" i="27"/>
  <c r="U186" i="27"/>
  <c r="W165" i="27"/>
  <c r="S163" i="27"/>
  <c r="U129" i="27"/>
  <c r="W126" i="27"/>
  <c r="S123" i="27"/>
  <c r="U119" i="27"/>
  <c r="W110" i="27"/>
  <c r="S106" i="27"/>
  <c r="U86" i="27"/>
  <c r="W75" i="27"/>
  <c r="S69" i="27"/>
  <c r="U54" i="27"/>
  <c r="T54" i="27"/>
  <c r="X49" i="27"/>
  <c r="X29" i="27"/>
  <c r="X53" i="27"/>
  <c r="U34" i="27"/>
  <c r="W24" i="27"/>
  <c r="T15" i="27"/>
  <c r="X34" i="27"/>
  <c r="T28" i="27"/>
  <c r="U40" i="27"/>
  <c r="W28" i="27"/>
  <c r="S15" i="27"/>
  <c r="T217" i="27"/>
  <c r="V212" i="27"/>
  <c r="X201" i="27"/>
  <c r="W214" i="27"/>
  <c r="V217" i="27"/>
  <c r="X212" i="27"/>
  <c r="T209" i="27"/>
  <c r="S215" i="27"/>
  <c r="T201" i="27"/>
  <c r="W194" i="27"/>
  <c r="X183" i="27"/>
  <c r="T56" i="27"/>
  <c r="W191" i="27"/>
  <c r="S183" i="27"/>
  <c r="U181" i="27"/>
  <c r="X189" i="27"/>
  <c r="T182" i="27"/>
  <c r="V180" i="27"/>
  <c r="U183" i="27"/>
  <c r="W181" i="27"/>
  <c r="T179" i="27"/>
  <c r="V173" i="27"/>
  <c r="X176" i="27"/>
  <c r="T171" i="27"/>
  <c r="V168" i="27"/>
  <c r="T159" i="27"/>
  <c r="V155" i="27"/>
  <c r="U178" i="27"/>
  <c r="W172" i="27"/>
  <c r="S176" i="27"/>
  <c r="U158" i="27"/>
  <c r="W156" i="27"/>
  <c r="T178" i="27"/>
  <c r="V172" i="27"/>
  <c r="X160" i="27"/>
  <c r="T158" i="27"/>
  <c r="V156" i="27"/>
  <c r="U177" i="27"/>
  <c r="W175" i="27"/>
  <c r="U169" i="27"/>
  <c r="S160" i="27"/>
  <c r="V143" i="27"/>
  <c r="T141" i="27"/>
  <c r="S141" i="27"/>
  <c r="X139" i="27"/>
  <c r="S210" i="27"/>
  <c r="X40" i="27"/>
  <c r="T29" i="27"/>
  <c r="V49" i="27"/>
  <c r="W29" i="27"/>
  <c r="S24" i="27"/>
  <c r="V53" i="27"/>
  <c r="T34" i="27"/>
  <c r="X15" i="27"/>
  <c r="W34" i="27"/>
  <c r="S28" i="27"/>
  <c r="X24" i="27"/>
  <c r="V215" i="27"/>
  <c r="W217" i="27"/>
  <c r="S214" i="27"/>
  <c r="U209" i="27"/>
  <c r="X215" i="27"/>
  <c r="T212" i="27"/>
  <c r="V201" i="27"/>
  <c r="U214" i="27"/>
  <c r="W209" i="27"/>
  <c r="X194" i="27"/>
  <c r="S194" i="27"/>
  <c r="X191" i="27"/>
  <c r="T183" i="27"/>
  <c r="V181" i="27"/>
  <c r="S191" i="27"/>
  <c r="U182" i="27"/>
  <c r="W180" i="27"/>
  <c r="T189" i="27"/>
  <c r="V56" i="27"/>
  <c r="U191" i="27"/>
  <c r="W182" i="27"/>
  <c r="S181" i="27"/>
  <c r="V178" i="27"/>
  <c r="X172" i="27"/>
  <c r="T176" i="27"/>
  <c r="V158" i="27"/>
  <c r="X156" i="27"/>
  <c r="W177" i="27"/>
  <c r="W169" i="27"/>
  <c r="U160" i="27"/>
  <c r="S156" i="27"/>
  <c r="V177" i="27"/>
  <c r="X175" i="27"/>
  <c r="V169" i="27"/>
  <c r="T160" i="27"/>
  <c r="U179" i="27"/>
  <c r="W173" i="27"/>
  <c r="S175" i="27"/>
  <c r="U171" i="27"/>
  <c r="W168" i="27"/>
  <c r="U159" i="27"/>
  <c r="W155" i="27"/>
  <c r="X143" i="27"/>
  <c r="U143" i="27"/>
  <c r="V139" i="27"/>
  <c r="U139" i="27"/>
  <c r="T139" i="27"/>
  <c r="T40" i="27"/>
  <c r="V28" i="27"/>
  <c r="W40" i="27"/>
  <c r="S29" i="27"/>
  <c r="U15" i="27"/>
  <c r="T49" i="27"/>
  <c r="V29" i="27"/>
  <c r="T53" i="27"/>
  <c r="S34" i="27"/>
  <c r="U24" i="27"/>
  <c r="V15" i="27"/>
  <c r="X214" i="27"/>
  <c r="S217" i="27"/>
  <c r="U212" i="27"/>
  <c r="W201" i="27"/>
  <c r="T215" i="27"/>
  <c r="U217" i="27"/>
  <c r="W212" i="27"/>
  <c r="S209" i="27"/>
  <c r="T194" i="27"/>
  <c r="U194" i="27"/>
  <c r="T191" i="27"/>
  <c r="V182" i="27"/>
  <c r="X180" i="27"/>
  <c r="U189" i="27"/>
  <c r="W56" i="27"/>
  <c r="S180" i="27"/>
  <c r="V183" i="27"/>
  <c r="X181" i="27"/>
  <c r="W189" i="27"/>
  <c r="S182" i="27"/>
  <c r="U180" i="27"/>
  <c r="X177" i="27"/>
  <c r="T172" i="27"/>
  <c r="X169" i="27"/>
  <c r="V160" i="27"/>
  <c r="T156" i="27"/>
  <c r="W179" i="27"/>
  <c r="S177" i="27"/>
  <c r="U175" i="27"/>
  <c r="W171" i="27"/>
  <c r="S169" i="27"/>
  <c r="W159" i="27"/>
  <c r="V179" i="27"/>
  <c r="X173" i="27"/>
  <c r="T175" i="27"/>
  <c r="V171" i="27"/>
  <c r="X168" i="27"/>
  <c r="V159" i="27"/>
  <c r="X155" i="27"/>
  <c r="W178" i="27"/>
  <c r="U176" i="27"/>
  <c r="S168" i="27"/>
  <c r="W158" i="27"/>
  <c r="S155" i="27"/>
  <c r="T143" i="27"/>
  <c r="S143" i="27"/>
  <c r="U141" i="27"/>
  <c r="W139" i="27"/>
  <c r="S139" i="27"/>
  <c r="V34" i="27"/>
  <c r="T24" i="27"/>
  <c r="S40" i="27"/>
  <c r="U28" i="27"/>
  <c r="V24" i="27"/>
  <c r="V40" i="27"/>
  <c r="X28" i="27"/>
  <c r="S49" i="27"/>
  <c r="U29" i="27"/>
  <c r="W15" i="27"/>
  <c r="X217" i="27"/>
  <c r="T214" i="27"/>
  <c r="V209" i="27"/>
  <c r="U215" i="27"/>
  <c r="S201" i="27"/>
  <c r="V214" i="27"/>
  <c r="X209" i="27"/>
  <c r="W215" i="27"/>
  <c r="S212" i="27"/>
  <c r="U201" i="27"/>
  <c r="V194" i="27"/>
  <c r="V189" i="27"/>
  <c r="X56" i="27"/>
  <c r="T180" i="27"/>
  <c r="W183" i="27"/>
  <c r="S56" i="27"/>
  <c r="V191" i="27"/>
  <c r="X182" i="27"/>
  <c r="T181" i="27"/>
  <c r="S189" i="27"/>
  <c r="U56" i="27"/>
  <c r="X179" i="27"/>
  <c r="T177" i="27"/>
  <c r="V175" i="27"/>
  <c r="X171" i="27"/>
  <c r="T169" i="27"/>
  <c r="X159" i="27"/>
  <c r="S179" i="27"/>
  <c r="U173" i="27"/>
  <c r="W176" i="27"/>
  <c r="S171" i="27"/>
  <c r="U168" i="27"/>
  <c r="S159" i="27"/>
  <c r="U155" i="27"/>
  <c r="X178" i="27"/>
  <c r="T173" i="27"/>
  <c r="V176" i="27"/>
  <c r="T168" i="27"/>
  <c r="X158" i="27"/>
  <c r="T155" i="27"/>
  <c r="S178" i="27"/>
  <c r="U172" i="27"/>
  <c r="W160" i="27"/>
  <c r="S158" i="27"/>
  <c r="U156" i="27"/>
  <c r="W143" i="27"/>
  <c r="X141" i="27"/>
  <c r="W141" i="27"/>
  <c r="V141" i="27"/>
  <c r="W210" i="27"/>
  <c r="U140" i="27"/>
  <c r="W138" i="27"/>
  <c r="S136" i="27"/>
  <c r="U133" i="27"/>
  <c r="W130" i="27"/>
  <c r="S121" i="27"/>
  <c r="U114" i="27"/>
  <c r="W111" i="27"/>
  <c r="T105" i="27"/>
  <c r="V102" i="27"/>
  <c r="X98" i="27"/>
  <c r="T96" i="27"/>
  <c r="V93" i="27"/>
  <c r="X89" i="27"/>
  <c r="T87" i="27"/>
  <c r="V82" i="27"/>
  <c r="X78" i="27"/>
  <c r="T76" i="27"/>
  <c r="V72" i="27"/>
  <c r="X67" i="27"/>
  <c r="V210" i="27"/>
  <c r="T140" i="27"/>
  <c r="V136" i="27"/>
  <c r="X133" i="27"/>
  <c r="T131" i="27"/>
  <c r="V121" i="27"/>
  <c r="X114" i="27"/>
  <c r="T112" i="27"/>
  <c r="W105" i="27"/>
  <c r="S103" i="27"/>
  <c r="U99" i="27"/>
  <c r="W96" i="27"/>
  <c r="S94" i="27"/>
  <c r="U90" i="27"/>
  <c r="W87" i="27"/>
  <c r="S83" i="27"/>
  <c r="U79" i="27"/>
  <c r="W76" i="27"/>
  <c r="S73" i="27"/>
  <c r="U68" i="27"/>
  <c r="W137" i="27"/>
  <c r="S135" i="27"/>
  <c r="U132" i="27"/>
  <c r="W125" i="27"/>
  <c r="S116" i="27"/>
  <c r="U113" i="27"/>
  <c r="X107" i="27"/>
  <c r="T104" i="27"/>
  <c r="V100" i="27"/>
  <c r="X97" i="27"/>
  <c r="T95" i="27"/>
  <c r="V92" i="27"/>
  <c r="X88" i="27"/>
  <c r="T84" i="27"/>
  <c r="V80" i="27"/>
  <c r="X77" i="27"/>
  <c r="T74" i="27"/>
  <c r="V71" i="27"/>
  <c r="X66" i="27"/>
  <c r="T210" i="27"/>
  <c r="X138" i="27"/>
  <c r="T136" i="27"/>
  <c r="V133" i="27"/>
  <c r="X130" i="27"/>
  <c r="T121" i="27"/>
  <c r="V114" i="27"/>
  <c r="X111" i="27"/>
  <c r="U105" i="27"/>
  <c r="W102" i="27"/>
  <c r="S99" i="27"/>
  <c r="U96" i="27"/>
  <c r="W93" i="27"/>
  <c r="S90" i="27"/>
  <c r="U87" i="27"/>
  <c r="W82" i="27"/>
  <c r="S79" i="27"/>
  <c r="U76" i="27"/>
  <c r="W72" i="27"/>
  <c r="U66" i="27"/>
  <c r="S138" i="27"/>
  <c r="U135" i="27"/>
  <c r="W132" i="27"/>
  <c r="S130" i="27"/>
  <c r="U116" i="27"/>
  <c r="W113" i="27"/>
  <c r="S111" i="27"/>
  <c r="V104" i="27"/>
  <c r="X100" i="27"/>
  <c r="T98" i="27"/>
  <c r="V95" i="27"/>
  <c r="X92" i="27"/>
  <c r="T89" i="27"/>
  <c r="V84" i="27"/>
  <c r="X80" i="27"/>
  <c r="T78" i="27"/>
  <c r="V74" i="27"/>
  <c r="X71" i="27"/>
  <c r="T67" i="27"/>
  <c r="V138" i="27"/>
  <c r="X135" i="27"/>
  <c r="T133" i="27"/>
  <c r="V130" i="27"/>
  <c r="X116" i="27"/>
  <c r="T114" i="27"/>
  <c r="V111" i="27"/>
  <c r="S105" i="27"/>
  <c r="U102" i="27"/>
  <c r="W98" i="27"/>
  <c r="S96" i="27"/>
  <c r="U93" i="27"/>
  <c r="W89" i="27"/>
  <c r="S87" i="27"/>
  <c r="U82" i="27"/>
  <c r="W78" i="27"/>
  <c r="S76" i="27"/>
  <c r="U72" i="27"/>
  <c r="W67" i="27"/>
  <c r="W140" i="27"/>
  <c r="S137" i="27"/>
  <c r="U134" i="27"/>
  <c r="W131" i="27"/>
  <c r="S125" i="27"/>
  <c r="U115" i="27"/>
  <c r="W112" i="27"/>
  <c r="T107" i="27"/>
  <c r="V103" i="27"/>
  <c r="X99" i="27"/>
  <c r="T97" i="27"/>
  <c r="V94" i="27"/>
  <c r="X90" i="27"/>
  <c r="T88" i="27"/>
  <c r="V83" i="27"/>
  <c r="X79" i="27"/>
  <c r="T77" i="27"/>
  <c r="V73" i="27"/>
  <c r="X68" i="27"/>
  <c r="T66" i="27"/>
  <c r="T138" i="27"/>
  <c r="V135" i="27"/>
  <c r="X132" i="27"/>
  <c r="T130" i="27"/>
  <c r="V116" i="27"/>
  <c r="X113" i="27"/>
  <c r="T111" i="27"/>
  <c r="W104" i="27"/>
  <c r="S102" i="27"/>
  <c r="U98" i="27"/>
  <c r="W95" i="27"/>
  <c r="S93" i="27"/>
  <c r="U89" i="27"/>
  <c r="W84" i="27"/>
  <c r="S82" i="27"/>
  <c r="U78" i="27"/>
  <c r="W74" i="27"/>
  <c r="S72" i="27"/>
  <c r="U137" i="27"/>
  <c r="W134" i="27"/>
  <c r="S132" i="27"/>
  <c r="U125" i="27"/>
  <c r="W115" i="27"/>
  <c r="S113" i="27"/>
  <c r="V107" i="27"/>
  <c r="X103" i="27"/>
  <c r="T100" i="27"/>
  <c r="V97" i="27"/>
  <c r="X94" i="27"/>
  <c r="T92" i="27"/>
  <c r="V88" i="27"/>
  <c r="X83" i="27"/>
  <c r="T80" i="27"/>
  <c r="V77" i="27"/>
  <c r="X73" i="27"/>
  <c r="T71" i="27"/>
  <c r="V66" i="27"/>
  <c r="X137" i="27"/>
  <c r="T135" i="27"/>
  <c r="V132" i="27"/>
  <c r="X125" i="27"/>
  <c r="T116" i="27"/>
  <c r="V113" i="27"/>
  <c r="U104" i="27"/>
  <c r="W100" i="27"/>
  <c r="S98" i="27"/>
  <c r="U95" i="27"/>
  <c r="W92" i="27"/>
  <c r="S89" i="27"/>
  <c r="U84" i="27"/>
  <c r="W80" i="27"/>
  <c r="S78" i="27"/>
  <c r="U74" i="27"/>
  <c r="W71" i="27"/>
  <c r="U210" i="27"/>
  <c r="S140" i="27"/>
  <c r="U136" i="27"/>
  <c r="W133" i="27"/>
  <c r="S131" i="27"/>
  <c r="U121" i="27"/>
  <c r="W114" i="27"/>
  <c r="S112" i="27"/>
  <c r="V105" i="27"/>
  <c r="X102" i="27"/>
  <c r="T99" i="27"/>
  <c r="V96" i="27"/>
  <c r="X93" i="27"/>
  <c r="T90" i="27"/>
  <c r="V87" i="27"/>
  <c r="X82" i="27"/>
  <c r="T79" i="27"/>
  <c r="V76" i="27"/>
  <c r="X72" i="27"/>
  <c r="T68" i="27"/>
  <c r="V64" i="27"/>
  <c r="V137" i="27"/>
  <c r="X134" i="27"/>
  <c r="T132" i="27"/>
  <c r="V125" i="27"/>
  <c r="X115" i="27"/>
  <c r="T113" i="27"/>
  <c r="W107" i="27"/>
  <c r="S104" i="27"/>
  <c r="U100" i="27"/>
  <c r="W97" i="27"/>
  <c r="S95" i="27"/>
  <c r="U92" i="27"/>
  <c r="W88" i="27"/>
  <c r="S84" i="27"/>
  <c r="U80" i="27"/>
  <c r="W77" i="27"/>
  <c r="S74" i="27"/>
  <c r="U71" i="27"/>
  <c r="V63" i="27"/>
  <c r="X60" i="27"/>
  <c r="T57" i="27"/>
  <c r="V51" i="27"/>
  <c r="W136" i="27"/>
  <c r="S134" i="27"/>
  <c r="U131" i="27"/>
  <c r="W121" i="27"/>
  <c r="S115" i="27"/>
  <c r="U112" i="27"/>
  <c r="X105" i="27"/>
  <c r="T103" i="27"/>
  <c r="V99" i="27"/>
  <c r="X96" i="27"/>
  <c r="T94" i="27"/>
  <c r="V90" i="27"/>
  <c r="X87" i="27"/>
  <c r="T83" i="27"/>
  <c r="V79" i="27"/>
  <c r="X76" i="27"/>
  <c r="T73" i="27"/>
  <c r="V68" i="27"/>
  <c r="X64" i="27"/>
  <c r="X140" i="27"/>
  <c r="T137" i="27"/>
  <c r="V134" i="27"/>
  <c r="X131" i="27"/>
  <c r="T125" i="27"/>
  <c r="V115" i="27"/>
  <c r="X112" i="27"/>
  <c r="U107" i="27"/>
  <c r="W103" i="27"/>
  <c r="S100" i="27"/>
  <c r="U97" i="27"/>
  <c r="W94" i="27"/>
  <c r="S92" i="27"/>
  <c r="U88" i="27"/>
  <c r="W83" i="27"/>
  <c r="S80" i="27"/>
  <c r="U77" i="27"/>
  <c r="W73" i="27"/>
  <c r="S71" i="27"/>
  <c r="U138" i="27"/>
  <c r="W135" i="27"/>
  <c r="S133" i="27"/>
  <c r="U130" i="27"/>
  <c r="W116" i="27"/>
  <c r="S114" i="27"/>
  <c r="U111" i="27"/>
  <c r="X104" i="27"/>
  <c r="T102" i="27"/>
  <c r="V98" i="27"/>
  <c r="X95" i="27"/>
  <c r="T93" i="27"/>
  <c r="V89" i="27"/>
  <c r="X84" i="27"/>
  <c r="T82" i="27"/>
  <c r="V78" i="27"/>
  <c r="X74" i="27"/>
  <c r="T72" i="27"/>
  <c r="V67" i="27"/>
  <c r="X210" i="27"/>
  <c r="V140" i="27"/>
  <c r="X136" i="27"/>
  <c r="T134" i="27"/>
  <c r="V131" i="27"/>
  <c r="X121" i="27"/>
  <c r="T115" i="27"/>
  <c r="V112" i="27"/>
  <c r="S107" i="27"/>
  <c r="U103" i="27"/>
  <c r="W99" i="27"/>
  <c r="S97" i="27"/>
  <c r="U94" i="27"/>
  <c r="W90" i="27"/>
  <c r="S88" i="27"/>
  <c r="U83" i="27"/>
  <c r="W79" i="27"/>
  <c r="S77" i="27"/>
  <c r="U73" i="27"/>
  <c r="S68" i="27"/>
  <c r="X62" i="27"/>
  <c r="T60" i="27"/>
  <c r="V55" i="27"/>
  <c r="X50" i="27"/>
  <c r="T64" i="27"/>
  <c r="X57" i="27"/>
  <c r="V48" i="27"/>
  <c r="X45" i="27"/>
  <c r="T42" i="27"/>
  <c r="V37" i="27"/>
  <c r="X33" i="27"/>
  <c r="T30" i="27"/>
  <c r="V25" i="27"/>
  <c r="X21" i="27"/>
  <c r="T19" i="27"/>
  <c r="V16" i="27"/>
  <c r="X12" i="27"/>
  <c r="T10" i="27"/>
  <c r="V7" i="27"/>
  <c r="X4" i="27"/>
  <c r="S66" i="27"/>
  <c r="S62" i="27"/>
  <c r="U58" i="27"/>
  <c r="W52" i="27"/>
  <c r="S50" i="27"/>
  <c r="U46" i="27"/>
  <c r="W42" i="27"/>
  <c r="S38" i="27"/>
  <c r="U35" i="27"/>
  <c r="W30" i="27"/>
  <c r="S26" i="27"/>
  <c r="U22" i="27"/>
  <c r="W19" i="27"/>
  <c r="S17" i="27"/>
  <c r="U13" i="27"/>
  <c r="W10" i="27"/>
  <c r="S8" i="27"/>
  <c r="U5" i="27"/>
  <c r="S67" i="27"/>
  <c r="V62" i="27"/>
  <c r="X58" i="27"/>
  <c r="T55" i="27"/>
  <c r="V50" i="27"/>
  <c r="X46" i="27"/>
  <c r="T44" i="27"/>
  <c r="V38" i="27"/>
  <c r="X35" i="27"/>
  <c r="T31" i="27"/>
  <c r="V26" i="27"/>
  <c r="X22" i="27"/>
  <c r="T20" i="27"/>
  <c r="V17" i="27"/>
  <c r="X13" i="27"/>
  <c r="T11" i="27"/>
  <c r="V8" i="27"/>
  <c r="X5" i="27"/>
  <c r="T3" i="27"/>
  <c r="U64" i="27"/>
  <c r="W61" i="27"/>
  <c r="S58" i="27"/>
  <c r="U52" i="27"/>
  <c r="W48" i="27"/>
  <c r="S46" i="27"/>
  <c r="U42" i="27"/>
  <c r="W37" i="27"/>
  <c r="S35" i="27"/>
  <c r="U30" i="27"/>
  <c r="W25" i="27"/>
  <c r="S22" i="27"/>
  <c r="U19" i="27"/>
  <c r="W16" i="27"/>
  <c r="S13" i="27"/>
  <c r="W7" i="27"/>
  <c r="T62" i="27"/>
  <c r="X52" i="27"/>
  <c r="X47" i="27"/>
  <c r="T45" i="27"/>
  <c r="V39" i="27"/>
  <c r="X36" i="27"/>
  <c r="T33" i="27"/>
  <c r="V27" i="27"/>
  <c r="X23" i="27"/>
  <c r="T21" i="27"/>
  <c r="V18" i="27"/>
  <c r="X14" i="27"/>
  <c r="T12" i="27"/>
  <c r="V9" i="27"/>
  <c r="X6" i="27"/>
  <c r="T4" i="27"/>
  <c r="S64" i="27"/>
  <c r="U61" i="27"/>
  <c r="W57" i="27"/>
  <c r="S52" i="27"/>
  <c r="U48" i="27"/>
  <c r="W45" i="27"/>
  <c r="S42" i="27"/>
  <c r="U37" i="27"/>
  <c r="W33" i="27"/>
  <c r="S30" i="27"/>
  <c r="U25" i="27"/>
  <c r="W21" i="27"/>
  <c r="S19" i="27"/>
  <c r="U16" i="27"/>
  <c r="W12" i="27"/>
  <c r="S10" i="27"/>
  <c r="U7" i="27"/>
  <c r="W4" i="27"/>
  <c r="W64" i="27"/>
  <c r="X61" i="27"/>
  <c r="T58" i="27"/>
  <c r="V52" i="27"/>
  <c r="X48" i="27"/>
  <c r="T46" i="27"/>
  <c r="V42" i="27"/>
  <c r="X37" i="27"/>
  <c r="T35" i="27"/>
  <c r="V30" i="27"/>
  <c r="X25" i="27"/>
  <c r="T22" i="27"/>
  <c r="V19" i="27"/>
  <c r="X16" i="27"/>
  <c r="T13" i="27"/>
  <c r="V10" i="27"/>
  <c r="X7" i="27"/>
  <c r="T5" i="27"/>
  <c r="S3" i="27"/>
  <c r="W63" i="27"/>
  <c r="S61" i="27"/>
  <c r="U57" i="27"/>
  <c r="W51" i="27"/>
  <c r="S48" i="27"/>
  <c r="U45" i="27"/>
  <c r="W39" i="27"/>
  <c r="S37" i="27"/>
  <c r="U33" i="27"/>
  <c r="W27" i="27"/>
  <c r="S25" i="27"/>
  <c r="U21" i="27"/>
  <c r="W18" i="27"/>
  <c r="S16" i="27"/>
  <c r="U12" i="27"/>
  <c r="W9" i="27"/>
  <c r="S7" i="27"/>
  <c r="U4" i="27"/>
  <c r="S9" i="27"/>
  <c r="V61" i="27"/>
  <c r="T52" i="27"/>
  <c r="T47" i="27"/>
  <c r="V44" i="27"/>
  <c r="X38" i="27"/>
  <c r="T36" i="27"/>
  <c r="V31" i="27"/>
  <c r="X26" i="27"/>
  <c r="T23" i="27"/>
  <c r="V20" i="27"/>
  <c r="X17" i="27"/>
  <c r="T14" i="27"/>
  <c r="V11" i="27"/>
  <c r="X8" i="27"/>
  <c r="T6" i="27"/>
  <c r="V3" i="27"/>
  <c r="U63" i="27"/>
  <c r="W60" i="27"/>
  <c r="S57" i="27"/>
  <c r="U51" i="27"/>
  <c r="W47" i="27"/>
  <c r="S45" i="27"/>
  <c r="U39" i="27"/>
  <c r="W36" i="27"/>
  <c r="S33" i="27"/>
  <c r="U27" i="27"/>
  <c r="W23" i="27"/>
  <c r="S21" i="27"/>
  <c r="U18" i="27"/>
  <c r="W14" i="27"/>
  <c r="S12" i="27"/>
  <c r="U9" i="27"/>
  <c r="W6" i="27"/>
  <c r="S4" i="27"/>
  <c r="X63" i="27"/>
  <c r="T61" i="27"/>
  <c r="V57" i="27"/>
  <c r="X51" i="27"/>
  <c r="T48" i="27"/>
  <c r="V45" i="27"/>
  <c r="X39" i="27"/>
  <c r="T37" i="27"/>
  <c r="V33" i="27"/>
  <c r="X27" i="27"/>
  <c r="T25" i="27"/>
  <c r="V21" i="27"/>
  <c r="X18" i="27"/>
  <c r="T16" i="27"/>
  <c r="V12" i="27"/>
  <c r="X9" i="27"/>
  <c r="T7" i="27"/>
  <c r="V4" i="27"/>
  <c r="W68" i="27"/>
  <c r="S63" i="27"/>
  <c r="U60" i="27"/>
  <c r="W55" i="27"/>
  <c r="S51" i="27"/>
  <c r="U47" i="27"/>
  <c r="W44" i="27"/>
  <c r="S39" i="27"/>
  <c r="U36" i="27"/>
  <c r="W31" i="27"/>
  <c r="S27" i="27"/>
  <c r="U23" i="27"/>
  <c r="W20" i="27"/>
  <c r="S18" i="27"/>
  <c r="U14" i="27"/>
  <c r="W11" i="27"/>
  <c r="U6" i="27"/>
  <c r="V58" i="27"/>
  <c r="T50" i="27"/>
  <c r="V46" i="27"/>
  <c r="X42" i="27"/>
  <c r="T38" i="27"/>
  <c r="V35" i="27"/>
  <c r="X30" i="27"/>
  <c r="T26" i="27"/>
  <c r="V22" i="27"/>
  <c r="X19" i="27"/>
  <c r="T17" i="27"/>
  <c r="V13" i="27"/>
  <c r="X10" i="27"/>
  <c r="T8" i="27"/>
  <c r="V5" i="27"/>
  <c r="U67" i="27"/>
  <c r="W62" i="27"/>
  <c r="S60" i="27"/>
  <c r="U55" i="27"/>
  <c r="W50" i="27"/>
  <c r="S47" i="27"/>
  <c r="U44" i="27"/>
  <c r="W38" i="27"/>
  <c r="S36" i="27"/>
  <c r="U31" i="27"/>
  <c r="W26" i="27"/>
  <c r="S23" i="27"/>
  <c r="U20" i="27"/>
  <c r="W17" i="27"/>
  <c r="S14" i="27"/>
  <c r="U11" i="27"/>
  <c r="W8" i="27"/>
  <c r="S6" i="27"/>
  <c r="U3" i="27"/>
  <c r="T63" i="27"/>
  <c r="V60" i="27"/>
  <c r="X55" i="27"/>
  <c r="T51" i="27"/>
  <c r="V47" i="27"/>
  <c r="X44" i="27"/>
  <c r="T39" i="27"/>
  <c r="V36" i="27"/>
  <c r="X31" i="27"/>
  <c r="T27" i="27"/>
  <c r="V23" i="27"/>
  <c r="X20" i="27"/>
  <c r="T18" i="27"/>
  <c r="V14" i="27"/>
  <c r="X11" i="27"/>
  <c r="T9" i="27"/>
  <c r="V6" i="27"/>
  <c r="X3" i="27"/>
  <c r="W66" i="27"/>
  <c r="U62" i="27"/>
  <c r="W58" i="27"/>
  <c r="S55" i="27"/>
  <c r="U50" i="27"/>
  <c r="W46" i="27"/>
  <c r="S44" i="27"/>
  <c r="U38" i="27"/>
  <c r="W35" i="27"/>
  <c r="S31" i="27"/>
  <c r="U26" i="27"/>
  <c r="W22" i="27"/>
  <c r="S20" i="27"/>
  <c r="U17" i="27"/>
  <c r="W13" i="27"/>
  <c r="S11" i="27"/>
  <c r="U8" i="27"/>
  <c r="W5" i="27"/>
  <c r="W3" i="27"/>
  <c r="U10" i="27"/>
  <c r="S5" i="27"/>
  <c r="C175" i="27" l="1"/>
  <c r="C172" i="27"/>
  <c r="C169" i="27"/>
  <c r="C166" i="27"/>
  <c r="C163" i="27"/>
  <c r="C160" i="27"/>
  <c r="C157" i="27"/>
  <c r="C154" i="27"/>
  <c r="C151" i="27"/>
  <c r="C148" i="27"/>
  <c r="C176" i="27"/>
  <c r="C173" i="27"/>
  <c r="C170" i="27"/>
  <c r="C167" i="27"/>
  <c r="C164" i="27"/>
  <c r="C161" i="27"/>
  <c r="C158" i="27"/>
  <c r="C155" i="27"/>
  <c r="C152" i="27"/>
  <c r="C149" i="27"/>
  <c r="C177" i="27"/>
  <c r="C174" i="27"/>
  <c r="C171" i="27"/>
  <c r="C168" i="27"/>
  <c r="C165" i="27"/>
  <c r="C162" i="27"/>
  <c r="C159" i="27"/>
  <c r="C156" i="27"/>
  <c r="C153" i="27"/>
  <c r="C150" i="27"/>
  <c r="D47" i="22"/>
  <c r="E162" i="27" s="1"/>
  <c r="D46" i="22"/>
  <c r="E161" i="27" s="1"/>
  <c r="D43" i="22"/>
  <c r="E158" i="27" s="1"/>
  <c r="D40" i="22"/>
  <c r="E155" i="27" s="1"/>
  <c r="D37" i="22"/>
  <c r="E152" i="27" s="1"/>
  <c r="D34" i="22"/>
  <c r="E149" i="27" s="1"/>
  <c r="D57" i="22"/>
  <c r="E172" i="27" s="1"/>
  <c r="D53" i="22"/>
  <c r="E168" i="27" s="1"/>
  <c r="D50" i="22"/>
  <c r="E165" i="27" s="1"/>
  <c r="D60" i="22"/>
  <c r="E175" i="27" s="1"/>
  <c r="D52" i="22"/>
  <c r="E167" i="27" s="1"/>
  <c r="D49" i="22"/>
  <c r="E164" i="27" s="1"/>
  <c r="D48" i="22"/>
  <c r="E163" i="27" s="1"/>
  <c r="B31" i="19"/>
  <c r="B32" i="19" s="1"/>
  <c r="C211" i="27"/>
  <c r="C212" i="27"/>
  <c r="C209" i="27"/>
  <c r="C210" i="27"/>
  <c r="C44" i="27"/>
  <c r="C41" i="27"/>
  <c r="C42" i="27"/>
  <c r="D35" i="25"/>
  <c r="D37" i="25"/>
  <c r="D34" i="25"/>
  <c r="C43" i="27"/>
  <c r="C100" i="27"/>
  <c r="C97" i="27"/>
  <c r="C94" i="27"/>
  <c r="C101" i="27"/>
  <c r="C98" i="27"/>
  <c r="C95" i="27"/>
  <c r="C99" i="27"/>
  <c r="C96" i="27"/>
  <c r="D43" i="26"/>
  <c r="E101" i="27" s="1"/>
  <c r="D37" i="26"/>
  <c r="E95" i="27" s="1"/>
  <c r="C93" i="27"/>
  <c r="D41" i="26"/>
  <c r="E99" i="27" s="1"/>
  <c r="D35" i="26"/>
  <c r="E93" i="27" s="1"/>
  <c r="D42" i="26"/>
  <c r="E100" i="27" s="1"/>
  <c r="D40" i="26"/>
  <c r="E98" i="27" s="1"/>
  <c r="D39" i="26"/>
  <c r="E97" i="27" s="1"/>
  <c r="D38" i="26"/>
  <c r="E96" i="27" s="1"/>
  <c r="D36" i="26"/>
  <c r="E94" i="27" s="1"/>
  <c r="C187" i="27"/>
  <c r="C184" i="27"/>
  <c r="C181" i="27"/>
  <c r="C178" i="27"/>
  <c r="C188" i="27"/>
  <c r="C185" i="27"/>
  <c r="C182" i="27"/>
  <c r="C179" i="27"/>
  <c r="C186" i="27"/>
  <c r="C183" i="27"/>
  <c r="C180" i="27"/>
  <c r="D40" i="18"/>
  <c r="E183" i="27" s="1"/>
  <c r="D44" i="18"/>
  <c r="E187" i="27" s="1"/>
  <c r="D38" i="18"/>
  <c r="E181" i="27" s="1"/>
  <c r="D37" i="18"/>
  <c r="E180" i="27" s="1"/>
  <c r="D45" i="18"/>
  <c r="E188" i="27" s="1"/>
  <c r="D36" i="18"/>
  <c r="E179" i="27" s="1"/>
  <c r="D43" i="18"/>
  <c r="E186" i="27" s="1"/>
  <c r="D35" i="18"/>
  <c r="E178" i="27" s="1"/>
  <c r="D42" i="18"/>
  <c r="E185" i="27" s="1"/>
  <c r="D41" i="18"/>
  <c r="E184" i="27" s="1"/>
  <c r="D39" i="18"/>
  <c r="E182" i="27" s="1"/>
  <c r="D36" i="25"/>
  <c r="D41" i="1"/>
  <c r="E11" i="27" s="1"/>
  <c r="C208" i="27"/>
  <c r="C205" i="27"/>
  <c r="C206" i="27"/>
  <c r="C207" i="27"/>
  <c r="C17" i="27"/>
  <c r="C18" i="27"/>
  <c r="C19" i="27"/>
  <c r="D37" i="5"/>
  <c r="C16" i="27"/>
  <c r="D36" i="5"/>
  <c r="D35" i="5"/>
  <c r="D34" i="5"/>
  <c r="C92" i="27"/>
  <c r="C89" i="27"/>
  <c r="C86" i="27"/>
  <c r="C83" i="27"/>
  <c r="C74" i="27"/>
  <c r="C71" i="27"/>
  <c r="C68" i="27"/>
  <c r="C59" i="27"/>
  <c r="C56" i="27"/>
  <c r="C53" i="27"/>
  <c r="C50" i="27"/>
  <c r="C35" i="27"/>
  <c r="C32" i="27"/>
  <c r="C29" i="27"/>
  <c r="C26" i="27"/>
  <c r="C90" i="27"/>
  <c r="C87" i="27"/>
  <c r="C84" i="27"/>
  <c r="C75" i="27"/>
  <c r="C72" i="27"/>
  <c r="C69" i="27"/>
  <c r="C66" i="27"/>
  <c r="C60" i="27"/>
  <c r="C57" i="27"/>
  <c r="C54" i="27"/>
  <c r="C51" i="27"/>
  <c r="C33" i="27"/>
  <c r="C30" i="27"/>
  <c r="C27" i="27"/>
  <c r="D36" i="20"/>
  <c r="C85" i="27"/>
  <c r="C76" i="27"/>
  <c r="C67" i="27"/>
  <c r="C58" i="27"/>
  <c r="C28" i="27"/>
  <c r="D41" i="20"/>
  <c r="D35" i="20"/>
  <c r="D40" i="20"/>
  <c r="D34" i="20"/>
  <c r="C91" i="27"/>
  <c r="C82" i="27"/>
  <c r="C73" i="27"/>
  <c r="C55" i="27"/>
  <c r="C34" i="27"/>
  <c r="C25" i="27"/>
  <c r="D39" i="20"/>
  <c r="D33" i="20"/>
  <c r="D38" i="20"/>
  <c r="D32" i="20"/>
  <c r="C88" i="27"/>
  <c r="C70" i="27"/>
  <c r="C52" i="27"/>
  <c r="C31" i="27"/>
  <c r="D37" i="20"/>
  <c r="D31" i="20"/>
  <c r="C136" i="27"/>
  <c r="C133" i="27"/>
  <c r="C130" i="27"/>
  <c r="C137" i="27"/>
  <c r="C134" i="27"/>
  <c r="C131" i="27"/>
  <c r="C135" i="27"/>
  <c r="C132" i="27"/>
  <c r="D39" i="21"/>
  <c r="E135" i="27" s="1"/>
  <c r="D38" i="21"/>
  <c r="E134" i="27" s="1"/>
  <c r="D37" i="21"/>
  <c r="E133" i="27" s="1"/>
  <c r="D36" i="21"/>
  <c r="E132" i="27" s="1"/>
  <c r="D41" i="21"/>
  <c r="E137" i="27" s="1"/>
  <c r="D35" i="21"/>
  <c r="E131" i="27" s="1"/>
  <c r="D40" i="21"/>
  <c r="E136" i="27" s="1"/>
  <c r="B9" i="1"/>
  <c r="B30" i="1" s="1"/>
  <c r="B31" i="1" s="1"/>
  <c r="B9" i="19"/>
  <c r="D35" i="22"/>
  <c r="E150" i="27" s="1"/>
  <c r="D38" i="22"/>
  <c r="E153" i="27" s="1"/>
  <c r="D41" i="22"/>
  <c r="E156" i="27" s="1"/>
  <c r="D44" i="22"/>
  <c r="E159" i="27" s="1"/>
  <c r="D170" i="27"/>
  <c r="D55" i="22"/>
  <c r="E170" i="27" s="1"/>
  <c r="D144" i="27"/>
  <c r="D11" i="23"/>
  <c r="E144" i="27" s="1"/>
  <c r="D119" i="27"/>
  <c r="B13" i="29"/>
  <c r="B36" i="29" s="1"/>
  <c r="B37" i="29" s="1"/>
  <c r="D171" i="27"/>
  <c r="D56" i="22"/>
  <c r="E171" i="27" s="1"/>
  <c r="D145" i="27"/>
  <c r="D12" i="23"/>
  <c r="E145" i="27" s="1"/>
  <c r="D111" i="27"/>
  <c r="D120" i="27"/>
  <c r="B9" i="16"/>
  <c r="B30" i="16" s="1"/>
  <c r="B31" i="16" s="1"/>
  <c r="D33" i="22"/>
  <c r="E148" i="27" s="1"/>
  <c r="D36" i="22"/>
  <c r="E151" i="27" s="1"/>
  <c r="D39" i="22"/>
  <c r="E154" i="27" s="1"/>
  <c r="D42" i="22"/>
  <c r="E157" i="27" s="1"/>
  <c r="D45" i="22"/>
  <c r="E160" i="27" s="1"/>
  <c r="D176" i="27"/>
  <c r="D61" i="22"/>
  <c r="E176" i="27" s="1"/>
  <c r="D116" i="27"/>
  <c r="D125" i="27"/>
  <c r="D177" i="27"/>
  <c r="D62" i="22"/>
  <c r="E177" i="27" s="1"/>
  <c r="D107" i="27"/>
  <c r="D117" i="27"/>
  <c r="D126" i="27"/>
  <c r="D173" i="27"/>
  <c r="D58" i="22"/>
  <c r="E173" i="27" s="1"/>
  <c r="C145" i="27"/>
  <c r="C146" i="27"/>
  <c r="C143" i="27"/>
  <c r="C147" i="27"/>
  <c r="C144" i="27"/>
  <c r="D14" i="23"/>
  <c r="E147" i="27" s="1"/>
  <c r="D113" i="27"/>
  <c r="D122" i="27"/>
  <c r="D34" i="21"/>
  <c r="E130" i="27" s="1"/>
  <c r="D51" i="22"/>
  <c r="E166" i="27" s="1"/>
  <c r="D54" i="22"/>
  <c r="E169" i="27" s="1"/>
  <c r="D174" i="27"/>
  <c r="D59" i="22"/>
  <c r="E174" i="27" s="1"/>
  <c r="D10" i="23"/>
  <c r="E143" i="27" s="1"/>
  <c r="B27" i="24"/>
  <c r="B28" i="24" s="1"/>
  <c r="D40" i="24" s="1"/>
  <c r="E111" i="27" s="1"/>
  <c r="D114" i="27"/>
  <c r="D123" i="27"/>
  <c r="D211" i="27"/>
  <c r="D43" i="27"/>
  <c r="D216" i="27"/>
  <c r="D42" i="27"/>
  <c r="C220" i="27" l="1"/>
  <c r="C217" i="27"/>
  <c r="C214" i="27"/>
  <c r="C218" i="27"/>
  <c r="C215" i="27"/>
  <c r="C219" i="27"/>
  <c r="C216" i="27"/>
  <c r="C213" i="27"/>
  <c r="D47" i="29"/>
  <c r="E220" i="27" s="1"/>
  <c r="D42" i="29"/>
  <c r="E215" i="27" s="1"/>
  <c r="D46" i="29"/>
  <c r="E219" i="27" s="1"/>
  <c r="D41" i="29"/>
  <c r="E214" i="27" s="1"/>
  <c r="D40" i="29"/>
  <c r="E213" i="27" s="1"/>
  <c r="D44" i="29"/>
  <c r="E217" i="27" s="1"/>
  <c r="D43" i="29"/>
  <c r="E216" i="27" s="1"/>
  <c r="D45" i="29"/>
  <c r="E218" i="27" s="1"/>
  <c r="E90" i="27"/>
  <c r="E33" i="27"/>
  <c r="E58" i="27"/>
  <c r="E74" i="27"/>
  <c r="D54" i="24"/>
  <c r="E125" i="27" s="1"/>
  <c r="D47" i="24"/>
  <c r="E118" i="27" s="1"/>
  <c r="D49" i="24"/>
  <c r="E120" i="27" s="1"/>
  <c r="E51" i="27"/>
  <c r="E67" i="27"/>
  <c r="E83" i="27"/>
  <c r="E26" i="27"/>
  <c r="D34" i="24"/>
  <c r="E105" i="27" s="1"/>
  <c r="E72" i="27"/>
  <c r="E88" i="27"/>
  <c r="E31" i="27"/>
  <c r="E56" i="27"/>
  <c r="D43" i="24"/>
  <c r="E114" i="27" s="1"/>
  <c r="D42" i="24"/>
  <c r="E113" i="27" s="1"/>
  <c r="D31" i="24"/>
  <c r="E102" i="27" s="1"/>
  <c r="C14" i="27"/>
  <c r="C11" i="27"/>
  <c r="C8" i="27"/>
  <c r="C5" i="27"/>
  <c r="C15" i="27"/>
  <c r="C12" i="27"/>
  <c r="C9" i="27"/>
  <c r="C6" i="27"/>
  <c r="D45" i="1"/>
  <c r="E15" i="27" s="1"/>
  <c r="D36" i="1"/>
  <c r="E6" i="27" s="1"/>
  <c r="C10" i="27"/>
  <c r="D44" i="1"/>
  <c r="E14" i="27" s="1"/>
  <c r="D35" i="1"/>
  <c r="E5" i="27" s="1"/>
  <c r="D43" i="1"/>
  <c r="E13" i="27" s="1"/>
  <c r="D40" i="1"/>
  <c r="E10" i="27" s="1"/>
  <c r="D34" i="1"/>
  <c r="E4" i="27" s="1"/>
  <c r="C7" i="27"/>
  <c r="D39" i="1"/>
  <c r="E9" i="27" s="1"/>
  <c r="D42" i="1"/>
  <c r="E12" i="27" s="1"/>
  <c r="D38" i="1"/>
  <c r="E8" i="27" s="1"/>
  <c r="C13" i="27"/>
  <c r="C4" i="27"/>
  <c r="D37" i="1"/>
  <c r="E7" i="27" s="1"/>
  <c r="E84" i="27"/>
  <c r="E27" i="27"/>
  <c r="E52" i="27"/>
  <c r="E68" i="27"/>
  <c r="E206" i="27"/>
  <c r="E17" i="27"/>
  <c r="E211" i="27"/>
  <c r="E43" i="27"/>
  <c r="E209" i="27"/>
  <c r="E41" i="27"/>
  <c r="C127" i="27"/>
  <c r="C124" i="27"/>
  <c r="C121" i="27"/>
  <c r="C118" i="27"/>
  <c r="C115" i="27"/>
  <c r="C112" i="27"/>
  <c r="C109" i="27"/>
  <c r="C106" i="27"/>
  <c r="C103" i="27"/>
  <c r="C128" i="27"/>
  <c r="C125" i="27"/>
  <c r="C122" i="27"/>
  <c r="C119" i="27"/>
  <c r="C116" i="27"/>
  <c r="C113" i="27"/>
  <c r="C110" i="27"/>
  <c r="C107" i="27"/>
  <c r="C104" i="27"/>
  <c r="C129" i="27"/>
  <c r="C126" i="27"/>
  <c r="C123" i="27"/>
  <c r="C120" i="27"/>
  <c r="C117" i="27"/>
  <c r="C114" i="27"/>
  <c r="C111" i="27"/>
  <c r="C108" i="27"/>
  <c r="C105" i="27"/>
  <c r="C102" i="27"/>
  <c r="D39" i="24"/>
  <c r="E110" i="27" s="1"/>
  <c r="D35" i="24"/>
  <c r="E106" i="27" s="1"/>
  <c r="D57" i="24"/>
  <c r="E128" i="27" s="1"/>
  <c r="D56" i="24"/>
  <c r="E127" i="27" s="1"/>
  <c r="D37" i="24"/>
  <c r="E108" i="27" s="1"/>
  <c r="D32" i="24"/>
  <c r="E103" i="27" s="1"/>
  <c r="D50" i="24"/>
  <c r="E121" i="27" s="1"/>
  <c r="D41" i="24"/>
  <c r="E112" i="27" s="1"/>
  <c r="D53" i="24"/>
  <c r="E124" i="27" s="1"/>
  <c r="D44" i="24"/>
  <c r="E115" i="27" s="1"/>
  <c r="D58" i="24"/>
  <c r="E129" i="27" s="1"/>
  <c r="D33" i="24"/>
  <c r="E104" i="27" s="1"/>
  <c r="D46" i="24"/>
  <c r="E117" i="27" s="1"/>
  <c r="D48" i="24"/>
  <c r="E119" i="27" s="1"/>
  <c r="E212" i="27"/>
  <c r="E44" i="27"/>
  <c r="C202" i="27"/>
  <c r="C199" i="27"/>
  <c r="C196" i="27"/>
  <c r="C203" i="27"/>
  <c r="C200" i="27"/>
  <c r="C197" i="27"/>
  <c r="C194" i="27"/>
  <c r="C204" i="27"/>
  <c r="C201" i="27"/>
  <c r="C198" i="27"/>
  <c r="C195" i="27"/>
  <c r="D40" i="16"/>
  <c r="E200" i="27" s="1"/>
  <c r="D34" i="16"/>
  <c r="E194" i="27" s="1"/>
  <c r="D39" i="16"/>
  <c r="E199" i="27" s="1"/>
  <c r="D42" i="16"/>
  <c r="E202" i="27" s="1"/>
  <c r="D38" i="16"/>
  <c r="E198" i="27" s="1"/>
  <c r="D37" i="16"/>
  <c r="E197" i="27" s="1"/>
  <c r="D41" i="16"/>
  <c r="E201" i="27" s="1"/>
  <c r="D36" i="16"/>
  <c r="E196" i="27" s="1"/>
  <c r="D44" i="16"/>
  <c r="E204" i="27" s="1"/>
  <c r="D35" i="16"/>
  <c r="E195" i="27" s="1"/>
  <c r="D38" i="24"/>
  <c r="E109" i="27" s="1"/>
  <c r="E69" i="27"/>
  <c r="E85" i="27"/>
  <c r="E28" i="27"/>
  <c r="E53" i="27"/>
  <c r="E210" i="27"/>
  <c r="E42" i="27"/>
  <c r="D52" i="24"/>
  <c r="E123" i="27" s="1"/>
  <c r="D36" i="24"/>
  <c r="E107" i="27" s="1"/>
  <c r="E75" i="27"/>
  <c r="E91" i="27"/>
  <c r="E34" i="27"/>
  <c r="E59" i="27"/>
  <c r="E208" i="27"/>
  <c r="E19" i="27"/>
  <c r="C193" i="27"/>
  <c r="C190" i="27"/>
  <c r="C142" i="27"/>
  <c r="C139" i="27"/>
  <c r="C191" i="27"/>
  <c r="C140" i="27"/>
  <c r="C192" i="27"/>
  <c r="C189" i="27"/>
  <c r="C141" i="27"/>
  <c r="C138" i="27"/>
  <c r="C80" i="27"/>
  <c r="C77" i="27"/>
  <c r="C65" i="27"/>
  <c r="C62" i="27"/>
  <c r="C47" i="27"/>
  <c r="C38" i="27"/>
  <c r="C23" i="27"/>
  <c r="C20" i="27"/>
  <c r="C81" i="27"/>
  <c r="C78" i="27"/>
  <c r="C63" i="27"/>
  <c r="C48" i="27"/>
  <c r="C45" i="27"/>
  <c r="C39" i="27"/>
  <c r="C36" i="27"/>
  <c r="C24" i="27"/>
  <c r="C21" i="27"/>
  <c r="D36" i="19"/>
  <c r="C49" i="27"/>
  <c r="C37" i="27"/>
  <c r="D35" i="19"/>
  <c r="C64" i="27"/>
  <c r="C46" i="27"/>
  <c r="D39" i="19"/>
  <c r="D38" i="19"/>
  <c r="C79" i="27"/>
  <c r="C61" i="27"/>
  <c r="C40" i="27"/>
  <c r="C22" i="27"/>
  <c r="D37" i="19"/>
  <c r="E207" i="27"/>
  <c r="E18" i="27"/>
  <c r="D43" i="16"/>
  <c r="E203" i="27" s="1"/>
  <c r="D51" i="24"/>
  <c r="E122" i="27" s="1"/>
  <c r="D45" i="24"/>
  <c r="E116" i="27" s="1"/>
  <c r="E66" i="27"/>
  <c r="E82" i="27"/>
  <c r="E25" i="27"/>
  <c r="E50" i="27"/>
  <c r="E54" i="27"/>
  <c r="E70" i="27"/>
  <c r="E86" i="27"/>
  <c r="E29" i="27"/>
  <c r="D55" i="24"/>
  <c r="E126" i="27" s="1"/>
  <c r="E57" i="27"/>
  <c r="E73" i="27"/>
  <c r="E89" i="27"/>
  <c r="E32" i="27"/>
  <c r="E60" i="27"/>
  <c r="E76" i="27"/>
  <c r="E92" i="27"/>
  <c r="E35" i="27"/>
  <c r="E87" i="27"/>
  <c r="E30" i="27"/>
  <c r="E55" i="27"/>
  <c r="E71" i="27"/>
  <c r="E205" i="27"/>
  <c r="E16" i="27"/>
  <c r="E193" i="27" l="1"/>
  <c r="E142" i="27"/>
  <c r="E81" i="27"/>
  <c r="E24" i="27"/>
  <c r="E49" i="27"/>
  <c r="E40" i="27"/>
  <c r="E65" i="27"/>
  <c r="E190" i="27"/>
  <c r="E139" i="27"/>
  <c r="E78" i="27"/>
  <c r="E21" i="27"/>
  <c r="E46" i="27"/>
  <c r="E37" i="27"/>
  <c r="E62" i="27"/>
  <c r="E189" i="27"/>
  <c r="E138" i="27"/>
  <c r="E45" i="27"/>
  <c r="E36" i="27"/>
  <c r="E61" i="27"/>
  <c r="E77" i="27"/>
  <c r="E20" i="27"/>
  <c r="E192" i="27"/>
  <c r="E141" i="27"/>
  <c r="E48" i="27"/>
  <c r="E39" i="27"/>
  <c r="E64" i="27"/>
  <c r="E80" i="27"/>
  <c r="E23" i="27"/>
  <c r="E191" i="27"/>
  <c r="E140" i="27"/>
  <c r="E63" i="27"/>
  <c r="E79" i="27"/>
  <c r="E22" i="27"/>
  <c r="E38" i="27"/>
  <c r="E47" i="27"/>
</calcChain>
</file>

<file path=xl/sharedStrings.xml><?xml version="1.0" encoding="utf-8"?>
<sst xmlns="http://schemas.openxmlformats.org/spreadsheetml/2006/main" count="8828" uniqueCount="1823">
  <si>
    <t>RIAC-HDBK-217Plus</t>
  </si>
  <si>
    <t>Pi-G</t>
  </si>
  <si>
    <t>Y</t>
  </si>
  <si>
    <t>Beta</t>
  </si>
  <si>
    <t>Lambda-OB</t>
  </si>
  <si>
    <t>Pi-DCO</t>
  </si>
  <si>
    <t>DC</t>
  </si>
  <si>
    <t>Justification</t>
  </si>
  <si>
    <t>Component</t>
  </si>
  <si>
    <t>Failure Rate Model</t>
  </si>
  <si>
    <t>RIAC-HDBK-217Plus Table 2.2.4-1</t>
  </si>
  <si>
    <t>RIAC-HDBK-217Plus Section 2.2.4</t>
  </si>
  <si>
    <t>Ea-op</t>
  </si>
  <si>
    <t>DC-1op</t>
  </si>
  <si>
    <t>T-AO</t>
  </si>
  <si>
    <t>T-R</t>
  </si>
  <si>
    <t>RIAC-HDBK-217Plus Table 2.2.4-1 (TR-Default)</t>
  </si>
  <si>
    <t>Pi-TO</t>
  </si>
  <si>
    <t>Lambda-EB</t>
  </si>
  <si>
    <t>DC-1nonop</t>
  </si>
  <si>
    <t>Pi-DCN</t>
  </si>
  <si>
    <t>RH</t>
  </si>
  <si>
    <t>Pi-RHT</t>
  </si>
  <si>
    <t>Ea-nonop</t>
  </si>
  <si>
    <t>T-AE</t>
  </si>
  <si>
    <t>Lambda-TCB</t>
  </si>
  <si>
    <t>CR</t>
  </si>
  <si>
    <t>Pi-CR</t>
  </si>
  <si>
    <t>CR1</t>
  </si>
  <si>
    <t>Pi-DT</t>
  </si>
  <si>
    <t>DT1</t>
  </si>
  <si>
    <t>Lambda-SJB</t>
  </si>
  <si>
    <t>Pi-SJDT</t>
  </si>
  <si>
    <t>Lambda-IND</t>
  </si>
  <si>
    <t>Lambda-P (FIT)</t>
  </si>
  <si>
    <t>Lambda-P (1/h)</t>
  </si>
  <si>
    <t>Lambda-P (FIT) / 1000000</t>
  </si>
  <si>
    <t>Perda de alimentação</t>
  </si>
  <si>
    <t>Probability</t>
  </si>
  <si>
    <t>Perda de integridade de dados</t>
  </si>
  <si>
    <t>Lentidão de acesso</t>
  </si>
  <si>
    <t>Abertura de pinos</t>
  </si>
  <si>
    <t>Curto-circuito entre pinos</t>
  </si>
  <si>
    <t>Safe</t>
  </si>
  <si>
    <t>Unsafe</t>
  </si>
  <si>
    <t>Undetectable</t>
  </si>
  <si>
    <t>-</t>
  </si>
  <si>
    <t>NXP MPC5744P</t>
  </si>
  <si>
    <t>https://www.nxp.com/docs/en/data-sheet/MPC5744P.pdf</t>
  </si>
  <si>
    <t>GigaDevice GD5F4GQ4UAYIG</t>
  </si>
  <si>
    <t>Hypothesis that the supervised and supervisor systems are used 24 hours per day.</t>
  </si>
  <si>
    <t>Assumed 71°C as the operational temperature of the processor in both the supervised and supervisor systems.</t>
  </si>
  <si>
    <t>Assumed the hypothesis of a worst-case humidity of 90% humidity during the operation.</t>
  </si>
  <si>
    <t>Assumed 14°C as the non-operational temperature of the processor in both the supervised and supervisor systems.</t>
  </si>
  <si>
    <t>Assumed that the processor is rebooted on once per day in both the supervised and supervisor systems.</t>
  </si>
  <si>
    <t>Assumed 71°C as the operational temperature of the Flash memory in both the supervised and supervisor systems.</t>
  </si>
  <si>
    <t>Assumed 14°C as the non-operational temperature of the Flash memory in both the supervised and supervisor systems.</t>
  </si>
  <si>
    <t>Assumed that the Flash memory is turned on once per day in both the supervised and supervisor systems.</t>
  </si>
  <si>
    <t>Failure Mode (PT-BR)</t>
  </si>
  <si>
    <t>Failure Rate of the Failure Mode</t>
  </si>
  <si>
    <t>Supply open</t>
  </si>
  <si>
    <t>Failure Mode (EN)</t>
  </si>
  <si>
    <t>Input open</t>
  </si>
  <si>
    <t>Justification Failure Mode and Probability</t>
  </si>
  <si>
    <t>MIL-HDBK-338B:1998</t>
  </si>
  <si>
    <t>MIL-HDBK-338B:1998 (Output open equally distributed per used output)</t>
  </si>
  <si>
    <t>Output 'Dig_Out1' open</t>
  </si>
  <si>
    <t>Output 'Dig_Out2' open</t>
  </si>
  <si>
    <t>Saída 'Dig_Out1' em aberto</t>
  </si>
  <si>
    <t>Saída 'Dig_Out2' em aberto</t>
  </si>
  <si>
    <t>MIL-HDBK-338B:1998 (Output stuck low equally distributed per used output)</t>
  </si>
  <si>
    <t>Output 'Dig_Out1' stuck low</t>
  </si>
  <si>
    <t>Output 'Dig_Out1' stuck high</t>
  </si>
  <si>
    <t>Output 'Dig_Out2' stuck low</t>
  </si>
  <si>
    <t>Output 'Dig_Out2' stuck high</t>
  </si>
  <si>
    <t>Saída 'Dig_Out1' fixada em nível ‘0’</t>
  </si>
  <si>
    <t>Saída 'Dig_Out2' fixada em nível ‘0’</t>
  </si>
  <si>
    <t>Saída 'Dig_Out1' fixada em nível ‘1’</t>
  </si>
  <si>
    <t>Saída 'Dig_Out2' fixada em nível ‘1’</t>
  </si>
  <si>
    <t>MIL-HDBK-338B:1998 (Output stuck high equally distributed per used output)</t>
  </si>
  <si>
    <t>Input 'Anal_In1' open</t>
  </si>
  <si>
    <t>Entrada 'Anal_In1' em aberto</t>
  </si>
  <si>
    <t>MIL-HDBK-338B:1998 (Input open equally distributed per used output)</t>
  </si>
  <si>
    <t>Data bit loss</t>
  </si>
  <si>
    <t>Slow transfer of data</t>
  </si>
  <si>
    <t>Open</t>
  </si>
  <si>
    <t>Short-circuit</t>
  </si>
  <si>
    <t>Short-Circuit</t>
  </si>
  <si>
    <t>Short-Circuit to Casing</t>
  </si>
  <si>
    <t>Abertura</t>
  </si>
  <si>
    <t>Curto-circuito com a Carcaça</t>
  </si>
  <si>
    <t>1N4728A</t>
  </si>
  <si>
    <t>https://www.vishay.com/docs/85816/1n4728a.pdf</t>
  </si>
  <si>
    <t>RIAC-HDBK-217Plus Table 2.2.3-1</t>
  </si>
  <si>
    <t>RIAC-HDBK-217Plus Section 2.2.3</t>
  </si>
  <si>
    <t>RIAC-HDBK-217Plus Table 2.2.3-1 (TR-Default)</t>
  </si>
  <si>
    <t>Pi-S</t>
  </si>
  <si>
    <t>Vs</t>
  </si>
  <si>
    <t>RIAC-HDBK-217Plus Table 2.2.3-1 (Vs-Default)</t>
  </si>
  <si>
    <t>Pi-TE</t>
  </si>
  <si>
    <t>Increase of Leakage Current</t>
  </si>
  <si>
    <t>Change of Differential Resistance</t>
  </si>
  <si>
    <t>Increase of Forward Conducting-State Voltage</t>
  </si>
  <si>
    <t>Decrease of Forward Conducting-State Voltage</t>
  </si>
  <si>
    <t>Increase of Forward Threshold Voltage</t>
  </si>
  <si>
    <t>Decrease of Forward Threshold Voltage</t>
  </si>
  <si>
    <t>Short-Circuit to Conductive Casing</t>
  </si>
  <si>
    <t>MIL-HDBK-338B:1998; CENELEC EN50129:2018</t>
  </si>
  <si>
    <t>Increase of Zener Voltage</t>
  </si>
  <si>
    <t>Decrease of Zener Voltage</t>
  </si>
  <si>
    <t>Aumento da Tensão Zener</t>
  </si>
  <si>
    <t>Diminuição da Tensão Zener</t>
  </si>
  <si>
    <t>Aumento da Corrente Reversa</t>
  </si>
  <si>
    <t>Alteração da Resistência Diferencial</t>
  </si>
  <si>
    <t>Aumento da Tensão de Condução Direta</t>
  </si>
  <si>
    <t>Diminuição da Tensão de Condução Direta</t>
  </si>
  <si>
    <t>Aumento da Tensão de Limiar Direta</t>
  </si>
  <si>
    <t>Diminuição da Tensão de Limiar Direta</t>
  </si>
  <si>
    <t>Curto-circuito para Carcaça Condutiva</t>
  </si>
  <si>
    <t>https://www.vishay.com/docs/49252/_sg2189-2102-smd_resistors-draloric_beyschlag.pdf</t>
  </si>
  <si>
    <t>Vishay SMD Film Resistors</t>
  </si>
  <si>
    <t>RIAC-HDBK-217Plus Table 2.2.12-1</t>
  </si>
  <si>
    <t>RIAC-HDBK-217Plus Section 2.2.12</t>
  </si>
  <si>
    <t>RIAC-HDBK-217Plus Table 2.2.12-1 (TR-Default)</t>
  </si>
  <si>
    <t>P</t>
  </si>
  <si>
    <t>Pi-P</t>
  </si>
  <si>
    <t>Maximum power rated as 1W as per the component datasheet for power resistors.</t>
  </si>
  <si>
    <t>Increase of Resistance Value</t>
  </si>
  <si>
    <t>Decrease of Resistance Value</t>
  </si>
  <si>
    <t>Curto-circuito</t>
  </si>
  <si>
    <t>Aumento da Resistência</t>
  </si>
  <si>
    <t>Diminuição da Resistência</t>
  </si>
  <si>
    <t>Diodo aberto</t>
  </si>
  <si>
    <t>Emissor aberto</t>
  </si>
  <si>
    <t>Base aberta</t>
  </si>
  <si>
    <t>Aumento da Sensibilidade à Luz</t>
  </si>
  <si>
    <t>Diminuição da Sensibilidade à Luz</t>
  </si>
  <si>
    <t>Alteração do Tempo de Chaveamento</t>
  </si>
  <si>
    <t>Aumento do Ganho de Corrente</t>
  </si>
  <si>
    <t>Diminuição do Ganho de Corrente</t>
  </si>
  <si>
    <t>Aumento da Corrente de Fuga</t>
  </si>
  <si>
    <t>Diminuição da Resistência de Isolamento entre Entrada e Saída</t>
  </si>
  <si>
    <t>Coletor aberto</t>
  </si>
  <si>
    <t>MIL-HDBK-338B:1998; CENELEC EN50129:2018; expert knowledge</t>
  </si>
  <si>
    <t>Open diode</t>
  </si>
  <si>
    <t>Open emitter</t>
  </si>
  <si>
    <t>Open collector</t>
  </si>
  <si>
    <t>Open base</t>
  </si>
  <si>
    <t>Increase of light sensitivity</t>
  </si>
  <si>
    <t>Decrease of light sensitivity</t>
  </si>
  <si>
    <t>Increase of leakage current</t>
  </si>
  <si>
    <t>Reduced insulation between input and output</t>
  </si>
  <si>
    <t>Change on switching time</t>
  </si>
  <si>
    <t>Increase of current gain</t>
  </si>
  <si>
    <t>Decrease of current gain</t>
  </si>
  <si>
    <t>https://www.vishay.com/docs/83725/4n25.pdf</t>
  </si>
  <si>
    <t>Vishay 4N25 (optocoupler/optoisolator)</t>
  </si>
  <si>
    <t>RIAC-HDBK-217Plus Table 2.2.8-1</t>
  </si>
  <si>
    <t>RIAC-HDBK-217Plus Section 2.2.8</t>
  </si>
  <si>
    <t>RIAC-HDBK-217Plus Table 2.2.8-1 (TR-Default)</t>
  </si>
  <si>
    <t>Nexperia 74LVC1G332</t>
  </si>
  <si>
    <t>https://assets.nexperia.com/documents/data-sheet/74LVC1G332.pdf</t>
  </si>
  <si>
    <t>RIAC-HDBK-217Plus Table 2.2.14-1</t>
  </si>
  <si>
    <t>RIAC-HDBK-217Plus Section 2.2.14</t>
  </si>
  <si>
    <t>RIAC-HDBK-217Plus Table 2.2.14-1 (TR-Default)</t>
  </si>
  <si>
    <t>Saída 'Y' em aberto</t>
  </si>
  <si>
    <t>Output 'Y' open</t>
  </si>
  <si>
    <t>Output 'Y' stuck low</t>
  </si>
  <si>
    <t>Output 'Y' stuck high</t>
  </si>
  <si>
    <t>Saída 'Y' fixada em nível ‘0’</t>
  </si>
  <si>
    <t>Saída 'Y' fixada em nível ‘1’</t>
  </si>
  <si>
    <t>Entrada em aberto</t>
  </si>
  <si>
    <t>Input 'A' open</t>
  </si>
  <si>
    <t>Input 'B' open</t>
  </si>
  <si>
    <t>Entrada 'A' em aberto</t>
  </si>
  <si>
    <t>Entrada 'B' em aberto</t>
  </si>
  <si>
    <t>Input 'C' open</t>
  </si>
  <si>
    <t>Entrada 'C' em aberto</t>
  </si>
  <si>
    <t>Interruption of Gate</t>
  </si>
  <si>
    <t>Interruption of Source</t>
  </si>
  <si>
    <t>Interruption of Drain</t>
  </si>
  <si>
    <t>Interruption of Gate and Source</t>
  </si>
  <si>
    <t>Interruption of Gate and Drain</t>
  </si>
  <si>
    <t>Interruption of Source and Drain</t>
  </si>
  <si>
    <t>Interruption of Gate, Source and Drain</t>
  </si>
  <si>
    <t>Short-Circuit Between Source and Drain</t>
  </si>
  <si>
    <t>Short-Circuit Between Gate and Drain</t>
  </si>
  <si>
    <t>Short-Circuit Between Source and Gate</t>
  </si>
  <si>
    <t>Short-Circuit Between Source, Gate and Drain</t>
  </si>
  <si>
    <t>Short-Circuit Between Source and Drain with Interruption of Gate</t>
  </si>
  <si>
    <t>Short-Circuit Between Gate and Drain with Interruption of Source</t>
  </si>
  <si>
    <t>Short-Circuit Between Source and Gate with Interruption of Drain</t>
  </si>
  <si>
    <t>Short-Circuit Between Casing and Source</t>
  </si>
  <si>
    <t>Short-Circuit Between Casing and Gate</t>
  </si>
  <si>
    <t>Short-Circuit Between Casing and Drain</t>
  </si>
  <si>
    <t>Increase of Forward Transcondutance</t>
  </si>
  <si>
    <t>Decrease of Forward Transcondutance</t>
  </si>
  <si>
    <t>Increase of Gate Threshold Voltage</t>
  </si>
  <si>
    <t>Decrease of Gate Threshold Voltage</t>
  </si>
  <si>
    <t>Decrease of Drain-Source Breakdown Voltage</t>
  </si>
  <si>
    <t>Decrease of Gate-Source Maximum Rated Voltage</t>
  </si>
  <si>
    <t>Decrease of Drain-Gate Maximum Rated Voltage</t>
  </si>
  <si>
    <t>Change of Turn-On Time</t>
  </si>
  <si>
    <t>Change of Turn-Off Time</t>
  </si>
  <si>
    <t>Increase of Leakage Current IGS</t>
  </si>
  <si>
    <t>Increase of Leakage Current IDS</t>
  </si>
  <si>
    <t>Increase of Leakage Current IGD</t>
  </si>
  <si>
    <t>Change of Static Drain to Source On-State Resistance</t>
  </si>
  <si>
    <t>Abertura da Porta</t>
  </si>
  <si>
    <t>Abertura da Fonte</t>
  </si>
  <si>
    <t>Abertura do Dreno</t>
  </si>
  <si>
    <t>Abertura da Porta e da Fonte</t>
  </si>
  <si>
    <t>Abertura da Porta e do Dreno</t>
  </si>
  <si>
    <t>Abertura da Fonte e do Dreno</t>
  </si>
  <si>
    <t>Abertura da Porta, da Fonte e do Dreno</t>
  </si>
  <si>
    <t>Curto-Circuito entre Fonte e Dreno</t>
  </si>
  <si>
    <t>Curto-Circuito entre Porta e Dreno</t>
  </si>
  <si>
    <t>Curto-Circuito entre Fonte e Porta</t>
  </si>
  <si>
    <t>Curto-Circuito entre Fonte, Porta e Dreno</t>
  </si>
  <si>
    <t>Curto-Circuito entre Fonte e Dreno com Abertura da Porta</t>
  </si>
  <si>
    <t>Curto-Circuito entre Porta e Dreno com Abertura da Fonte</t>
  </si>
  <si>
    <t>Curto-Circuito entre Fonte e Porta com Abertura do Dreno</t>
  </si>
  <si>
    <t>Curto-Circuito entre Carcaça e Fonte</t>
  </si>
  <si>
    <t>Curto-Circuito entre Carcaça e Porta</t>
  </si>
  <si>
    <t>Curto-Circuito entre Carcaça e Dreno</t>
  </si>
  <si>
    <t>Aumento da Transcondutância Direta</t>
  </si>
  <si>
    <t>Diminuição da Transcondutância Direta</t>
  </si>
  <si>
    <t>Aumento da Tensão de Limiar da Porta</t>
  </si>
  <si>
    <t>Diminuição da Tensão de Limiar da Porta</t>
  </si>
  <si>
    <t>Diminuição da Tensão de Ruptura Dreno-Fonte</t>
  </si>
  <si>
    <t>Diminuição da Tensão Máxima Porta-Fonte</t>
  </si>
  <si>
    <t>Diminuição da Tensão Máxima Dreno-Porta</t>
  </si>
  <si>
    <t>Alteração dos Tempos de Desacionamento</t>
  </si>
  <si>
    <t>Alteração dos Tempos de Acionamento</t>
  </si>
  <si>
    <t>Aumento da Corrente de Fuga IGS</t>
  </si>
  <si>
    <t>Aumento da Corrente de Fuga IDS</t>
  </si>
  <si>
    <t>Aumento da Corrente de Fuga IGD</t>
  </si>
  <si>
    <t>Alteração da Resistência Estática Dreno para Fonte em Saturação</t>
  </si>
  <si>
    <t>Not plausible for the component.</t>
  </si>
  <si>
    <t>CENELEC EN50129:2018; MIL-HDBK-338B:1998 (Open + Avg. Output Low/High distributed equally)</t>
  </si>
  <si>
    <t>CENELEC EN50129:2018; MIL-HDBK-338B:1998 (Short + Avg. Output Low/High distributed equally)</t>
  </si>
  <si>
    <t>CENELEC EN50129:2018; MIL-HDBK-338B:1998 (Parameter change equally distributed per used output)</t>
  </si>
  <si>
    <t>Littelfuse 273 Series</t>
  </si>
  <si>
    <t>IEC 62380:2004</t>
  </si>
  <si>
    <t>Lambda0</t>
  </si>
  <si>
    <t>IEC 62380:2004, Chapter 18</t>
  </si>
  <si>
    <t>Pi-I</t>
  </si>
  <si>
    <t>Lambda-EOS</t>
  </si>
  <si>
    <t>Lambda (1/h)</t>
  </si>
  <si>
    <t xml:space="preserve">Abertura </t>
  </si>
  <si>
    <t>Curto-circuito Paralelo</t>
  </si>
  <si>
    <t>Aumento da Corrente de Ruptura</t>
  </si>
  <si>
    <t>Aumento do Tempo de Ruptura</t>
  </si>
  <si>
    <t>Reconexão após uma Ruptura</t>
  </si>
  <si>
    <t>Interruption</t>
  </si>
  <si>
    <t>Parallel short-circuit</t>
  </si>
  <si>
    <t>Increase of rupture current</t>
  </si>
  <si>
    <t>Increase of rupture time</t>
  </si>
  <si>
    <t>Reconnection after rupture</t>
  </si>
  <si>
    <t>CENELEC EN50129:2018, MIL-HDBK-338B:1998</t>
  </si>
  <si>
    <t>CENELEC EN50129:2018, MIL-HDBK-338B:1998 ('Fails to open' on MIL-HDBK-338B proportional to all related failure modes).</t>
  </si>
  <si>
    <t>https://www.littelfuse.com/~/media/electronics/datasheets/fuses/littelfuse_fuse_272_273_274_278_279_datasheet.pdf.pdf</t>
  </si>
  <si>
    <t>RIAC-HDBK-217Plus Table 2.2.10-1</t>
  </si>
  <si>
    <t>RIAC-HDBK-217Plus Section 2.2.10</t>
  </si>
  <si>
    <t>RIAC-HDBK-217Plus Table 2.2.10-1 (TR-Default)</t>
  </si>
  <si>
    <t>Abertura de qualquer Bobina</t>
  </si>
  <si>
    <t>Vibração entre Contatos</t>
  </si>
  <si>
    <t>Aumento da Corrente de Ativação</t>
  </si>
  <si>
    <t>Diminuição da Corrente de Ativação</t>
  </si>
  <si>
    <t>Aumento da Corrente de Desativação</t>
  </si>
  <si>
    <t>Diminuição da Corrente de Desativação</t>
  </si>
  <si>
    <t>Alteração da Razão entre Ativação e Desativação</t>
  </si>
  <si>
    <t>Aumento do Tempo para Desativação</t>
  </si>
  <si>
    <t>Diminuição do Tempo para Desativação</t>
  </si>
  <si>
    <t>Relé não é Ativado</t>
  </si>
  <si>
    <t>Relé não é Desativado</t>
  </si>
  <si>
    <t>Falta de correspondência entre contatos NF</t>
  </si>
  <si>
    <t>Falta de correspondência entre contatos NA</t>
  </si>
  <si>
    <t>Curto-circuito ou Diminuição da Resistência de Isolação entre Bobinas</t>
  </si>
  <si>
    <t>Curto-circuito ou Diminuição da Resistência de Isolação entre Bobina e Contato</t>
  </si>
  <si>
    <t>Curto-circuito ou Diminuição da Resistência de Isolação entre Bobina e Carcaça</t>
  </si>
  <si>
    <t>Curto-circuito ou Diminuição da Resistência de Isolação entre Contatos</t>
  </si>
  <si>
    <t>Curto-circuito ou Diminuição da Resistência de Isolação entre Contato e Carcaça</t>
  </si>
  <si>
    <t>Curto-circuito ou Diminuição da Resistência de Isolação entre Contatos Abertos</t>
  </si>
  <si>
    <t>Interruption of any coil</t>
  </si>
  <si>
    <t>Short-circuit or decrease of insulation resistance between coil and coil</t>
  </si>
  <si>
    <t>Short-circuit or decrease of insulation resistance between coil and contact</t>
  </si>
  <si>
    <t>Short-circuit or decrease of insulation resistance between coil and case</t>
  </si>
  <si>
    <t>Short-circuit or decrease of insulation resistance between contact and contact</t>
  </si>
  <si>
    <t>Short-circuit or decrease of insulation resistance between contact and case</t>
  </si>
  <si>
    <t>Contact chatter</t>
  </si>
  <si>
    <t>Increase of pick-up current</t>
  </si>
  <si>
    <t>Decrease of pick-up current</t>
  </si>
  <si>
    <t>Increase of drop-away current</t>
  </si>
  <si>
    <t>Decrease of drop-away current</t>
  </si>
  <si>
    <t>Increase of pick-up time</t>
  </si>
  <si>
    <t>Decrease of pick-up time</t>
  </si>
  <si>
    <t>Aumento do Tempo para Ativação</t>
  </si>
  <si>
    <t>Diminuição do Tempo para Ativação</t>
  </si>
  <si>
    <t>Increase of drop-away time</t>
  </si>
  <si>
    <t>Decrease of drop-away time</t>
  </si>
  <si>
    <t>Relay does not pick up</t>
  </si>
  <si>
    <t>Relay does not drop away</t>
  </si>
  <si>
    <t>Closure of any front contact at the same time as any back contact (transient or continuous)</t>
  </si>
  <si>
    <t>Non-correspondence between front contacts</t>
  </si>
  <si>
    <t>Non-correspondence between back contacts</t>
  </si>
  <si>
    <t>Fechamento de qualquer contato NA ao mesmo tempo que qualquer contato NF (transiente ou contínuo)</t>
  </si>
  <si>
    <t>MIL-HDBK-338B:1998; CENELEC EN50129:2018. Not plausible for the chosen component ('weld no transfer').</t>
  </si>
  <si>
    <t>MIL-HDBK-338B:1998; CENELEC EN50129:2018. Not plausible for the chosen component (no conductive case).</t>
  </si>
  <si>
    <t>MIL-HDBK-338B:1998; CENELEC EN50129:2018. Not plausible for the chosen component (single coil).</t>
  </si>
  <si>
    <t>MIL-HDBK-338B:1998; CENELEC EN50129:2018 (subset of 'fails to trip').</t>
  </si>
  <si>
    <t>MIL-HDBK-338B:1998; CENELEC EN50129:2018 (subset of 'spurious trip').</t>
  </si>
  <si>
    <t>MIL-HDBK-338B:1998; CENELEC EN50129:2018 (subset of 'short-circuit').</t>
  </si>
  <si>
    <t>Vicor VI-J1Y-EW</t>
  </si>
  <si>
    <t>https://www.vicorpower.com/documents/datasheets/ds_vi-j00.pdf</t>
  </si>
  <si>
    <t>Ausência de Saída</t>
  </si>
  <si>
    <t>Aumento da Tensão de Saída</t>
  </si>
  <si>
    <t>Diminuição da Tensão de Saída</t>
  </si>
  <si>
    <t>No Output</t>
  </si>
  <si>
    <t>Increase in Output Voltage</t>
  </si>
  <si>
    <t>Decrease in Output Voltage</t>
  </si>
  <si>
    <t>Saída Ruidosa</t>
  </si>
  <si>
    <t>Noisy Output</t>
  </si>
  <si>
    <t>MIL-HDBK-338B:1998; self knowledge</t>
  </si>
  <si>
    <t>MIL-HDBK-338B:1998; self knowledge ('improper output' equally distributed).</t>
  </si>
  <si>
    <t>Increase of Reverse Current</t>
  </si>
  <si>
    <t>Decrease of Reverse Breakdown Voltage</t>
  </si>
  <si>
    <t>Increase of Conducting-State Voltage</t>
  </si>
  <si>
    <t>Decrease of Conducting-State Voltage</t>
  </si>
  <si>
    <t>Increase of Threshold Voltage</t>
  </si>
  <si>
    <t>Decrease of Threshold Voltage</t>
  </si>
  <si>
    <t>Diminuição da Tensão de Ruptura Reversa</t>
  </si>
  <si>
    <t>Aumento da Tensão de Condução</t>
  </si>
  <si>
    <t>Diminuição da Tensão de Condução</t>
  </si>
  <si>
    <t>Aumento da Tensão de Limiar</t>
  </si>
  <si>
    <t>Diminuição da Tensão de Limiar</t>
  </si>
  <si>
    <t>Curto-circuito com Carcaça Condutiva</t>
  </si>
  <si>
    <t>1N4002</t>
  </si>
  <si>
    <t>https://www.vishay.com/docs/88503/1n4001.pdf</t>
  </si>
  <si>
    <t>UC_Diag</t>
  </si>
  <si>
    <t>Flash_Diag</t>
  </si>
  <si>
    <t>DC_DC_Diag</t>
  </si>
  <si>
    <t>UC_Sys</t>
  </si>
  <si>
    <t>Flash_Sys</t>
  </si>
  <si>
    <t>DC_DC_Sys</t>
  </si>
  <si>
    <t>OR_Sys</t>
  </si>
  <si>
    <t>OC1_Sys</t>
  </si>
  <si>
    <t>OC2_Sys</t>
  </si>
  <si>
    <t>OC3_Sys</t>
  </si>
  <si>
    <t>Change of pick-up to drop-away ratio</t>
  </si>
  <si>
    <t>Pino Bidirecional 'SPI' em aberto</t>
  </si>
  <si>
    <t>Pino Bidirecional 'SPI' fixado em nível '0'</t>
  </si>
  <si>
    <t>Pino Bidirecional 'SPI' fixado em nível '1'</t>
  </si>
  <si>
    <t>MIL-HDBK-338B:1998 (Input &amp; Output open equally distributed per used output)</t>
  </si>
  <si>
    <t>Bidirectional Pin 'SPI' open</t>
  </si>
  <si>
    <t>Bidirectional Pin 'SPI' stuck low</t>
  </si>
  <si>
    <t>Bidirectional 'SPI' Pin stuck high</t>
  </si>
  <si>
    <t>Failure Mode</t>
  </si>
  <si>
    <t>Local Effect</t>
  </si>
  <si>
    <t>Global Effect</t>
  </si>
  <si>
    <t>Detectable / Undetectable</t>
  </si>
  <si>
    <t>Component ID</t>
  </si>
  <si>
    <t>Component Failure Rate</t>
  </si>
  <si>
    <t>Failure Mode Rate</t>
  </si>
  <si>
    <t>Safe / Unsafe</t>
  </si>
  <si>
    <t>Mean Fuse_Result_Not_Burn</t>
  </si>
  <si>
    <t>Min Fuse_Result_Not_Burn</t>
  </si>
  <si>
    <t>Max Fuse_Result_Not_Burn</t>
  </si>
  <si>
    <t>Mean Fuse_Result_Burn</t>
  </si>
  <si>
    <t>Min Fuse_Result_Burn</t>
  </si>
  <si>
    <t>Max Fuse_Result_Burn</t>
  </si>
  <si>
    <t>Failure Mode Probability</t>
  </si>
  <si>
    <t>D_Sys</t>
  </si>
  <si>
    <t>R1_Sys</t>
  </si>
  <si>
    <t>R2_Sys</t>
  </si>
  <si>
    <t>R3_Sys</t>
  </si>
  <si>
    <t>K_Sys</t>
  </si>
  <si>
    <t>R4_Sys</t>
  </si>
  <si>
    <t>F_Sys</t>
  </si>
  <si>
    <t>Q_Sys</t>
  </si>
  <si>
    <t>If small, no meaningful effect; if big, same effects of "Open".</t>
  </si>
  <si>
    <t>If small, no meaningful effect; if big, same effects of "Short-Circuit".</t>
  </si>
  <si>
    <t>This failure mode is not applicable because the component does not have a conductive casing.</t>
  </si>
  <si>
    <t>Once the diode is reversally polarized, this failure mode has no meaningful effect.</t>
  </si>
  <si>
    <t>If small, no meaningful effect; if big, same effects of "Short-Circuit Between Gate and Drain".</t>
  </si>
  <si>
    <t>Infineon IRL3803</t>
  </si>
  <si>
    <t>https://www.infineon.com/dgdl/Infineon-IRL3803-DataSheet-v02_01-EN.pdf?fileId=5546d462533600a40153565f80172554</t>
  </si>
  <si>
    <t>https://www.morssmitt.com/uploads/files/catalog/products/datasheet-d-bw-relays-ind-v1-4.pdf</t>
  </si>
  <si>
    <t>Mors Smitt D-BW Series (24VDC)</t>
  </si>
  <si>
    <t>No faults on any component.</t>
  </si>
  <si>
    <t>Regular behavior.</t>
  </si>
  <si>
    <t>UC_Diag stops working.</t>
  </si>
  <si>
    <t>Detectable</t>
  </si>
  <si>
    <t>Not applicable</t>
  </si>
  <si>
    <t>UC_Diag stops generating Fuse_Test. In this condition, the OC1 optocoupler LED does not produce light whatsoever.</t>
  </si>
  <si>
    <t>The fuse F_Sys is burned.</t>
  </si>
  <si>
    <t>UC_Diag stops generating Keep_Power.</t>
  </si>
  <si>
    <t>C1</t>
  </si>
  <si>
    <t>C2</t>
  </si>
  <si>
    <t>In this condition, the relay K_Sys is turned off, thus turning off the power supplies PWR_Prot_Sys and VDD_Sys. As a result, the supervised system shuts down.</t>
  </si>
  <si>
    <t>The communication between UC_Diag and Flash_Diag ceases.</t>
  </si>
  <si>
    <t>C0</t>
  </si>
  <si>
    <t>The Fuse_Test signal remains stuck at '1', thus leading the LED of the optocoupler OC1 to produce light constantly.</t>
  </si>
  <si>
    <t>Keep_Power and Fuse_Test are kept on low level (0). In this condition, the relay K_Sys is turned off, and the fuse F_Sys might be burned if the time to turn off K_Sys is longer than the time to burn F_Sys.
Notes for multiple faults:
1) If combined with the saturation of OC3, the supervised system will be turned on and F_Sys will be subsequently burned.
2) If combined with the saturation of OC3 and OC1, the supervised system will be turned on, and the ability to test F_Sys will be lost.</t>
  </si>
  <si>
    <t>In this condition, the relay K_Sys is turned off, thus turning off the power supplies PWR_Prot_Sys and VDD_Sys. As a result, the supervised system is shut down.</t>
  </si>
  <si>
    <t>C1 (single fault)
C2 (double fault "1")
C4 (triple fault "2")</t>
  </si>
  <si>
    <t>C3 (single fault)
C4 (double fault "1")</t>
  </si>
  <si>
    <t>The Keep_Power signal remains stuck at '1', thus leading the LED of the optocoupler OC3 to produce light constantly.</t>
  </si>
  <si>
    <t>The update of the supervisor log, including records of failures and/or proper operation of the supervised system, is compromised. As a result, it might not be possible to trace back potential issues while the supervisor monitors the supervised system.
This is not deemed a safety-critical issue, but instead a maintenance-related issue.</t>
  </si>
  <si>
    <t>C5 (same outputs of C0, but compromising the ability of the supervisor in leading the supervised system to a safe state in case of a fault on the ability to burn F_Sys).</t>
  </si>
  <si>
    <t>Based on the circuitry of UC_Diag's built-in analog-to-digital converter, a low level input will be read by UC_Diag regardless of the behavior of the supervised system.</t>
  </si>
  <si>
    <t>The supervisor will consider that F_Sys has been burned and will command the shutdown of the supervised system by turning Keep_Power off.</t>
  </si>
  <si>
    <t>C6</t>
  </si>
  <si>
    <t>https://www.tdk-electronics.tdk.com/inf/20/30/db/aec/B41456_B41458.pdf</t>
  </si>
  <si>
    <t>TDK B41456/B41458 Series</t>
  </si>
  <si>
    <t>Decrease of Parallel Resistance</t>
  </si>
  <si>
    <t>Increased Dissipation Factor</t>
  </si>
  <si>
    <t>Increase of Capacitance</t>
  </si>
  <si>
    <t>Decrease of Capacitance</t>
  </si>
  <si>
    <t>Increase of Series Resistance</t>
  </si>
  <si>
    <t>Diminuição da Resistência Paralela</t>
  </si>
  <si>
    <t>Aumento do Fator de Dissipação</t>
  </si>
  <si>
    <t>Aumento da Capacitância</t>
  </si>
  <si>
    <t>Diminuição da Capacitância</t>
  </si>
  <si>
    <t>Aumento da Resistência Série</t>
  </si>
  <si>
    <t>Curto-Circuito com a Carcaça</t>
  </si>
  <si>
    <t>MIL-HDBK-338B:1998; CENELEC EN50129:2018, https://resources.pcb.cadence.com/blog/2022-the-causes-of-electrolytic-capacitor-degradation</t>
  </si>
  <si>
    <t>RIAC-HDBK-217Plus Table 2.2.2-1</t>
  </si>
  <si>
    <t>RIAC-HDBK-217Plus Section 2.2.2</t>
  </si>
  <si>
    <t>C</t>
  </si>
  <si>
    <t>CE</t>
  </si>
  <si>
    <t>Pi-C</t>
  </si>
  <si>
    <t>Design selection: 47000uF.</t>
  </si>
  <si>
    <t>S1</t>
  </si>
  <si>
    <t>n</t>
  </si>
  <si>
    <t>SA</t>
  </si>
  <si>
    <t>Applied Voltage: 3.3V; Rated Voltage: 16V; SA = 0,33</t>
  </si>
  <si>
    <t>Input 'Dig_In1' open</t>
  </si>
  <si>
    <t>Entrada 'Dig_In1' em aberto</t>
  </si>
  <si>
    <t>C_Sys</t>
  </si>
  <si>
    <t>See "Increased Series Resistance".</t>
  </si>
  <si>
    <t>DZ_Sys</t>
  </si>
  <si>
    <t>R5_Sys</t>
  </si>
  <si>
    <t>R1_Diag</t>
  </si>
  <si>
    <t>OC_Diag</t>
  </si>
  <si>
    <t>R2_Diag</t>
  </si>
  <si>
    <t>Keep_Power = 0</t>
  </si>
  <si>
    <t>Keep_Power = 1</t>
  </si>
  <si>
    <t>Digital Level of Keep_Power_Readback for UC_Diag Input 'Dig_In1'</t>
  </si>
  <si>
    <t>Fuse_Result Failure Mode
Class of Equivalence</t>
  </si>
  <si>
    <t>Keep_Power_Readback
Failure Mode Class of Equivalence</t>
  </si>
  <si>
    <t>Considering that the digital input remains in a high Z state when open, it is susceptible to external noise. As a result, the input may not only be unstable, but also its recurrent noise-related switching can damage UC_Diag as a whole due to increased temperature.</t>
  </si>
  <si>
    <t>Keep_Power_Readback may not be in line with Keep_Power. In a worst case scenario, it is deemed that fails to detect issues with Keep_Power, thus preventing the burning of F_Sys in this scenario.
The fault itself is not unsafe per se, but, since it might not be detected, the supervised system can reach an unsafe state in the presence of any other faults that prevent K_Sys from being turned off.</t>
  </si>
  <si>
    <t>C0 (worst case)</t>
  </si>
  <si>
    <t>C1 (single fault)
C4 (triple fault)</t>
  </si>
  <si>
    <t>In this condition, the fuse F_Sys is burned by means of the Keep_Power_Readback test.</t>
  </si>
  <si>
    <t>The ability to burn the fuse F_Sys cannot be tested. In this scenario, the supervisor will detect the issue and command the shut down of the supervised system by turning Keep_Power off.
Note for multiple faults:
1) If combined with the saturation of OC3, the supervised system will be turned on, and the ability to test F_Sys will be lost.</t>
  </si>
  <si>
    <t>The communication between UC_Diag and Flash_Diag is susceptible to being compromised.</t>
  </si>
  <si>
    <t>The input 'Dig_In1' of UC_Diag gets stuck at high level ('1').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</si>
  <si>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Keep_Power_Readback is interpreted as if it were in high impedance state.</t>
  </si>
  <si>
    <t>UC_Diag's input 'Dig_In1' remains stuck at high level regardless of the signal 'Keep_Power_Readback'.</t>
  </si>
  <si>
    <t>No meaningful impact, since the bse of OC_Diag's transistor is open by default.</t>
  </si>
  <si>
    <t>No meaningful impact, since the base of OC_Diag's transistor is open by default.</t>
  </si>
  <si>
    <t>No meaningful impact.</t>
  </si>
  <si>
    <t>If small, no meaningful effect; if big, same effects of 'Open diode'.</t>
  </si>
  <si>
    <t>If small, no meaningful effect; if big, the following scenarios are deemed plausible:
1) UC_Diag's input 'Dig_In1' is susceptible to an excessively high voltage stemming from the power supply PWR_Sys through R1_Diag;
2) OC_Diag's base-emitter junction is excited by PWR_Sys through R1_Diag, thus leading UC_Diag's input 'Dig_In1' to remain in low level ('0') regardless of the input Keep_Power_Readback.</t>
  </si>
  <si>
    <t>If the switching time is either reduced or shortly increased, no meaningful effect; if significantly increased, 'Dig_In1' will be read by UC_Diag as having the opposite state of what is expected during a test of Keep_Power_Readback.</t>
  </si>
  <si>
    <t>C3</t>
  </si>
  <si>
    <t>If small, no meaningful impact; if big, the transistor of OC_Diag might either operate on active or cut-out mode if the OC_Diag's LED is excited.</t>
  </si>
  <si>
    <t>The voltage on UC_Diag's input 'Dig_In1' can be lower than VIL, thus preventing the recognition of high logic level ('1') when Keep_Power_Readback is on high impedance state.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</si>
  <si>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OC_Diag's transistor does not enter its saturation state even if OC_Diag's LED emits light. As a result, UC_Diag's input 'Dig_In1' behaves similarly to when it floats.
Considering that the digital input remains in a high Z state when open, it is susceptible to external noise. As a result, the input may not only be unstable, but also its recurrent noise-related switching can damage UC_Diag as a whole due to increased temperature.</t>
  </si>
  <si>
    <t>The current in the collector-emitter junction of OC_Diag's transistor is increased, leading to its rupture. In this scenario, the power supply VDD_Diag is short-circuited.</t>
  </si>
  <si>
    <t>It is considered that the short-circuit of VDD_Diag can lead the supervisor to behave unstably.  This is safe and detectable by its partner, who will order the shut down of the affected channel by means of Burn_Fuse_X_to_Y.</t>
  </si>
  <si>
    <t>The supervisor does not operate, hence, no Keep_Power and Fuse_Test signals are generated to the supervised system.</t>
  </si>
  <si>
    <t>The supervised system remains turned off.</t>
  </si>
  <si>
    <t>Not Applicable (supervisor turned off)</t>
  </si>
  <si>
    <t>C4</t>
  </si>
  <si>
    <t>If small, no meaningful effect; if big, UC_Diag and Flash_Sys might operate unstably.</t>
  </si>
  <si>
    <t>The input of OR_Sys connected to the transistor of OC1_Sys cannot be lead to high logic level even if Fuse_Test is at low logic level.</t>
  </si>
  <si>
    <t>The current in the collector-emitter junction of OC1_Sys's transistor is increased, leading to its rupture since it exceeds the 100mA 1ms peak specified for the component. In this scenario, the power supply VDD_Sys is short-circuited.</t>
  </si>
  <si>
    <t>It is considered that the short-circuit of VDD_Sys increases the drainage of current from PWR_Prot_Sys, thus leading to the burning of F_Sys. This leads to a safe and detectable situation.</t>
  </si>
  <si>
    <t>No meaningful impact, since the base of OC1_Sys's transistor is open by default.</t>
  </si>
  <si>
    <t>No meaningful impact, since the base of OC2_Sys's transistor is open by default.</t>
  </si>
  <si>
    <t>No meaningful impact, since the base of OC3_Sys's transistor is open by default.</t>
  </si>
  <si>
    <t>If small, no meaningful impact; if big, the transistor of OC2_Sys might either operate on active or cut-out mode if the OC2_Sys's LED is excited.</t>
  </si>
  <si>
    <t>If small, no meaningful impact; if big, the transistor of OC1_Sys might either operate on active or cut-out mode if the OC1_Sys's LED is excited.</t>
  </si>
  <si>
    <t>If small, no meaningful impact; if big, the transistor of OC3_Sys might either operate on active or cut-out mode if the OC3_Sys's LED is excited.</t>
  </si>
  <si>
    <t>Fuse_Test is interpreted as if it were in low logic level, since no light is emitted by OC1_Sys's LED.</t>
  </si>
  <si>
    <t>The voltage on OC1_Sys's transistor collector remains at high logic level regardless of the signal 'Fuse_Test'.</t>
  </si>
  <si>
    <t>If small, no meaningful effect; if big, the output on OC1_Sys's transistor collector is inverted in relation to what is expected for Fuse_Test.</t>
  </si>
  <si>
    <t>The fuse F_Sys is burned once Fuse_Test returns to its regular high logic level. Hence, even though the failure mode is not detected by the supervisor, it is safe and detectable because it will lead to the shut down of the supervised system.</t>
  </si>
  <si>
    <t>The current in the collector-emitter junction of OC2_Sys's transistor is increased, leading to its rupture since it exceeds the 100mA 1ms peak specified for the component. In this scenario, the power supply VDD_Sys is short-circuited.</t>
  </si>
  <si>
    <t>Burn_Fuse_X_to_Y is interpreted as if it were in low logic level, since no light is emitted by OC2_Sys's LED.</t>
  </si>
  <si>
    <t>The voltage on OC2_Sys's transistor collector remains at high logic level regardless of the signal 'Burn_Fuse_X_to_Y'.</t>
  </si>
  <si>
    <t>If small, no meaningful effect; if big, the output on OC2_Sys's transistor collector is inverted in relation to what is expected for Burn_Fuse_X_to_Y.</t>
  </si>
  <si>
    <t>The input of OR_Sys connected to the transistor of OC2_Sys cannot be lead to high logic level even if Burn_Fuse_X_to_Y is at low logic level.</t>
  </si>
  <si>
    <t>The fuse F_Sys is burned by the partner channel when it should not have been so, and the fuse F_Sys is not burned by the partner channel when it should have been so.
The first scenario leads to a safe and detectable situation.
The second scenario can only occur in case another failure that leads the partner channel to burn the local channel has occurred beforehand.</t>
  </si>
  <si>
    <t>C7 (precondiion of a failure involving the partner channel)</t>
  </si>
  <si>
    <t>If the switching time is either reduced or shortly increased, no meaningful effect; if significantly increased, Fuse_Result can still be either at high logic level when Fuse_Test is at low logic level or at low logic level when Fuse_Test is at high logic level.</t>
  </si>
  <si>
    <t>If the switching time is either reduced or shortly increased, no meaningful effect; if significantly increased, the output of OR_Sys can still be either at high logic level when Burn_Fuse_X_to_Y is at low logic level or at low logic level when Burn_Fuse_X_to_Y is at high logic level.</t>
  </si>
  <si>
    <t>The coil of the relay K_Sys is not powered regardless of Keep_Power.</t>
  </si>
  <si>
    <t>The current in the collector-emitter junction of OC3_Sys's transistor is increased, leading to its rupture since it exceeds the 100mA 1ms peak specified for the component. In this scenario, the aforementioned junction operates as a short-circuit.</t>
  </si>
  <si>
    <t>Detection Period</t>
  </si>
  <si>
    <t>If small, no meaningful effect; if big, the following scenarios are deemed plausible:
1) The high input voltage provided through UC_Diag's input 'Dig_In1' damages UC_Diag in three possible ways:
a) It compromises detecting faults related to Keep_Power, thus preventing the burning of F_Sys in this scenario. This scenario itself is not unsafe per se, but, since it might not be detected, the supervised system can reach an unsafe state in the presence of any other faults that prevent K_Sys from being turned off;
b) 'Dig_In1' is recognized as stuck at some level, thus leading UC_Diag to recognize an issue with Keep_Power and burning F_Sys as a result of this. This scenario is safe and detectable.
c) UC_Diag is damaged as a whole,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
2) Same outcome of '1-b)'.</t>
  </si>
  <si>
    <t>Time for the partner channel to detect that the local channel is faulty</t>
  </si>
  <si>
    <t>UC_Diag and Flash_Sys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</si>
  <si>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UC_Diag and Flash_Sys will behave unstably,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</si>
  <si>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Time for the local channel to detect that the partner channel is faulty</t>
  </si>
  <si>
    <t>Keep_Power is interpreted as if it were in low logic level, since no light is emitted by OC2_Sys's LED.</t>
  </si>
  <si>
    <t>As a result, PWR_Prot_sys and VDD_Sys are turned off, thus preventing the operation of the supervised system.</t>
  </si>
  <si>
    <t>If small, no meaningful effect; if big, the output on OC3_Sys's transistor collector is directly connected to Keep_Power. Since such signal's voltage is within the range [0V; 3.3V], the coil of the relay K_Sys will be powered with enough current to drive K_Sys's contacts.</t>
  </si>
  <si>
    <t>This will be detected by the supervisor, which will burn F_Sys and turn off PWR_Prot_sys and VDD_Sys.</t>
  </si>
  <si>
    <t>If the switching time is either reduced or shortly increased, no meaningful effect; if significantly increased, the coil of K_Sys will take longer to be either powered or unpowered according to Keep_Power.</t>
  </si>
  <si>
    <t>The fuse F_Sys cannot be burned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</si>
  <si>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It might take longer to burn F_Sys once a request for that is sent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</si>
  <si>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In a worst case scenario, OR_Sys is driven by a signal that either oscillates between '0' and '1' when it should have been set to '1' while Burn_Fuse_X_to_Y is at low level. In this scenario, the partner channel might be unable to burn F_Sys once a request for that is sent by itself.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</si>
  <si>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The coil of the relay K_Sys is powered regardless of Keep_Power. This will be detected by the supervisor, which will burn F_Sys and turn off PWR_Prot_Sys and VDD_Sys.</t>
  </si>
  <si>
    <t>The coil of the relay K_Sys is not powered regardless of Keep_Power. As a result, PWR_Prot_Sys and VDD_Sys are turned off, thus preventing the operation of the supervised system.</t>
  </si>
  <si>
    <t>In a worst case scenario, the coil of the relay K_Sys will be driven by a current which causes the switching of the relay's contacts while Keep_Power is at high level. In this scenario, the supervised system would operate in an unstable way, which would be detected by the partner channel and mitigated by the burning of F_Sys by means of enabling Burn_Fuse_X_to_Y.</t>
  </si>
  <si>
    <t>Keep_Power_Readback may not be in line with Keep_Power. In a worst case scenario, it is deemed that UC_Diag fails to detect Keep_Power-related issues, thus preventing the burning of F_Sys in this scenario.
The fault itself is not unsafe per se, but, since it might not be detected, the supervised system can reach an unsafe state in the presence of any other faults that prevent K_Sys from being turned off.</t>
  </si>
  <si>
    <t>The emitter-collector juntion of OC3_Sys's transistor is subject to a significantly high negative voltage when the K_Sys coil is turned off when Keep_Power transitions from '1' to '0'. Such a negative voltage can lead to the rupture of the  emitter-collector juntion of OC3_Sys's transistor, leading it to behave like a short-circuit.</t>
  </si>
  <si>
    <t>Interruption of NO contact</t>
  </si>
  <si>
    <t>Interruption of NC contact</t>
  </si>
  <si>
    <t>Abertura de Contato NA</t>
  </si>
  <si>
    <t>Abertura de Contato NF</t>
  </si>
  <si>
    <t>The coil of the relay K_Sys is susceptible to being powered regardless of Keep_Power. This will be detected by the supervisor, which will burn F_Sys and turn off PWR_Prot_Sys and VDD_Sys.</t>
  </si>
  <si>
    <t>Short-circuit or decrease of insulation resistance across open contacts</t>
  </si>
  <si>
    <t>Worst-case scenario: the power supply PWR_Prot_Sys is turned on even in the absence of a Keep_Power command for that.</t>
  </si>
  <si>
    <t>Not applicable, since the component has a single coil.</t>
  </si>
  <si>
    <t>A low impedance path between PWR_Sys and the ground reference is formed.</t>
  </si>
  <si>
    <t>Taking into account that K_Sys is built with forcibly guided contacts, the interruption of the NC contacts forces the short-circuit of the NO contacts. In this scenario, PWR_Prot_Sys and VDD_Sys are turned on regardless of Keep_Power being at high level, and Keep_Power_Readback remains at high impedance state.</t>
  </si>
  <si>
    <t>Taking into account that K_Sys is built with forcibly guided contacts, the interruption of the NO contacts forces the short-circuit of the NC contacts. In this scenario, PWR_Prot_Sys and VDD_Sys are not turned on regardless of Keep_Power being at high level.</t>
  </si>
  <si>
    <t>Welding of NO contacts</t>
  </si>
  <si>
    <t>Welding of NC contacts</t>
  </si>
  <si>
    <t>União de Contatos NA</t>
  </si>
  <si>
    <t>União de Contatos NF</t>
  </si>
  <si>
    <t>Increase of NO contact resistance</t>
  </si>
  <si>
    <t>Increase of NC contact resistance</t>
  </si>
  <si>
    <t>Aumento da Resistência entre Contatos NA</t>
  </si>
  <si>
    <t>Aumento da Resistência entre Contatos NF</t>
  </si>
  <si>
    <t>Taking into account that K_Sys is built with forcibly guided contacts, the welding of NO contacts forces the interruption of the NC contacts and vice versa. As a result, the same effects of 'Inpterruption of NC contact' are expected.</t>
  </si>
  <si>
    <t>Taking into account that K_Sys is built with forcibly guided contacts, the welding of NO contacts forces the interruption of the NC contacts and vice versa. As a result, the same effects of 'Inpterruption of NO contact' are expected.</t>
  </si>
  <si>
    <t>If small, no meaningful impact; if big, same effects of "Interruption of NO contact"</t>
  </si>
  <si>
    <t>If small, no meaningful impact; if big, same effects of "Interruption of NC contact"</t>
  </si>
  <si>
    <t>If small, no meaningful impact; if big, same effects of "Interruption of NO contact".</t>
  </si>
  <si>
    <t>If small, no meaningful impact; if big, same effects of "Interruption of NC contact".</t>
  </si>
  <si>
    <t>If of short-term, no meaningful impact; if of long-term, the the powering of the supervised system is unstable.</t>
  </si>
  <si>
    <t>The supervised system might behave unstably. This is safe and detectable by its partner, who will order the shut down of the affected channel by means of Burn_Fuse_X_to_Y.</t>
  </si>
  <si>
    <t>If small, no meaningful impact; if big, same effects of "interruption of any coil".</t>
  </si>
  <si>
    <t>No meaningful impact, since the coil of the relay K_Sys is powered by a switch-like circuit.</t>
  </si>
  <si>
    <t>If small, no meaningful impact; if big, the relay K_Sys does not drop away.</t>
  </si>
  <si>
    <t>Keep_Power_Readback will be stuck at high impedance state and, as a result, the supervisor will detect this scenario and  burn F_Sys, thus turning off PWR_Prot_sys and VDD_Sys. This leads the supervised system to be shut down.</t>
  </si>
  <si>
    <t>Taking into account that K_Sys is built with forcibly guided contacts, the welding of NO contacts forces the interruption of the NC contacts and vice versa. As a result, the same effects of 'Interruption of NC contact' are expected.</t>
  </si>
  <si>
    <t>If small, no meaningful impact; if big, the supervised system takes a longer time to be powered.</t>
  </si>
  <si>
    <t>The supervised system might behave unstably if the charge of C_Sys is not enough to keep the supervised system powered until K_Sys picks up after the Keep_Power_Readback test. This is safe and detectable by its partner, who will order the shut down of the affected channel by means of Burn_Fuse_X_to_Y.</t>
  </si>
  <si>
    <t>If small, no meaningful impact; if big, Keep_Power_Readback can be in high impedance state when the Keep_Power_Readback test is performed by the supervised system.</t>
  </si>
  <si>
    <t>The supervisor will detect this scenario and  burn F_Sys, thus turning off PWR_Prot_sys and VDD_Sys. This leads the supervised system to be shut down.</t>
  </si>
  <si>
    <t>The supervised system's supply PWR_Prot_Sys cannot be turned off by means of Keep_Power, and Keep_Power_Readback gets stuck in high impedance state when the Keep_Power_Readback test is performed by the supervised system.</t>
  </si>
  <si>
    <t>This failure mode is not applicable because the component has forcibly guided contacts. As a result, no loss of correspondence between NO and NC contacts is deemed plausible due to the mechanical design of the relay.</t>
  </si>
  <si>
    <t>[OR1]</t>
  </si>
  <si>
    <t>https://assets.nexperia.com/documents/application-note/AN11009.pdf</t>
  </si>
  <si>
    <t>AN11009 - Pin FMEA for LVC family - Rev. 2, January 9th, 2019. Nexperia.</t>
  </si>
  <si>
    <t>https://www.endrich.com/fm/2/GD5F4GQ4UAYIG.pdf</t>
  </si>
  <si>
    <t>VCC Supply open</t>
  </si>
  <si>
    <t>GND Supply open</t>
  </si>
  <si>
    <t>Perda de alimentação VCC</t>
  </si>
  <si>
    <t>Perda de alimentação GND</t>
  </si>
  <si>
    <t>According to reference [OR1], the opening of supply pins leads OR_Sys to behave improperly and also increases current leakage. Based on the typical architecture of CMOS OR gates by Tocci, Widmer, and Moss (2010), it is expected that, whenever the output should be at '1', it will be in high impedance state instead.</t>
  </si>
  <si>
    <t>According to reference [OR1], the opening of supply pins leads OR_Sys to behave improperly and also increases current leakage. Based on the typical architecture of CMOS OR gates by Tocci, Widmer, and Moss (2010), it is expected that, whenever the output should be at '0', it will be in high impedance state instead.</t>
  </si>
  <si>
    <t>The fuse F_Sys cannot be tested nor burned by means of any request (i.e., from either the supervisor, the local processor or the partner channel). Since the checking of the burning ability of F_Sys is unsuccessful, the supervised system will be shut down by the supervisor on these tests by driving Keep_Power to low level (0).</t>
  </si>
  <si>
    <t>Due to the high impedance at the output of OR_Sys, Q_Sys can be spuriously driven to saturation by means of external noises. As a result, the fuse F_Sys is susceptible to being burned when it should not be.</t>
  </si>
  <si>
    <t>Not applicable, since the failure mode is undetectable</t>
  </si>
  <si>
    <t>Random (noise-dependent)</t>
  </si>
  <si>
    <t>Simultaneous with the failure mode</t>
  </si>
  <si>
    <t>Worst case: period of time between two fuse tests</t>
  </si>
  <si>
    <t>Worst case: period of time between two relay tests</t>
  </si>
  <si>
    <t>Worst case: period of time of a fuse test</t>
  </si>
  <si>
    <t>The supervisor will detect this scenario and burn F_Sys, thus turning off PWR_Prot_sys and VDD_Sys. This leads the supervised system to be shut down.</t>
  </si>
  <si>
    <t>C8</t>
  </si>
  <si>
    <t>Q_Sys operates in cut-off state regardless of the inputs Fuse_Test, Burn_Fuse_X_To_Y, and Burn_Fuse_Self.</t>
  </si>
  <si>
    <t>The gate of Q_Sys remains in high impedance state regardless of the inputs Fuse_Test, Burn_Fuse_X_To_Y, and Burn_Fuse_Self.</t>
  </si>
  <si>
    <t>Q_Sys operates in saturation state regardless of the inputs Fuse_Test, Burn_Fuse_X_To_Y, and Burn_Fuse_Self.</t>
  </si>
  <si>
    <t>Considering that the digital input remains in a high Z state when open, it is susceptible to external noise. As a result, the input may not only be unstable, but also its recurrent noise-related switching can damage OR_Sys as a whole due to increased temperature.</t>
  </si>
  <si>
    <t>There is susceptibility for preventing the fuse F_Sys from being tested and burned regardless of the inputs Fuse_Test, Burn_Fuse_X_To_Y, and Burn_Fuse_Self. Since the checking of the burning ability of F_Sys is unsuccessful, the supervised system will be shut down by the supervisor on these tests by driving Keep_Power to low level (0).</t>
  </si>
  <si>
    <t>The power supplies PWR_Prot_Sys and VDD_Sys are turned off.</t>
  </si>
  <si>
    <t>The fuse F_Sys can be burned even during its test.</t>
  </si>
  <si>
    <t>The voltage between the drain and the source of Q_Sys when it is saturated becomes greater than the breakdown threshold. In this condition, the semiconductive junction between drain and source is damaged and behaves as a short-circuit.</t>
  </si>
  <si>
    <t>The power supplies PWR_Prot_Sys and VDD_Sys cannot be turned off by the action of any of the signals whose aim is to burn F_Sys (i.e., Fuse_Test, Burn_Fuse_X_to_Y, and Burn_Fuse_Self). This is due to the fact that F_Sys is bypased by a parallel short-circuit.</t>
  </si>
  <si>
    <t>The supervised system cannot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</si>
  <si>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drain of Q_Sys will behave contrarily to its regular behavior. As a result, F_Sys will be burned whenever the supervised system is safe (i.e., if Fuse_Test = 1, Burn_Fuse_X_to_Y = 1 and Burn_Fuse_Self = 0) and will not be burned otherwise.</t>
  </si>
  <si>
    <t>The fuse F_Sys is burned regardless of the signals that control this process (i.e., Fuse_Test, Burn_Fuse_X_to_Y, and Burn_Fuse_Self).</t>
  </si>
  <si>
    <t>The supervised system is turned off.</t>
  </si>
  <si>
    <t>No meaningful impact, since the component operates as a switch, alternating between saturation and cut-off states.</t>
  </si>
  <si>
    <t>If small, no meaningful effect; if big, same effects of 'Interruption of Drain'.</t>
  </si>
  <si>
    <t>If small, no meaningful effect; if big, same effects of 'Interruption of Gate'.</t>
  </si>
  <si>
    <t>If small, no meaningful effect; if big, same effects of 'Short-Circuit Between Source and Drain'.</t>
  </si>
  <si>
    <t>If small, no meaningful effect; if big, same effects of 'Short-Circuit Between Source and Gate'.</t>
  </si>
  <si>
    <t>If small, no meaningful effect; if big, same effects of 'Short-Circuit Between Gate and Drain'.</t>
  </si>
  <si>
    <t>If the turn-on time is either reduced or shortly increased, no meaningful effect; if significantly increased, Fuse_Result can still be at low logic level when Fuse_Test is at high logic level, when Burn_Fuse_X_to_Y is at high logic level or when Burn_Fuse_Self is at low logic level.</t>
  </si>
  <si>
    <t>If the turn-on time is either reduced or shortly increased, no meaningful effect; if significantly increased, Fuse_Result can still be at high logic level when Fuse_Test is at low logic level, when Burn_Fuse_X_to_Y is at low logic level or when Burn_Fuse_Self is at high logic level.</t>
  </si>
  <si>
    <t>The fuse F_Sys might be burned even in the lack of faults for so.</t>
  </si>
  <si>
    <t>The fuse F_Sys might be considered unhealthy when it is not. In this condition, the relay K_Sys is turned off, thus shutting down the power supplies PWR_Prot_Sys and VDD_Sys. As a result, the supervised system is shut down.</t>
  </si>
  <si>
    <t>If the on-state resistance is reduced or unsignificantly increased, no meaningful effect; if significantly increased, Fuse_Result will increase even when Q_Sys is saturated. Moreover, there might not be enough current to burn F_Sys.</t>
  </si>
  <si>
    <t>The voltage on the input 'Anal_In1' of UC_Diag incrases significantly and goes beyond its maximum rating of 6V. In this scenario, it is deemed that UC_Diag as a whole can behave unstably in a worst-case scenario.</t>
  </si>
  <si>
    <t>Fuse_Result gets stuck at low level (0) regardless of Fuse_Test.</t>
  </si>
  <si>
    <t>If small, no meaningful effect; if big, the voltage on the input 'Anal_In1' of UC_Diag incrases and goes beyond its maximum rating of 6V. In this scenario, it is deemed that UC_Diag as a whole can behave unstably in a worst-case scenario.</t>
  </si>
  <si>
    <t>If small, no meaningful effect; if big, Fuse_Result approaches from a low level (0) regardless of Fuse_Test.</t>
  </si>
  <si>
    <t>If small, no meaningful effect; if big, OC1_Sys's LED behaves similarly to a short-circuit and does not emit light.</t>
  </si>
  <si>
    <t>If small, no meaningful effect; if big, OC_Diag's LED behaves similarly to a short-circuit and does not emit light.</t>
  </si>
  <si>
    <t>If small, no meaningful effect; if big, OC2_Sys's LED behaves similarly to a short-circuit and does not emit light.</t>
  </si>
  <si>
    <t>If small, no meaningful effect; if big, OC3_Sys's LED behaves similarly to a short-circuit and does not emit light.</t>
  </si>
  <si>
    <t>The current flowing through DZ_Sys increases and goes beyond its maximum zener current. As a result, the semiconductive junction of DZ_Sys is damaged and behaves similarly to a short-circuit. This leads the Fuse_Result input to be short-circuited to the ground reference.</t>
  </si>
  <si>
    <t>The supervisor detects a potential fault on the ability to burn F_Sys and commands the shut down of the supervised system by making Keep_Power = 0. This leads to a safe and detectable situation.</t>
  </si>
  <si>
    <t>If R1_Diag is short,circuited, the current flowing through the LED of OC_Diag incrases significantly, thus leading to the rupture of its P-N junction. In this scenario, OC_Diag's LED behaves as an open circuit and stops emitting light.</t>
  </si>
  <si>
    <t>The supervised system ceases its processing tasks.</t>
  </si>
  <si>
    <t>It is considered that the supervised system behaves in a safe way when its processor UC_Sys is powered off. Moreover, the partner channel may also request the burning of F_Sys should any unsafe state be detected.</t>
  </si>
  <si>
    <t>UC_Diag does not generate the signal Burn_Fuse_Self.</t>
  </si>
  <si>
    <t>UC_Diag does not generate the signal Burn_Fuse_Y_to_X.</t>
  </si>
  <si>
    <t>The supervised system cannot burn its own fuse through Burn_Fuse_Self in case it diagnoses itself as faulty.
The fault itself is not unsafe per se since the partner channel can still detect a misoperation of the local channel and request the burning of its fuse through Burn_Fuse_X_to_Y. However, if the partner channel is also faulty in generating Burn_Fuse_X_to_Y, an unsafe scenario can still arise.</t>
  </si>
  <si>
    <t>The supervised system cannot burn its partner's fuse through Burn_Fuse_X_to_Y in case it diagnoses itself as faulty.
The fault itself is not unsafe per se since the partner channel might still be able to detect a misoperation of itself and request the burning of its own fuse through its Burn_Fuse_Self signal. However, if the partner channel's UC_Diag has already been compromised to the point of not being able to generate Burn_Fuse_Self as well, an unsafe scenario can still arise.</t>
  </si>
  <si>
    <t>Time for the partner channel to detect that itself  is faulty</t>
  </si>
  <si>
    <t>The supervised system cannot store operational data on its Flash memory nor read data from it. In a worst case scenario, it is deemed that the operation of the supervised system is unstable, but safe and detectable by its partner, who will order its shut down by means of Burn_Fuse_X_to_Y.</t>
  </si>
  <si>
    <t>UC_Diag cannot enable the signal Burn_Fuse_Self.</t>
  </si>
  <si>
    <t>UC_Diag enables the active-low signal Burn_Fuse_Y_to_X.</t>
  </si>
  <si>
    <t>The fuse F_Sys of the partner channel is burned.</t>
  </si>
  <si>
    <t>The communication between UC_Diag and Flash_Diag is compromised.</t>
  </si>
  <si>
    <t>UC_Diag enables the signal Burn_Fuse_Self.</t>
  </si>
  <si>
    <t>The fuse F_sys is burned.</t>
  </si>
  <si>
    <t>UC_Diag cannot enable the active-low signal Burn_Fuse_Y_to_X.</t>
  </si>
  <si>
    <t>Considering that digital inputs remain in a high Z state when open, they are susceptible to external noise. As a result, the inputs may not only be unstable, but also its recurrent noise-related switching can damage UC_Sys as a whole due to increased temperature.</t>
  </si>
  <si>
    <t>In a worst case scenario, it is deemed that the operation of the supervised system is unstable, but safe and detectable by its partner, who will order its shut down by means of Burn_Fuse_X_to_Y.</t>
  </si>
  <si>
    <t>The power supply VDD_Sys is turned off. As a result, UC_Sys, Flash_Sys, OR_Sys are also turned off, and the pull-up circuitry on the collector of OC1_Sys and OC2_Sys's transistors are not operational as well.</t>
  </si>
  <si>
    <t xml:space="preserve">It is considered that the supervised system behaves in a safe way when its processor UC_Sys is powered off. </t>
  </si>
  <si>
    <t>In a worst case scenario, it is deemed that the supervisor is not able to diagnose potential faults involving the tests of F_Sys and K_Sys and that, despite the detection and a containment attempt by the partner channel by enabling Burn_Fuse_X_to_Y, it is deemed that the unstable behavior of OR_Sys can prevent the burning of F_Sys.</t>
  </si>
  <si>
    <t>If small, no meaningful effect; if big, UC_Sys, Flash_Sys, OR_Sys can be not only supplied above their corresponding maximum voltage, but the inputs of OR_Sys are also subject to be above such a threshold. In this situation, it is deemed that they can behave unstably.</t>
  </si>
  <si>
    <t>If small, no meaningful effect; if big, UC_Sys, Flash_Sys, OR_Sys are not only supplied above their corresponding maximum voltage, but the inputs of OR_Sys are also subject to be above such a threshold. In this situation, it is deemed that they can behave unstably.</t>
  </si>
  <si>
    <t>The supervised system wii temporarily cease its operation when Keep_Power is turned off by the supervision wheh performing the Keep_Power_Readback. As a result, the supervised system can behave unstably.</t>
  </si>
  <si>
    <t>It is deemed that the situation is safe and detectable by the partner channel partner, who will order the shut down of the local channel by means of Burn_Fuse_X_to_Y.</t>
  </si>
  <si>
    <t>The power supply VDD_Sys is short-circuited.</t>
  </si>
  <si>
    <t>No meaningful impact, since the input Keep_Power_Readback makes the OC_Diag's transistor act like a switch,</t>
  </si>
  <si>
    <t>No meaningful impact, since the input Fuse_Test makes the OC1_Sys's transistor act like a switch,</t>
  </si>
  <si>
    <t>No meaningful impact, since the input Fuse_Test makes OC1_Sys's transistor act like a switch,</t>
  </si>
  <si>
    <t>No meaningful impact, since the input Burn_Fuse_X_To_Y makes the OC2_Sys's transistor act like a switch,</t>
  </si>
  <si>
    <t>No meaningful impact, since the input Fuse_Test makes OC2_Sys's transistor act like a switch,</t>
  </si>
  <si>
    <t>No meaningful impact, since the input Keep_Power makes the OC3_Sys's transistor act like a switch,</t>
  </si>
  <si>
    <t>No meaningful impact, since the input Fuse_Test makes OC3_Sys's transistor act like a switch,</t>
  </si>
  <si>
    <t>In this condition, the supervisor detects a potential issue with F_Sys and requests that the relay K_Sys is turned off, thus shutting down the power supplies PWR_Prot_Sys and VDD_Sys. As a result, the supervised system is shut down.
Note: It has been assumed by simplicity that the scenario 'Fuse Result can still be at high logic level when Fuse_Test is at low logic level' is the chosen behavior for the Case Study 3 simulator since it disables the burning of F_Sys. It is deemed that the overall impact on the supervisor's detection is the same of the opposite case.</t>
  </si>
  <si>
    <t>C9 (it could be C3 or C1/C2)</t>
  </si>
  <si>
    <t xml:space="preserve">The following scenarios are plausible:
1) PWR_Sys is made available on K_Sys's NC contact connected to ground;
2) PWR_Sys is made available on K_Sys's NC contact connected to Keep_Power_Readback;
3) PWR_Sys is made available on K_Sys's floating NC contact;
4) The connection between R3_Sys and K_Sys's coil is made available on K_Sys's NC contact connected to ground;
5) The connection between R3_Sys and K_Sys's coil is made available on K_Sys's NC contact connected to Keep_Power_Readback;
6) The connection between R3_Sys and K_Sys's coil is made available on K_Sys's floating NC contact;  
7) PWR_Sys is made available on K_Sys's NO contact connected to R4_Sys;
8) PWR_Sys is made available on K_Sys's NO contact connected to F_Sys;
9) PWR_Sys is made available on K_Sys's floating NO contact;
10) The connection between R3_Sys and K_Sys's coil is made available on K_Sys's NO contact connected to R4_Sys;
11) The connection between R3_Sys and K_Sys's coil is made available on K_Sys's NO contact connected to F_Sys;
12) The connection between R3_Sys and K_Sys's coil is made available on K_Sys's floating NO contact;  </t>
  </si>
  <si>
    <t>In a worst case scenario, it is deemed that the supervised system behaves unstably, but safe and detectable by its partner, who will order its shut down by means of Burn_Fuse_X_to_Y.</t>
  </si>
  <si>
    <t>The following global effects are plausible for each scenario:
1) PWR_Sys is short-circuited. In a worst case scenario, it is deemed that the supervised system behaves unstably, but safe and detectable by its partner, who will order its shut down by means of Burn_Fuse_X_to_Y.
2) OC_Diag's LED does not emit light, hence leading the supervisor to interpret that the powering circuitry of K_Sys is damaged. This will lead to the burning of F_Sys through Fuse_Test by the supervisor.
3) Same impact of '1' when K_Sys's coil is powered on.
4) K_Sys's coil is powered regardless of Keep_Power.  Same detection and impact of '2'.
5) The relay K_Sys is not powered on regardless of Keep_Power. This leads to a safe scenario in which the supervised system is not operational. 
6) The current flowing through the coil of K_Sys increases when it has been turned on. No meaningful impact on the operation.
7) The voltage between the drain and the source of Q_Sys when it is saturated becomes greater than the breakdown threshold. In this condition, the semiconductive junction between drain and source is damaged and behaves as a short-circuit. Hence, F_Sys can be burned even during its test.
8) Same impact of '7'.
9) No meaninfgul impact, since Q_Sys is always off when it is connected to the K_Sys's contact affected by the failure mode.
10) Same impact of '5'.
11) The coil of K_Sys is powered off regardless of Keep_Power when the failure mode occurs, but it can be powered back on by Fuse_Test = 0, Burn_Fuse_X_to_Y = 0 or Burn_Fuse_Self = 1, without the possiibility of burning F_Sys due to the series resistance of K_Sys's coil. Since a relay test will detect an issue with the powering of K_Sys's coil, its detection mitigation leads to making Fuse_Test = 0. The fault itself is not unsafe per se, but, since it might not be detected, the supervised system can reach an unsafe state in the presence of any other faults.
12) Same impact of '9'.</t>
  </si>
  <si>
    <t>The power supplies PWR_Prot_Sys and VDD_Sys may not be turned off by the action of any of the signals whose aim is to burn F_Sys (i.e., Fuse_Test, Burn_Fuse_X_to_Y, and Burn_Fuse_Self).</t>
  </si>
  <si>
    <t>The supervised system may 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</si>
  <si>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power supplies PWR_Prot_Sys and VDD_Sys are spuriously turned on, and they may not be turned off again by the action of any of the signals whose aim is to burn F_Sys (i.e., Fuse_Test, Burn_Fuse_X_to_Y, and Burn_Fuse_Self). This is due to the fact that F_Sys is bypased by a parallel short-circuit.</t>
  </si>
  <si>
    <t>The power supplies PWR_Prot_Sys and VDD_Sys cannot be turned off by the action of any of the signals whose aim is to burn F_Sys (i.e., Fuse_Test, Burn_Fuse_X_to_Y, and Burn_Fuse_Self). In this scenario, Fuse_Result reaches high voltage levels regardless of Fuse_Test, Burn_Fuse_X_to_Y or Burn_Fuse_Self.</t>
  </si>
  <si>
    <t>The supervisor commands the shut down of the power supplies PWR_Prot_Sys and VDD_Sys by detecting an issue when testing F_Sys and commands Keep_Power to 0.</t>
  </si>
  <si>
    <t>Not applicable (regular)</t>
  </si>
  <si>
    <t>In this scenario, the current to burn F_Sys might not be reached. This can be detected by the inspection of Fuse_Result carried out by the supervisor.
Knee: Approximately 1ohm above nominal resistance.</t>
  </si>
  <si>
    <t>In a worst case scenario, OR_Sys is driven by a signal that either oscillates between '0' and '1' when it should have been set to '1' while Fuse_Test is at low level. In this scenario, the supervisor fails to detect whether F_Sys is able to be burned, and the supervised system is shut down by turning Keep_Power off.
Knee: Approximately 0.16.</t>
  </si>
  <si>
    <t>If small, no meaningful effect; if big, same effects of 'Interruption of Drain'.
Knee: Approximately 4.</t>
  </si>
  <si>
    <t>If small, no meaningful effect; if big, UC_Diag and Flash_Diag are supplied above their corresponding maximum voltage. In this situation, it is deemed that they can behave unstably.</t>
  </si>
  <si>
    <t>UC_Diag and Flash_Diag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</si>
  <si>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If small, no meaningful effect; if big, same effects of 'No Output'; if medium, UC_Diag and Flash_Diag are supplied below their corresponding minimum voltage. In this situation, it is deemed that they can behave unstably.</t>
  </si>
  <si>
    <t>If small, no meaningful effect; if big, same effects of "Short-Circuit".
Knee: Approximately 70ohm.</t>
  </si>
  <si>
    <t>If small, no meaningful effect; if big, same effects of "Open".
Knee: Approximately 550Mohm.</t>
  </si>
  <si>
    <t>If small, no meaningful effect; if big, same effects of 'No Output'; if medium, UC_Diag, Flash_Diag, OR_Diag are not only supplied below their corresponding maximum voltage, but the inputs of OR_Sys are also subject to be below such a threshold. In this situation, it is deemed that they can behave unstably.</t>
  </si>
  <si>
    <t>Failure Mode (FM)</t>
  </si>
  <si>
    <t>C10</t>
  </si>
  <si>
    <t>Detected by Fuse_Result Test</t>
  </si>
  <si>
    <t>Detected by Keep_Power Test</t>
  </si>
  <si>
    <t>If the switching time is either reduced or shortly increased, no meaningful effect; if significantly increased, Keep_Power may not be diagnosed as unhealthy. This situation is not unsafe per se, but it affects safety since it prevents Keep_Power issues from being detected.
Note for multiple faults:
1) If combined with a failure mode that is analogous to making 'Fuse_Test' stuck at '1', F_Sys cannot be burned, thus leading to a potentially unsafe situation.</t>
  </si>
  <si>
    <t>In a worst case scenario, it might take longer to turn off K_Sys. This might not be detected during the test of Keep_Power_Readback. This situation is not unsafe per se, but it affects safety since it prevents Keep_Power issues from being detected.
However, if a previous fault that prevents F_Sys from being burned has occurred,  the supervised system cannot be turned off by the supervisor anymore. This can lead to a potentially unsafe situation unless the partner channel detects this scenario.</t>
  </si>
  <si>
    <t>Maybe</t>
  </si>
  <si>
    <t>Outside the scope of the local channel, but it will be detected in the future (all outputs zeroed for the Fuse_Result test)</t>
  </si>
  <si>
    <t>Outside the scope of the local supervisor. Its detection is performed by the own supervised system.</t>
  </si>
  <si>
    <t>No</t>
  </si>
  <si>
    <t>Yes</t>
  </si>
  <si>
    <t>No; impactless.</t>
  </si>
  <si>
    <t>CM1: If this fault occurs,  Keep_Power_Readback will always be considered correct (worst case), and Fuse_Result will be extracted from the second fault.</t>
  </si>
  <si>
    <t>Multiple Faults Class of Equivalence</t>
  </si>
  <si>
    <t>If small, no meaningful effect; if big, same effects of "Open".
Knee: Approximately 18ohm.
Potentially not detectable, since only very high resistance increases would lead to a behavior that is similar to that of the 'Open' failure mode. Not unsafe per se, but it prevents the burning of F_Sys if any other fault occurs.</t>
  </si>
  <si>
    <t>CM2: If this fault occurs,  Fuse_Result will be determined by the corresponding intervals of this failure mode,  and Keep_Power_Readback will be extracted from the second fault.</t>
  </si>
  <si>
    <t>CM3: If this fault occurs, Fuse_Result and Keep_Power_Readback will be determined by the corresponding intervals of this failrue mode regardless of other failure modes.</t>
  </si>
  <si>
    <t>Not applicable. Assumed that only undetectable faults will be classified onto a 'multiple faults class of equivalence'.</t>
  </si>
  <si>
    <t>FM Safety</t>
  </si>
  <si>
    <t>FM Detection by Fuse_Result Test</t>
  </si>
  <si>
    <t>FM Detection by Keep_Power_Readback Test</t>
  </si>
  <si>
    <t>Equivalence Class for Multiple Undetectable Faults</t>
  </si>
  <si>
    <t>CM0: If a second fault occurs, the effects of the second fault prevail.</t>
  </si>
  <si>
    <t>Subactivity 1-B.i</t>
  </si>
  <si>
    <t>ID</t>
  </si>
  <si>
    <t>AI Element</t>
  </si>
  <si>
    <t>HAZOP keyword</t>
  </si>
  <si>
    <t>Compared Element</t>
  </si>
  <si>
    <t>Deviation</t>
  </si>
  <si>
    <t>Consequence</t>
  </si>
  <si>
    <t>Cause</t>
  </si>
  <si>
    <t>Hazard</t>
  </si>
  <si>
    <t>Risk Analysis</t>
  </si>
  <si>
    <t>Remarks</t>
  </si>
  <si>
    <t>No/Not</t>
  </si>
  <si>
    <t>More</t>
  </si>
  <si>
    <t>Less</t>
  </si>
  <si>
    <t>As well as</t>
  </si>
  <si>
    <t>Part of</t>
  </si>
  <si>
    <t>Reverse</t>
  </si>
  <si>
    <t>Other than</t>
  </si>
  <si>
    <t>Before</t>
  </si>
  <si>
    <t>After</t>
  </si>
  <si>
    <t>Early</t>
  </si>
  <si>
    <t>Late</t>
  </si>
  <si>
    <t>Input Data</t>
  </si>
  <si>
    <t>No additional remarks.</t>
  </si>
  <si>
    <t>Negligible due to the lack of a hazard.</t>
  </si>
  <si>
    <t>Needed Action</t>
  </si>
  <si>
    <t>No needed action due to the lack of a hazard.</t>
  </si>
  <si>
    <t>Safety Requirement ID</t>
  </si>
  <si>
    <t>Safety Requirement Text</t>
  </si>
  <si>
    <t>Fuse_Result Voltage Values (simulated on NI Multisim 11)</t>
  </si>
  <si>
    <t>Fuse_Result ADC Converter Output (12-bit converted, as per resolution of UC_Diag's NXP MPC5744P)</t>
  </si>
  <si>
    <t xml:space="preserve">If 'Maybe' Detectable or Not on Tests? </t>
  </si>
  <si>
    <t>λSD,OS</t>
  </si>
  <si>
    <t>λSD,F+S</t>
  </si>
  <si>
    <t>λSD,R</t>
  </si>
  <si>
    <t>λSD,F</t>
  </si>
  <si>
    <t>λSMD,F</t>
  </si>
  <si>
    <t>λSMND,F</t>
  </si>
  <si>
    <t>λSND,CM1</t>
  </si>
  <si>
    <t>λSND,CM2</t>
  </si>
  <si>
    <t>λUND,CM3</t>
  </si>
  <si>
    <t>Failure Rates Grand Totals -----&gt;</t>
  </si>
  <si>
    <t>X</t>
  </si>
  <si>
    <t>Value in [0; 4095]</t>
  </si>
  <si>
    <t>[0; 1[ ?</t>
  </si>
  <si>
    <t>prediction</t>
  </si>
  <si>
    <t>prob_mean</t>
  </si>
  <si>
    <t>prob_2</t>
  </si>
  <si>
    <t>prob_1</t>
  </si>
  <si>
    <t>Voting</t>
  </si>
  <si>
    <t>Random Forest 2</t>
  </si>
  <si>
    <t>Random Forest 1</t>
  </si>
  <si>
    <t>TC Result
(OK or NOK)</t>
  </si>
  <si>
    <t>Inputs (Testbench)</t>
  </si>
  <si>
    <t>TC</t>
  </si>
  <si>
    <t>Distance</t>
  </si>
  <si>
    <t>Speed</t>
  </si>
  <si>
    <t>Deceleration</t>
  </si>
  <si>
    <t>Tuple Organization</t>
  </si>
  <si>
    <t>Supervised Learning with Decision Tree</t>
  </si>
  <si>
    <t>Depth</t>
  </si>
  <si>
    <t>Number of Leaves</t>
  </si>
  <si>
    <t>Number of Samples per Decision Node</t>
  </si>
  <si>
    <t>Partitioning Criterion</t>
  </si>
  <si>
    <t>Attribute Weight per Decision Node</t>
  </si>
  <si>
    <t>Supervised Learning with kNN</t>
  </si>
  <si>
    <t>Number of Neighbors</t>
  </si>
  <si>
    <t>Supervised Learning with SVM</t>
  </si>
  <si>
    <t>Regularization Parameter</t>
  </si>
  <si>
    <t>Kernel Type</t>
  </si>
  <si>
    <t>Supervised Learning with Neural Networks</t>
  </si>
  <si>
    <t>Number of Hidden Layers</t>
  </si>
  <si>
    <t>Number of Neurons per Hidden Layer</t>
  </si>
  <si>
    <t>Connections among Layers (Fully Connected or Not Fully Connected)</t>
  </si>
  <si>
    <t>Activation Function</t>
  </si>
  <si>
    <t>Learning Rate</t>
  </si>
  <si>
    <t>Number of Learning Epochs</t>
  </si>
  <si>
    <t>Supervised Learning with Ensembles</t>
  </si>
  <si>
    <t>Random Forests</t>
  </si>
  <si>
    <t>Accuracy</t>
  </si>
  <si>
    <t>Precision</t>
  </si>
  <si>
    <t>Recall</t>
  </si>
  <si>
    <t>f1-score</t>
  </si>
  <si>
    <t>No distance measurement is provided to training and/or regular operation of the braking system.</t>
  </si>
  <si>
    <t>1) Same analysis of SR4.1 and SR4.3.
2) Same analysis of SR4.2 and SR 4.4.</t>
  </si>
  <si>
    <t>Performance Metrics and Frequency of Operation</t>
  </si>
  <si>
    <t>Frequency of Operation</t>
  </si>
  <si>
    <t>More distance measurements are provided to training and/or regular operation of the braking system.</t>
  </si>
  <si>
    <t>A higher distance is provided to training and/or regular operation of the braking system.</t>
  </si>
  <si>
    <t>Worst-case scenario:
1) The braking system fails to brake when necessary;
2) The braking system applies brakes with a higher than acceptable frequency when they are not necessary.</t>
  </si>
  <si>
    <t>Worst-case scenario: the braking system fails to brake when necessary.</t>
  </si>
  <si>
    <t>Same analysis of SR4.1 and SR4.3.</t>
  </si>
  <si>
    <t>Less distance measurements are provided to training and/or regular operation of the braking system.</t>
  </si>
  <si>
    <t>A lower distance is provided to training and/or regular operation of the braking system.</t>
  </si>
  <si>
    <t>Please refer to the table line involving the keyword 'no/not' and the same input data.</t>
  </si>
  <si>
    <t>Worst-case scenario: the braking system applies brakes with a higher than acceptable frequency when they are not necessary.</t>
  </si>
  <si>
    <t>Same analysis of SR4.2 and SR4.4.</t>
  </si>
  <si>
    <t>Other input variables.</t>
  </si>
  <si>
    <t>Distance is only partially captured.</t>
  </si>
  <si>
    <t>A different variable impersonates distance.</t>
  </si>
  <si>
    <t>A more recent distance to an obstacle is read.</t>
  </si>
  <si>
    <t>No hazards have been identified for this scenario because it tends to be more restrictive and/or remain normal operation unchanged.</t>
  </si>
  <si>
    <t>Distance is captured with a reverse representation.</t>
  </si>
  <si>
    <t>Distance is read before other input variables.</t>
  </si>
  <si>
    <t>Distance is read after other input variables.</t>
  </si>
  <si>
    <t>Distance is read earlier than expected.</t>
  </si>
  <si>
    <t>Distance is read later than expected.</t>
  </si>
  <si>
    <t>Action "4)" reinforces that applying brakes even when not necessary shall be preferrable to not applying brakes, given the more catastrophic consequences related to the lack of the former event, whenever a fault is detected.</t>
  </si>
  <si>
    <t>No speed measurement is provided to training and/or regular operation of the braking system.</t>
  </si>
  <si>
    <t>In a worst-case scenario, the performance of a supervised learning-based braking system will be compromised.</t>
  </si>
  <si>
    <t>In a worst-case scenario, the performance of a supervised learning-based braking system will be compromised towards not applying brakes when needed.</t>
  </si>
  <si>
    <t>In a worst-case scenario, the performance of a supervised learning-based braking system will be compromised towards applying brakes when not needed.</t>
  </si>
  <si>
    <t>The distance is misinterpreted and can be either lower or higher than its actual value. In a worst-case scenario, the performance of a supervised learning-based braking system will be compromised.</t>
  </si>
  <si>
    <t>An outdated distance to an obstacle is read. In a worst-case scenario, the performance of a supervised learning-based braking system will be compromised.</t>
  </si>
  <si>
    <t>An outdated distance to an obstacle might be considered in the processing of the braking system. In a worst-case scenario, the performance of a supervised learning-based braking system will be compromised.</t>
  </si>
  <si>
    <t xml:space="preserve">1) Improper dataset design;
2) Improper design of the supervised learning-based braking system and/or of elements which read input data;
3) Random hardware fault that prevents or corrupts the reading of the distance to an obstacle. </t>
  </si>
  <si>
    <t xml:space="preserve">1) Improper design of the supervised learning-based braking system and/or of elements which read input data;
2) Random hardware fault that prevents or corrupts the reading of the distance to an obstacle. </t>
  </si>
  <si>
    <t>Action "7)" reinforces that applying brakes even when not necessary shall be preferrable to not applying brakes, given the more catastrophic consequences related to the lack of the former event, whenever a fault is detected.</t>
  </si>
  <si>
    <t>More speed measurements are provided to training and/or regular operation of the braking system.</t>
  </si>
  <si>
    <t>A higher speed is provided to training and/or regular operation of the braking system.</t>
  </si>
  <si>
    <t>Less speed measurements are provided to training and/or regular operation of the braking system.</t>
  </si>
  <si>
    <t>A lower speed is provided to training and/or regular operation of the braking system.</t>
  </si>
  <si>
    <t>Distance is read mixed with other input variables and, hence, its interpretation can be corrupted.</t>
  </si>
  <si>
    <t>Speed is read mixed with other input variables and, hence, its interpretation can be corrupted.</t>
  </si>
  <si>
    <t>Speed is only partially captured.</t>
  </si>
  <si>
    <t>The speed is misinterpreted and can be either lower or higher than its actual value. In a worst-case scenario, the performance of a supervised learning-based braking system will be compromised.</t>
  </si>
  <si>
    <t>Speed is captured with a reverse representation.</t>
  </si>
  <si>
    <t>A different variable impersonates speed</t>
  </si>
  <si>
    <t>Speed is read before other input variables.</t>
  </si>
  <si>
    <t>An outdated speed, potentially lower than the real one, is read. In a worst-case scenario, the performance of a supervised learning-based braking system will be compromised.</t>
  </si>
  <si>
    <t>Speed is read after other input variables.</t>
  </si>
  <si>
    <t>A more recent speed is read.</t>
  </si>
  <si>
    <t>Speed is read earlier than expected.</t>
  </si>
  <si>
    <t>Speed is read later than expected.</t>
  </si>
  <si>
    <t>An outdated speed, potentially lower than the actual one,might be considered in the processing of the braking system. In a worst-case scenario, the performance of a supervised learning-based braking system will be compromised.</t>
  </si>
  <si>
    <t>No GEBR is provided to training and/or regular operation of the braking system.</t>
  </si>
  <si>
    <t>Guaranteed Emergency Braking Rate (GEBR)</t>
  </si>
  <si>
    <t>More GEBRs are provided to training and/or regular operation of the braking system.</t>
  </si>
  <si>
    <t>A higher GEBR is provided to training and/or regular operation of the braking system.</t>
  </si>
  <si>
    <t>Less GEBRs are provided to training and/or regular operation of the braking system.</t>
  </si>
  <si>
    <t>A lower GEBR is provided to training and/or regular operation of the braking system.</t>
  </si>
  <si>
    <t>GEBR is read mixed with other input variables and, hence, its interpretation can be corrupted.</t>
  </si>
  <si>
    <t>GEBR is only partially captured.</t>
  </si>
  <si>
    <t>The GEBR is misinterpreted and can be either lower or higher than its actual value. In a worst-case scenario, the performance of a supervised learning-based braking system will be compromised.</t>
  </si>
  <si>
    <t>GEBR is captured with a reverse representation.</t>
  </si>
  <si>
    <t>A different variable impersonates GEBR.</t>
  </si>
  <si>
    <t>GEBR is read before other input variables.</t>
  </si>
  <si>
    <t>GEBR is read after other input variables.</t>
  </si>
  <si>
    <t>GEBR is read earlier than expected.</t>
  </si>
  <si>
    <t>GEBR is read later than expected.</t>
  </si>
  <si>
    <t>A more recent GEBR is read.</t>
  </si>
  <si>
    <t>An outdated GEBR is read. In a worst-case scenario, the performance of a supervised learning-based braking system will be compromised.</t>
  </si>
  <si>
    <t>1) Improper dataset design;
2) Improper design of the supervised learning-based system and/or of elements which read input data;
3) Random hardware fault that prevents or corrupts the reading of the vehicle speed.</t>
  </si>
  <si>
    <t>1) Improper dataset design;
2) Improper design of the supervised learning-based braking system and/or of elements which read input data;
3) Random hardware fault that prevents or corrupts the reading of the vehicle speed.</t>
  </si>
  <si>
    <t>1) Improper design of the supervised learning-based braking system and/or of elements which read input data;
2) Random hardware fault that prevents or corrupts the reading of the vehicle speed.</t>
  </si>
  <si>
    <t>1) Improper dataset design;
2) Improper design of the supervised learning-based braking system and/or of elements which read input data;
3) Random hardware fault that prevents or corrupts the reading of the vehicle GEBR.</t>
  </si>
  <si>
    <t>1) Improper design of the supervised learning-based braking system and/or of elements which read input data;
2) Random hardware fault that prevents or corrupts the reading of the vehicle GEBR.</t>
  </si>
  <si>
    <t xml:space="preserve">1) Improper design of the supervised learning-based braking system and/or of elements which read input data;
2) Random hardware fault that prevents or corrupts the reading of the vehicle GEBR. </t>
  </si>
  <si>
    <t>No braking classification is provided to the training of the braking system.</t>
  </si>
  <si>
    <t xml:space="preserve">1) Improper dataset design;
2) Improper design of the supervised learning-based braking system training (including cross-validation);
3) Random hardware fault that prevents or corrupts the training process (including cross-validation). </t>
  </si>
  <si>
    <t>The absolute number and/or the frequency of records with positive braking classification is higher than necessary</t>
  </si>
  <si>
    <t>The absolute number and/or the frequency of records with positive braking classification is lower than necessary</t>
  </si>
  <si>
    <t>Braking classification is read mixed with other input variables and, hence, its interpretation can be corrupted.</t>
  </si>
  <si>
    <t>Braking classification is only partially captured.</t>
  </si>
  <si>
    <t>The braking classification can be misinterpreted. In a worst-case scenario, the performance of a supervised learning-based braking system will be compromised.</t>
  </si>
  <si>
    <t>Braking Classification (Only for Training and Cross-Validation)</t>
  </si>
  <si>
    <t>Braking classification is interpreted with its opposite state.</t>
  </si>
  <si>
    <t>A different variable impersonates the braking classification</t>
  </si>
  <si>
    <t>Braking classification is read before other input variables.</t>
  </si>
  <si>
    <t>An incorrect braking classification, applicable to a different dataset record, can be used instead of the correct one. In a worst-case scenario, the performance of a supervised learning-based braking system will be compromised.</t>
  </si>
  <si>
    <t>Braking classification is read after other input variables.</t>
  </si>
  <si>
    <t>Braking classification is read earlier than expected.</t>
  </si>
  <si>
    <t>Braking classification is read later than expected.</t>
  </si>
  <si>
    <t>No inputs are provided to training and/or regular operation of the braking system.</t>
  </si>
  <si>
    <t>An input tuple with more input variables is provided to training and/or regular operation of the braking system.</t>
  </si>
  <si>
    <t>More than an input tuple is provided at once to training and/or regular operation of the braking system.</t>
  </si>
  <si>
    <t>An input tuple with less input variables is provided to training and/or regular operation of the braking system.</t>
  </si>
  <si>
    <t>An input tuple with inputs inverted in order is provided to training and/or regular operation of the braking system.</t>
  </si>
  <si>
    <t>An input tuple with different variables impersonating the respective inputs is provided to training and/or regular operation of the braking system.</t>
  </si>
  <si>
    <t>An input tuple is read before a prior braking decision is taken.</t>
  </si>
  <si>
    <t>An input tuple is read after an early braking decision is taken.</t>
  </si>
  <si>
    <t>An input tuple is read earlier than expected.</t>
  </si>
  <si>
    <t>An input tuple is read later than expected.</t>
  </si>
  <si>
    <t>No decision tree is built.</t>
  </si>
  <si>
    <t>If the braking system comprises a single decision tree, it will not be designed at all.
If the braking system comprises an ensemble of more than one AI instance of any kind, one if its instances will not exist. In a worst-case scenario, the performance of a supervised learning-based system can be compromised.</t>
  </si>
  <si>
    <t>The decision tree has a depth that is higher than necessary.</t>
  </si>
  <si>
    <t>If the braking system comprises an ensemble of more than one AI instance of any kind, a decision tree instance might have a compromised performance. In a worst-case scenario, the performance of a supervised learning-based system can be compromised.</t>
  </si>
  <si>
    <t>The decision tree has a depth that is lower than necessary.</t>
  </si>
  <si>
    <t>The depth of the decision tree is set to the same number of leaves.</t>
  </si>
  <si>
    <t>Attribute of Another AI Instance</t>
  </si>
  <si>
    <t>The depth of the decision tree is set to the same number of samples per decision.</t>
  </si>
  <si>
    <t>The depth of the decision tree is set to the same figure of another AI instance attribute.</t>
  </si>
  <si>
    <t>If the coincidence is reached through a proper cross-validation scheme, an optimum design is reached in this condition; otherwise, the AI instance might be misconfigured, thus compromising the performance of a supervised learning-based system.</t>
  </si>
  <si>
    <t>The set of exercisable decision tree depths is not fully exercised.</t>
  </si>
  <si>
    <t>The decision tree depth is only partially captured (i.e., it is not fully read and/or coded).</t>
  </si>
  <si>
    <t>The decision tree depth is corrupted, hence compromising the performance of a supervised learning-based system.</t>
  </si>
  <si>
    <t>Not all plausible decision tree depths are exercised, and a suboptimum solution might be obtained. This can compromise the performance of a supervised learning-based system.</t>
  </si>
  <si>
    <t>The decision tree depth representation is reversed.</t>
  </si>
  <si>
    <t>The set of exercisable decision tree depths is exercised in reverse order.</t>
  </si>
  <si>
    <t>No safety concerns are expected, since the entire set of plausible tree depths would still be exercised in cross-validation.</t>
  </si>
  <si>
    <t>Action "5)" indicates that SR4.1 and SR4.3 are top priority due to their more demanding safety target (SIL 4), but SR 4.2 and SR 4.4 shall also be fulfilled with a less tight target (SIL 3).
Action "7)" reinforces that applying brakes even when not necessary shall be preferrable to not applying brakes, given the more catastrophic consequences related to the lack of the former event, whenever a fault is detected.</t>
  </si>
  <si>
    <t>A different element impersonates the decision tree depth.</t>
  </si>
  <si>
    <t>The decision tree depth is provided before the decision tree is instantiated on either cross-validation or final trained version.</t>
  </si>
  <si>
    <t>The decision tree depth is provided after the decision tree is instantiated on either cross-validation or final trained version.</t>
  </si>
  <si>
    <t>The decision tree depth is provided earlier than expected.</t>
  </si>
  <si>
    <t>The decision tree depth is provided later than expected.</t>
  </si>
  <si>
    <t>No deviation from the regular behavior.</t>
  </si>
  <si>
    <t>Normal operation.</t>
  </si>
  <si>
    <t>No hazards have been identified for this scenario because it does not change the overall results of cross-validation nor the instantiation of the AI element.</t>
  </si>
  <si>
    <t>The decision tree has a number of leaves that is higher than necessary.</t>
  </si>
  <si>
    <t>The decision tree has a number of leaves that is lower than necessary.</t>
  </si>
  <si>
    <t>The number of leaves of the decision tree is set to the tree depth.</t>
  </si>
  <si>
    <t>Tree Depth</t>
  </si>
  <si>
    <t>The number of leaves of the decision tree is set to the same number of samples per decision.</t>
  </si>
  <si>
    <t>The number of leaves of the decision tree is set to the same figure of another AI instance attribute.</t>
  </si>
  <si>
    <t>The decision tree number of leaves is only partially captured (i.e., it is not fully read and/or coded).</t>
  </si>
  <si>
    <t>The set of exercisable decision tree number of leaves is not fully exercised.</t>
  </si>
  <si>
    <t>The decision tree number of leaves representation is reversed.</t>
  </si>
  <si>
    <t>The set of exercisable decision tree number of leaves is exercised in reverse order.</t>
  </si>
  <si>
    <t>A different element impersonates the decision tree number of leaves.</t>
  </si>
  <si>
    <t>The decision tree number of leaves is provided before the decision tree is instantiated on either cross-validation or final trained version.</t>
  </si>
  <si>
    <t>The decision tree number of leaves is provided after the decision tree is instantiated on either cross-validation or final trained version.</t>
  </si>
  <si>
    <t>The decision tree number of leaves is provided earlier than expected.</t>
  </si>
  <si>
    <t>The decision tree number of leaves is provided later than expected.</t>
  </si>
  <si>
    <t>The number of samples per node of the decision tree is higher than necessary.</t>
  </si>
  <si>
    <t>The number of samples per node of the decision tree is lower than necessary.</t>
  </si>
  <si>
    <t>The number of samples per node of the decision tree is set to the same number of leaves.</t>
  </si>
  <si>
    <t>The number of samples per node of the decision tree is set to the tree depth.</t>
  </si>
  <si>
    <t>The number of samples per node of the decision tree is set to the same figure of another AI instance attribute.</t>
  </si>
  <si>
    <t>The number of samples per node of the decision tree is only partially captured (i.e., it is not fully read and/or coded).</t>
  </si>
  <si>
    <t>The set of exercisable number of samples per node of the decision tree is not fully exercised.</t>
  </si>
  <si>
    <t>The representation of the number of samples per node of the decision tree is reversed.</t>
  </si>
  <si>
    <t>The set of exercisable number of samples per node of the decision tree is exercised in reverse order.</t>
  </si>
  <si>
    <t>A different element impersonates the number of samples per node of the decision tree.</t>
  </si>
  <si>
    <t>The number of samples per node of the decision tree is provided before the decision tree is instantiated on either cross-validation or final trained version.</t>
  </si>
  <si>
    <t>The number of samples per node of the decision tree is provided after the decision tree is instantiated on either cross-validation or final trained version.</t>
  </si>
  <si>
    <t>The number of samples per node of the decision tree is provided earlier than expected.</t>
  </si>
  <si>
    <t>The number of samples per node of the decision tree is provided later than expected.</t>
  </si>
  <si>
    <t>The decision tree number of leaves is corrupted, hence compromising the performance of a supervised learning-based system.</t>
  </si>
  <si>
    <t>No safety concerns are expected, since the entire set of plausible tree number of leaves would still be exercised in cross-validation.</t>
  </si>
  <si>
    <t>Not all plausible decision tree number of leaves are exercised, and a suboptimum solution might be obtained. This can compromise the performance of a supervised learning-based system.</t>
  </si>
  <si>
    <t>The number of samples per node of the decision tree is corrupted, hence compromising the performance of a supervised learning-based system.</t>
  </si>
  <si>
    <t>Not all plausible number of samples per node of the decision tree are exercised, and a suboptimum solution might be obtained. This can compromise the performance of a supervised learning-based system.</t>
  </si>
  <si>
    <t>No safety concerns are expected, since the entire set of plausible number of samples per node of the decision tree would still be exercised in cross-validation.</t>
  </si>
  <si>
    <t>Another Attribute of the same Decision Tree</t>
  </si>
  <si>
    <t>More than a single partitioning criterion is utilized when generating the decision tree (cross-validation or final training).</t>
  </si>
  <si>
    <t>Please refer to the table lines involving the keywords 'no/not', 'more', 'less' and the same hyperparameter of the same supervised learning model.</t>
  </si>
  <si>
    <t>Please refer to the table line involving the keywords 'no/not', and the same hyperparameter of the same supervised learning model.</t>
  </si>
  <si>
    <t>The partitioning criterion of the decision tree is set to a potentially invalid setting.</t>
  </si>
  <si>
    <t>The partitioning criterion of the decision tree is set to a potentially invalid setting and/or to a valid setting from another decision tree.</t>
  </si>
  <si>
    <t>In a worst-case scenario, it is deemed that no decision tree is built.</t>
  </si>
  <si>
    <t>If the coincidence is reached through a proper cross-validation scheme, an optimum design is reached in this condition; otherwise, it is deemed that no decision tree is built.</t>
  </si>
  <si>
    <t>The partitioning criterion of the decision tree is only partially captured (i.e., it is not fully read and/or coded).</t>
  </si>
  <si>
    <t>The partitioning criterion of the decision tree is set to a potentially invalid setting, at which it is deemed that no decision tree is built.</t>
  </si>
  <si>
    <t>The set of exercisable partitioning criteria is not fully exercised.</t>
  </si>
  <si>
    <t>The partitioning criterion is reversed.</t>
  </si>
  <si>
    <t>The set of exercisable partitioning criteria is exercised in reverse order.</t>
  </si>
  <si>
    <t>No safety concerns are expected, since the entire set of partitioning criteria would still be exercised in cross-validation.</t>
  </si>
  <si>
    <t>The partitioning criterion is provided before the decision tree is instantiated on either cross-validation or final trained version.</t>
  </si>
  <si>
    <t>A different element impersonates the partitioning criterion.</t>
  </si>
  <si>
    <t>The decision tree partitioning criterion is provided after the decision tree is instantiated on either cross-validation or final trained version.</t>
  </si>
  <si>
    <t>The decision tree partitioning criterion is provided earlier than expected.</t>
  </si>
  <si>
    <t>The decision tree partitioning criterion is provided later than expected.</t>
  </si>
  <si>
    <t>Please refer to the table lines involving the keywords 'no/not', 'more', 'other than' and the same hyperparameter of the same supervised learning model.</t>
  </si>
  <si>
    <t>A decision tree with random weights might be built.</t>
  </si>
  <si>
    <t>The weight of at least one of the input attribute is higher than it should have been. This leads to a different balance among attributes for each decision tree node.</t>
  </si>
  <si>
    <t>The weight of at least one of the input attribute is lower than it should have been. This leads to a different balance among attributes for each decision tree node.</t>
  </si>
  <si>
    <t>Weight of Another Attribute</t>
  </si>
  <si>
    <t>Weight of the same Attribute for a Different Decision Node</t>
  </si>
  <si>
    <t>The weight of at least one of the input attributes is different than it should have been. This leads to a different balance among attributes for each decision tree node.</t>
  </si>
  <si>
    <t>The weight of attributes for at least one decision node is different than it should have been. This leads to a different balance among attributes for each decision tree node.</t>
  </si>
  <si>
    <t>The weight of at least one of the input attributes for at least one decision node is different than it should have been. This leads to a different balance among attributes for each decision tree node.</t>
  </si>
  <si>
    <t>The weight of at least one of the input attributes for at least one decision node is only partially captured (i.e., it is not fully read and/or coded).</t>
  </si>
  <si>
    <t>Theweight of at least one of the input attributes for at least one decision node is corrupted, hence compromising the performance of a supervised learning-based system.</t>
  </si>
  <si>
    <t>Not all plausible decision tree weights of input attributes are exercised, and a suboptimum solution might be obtained. This can compromise the performance of a supervised learning-based system.</t>
  </si>
  <si>
    <t>The representation of the weight of at least one of the input attributes for at least one decision node is reversed.</t>
  </si>
  <si>
    <t>A different element impersonates the weights of input attributes for the decision nodes.</t>
  </si>
  <si>
    <t>The decision tree weights of input attributes for the decision nodes are provided before the decision tree is instantiated on either cross-validation or final trained version.</t>
  </si>
  <si>
    <t>The decision tree weights of input attributes for the decision nodes are provided after the decision tree is instantiated on either cross-validation or final trained version.</t>
  </si>
  <si>
    <t>The decision tree weights of input attributes for the decision nodes are provided earlier than expected.</t>
  </si>
  <si>
    <t>The decision tree depth weights of input attributes for the decision nodes are provided later than expected.</t>
  </si>
  <si>
    <t>The decision tree might not be adequately configured, thus compromising the performance of a supervised learning-based braking system to which it belongs. Please refer to the table lines involving the keywords 'no/not', 'more', 'less' and the same hyperparameter of the same supervised learning model.</t>
  </si>
  <si>
    <t>The decision tree might not be adequately configured, thus compromising the performance of a supervised learning-based braking system to which it belongs. Please refer to the table lines involving the keywords 'no/not', 'more', 'other than' and the same hyperparameter of the same supervised learning model.</t>
  </si>
  <si>
    <t>The decision tree structure is compromised, hence affecting the performance of a supervised learning-based system in a potentially negative way.</t>
  </si>
  <si>
    <t>Distance Function</t>
  </si>
  <si>
    <t>No kNN-based solution is built.</t>
  </si>
  <si>
    <t>If the braking system comprises a single kNN module, it will not be designed at all.
If the braking system comprises an ensemble of more than one AI instance of any kind, one if its instances will not exist. In a worst-case scenario, the performance of a supervised learning-based system can be compromised.</t>
  </si>
  <si>
    <t>The number of neighbors for classifying the need for braking based on an input tuple is higher than necessary.</t>
  </si>
  <si>
    <t>The number of neighbors for classifying the need for braking based on an input tuple is lower than necessary.</t>
  </si>
  <si>
    <t>The kNN classifier can have a subpar performance. As a result, the performance of a supervised learning-based system which utilizes it can be compromised.</t>
  </si>
  <si>
    <t>The number of neighbors for classifying the need for braking based on an input tuple might differ from the optimum setting.</t>
  </si>
  <si>
    <t>If the coincidence is reached through a proper cross-validation scheme, an optimum design is reached in this condition; otherwise, the kNN classifier can have a subpar performancewhich negatively affects the performance of a supervised learning-based system which utilizes it.</t>
  </si>
  <si>
    <t>The number of neighbors is only partially captured (i.e., it is not fully read and/or coded).</t>
  </si>
  <si>
    <t>The set of exercisable number of neighbors is not fully exercised.</t>
  </si>
  <si>
    <t>The number of neighbors is corrupted, hence compromising the performance of a supervised learning-based system.</t>
  </si>
  <si>
    <t>Not all plausible number of neighbors are exercised, and a suboptimum solution might be obtained. This can compromise the performance of a supervised learning-based system.</t>
  </si>
  <si>
    <t>The representation of the number of neighbors is reversed.</t>
  </si>
  <si>
    <t>The set of exercisable number of neighbors is exercised in reverse order.</t>
  </si>
  <si>
    <t>No safety concerns are expected, since the entire set of plausible neighbors would still be exercised in cross-validation.</t>
  </si>
  <si>
    <t>A different element impersonates the number of neighbors.</t>
  </si>
  <si>
    <t>The number of neighbors is provided earlier than expected.</t>
  </si>
  <si>
    <t>The number of neighbors is provided later than expected.</t>
  </si>
  <si>
    <t>In a worst-case scenario, it is deemed that the kNN classifier can have a subpar performance. As a result, the performance of a supervised learning-based system which utilizes it can be compromised.</t>
  </si>
  <si>
    <t>The distance between at least one pair of input tuples (distance, speed, GEBR) is overestimated.</t>
  </si>
  <si>
    <t>The distance between at least one pair of input tuples (distance, speed, GEBR) is underestimated.</t>
  </si>
  <si>
    <t>Other distance functions</t>
  </si>
  <si>
    <t>The distance between at least one pair of input tuples (distance, speed, GEBR) is calculated with a distance function that differs from the optimal one for the application.</t>
  </si>
  <si>
    <t>The distance between at least one pair of input tuples (distance, speed, GEBR) is partially calculated.</t>
  </si>
  <si>
    <t>The set of exercisable distance functions is not fully exercised.</t>
  </si>
  <si>
    <t>Not all plausible distance functions are exercised, and a suboptimum solution might be obtained. This can compromise the performance of a supervised learning-based system.</t>
  </si>
  <si>
    <t>The algorithm to calculate the distance function is reversed.</t>
  </si>
  <si>
    <t xml:space="preserve">1) Improper design of the supervised learning-based braking system training (including cross-validation);
2) Random hardware fault that prevents or corrupts the training process (including cross-validation) and/or the braking system operation. </t>
  </si>
  <si>
    <t>The set of exercisable distance functions is exercised in reverse order.</t>
  </si>
  <si>
    <t>A different element impersonates the distance function.</t>
  </si>
  <si>
    <t>The distance function is provided before the kNN classifier is instantiated on either cross-validation or final trained version.</t>
  </si>
  <si>
    <t>The distance function is provided after the kNN classifier is instantiated on either cross-validation or final trained version.</t>
  </si>
  <si>
    <t>The distance function is provided earlier than expected.</t>
  </si>
  <si>
    <t>The distance function is provided later than expected.</t>
  </si>
  <si>
    <t>The kNN classifier might not be adequately configured, thus compromising the performance of a supervised learning-based braking system to which it belongs. Please refer to the table lines involving the keywords 'no/not', 'more', 'less' and the same hyperparameter of the same supervised learning model.</t>
  </si>
  <si>
    <t>The number of neighbors is provided before the kNN classifier is instantiated on either cross-validation or final trained version.</t>
  </si>
  <si>
    <t>The number of neighbors is provided after the kNN classifier is instantiated on either cross-validation or final trained version.</t>
  </si>
  <si>
    <t>No SVM-based solution is built.</t>
  </si>
  <si>
    <t>If the braking system comprises a single SVM module, it will not be designed at all.
If the braking system comprises an ensemble of more than one AI instance of any kind, one if its instances will not exist. In a worst-case scenario, the performance of a supervised learning-based system can be compromised.</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</si>
  <si>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decision tree is used in the design of the supervised learning-based braking system, the depth of each decision tree shall be exercised on cross-validation in the following way: the minimum depth shall be high enough to provide sufficient performance, and the maximum depth shall be low enough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decision tree explainability shall allow tracing the decision nodes which justify the braking decision, as well as quantifying the underlying uncertainties of such a decision.</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</si>
  <si>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decision tree is used in the design of the supervised learning-based braking system, the number of leaves of each decision tree shall be exercised on cross-validation in the following way: the minimum threshold shall be high enough to provide sufficient performance, and the maximum threshold shall be low enough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decision tree explainability shall allow tracing the decision nodes which justify the braking decision, as well as quantifying the underlying uncertainties of such a decision.</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</si>
  <si>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decision tree is used in the design of the supervised learning-based braking system, the number of samples per node of the decision tree shall be exercised on cross-validation in the following way: the minimum number of samples per node shall be high enough to provide sufficient performance, and the maximum number of samples per node of the decision tree shall be low enough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decision tree explainability shall allow tracing the decision nodes which justify the braking decision, as well as quantifying the underlying uncertainties of such a decision.</t>
  </si>
  <si>
    <t>The SVM accepts more classification errors than it should.</t>
  </si>
  <si>
    <t>The SVM classifier can have a subpar performance. As a result, the performance of a supervised learning-based system which utilizes it can be compromised.</t>
  </si>
  <si>
    <t>The SVM accepts less classification errors than it should.</t>
  </si>
  <si>
    <t>The regularization parameter might differ from the optimum setting.</t>
  </si>
  <si>
    <t>If the coincidence is reached through a proper cross-validation scheme, an optimum design is reached in this condition; otherwise, the SVM can have a subpar performancewhich negatively affects the performance of a supervised learning-based system which utilizes it.</t>
  </si>
  <si>
    <t>The regularization parameter is only partially captured (i.e., it is not fully read and/or coded).</t>
  </si>
  <si>
    <t>The regularization parameter is corrupted, hence compromising the performance of a supervised learning-based system.</t>
  </si>
  <si>
    <t>The set of exercisable regularization parameters is not fully exercised.</t>
  </si>
  <si>
    <t>Not all plausible regularization parameters are exercised, and a suboptimum solution might be obtained. This can compromise the performance of a supervised learning-based system.</t>
  </si>
  <si>
    <t>The representation of the regularization parameter is reversed.</t>
  </si>
  <si>
    <t>The set of exercisable regularization parameters is exercised in reverse order.</t>
  </si>
  <si>
    <t>A different element impersonates the regularization parameter.</t>
  </si>
  <si>
    <t>The regularization parameter is provided before the SVM is instantiated on either cross-validation or final trained version.</t>
  </si>
  <si>
    <t>The regularization parameter is provided after the SVM classifier is instantiated on either cross-validation or final trained version.</t>
  </si>
  <si>
    <t>The regularization parameter is provided earlier than expected.</t>
  </si>
  <si>
    <t>The regularization parameter is provided later than expected.</t>
  </si>
  <si>
    <t>The SVM might not be adequately configured, thus compromising the performance of a supervised learning-based braking system to which it belongs. Please refer to the table lines involving the keywords 'no/not', 'more', 'less' and the same hyperparameter of the same supervised learning model.</t>
  </si>
  <si>
    <t>The kernel function 'distorts' the data space more than it should.</t>
  </si>
  <si>
    <t>The kernel function 'distorts' the data space less than it should.</t>
  </si>
  <si>
    <t>Other kernel functions</t>
  </si>
  <si>
    <t>The kernel function might differ from the optimal setting for the application.</t>
  </si>
  <si>
    <t>The input space transformation by means of the kernel function is partially calculated.</t>
  </si>
  <si>
    <t>The retrieved distance can be incorrect and/or invalid. Therefore, it is deemed that the kNN classifier can have a subpar performance, which can ultimately negatively affect the performance of a supervised learning-based system which utilizes it.</t>
  </si>
  <si>
    <t>The set of exercisable kernel functions is not fully exercised.</t>
  </si>
  <si>
    <t>Not all plausible kernel functions are exercised, and a suboptimum solution might be obtained. This can compromise the performance of a supervised learning-based system.</t>
  </si>
  <si>
    <t>The algorithm to calculate the kernel function is reversed.</t>
  </si>
  <si>
    <t>The set of exercisable kernel functions is exercised in reverse order.</t>
  </si>
  <si>
    <t>No safety concerns are expected, since the entire set of kernel functions would still be exercised in cross-validation.</t>
  </si>
  <si>
    <t>No safety concerns are expected, since the entire set of plausible distance functions would still be exercised in cross-validation.</t>
  </si>
  <si>
    <t>A different element impersonates the kernel function.</t>
  </si>
  <si>
    <t>The kernel function can be incorrect and/or invalid. Therefore, it is deemed that the SVM classifier can have a subpar performance, which can ultimately negatively affect the performance of a supervised learning-based system which utilizes it.</t>
  </si>
  <si>
    <t>The kernel function is provided before the SVM classifier is instantiated on either cross-validation or final trained version.</t>
  </si>
  <si>
    <t>The kernel function is provided after the SVM classifier is instantiated on either cross-validation or final trained version.</t>
  </si>
  <si>
    <t>The SVM classifier might not be adequately configured, thus compromising the performance of a supervised learning-based braking system to which it belongs. Please refer to the table lines involving the keywords 'no/not', 'more', 'less' and the same hyperparameter of the same supervised learning model.</t>
  </si>
  <si>
    <t>The kernel function is provided earlier than expected.</t>
  </si>
  <si>
    <t>The kernel function is provided later than expected.</t>
  </si>
  <si>
    <t>Please refer to the table lines involving the keywords 'no/not', 'other than' and the same hyperparameter of the same supervised learning model.</t>
  </si>
  <si>
    <t>Number of Neurons for a Hidden Layer</t>
  </si>
  <si>
    <t>Connections to other neurons and/or layers</t>
  </si>
  <si>
    <t>Another Activation Function</t>
  </si>
  <si>
    <t>A two-layer neural network (i.e., without hidden layers) will be generated.</t>
  </si>
  <si>
    <t>The neural network-based classifier might have a compromised performance. In a worst-case scenario, the performance of a supervised learning-based system can be compromised.</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</si>
  <si>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neural network is used in the design of the supervised learning-based braking system, the number of hidden layers shall be exercised on cross-validation in the following way: the minimum number of hidden layers shall be high enough to provide sufficient performance, and the maximum number of hidden layers shall be low enough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neural network explainability shall allow tracing the outputs of the neurons which justify the braking decision, as well as quantifying the underlying uncertainties of such a decision.</t>
  </si>
  <si>
    <t>The neural network has more hidden layers than it should.</t>
  </si>
  <si>
    <t>The neural network has less hidden layers than it should.</t>
  </si>
  <si>
    <t>The number of hidden layers is set to the same number of neurons of a hidden layer.</t>
  </si>
  <si>
    <t>The number of hidden layers is set to the same number of learning epochs.</t>
  </si>
  <si>
    <t>The number of hidden layers is set to the same figure of another AI instance attribute.</t>
  </si>
  <si>
    <t>The number of hidden layers is only partially captured (i.e., it is not fully read and/or coded).</t>
  </si>
  <si>
    <t>The number of hidden layers is corrupted, hence compromising the performance of a supervised learning-based system.</t>
  </si>
  <si>
    <t>The set of exercisable number of hidden layers is not fully exercised.</t>
  </si>
  <si>
    <t>The representation of the number of hidden layers is reversed.</t>
  </si>
  <si>
    <t>The set of exercisable number of hidden layers is exercised in reverse order.</t>
  </si>
  <si>
    <t>No safety concerns are expected, since the entire set of plausible number of hidden layers would still be exercised in cross-validation.</t>
  </si>
  <si>
    <t>A different element impersonates the number of hidden layers.</t>
  </si>
  <si>
    <t>The number of hidden layers is provided earlier than expected.</t>
  </si>
  <si>
    <t>The number of hidden layers is provided later than expected.</t>
  </si>
  <si>
    <t>The neural network might not be adequately configured, thus compromising the performance of a supervised learning-based braking system to which it belongs. Please refer to the table lines involving the keywords 'no/not', 'more', 'less' and the same hyperparameter of the same supervised learning model.</t>
  </si>
  <si>
    <t>At least one neural network hidden layer becomes empty, thus compromising the generation of the neural network.</t>
  </si>
  <si>
    <t>At least one neural network hidden layer has more neurons than it should.</t>
  </si>
  <si>
    <t>At least one neural network hidden layer has less neurons than it should.</t>
  </si>
  <si>
    <t>At least one neural network hidden layer has its number of neurons set to the same number of learning epochs.</t>
  </si>
  <si>
    <t>At least one neural network hidden layer has its number of neurons set to the same number of hidden layers.</t>
  </si>
  <si>
    <t>At least one neural network hidden layer has its number of neurons set to the same figure of another AI instance attribute.</t>
  </si>
  <si>
    <t>At least one neural network hidden layer has its number of neurons only partially captured (i.e., it is not fully read and/or coded).</t>
  </si>
  <si>
    <t>At least one neural network hidden layer has its number of neurons corrupted, hence compromising the performance of a supervised learning-based system.</t>
  </si>
  <si>
    <t>The set of exercisable number of neurons of at least one hidden layer is exercised in reverse order.</t>
  </si>
  <si>
    <t>The representation of the number of neurons of at least one hidden layer is reversed.</t>
  </si>
  <si>
    <t>The number of neurons of at least one hidden layer is corrupted, hence compromising the performance of a supervised learning-based system.</t>
  </si>
  <si>
    <t>The set of exercisable number of neurons for at least one hidden layer is not fully exercised.</t>
  </si>
  <si>
    <t>No safety concerns are expected, since the entire set of plausible number of neurons of a hidden layer would still be exercised in cross-validation.</t>
  </si>
  <si>
    <t>A different element impersonates the number of neurons of at least one hidden layer.</t>
  </si>
  <si>
    <t>The number of neurons of at least one hidden layer is provided before the neural network is instantiated on either cross-validation or final trained version.</t>
  </si>
  <si>
    <t>The number of hidden layers is provided before the neural network is instantiated on either cross-validation or final trained version.</t>
  </si>
  <si>
    <t>The number of hidden layers is provided after the neural network is instantiated on either cross-validation or final trained version.</t>
  </si>
  <si>
    <t>The number of neurons of at least one hidden layer is provided after the neural network is instantiated on either cross-validation or final trained version.</t>
  </si>
  <si>
    <t>The number of neurons of at least one hidden layer is provided earlier than expected.</t>
  </si>
  <si>
    <t>The number of neurons of at least one hidden layer is provided later than expected.</t>
  </si>
  <si>
    <t>At least one connection between two neurons of different layers is not set.</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</si>
  <si>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neural network is used in the design of the supervised learning-based braking system, the number of neurons per hidden layer shall be exercised on cross-validation in the following way for each hidden layer: the minimum number of neurons shall provide sufficient performance and be upper-limited in such a way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neural network explainability shall allow tracing the outputs of the neurons which justify the braking decision, as well as quantifying the underlying uncertainties of such a decision.</t>
  </si>
  <si>
    <t>At least one neural network neuron has more connections than it should to neurons of a different layer.</t>
  </si>
  <si>
    <t>At least one neural network neuron has less connections than it should to neurons of a different layer.</t>
  </si>
  <si>
    <t>At least one neural network neuron has different connections than it should to neurons of a different layer.</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</si>
  <si>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neural network is used in the design of the supervised learning-based braking system, the connections between neurons of different layers (including dropout mechanisms) shall be set in such a way that the neural network provides sufficient performance and that, along with other hyperparameters, the neural network allows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neural network explainability shall allow tracing the outputs of the neurons which justify the braking decision, as well as quantifying the underlying uncertainties of such a decision.</t>
  </si>
  <si>
    <t>At least one neural network neuron has connections to other neurons only partially captured (i.e., they are not fully read and/or coded).</t>
  </si>
  <si>
    <t>At least one neural network neuron has connections to other neurons corrupted, hence compromising the performance of a supervised learning-based system.</t>
  </si>
  <si>
    <t>The set of exercisable connections between at least two neurons of different layers is not fully exercised.</t>
  </si>
  <si>
    <t>Not all plausible connections between at least two neurons of different layers are exercised, and a suboptimum solution might be obtained. This can compromise the performance of a supervised learning-based system.</t>
  </si>
  <si>
    <t>The representation of the connections between at least two neurons of different layers is reversed.</t>
  </si>
  <si>
    <t>The set of exercisable connections between at least two neurons of different layers is exercised in reverse order.</t>
  </si>
  <si>
    <t>A different element impersonates the connection between at least two neurons of different layers.</t>
  </si>
  <si>
    <t>The connections among neurons are provided before the neural network is instantiated on either cross-validation or final trained version.</t>
  </si>
  <si>
    <t>The connections among neurons are provided after the neural network is instantiated on either cross-validation or final trained version.</t>
  </si>
  <si>
    <t>The connections among neurons are provided earlier than expected.</t>
  </si>
  <si>
    <t>The connections among neurons are provided later than expected.</t>
  </si>
  <si>
    <t>If the braking system comprises a single neural network module, it will not be designed at all.
If the braking system comprises an ensemble of more than one AI instance of any kind, one if its instances will not exist. In a worst-case scenario, the performance of a supervised learning-based system can be compromised.</t>
  </si>
  <si>
    <t>No neural network-based solution is built.</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</si>
  <si>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neural network is used in the design of the supervised learning-based braking system, the activation function shall be exercised as follows: (i.) potential candidates include standard functions (e.g., ReLU, logistic tanh, identity,) and customized functions (designed according to the kinematic equations of uniformly accelerated movements), and (ii.) the chosen activation function shall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neural network explainability shall allow tracing the outputs of the neurons which justify the braking decision, as well as quantifying the underlying uncertainties of such a decision.
9) The activation function utilized in a neural network shall be properly specified, implemented, verified, validated, and deployed.</t>
  </si>
  <si>
    <t>More than one activation function acts per neuron.</t>
  </si>
  <si>
    <t>The activation function might differ from the optimal setting for the application.</t>
  </si>
  <si>
    <t>The activation function is only partially calculated.</t>
  </si>
  <si>
    <t>The neural network-based classifier can have a subpar performance. In a worst-case scenario, the performance of a supervised learning-based system can be compromised.</t>
  </si>
  <si>
    <t>The set of exercisable activation functions is not fully exercised.</t>
  </si>
  <si>
    <t>Not all plausible activation functions are exercised, and a suboptimum solution might be obtained. This can compromise the performance of a supervised learning-based system.</t>
  </si>
  <si>
    <t>The algorithm to calculate the activation function is reversed.</t>
  </si>
  <si>
    <t>The set of exercisable activation functions is exercised in reverse order.</t>
  </si>
  <si>
    <t>No safety concerns are expected, since the entire set of plausible activation functions would still be exercised in cross-validation.</t>
  </si>
  <si>
    <t>A different element impersonates the activation function.</t>
  </si>
  <si>
    <t>The activation function can be incorrect and/or invalid. Therefore, it is deemed that the neural network classifier can have a subpar performance, which can ultimately negatively affect the performance of a supervised learning-based system which utilizes it.</t>
  </si>
  <si>
    <t>The activation function is provided before the neural network is instantiated on either cross-validation or final trained version.</t>
  </si>
  <si>
    <t>No safety concerns are expected, since the entire set of connections among neurons would still be exercised in cross-validation.</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</si>
  <si>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neural network is used in the design of the supervised learning-based braking system, the learning rate shall be exercised to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neural network explainability shall allow tracing the outputs of the neurons which justify the braking decision, as well as quantifying the underlying uncertainties of such a decision.</t>
  </si>
  <si>
    <t>The learning rate is lower than it should be.</t>
  </si>
  <si>
    <t>The learning rate is higher than it should be.</t>
  </si>
  <si>
    <t>The learning rate might differ from the optimal setting for the application.</t>
  </si>
  <si>
    <t>The learning is only partially captured (i.e., it is not fully read and/or coded).</t>
  </si>
  <si>
    <t>The set of exercisable learning rates is not fully exercised.</t>
  </si>
  <si>
    <t>Not all plausible learning rates are exercised, and a suboptimum solution might be obtained. This can compromise the performance of a supervised learning-based system.</t>
  </si>
  <si>
    <t>The representation of the learning rate is reversed.</t>
  </si>
  <si>
    <t>The set of exercisable learning rates is exercised in reverse order.</t>
  </si>
  <si>
    <t>No safety concerns are expected, since the entire set of plausible learning rates would still be exercised in cross-validation.</t>
  </si>
  <si>
    <t>A different element impersonates the learning rate.</t>
  </si>
  <si>
    <t>The alearning rate can be incorrect and/or invalid. Therefore, it is deemed that the neural network classifier can have a subpar performance, which can ultimately negatively affect the performance of a supervised learning-based system which utilizes it.</t>
  </si>
  <si>
    <t>The learning rate is provided before the neural network is instantiated on either cross-validation or final trained version.</t>
  </si>
  <si>
    <t>The learning rate is provided earlier than expected.</t>
  </si>
  <si>
    <t>The learning rate is provided later than expected.</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</si>
  <si>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neural network is used in the design of the supervised learning-based braking system, the number of learning epochs shall be exercised to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neural network explainability shall allow tracing the outputs of the neurons which justify the braking decision, as well as quantifying the underlying uncertainties of such a decision.</t>
  </si>
  <si>
    <t>The number of learning epochs is higher than it should be.</t>
  </si>
  <si>
    <t>The number of learning epochs is lower than it should be.</t>
  </si>
  <si>
    <t>The number of learning epochs is set to the same number of hidden layers.</t>
  </si>
  <si>
    <t>The number of learning epochs is set to the same number of neurons of a hidden layer.</t>
  </si>
  <si>
    <t>The number of learning epochs is set to the same figure of another AI instance attribute.</t>
  </si>
  <si>
    <t>The number of learning epochs is only partially captured (i.e., it is not fully read and/or coded).</t>
  </si>
  <si>
    <t>The number of learning epochs is corrupted, hence compromising the performance of a supervised learning-based system.</t>
  </si>
  <si>
    <t>The set of exercisable number of learning epochs is not fully exercised.</t>
  </si>
  <si>
    <t>Not all plausible numbers of learning epochs are exercised, and a suboptimum solution might be obtained. This can compromise the performance of a supervised learning-based system.</t>
  </si>
  <si>
    <t>The representation of the number of learning epochs is reversed.</t>
  </si>
  <si>
    <t>The set of exercisable number of learning epochs is exercised in reverse order.</t>
  </si>
  <si>
    <t>No safety concerns are expected, since the entire set of plausible number of learning epochs would still be exercised in cross-validation.</t>
  </si>
  <si>
    <t>A different element impersonates the number of learning epochs.</t>
  </si>
  <si>
    <t>The number of learning epochs is provided before the neural network is instantiated on either cross-validation or final trained version.</t>
  </si>
  <si>
    <t>The number of learning epochs is provided after the neural network is instantiated on either cross-validation or final trained version.</t>
  </si>
  <si>
    <t>The number of learning epochs is provided earlier than expected.</t>
  </si>
  <si>
    <t>The number of learning epochs is provided later than expected.</t>
  </si>
  <si>
    <t>Not all plausible numbers of neurons for at least one hidden layer are exercised, and a suboptimum solution might be obtained. This can compromise the performance of a supervised learning-based system.</t>
  </si>
  <si>
    <t>Not all plausible numbers of hidden layers are exercised, and a suboptimum solution might be obtained. This can compromise the performance of a supervised learning-based system.</t>
  </si>
  <si>
    <t>Another Performance Metric</t>
  </si>
  <si>
    <t>Same Metric of Another AI Instance (e.g., another ensemble member or from a different ensemble)</t>
  </si>
  <si>
    <t>If the braking system comprises a single random forest module, it will not be designed at all.
If the braking system comprises an ensemble of more than one AI instance of any kind, one if its instances will not exist. In a worst-case scenario, the performance of a supervised learning-based system can be compromised.</t>
  </si>
  <si>
    <t>A random forest-based solution is not built.</t>
  </si>
  <si>
    <t>A random forest has more decision trees than it should.</t>
  </si>
  <si>
    <t>A random forest has less decision trees than it should.</t>
  </si>
  <si>
    <t>The random forest-based classifier might have a compromised performance. In a worst-case scenario, the performance of a supervised learning-based system can be compromised.</t>
  </si>
  <si>
    <t>At least another AI Instance.</t>
  </si>
  <si>
    <t>The random forest has additional elements, such as other decision trees or even other AI models, which turn into a general-purpose ensemble.</t>
  </si>
  <si>
    <t>If the additional AI instances were not designed with this purpose, the random forest-based classifier might have a compromised performance. In a worst-case scenario, the performance of a supervised learning-based system can be compromised.</t>
  </si>
  <si>
    <t>The random forest only has part of its elements.</t>
  </si>
  <si>
    <t>The set of decision trees which are part of the random forest has not been fully exercised.</t>
  </si>
  <si>
    <t>The algorithms of the random forest decision and/or of its members are reversed.</t>
  </si>
  <si>
    <t>The decision trees are configured in reverse order.</t>
  </si>
  <si>
    <t>A different AI element impersonates the random forest and/or one of its decision trees.</t>
  </si>
  <si>
    <t>At least one hyperparameter of at least one decision tree has been wrongly configured.</t>
  </si>
  <si>
    <t>The decision trees are provided before the random forest is instantiated on either cross-validation or final trained version.</t>
  </si>
  <si>
    <t>The decision trees are provided after the random forest is instantiated on either cross-validation or final trained version.</t>
  </si>
  <si>
    <t>The decision trees are provided earlier than expected.</t>
  </si>
  <si>
    <t>The decision trees are provided later than expected.</t>
  </si>
  <si>
    <t>The random forest-based classifier can have a subpar performance. In a worst-case scenario, the performance of a supervised learning-based system can be compromised.</t>
  </si>
  <si>
    <t>Not all plausible decision trees are exercised, and a suboptimum solution might be obtained. This can compromise the performance of a supervised learning-based system.</t>
  </si>
  <si>
    <t>The random forest-based classifier can behave incorrectly. In a worst-case scenario, the performance of a supervised learning-based system can be compromised.</t>
  </si>
  <si>
    <t>No safety concerns are expected, since the entire set of decision trees would still be part of the random forest.</t>
  </si>
  <si>
    <t>In a worst-case scenario, the performance of a supervised learning-based system can be compromised.</t>
  </si>
  <si>
    <t>Other Ensembles</t>
  </si>
  <si>
    <t>An ensemble-based solution is not built.</t>
  </si>
  <si>
    <t>If the braking system comprises a single AI ensemble, it will not be designed at all.
If the braking system comprises more than one AI ensemble, one if its members will not exist. In a worst-case scenario, the performance of a supervised learning-based system can be compromised.</t>
  </si>
  <si>
    <t>An ensemble-based solution has more members than it should.</t>
  </si>
  <si>
    <t>The AI ensemble-based classifier might have a compromised performance. In a worst-case scenario, the performance of a supervised learning-based system can be compromised.</t>
  </si>
  <si>
    <t>An ensemble-based solution has less members than it should.</t>
  </si>
  <si>
    <t>The ensemble has additional elements.</t>
  </si>
  <si>
    <t>If the additional AI instances were not designed with this purpose, the AI ensemble-based classifier might have a compromised performance. In a worst-case scenario, the performance of a supervised learning-based system can be compromised.</t>
  </si>
  <si>
    <t>The AI ensemble only has part of its elements.</t>
  </si>
  <si>
    <t>The AI ensemble-based classifier can have a subpar performance. In a worst-case scenario, the performance of a supervised learning-based system can be compromised.</t>
  </si>
  <si>
    <t>The set of AI instances which are part of the AI ensemble has not been fully exercised.</t>
  </si>
  <si>
    <t>Not all plausible AI elements are exercised, and a suboptimum solution might be obtained. This can compromise the performance of a supervised learning-based system.</t>
  </si>
  <si>
    <t>The algorithms of the AI ensemble decision and/or of its members are reversed.</t>
  </si>
  <si>
    <t>The AI ensemble-based classifier can behave incorrectly. In a worst-case scenario, the performance of a supervised learning-based system can be compromised.</t>
  </si>
  <si>
    <t>The AI ensemble members are configured in reverse order.</t>
  </si>
  <si>
    <t>No safety concerns are expected, since the entire set of AI ensemble members would still be part of the AI ensemble.</t>
  </si>
  <si>
    <t>A different AI element impersonates the AI ensemble and/or one of its members.</t>
  </si>
  <si>
    <t>At least one hyperparameter of at least one AI instance of the ensemble has been wrongly configured.</t>
  </si>
  <si>
    <t>The AI ensemble members are provided before the AI ensemble is instantiated on either cross-validation or final trained version.</t>
  </si>
  <si>
    <t>The AI ensemble members are provided after the AI ensemble is instantiated on either cross-validation or final trained version.</t>
  </si>
  <si>
    <t>The AI ensemble members are provided earlier than expected.</t>
  </si>
  <si>
    <t>The AI ensemble members are provided later than expected.</t>
  </si>
  <si>
    <t>The accuracy of at least one AI element is not calculated.</t>
  </si>
  <si>
    <t>The accuracy of at least one AI element is inherently higher than it should be.</t>
  </si>
  <si>
    <t>The calculation of the accuracy of at least one AI element wrongly leads to a higher result.</t>
  </si>
  <si>
    <t>The accuracy of at least one AI element is inherently lower than it should be.</t>
  </si>
  <si>
    <t>The calculation of the accuracy of at least one AI element wrongly leads to a lower result.</t>
  </si>
  <si>
    <t>The accuracy of an AI element is provided along with another of its performance metrics in a potentially indistinguishable way.</t>
  </si>
  <si>
    <t>The accuracy of an AI element is provided along with the accuracy of another AI element in a potentially indistinguishable way.</t>
  </si>
  <si>
    <t>The accuracy is only partially retrieved (i.e., it is not fully represented, read, and/or written).</t>
  </si>
  <si>
    <t>The accuracy of an ensemble / random forest is only partially calculated (i.e., it does not take into account all AI instances).</t>
  </si>
  <si>
    <t>The accuracy is retrieved with a reversed representation.</t>
  </si>
  <si>
    <t>A different element / performance metric impersonates the accuracy of an AI instance and/or random forest/ensemble.</t>
  </si>
  <si>
    <t>The accuracy is retrieved before the AI instance (including ensemble / random forest) is fully trained.</t>
  </si>
  <si>
    <t>The accuracy is retrieved after the AI instance (including ensemble / random forest) is fully trained.</t>
  </si>
  <si>
    <t>The accuracy is retrieved earlier than expected.</t>
  </si>
  <si>
    <t>The accuracy is retrieved later than expected.</t>
  </si>
  <si>
    <t>The precision of at least one AI element is not calculated.</t>
  </si>
  <si>
    <t>The precision of at least one AI element is inherently higher than it should be.</t>
  </si>
  <si>
    <t>The calculation of the precision of at least one AI element wrongly leads to a higher result.</t>
  </si>
  <si>
    <t>The precision of at least one AI element is inherently lower than it should be.</t>
  </si>
  <si>
    <t>The calculation of the precision of at least one AI element wrongly leads to a lower result.</t>
  </si>
  <si>
    <t>The precision of an AI element is provided along with another of its performance metrics in a potentially indistinguishable way.</t>
  </si>
  <si>
    <t>The precision of an AI element is provided along with the precision of another AI element in a potentially indistinguishable way.</t>
  </si>
  <si>
    <t>The precision is only partially retrieved (i.e., it is not fully represented, read, and/or written).</t>
  </si>
  <si>
    <t>The precision of an ensemble / random forest is only partially calculated (i.e., it does not take into account all AI instances).</t>
  </si>
  <si>
    <t>The precision is retrieved with a reversed representation.</t>
  </si>
  <si>
    <t>A different element / performance metric impersonates the precision of an AI instance and/or random forest/ensemble.</t>
  </si>
  <si>
    <t>The precision is retrieved before the AI instance (including ensemble / random forest) is fully trained.</t>
  </si>
  <si>
    <t>The precision is retrieved after the AI instance (including ensemble / random forest) is fully trained.</t>
  </si>
  <si>
    <t>The precision is retrieved earlier than expected.</t>
  </si>
  <si>
    <t>The precision is retrieved later than expected.</t>
  </si>
  <si>
    <t>The algorithm that calculates the precision of an AI instance and/or an ensemble/random forest is reversed.</t>
  </si>
  <si>
    <t>The activation function is provided after the neural network is instantiated on either cross-validation or final trained version.</t>
  </si>
  <si>
    <t>The activation function is provided earlier than expected.</t>
  </si>
  <si>
    <t>The activation function is provided later than expected.</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</si>
  <si>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decision tree is used in the design of the supervised learning-based braking system, the partitioning criterion of each decision tree shall be exercised so that, along with other hyperparameters, the decision tree provides sufficient performance and is sized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decision tree explainability shall allow tracing the decision nodes which justify the braking decision, as well as quantifying the underlying uncertainties of such a decision.</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</si>
  <si>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decision tree is used in the design of the supervised learning-based braking system, the attribute weight per decision node shall be exercised on cross-validation so that, along with other hyperparameters, the decision tree provides sufficient performance and is sized to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decision tree explainability shall allow tracing the decision nodes which justify the braking decision, as well as quantifying the underlying uncertainties of such a decision.</t>
  </si>
  <si>
    <t>The set of exercisable weights of input attributes for the decision nodes is not fully exercised.</t>
  </si>
  <si>
    <t>The set of exercisable weights of input attributes are reversed among decision nodes.</t>
  </si>
  <si>
    <t>The set of exercisable weights of input attributes for the decision nodes is exercised in reverse order.</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</si>
  <si>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kNN instance is used in the design of the supervised learning-based braking system, the number of neighbors (k) to classify a point per similarity / distance shall be exercised on cross-validation in the following way: the number of neighbors (k) shall be enough to provide sufficient performance and upper-limited by a number which allows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kNN explainability shall allow tracing, for each decision, the training database neighbors which justify the braking decision, as well as quantifying the underlying uncertainties of the decision.</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</si>
  <si>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kNN instance is used in the design of the supervised learning-based braking system, the distance function which is used to compute the differences between every pair of tuples (distance, speed, GEBR) shall be exercised as follows: (i.) different distance functions shall be considered (e.g., Minkowski-variants such as Manhattan, Euclidean and Supreme, Mahalanobis, distance derived from cosine similarity), (ii.) the weight given to each input variable shall be guided by the kinematic equations of uniformly accelerated movements, and (iii.) the chosen distance function shall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kNN explainability shall allow tracing, for each decision, the training database neighbors which justify the braking decision, as well as quantifying the underlying uncertainties of the decision.
9) The distance function utilized along kNN shall be properly specified, implemented, verified, validated, and deployed.</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</si>
  <si>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SVM instance is used in the design of the supervised learning-based braking system, the kernel function which is used in its design shall be exercised as follows: (i.) potential candidates include standard functions (e.g., polynomial, radial basis, sigmoid) and customized functions (designed according to the kinematic equations of uniformly accelerated movements), and (ii.) the chosen kernel function shall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SVM explainability shall allow assessing the hyperfunction that defines how the subspaces for 'braking' and 'not braking' have been generated, along with the underlying uncertainties of decisions.
9) If at least one SVM instance is used in the design of the supervised learning-based braking system, the training dataset shall be processed in such a way that braking and non-braking states are represented by '1' and '-1', respectively.
10) The kernel function utilized in an SVM shall be properly specified, implemented, verified, validated, and deployed.</t>
  </si>
  <si>
    <t>The learning rate is provided after the neural network is instantiated on either cross-validation or final trained version.</t>
  </si>
  <si>
    <t>The algorithm that calculates the accuracy of an AI instance and/or an ensemble/random forest is reversed.</t>
  </si>
  <si>
    <t>The recall of at least one AI element is not calculated.</t>
  </si>
  <si>
    <t>The recall of at least one AI element is inherently higher than it should be.</t>
  </si>
  <si>
    <t>The calculation of the recall of at least one AI element wrongly leads to a higher result.</t>
  </si>
  <si>
    <t>The recall of at least one AI element is inherently lower than it should be.</t>
  </si>
  <si>
    <t>The calculation of the recall of at least one AI element wrongly leads to a lower result.</t>
  </si>
  <si>
    <t>The recall of an AI element is provided along with another of its performance metrics in a potentially indistinguishable way.</t>
  </si>
  <si>
    <t>The recall of an AI element is provided along with the recall of another AI element in a potentially indistinguishable way.</t>
  </si>
  <si>
    <t>The recall is only partially retrieved (i.e., it is not fully represented, read, and/or written).</t>
  </si>
  <si>
    <t>The recall of an ensemble / random forest is only partially calculated (i.e., it does not take into account all AI instances).</t>
  </si>
  <si>
    <t>The recall is retrieved with a reversed representation.</t>
  </si>
  <si>
    <t>The algorithm that calculates the recall of an AI instance and/or an ensemble/random forest is reversed.</t>
  </si>
  <si>
    <t>A different element / performance metric impersonates the recall of an AI instance and/or random forest/ensemble.</t>
  </si>
  <si>
    <t>The recall is retrieved before the AI instance (including ensemble / random forest) is fully trained.</t>
  </si>
  <si>
    <t>The recall is retrieved after the AI instance (including ensemble / random forest) is fully trained.</t>
  </si>
  <si>
    <t>The recall is retrieved earlier than expected.</t>
  </si>
  <si>
    <t>The recall is retrieved later than expected.</t>
  </si>
  <si>
    <t>The f1-score of at least one AI element is not calculated.</t>
  </si>
  <si>
    <t>The f1-score of at least one AI element is inherently higher than it should be.</t>
  </si>
  <si>
    <t>The calculation of the f1-score of at least one AI element wrongly leads to a higher result.</t>
  </si>
  <si>
    <t>The f1-score of at least one AI element is inherently lower than it should be.</t>
  </si>
  <si>
    <t>The calculation of the f1-score of at least one AI element wrongly leads to a lower result.</t>
  </si>
  <si>
    <t>The f1-score of an AI element is provided along with another of its performance metrics in a potentially indistinguishable way.</t>
  </si>
  <si>
    <t>The f1-score of an AI element is provided along with the f1-score of another AI element in a potentially indistinguishable way.</t>
  </si>
  <si>
    <t>The f1-score is only partially retrieved (i.e., it is not fully represented, read, and/or written).</t>
  </si>
  <si>
    <t>The f1-score of an ensemble / random forest is only partially calculated (i.e., it does not take into account all AI instances).</t>
  </si>
  <si>
    <t>The f1-score is retrieved with a reversed representation.</t>
  </si>
  <si>
    <t>The algorithm that calculates the f1-score of an AI instance and/or an ensemble/random forest is reversed.</t>
  </si>
  <si>
    <t>A different element / performance metric impersonates the f1-score of an AI instance and/or random forest/ensemble.</t>
  </si>
  <si>
    <t>The f1-score is retrieved before the AI instance (including ensemble / random forest) is fully trained.</t>
  </si>
  <si>
    <t>The f1-score is retrieved after the AI instance (including ensemble / random forest) is fully trained.</t>
  </si>
  <si>
    <t>The f1-score is retrieved earlier than expected.</t>
  </si>
  <si>
    <t>The f1-score is retrieved later than expected.</t>
  </si>
  <si>
    <t>The analysis of the supervised-learning based braking system performance is compromised. In a worst-case scenario, this can lead a system without proper performance to be put into operation when it should not.</t>
  </si>
  <si>
    <t>No safety concerns are expected, since a lower reported accuracy would lead the AI element to be disregarded as a plausible soution for the problem even if it originally met the applicable safety requirements.</t>
  </si>
  <si>
    <t>No hazards have been identified for this scenario because it leans towards a safe scenario.</t>
  </si>
  <si>
    <t>1) During the cross-validation and the final, post-trained tests of any AI instance, the adequacy of their designs shall be performed by means of at least four performance metrics: accuracy, precision, recall, and f1-score.
2) The calculation of performance metrics of each AI element (and of an ensemble / random forest, if applicable) shall be properly specified, implemented, verified, validated, and deployed.
3) The design of the supervised learning-based braking system shall take into account fault tolerance means to deal with improper inputs and random hardware faults.
4) The accuracy of the supervised learning-based braking system shall be considered in quantitative safety models and, along with other metrics, it shall be enough to allow meeting the quantitative safety requirements stemming from the upper-level safety functions (i.e., SIL 4 for applying brakes when needed and SIL 3 for avoiding recurrent braking application when not needed).</t>
  </si>
  <si>
    <t>1) During the cross-validation and the final, post-trained tests of any AI instance, the adequacy of their designs shall be performed by means of at least four performance metrics: accuracy, precision, recall, and f1-score.
2) The calculation of performance metrics of each AI element (and of an ensemble / random forest, if applicable) shall be properly specified, implemented, verified, validated, and deployed.
3) The design of the supervised learning-based braking system shall take into account fault tolerance means to deal with improper inputs and random hardware faults.
4) The precision of the supervised learning-based braking system shall be considered in quantitative safety models and, along with other metrics, it shall be enough to allow meeting the quantitative safety requirements stemming from the upper-level SIL 3 safety function for avoiding recurrent braking application when not needed.</t>
  </si>
  <si>
    <t>No safety concerns are expected, since a lower reported precision would lead the AI element to be disregarded as a plausible soution for the problem even if it originally met the applicable safety requirements.</t>
  </si>
  <si>
    <t>The precision of the supervised-learning based braking system is potentially incorrect. As a result, the analysis of the supervised-learning based braking system performance is compromised. In a worst-case scenario, this can lead a system without proper performance to be put into operation when it should not.</t>
  </si>
  <si>
    <t>The accuracy of the supervised-learning based braking system is potentially incorrect. As a result, the analysis of the supervised-learning based braking system performance is compromised. In a worst-case scenario, this can lead a system without proper performance to be put into operation when it should not.</t>
  </si>
  <si>
    <t>1) During the cross-validation and the final, post-trained tests of any AI instance, the adequacy of their designs shall be performed by means of at least four performance metrics: accuracy, precision, recall, and f1-score.
2) The calculation of performance metrics of each AI element (and of an ensemble / random forest, if applicable) shall be properly specified, implemented, verified, validated, and deployed.
3) The design of the supervised learning-based braking system shall take into account fault tolerance means to deal with improper inputs and random hardware faults.
4) The recall of the supervised learning-based braking system shall be considered in quantitative safety models and, along with other metrics, it shall be enough to allow meeting the quantitative safety requirements stemming from the upper-level SIL 4 safety function for applying brakes when needed.</t>
  </si>
  <si>
    <t>No safety concerns are expected, since a lower reported recall would lead the AI element to be disregarded as a plausible soution for the problem even if it originally met the applicable safety requirements.</t>
  </si>
  <si>
    <t>The recall of the supervised-learning based braking system is potentially incorrect. As a result, the analysis of the supervised-learning based braking system performance is compromised. In a worst-case scenario, this can lead a system without proper performance to be put into operation when it should not.</t>
  </si>
  <si>
    <t>1) During the cross-validation and the final, post-trained tests of any AI instance, the adequacy of their designs shall be performed by means of at least four performance metrics: accuracy, precision, recall, and f1-score.
2) The calculation of performance metrics of each AI element (and of an ensemble / random forest, if applicable) shall be properly specified, implemented, verified, validated, and deployed.
3) The design of the supervised learning-based braking system shall take into account fault tolerance means to deal with improper inputs and random hardware faults.
4) The f1-score of the supervised learning-based braking system shall be considered in quantitative safety models and, along with other metrics, it shall be enough to allow meeting the quantitative safety requirements stemming from the upper-level safety functions (i.e., SIL 4 for applying brakes when needed and SIL 3 for avoiding recurrent braking application when not needed).</t>
  </si>
  <si>
    <t>No safety concerns are expected, since a lower reported f1-score would lead the AI element to be disregarded as a plausible soution for the problem even if it originally met the applicable safety requirements.</t>
  </si>
  <si>
    <t>The f1-score of the supervised-learning based braking system is potentially incorrect. As a result, the analysis of the supervised-learning based braking system performance is compromised. In a worst-case scenario, this can lead a system without proper performance to be put into operation when it should not.</t>
  </si>
  <si>
    <t>The supervised learning-based braking system does not operate.</t>
  </si>
  <si>
    <t>Another frequency of operation.</t>
  </si>
  <si>
    <t>The supervised learning-based braking system operates with a higher frequency.</t>
  </si>
  <si>
    <t>The supervised learning-based braking system operates with a lower frequency.</t>
  </si>
  <si>
    <t>The supervised learning-based braking system operates with a changing frequency.</t>
  </si>
  <si>
    <t>Part of the supervised learning-based braking system operates with a different (and potentially null) frequency.</t>
  </si>
  <si>
    <t>The supervised learning-based braking system operates out-of-phase.</t>
  </si>
  <si>
    <t>The supervised learning-based braking system operates with a different (and potentially null) frequency.</t>
  </si>
  <si>
    <t>The clock signal is fed to the supervised system before it is initialized.</t>
  </si>
  <si>
    <t>The clock signal is fed to the supervised system after it is initialized.</t>
  </si>
  <si>
    <t>The clock signal is fed to the supervised system earlier than expected.</t>
  </si>
  <si>
    <t>The clock signal is fed to the supervised system later than expected.</t>
  </si>
  <si>
    <t xml:space="preserve">1) It shall be ensured that the input dataset has been properly specified, implemented, verified, validated, and deployed.
2) The integrity of the input dataset shall be checked in such a way to ensure the correctness and the consistency of its contents.
3) It shall be ensured that the reading and the pre-processing of input data, prior or within the braking system, has been properly specified implemented, verified, validated, and deployed.
4) The design of the supervised learning-based braking system shall take into account cross-validation to assess different AI approaches and the fine-tuning of the applicable hyperparameters / hyperfunctions.
5) The design of the supervised learning-based braking system shall take into account fault tolerance means to deal with improper inputs and random hardware faults.
6) Relevant corner cases shall be identified as scenarios in which typical noises on any of the input tuple elements (distance, speed, and GEBR), resulting from sensoring hardware features, lead to a braking classification that is inverted from the actual one.
7) The design of the supervised learning-based braking system shall produce an output at logic level '1' when brakes shall be applied and '0' otherwise. </t>
  </si>
  <si>
    <t>No brakes are applied even when they are needed.</t>
  </si>
  <si>
    <t>1) The design of the supervised learning-based braking system shall take into account fault tolerance means to deal with improper inputs and random hardware faults.
2) Whenever a fault is detected, the braking system shall be designed in such a way that brakes are applied even when not necessary.
3) There shall be means to lead the braking system's output to a safe state whenever at least one of its internal parts does not operate in a proper way (e.g., loss of communication with at least one of its AI elements, loss of internal clock).</t>
  </si>
  <si>
    <t xml:space="preserve">1) The design of the supervised learning-based braking system shall take into account fault tolerance means to deal with improper inputs and random hardware faults.
2) Whenever a fault is detected, the braking system shall be designed in such a way that brakes are applied even when not necessary.
3) There shall be means to lead the braking system's output to a safe state whenever at least one of its internal parts does not operate in a proper way (e.g., loss of communication with at least one of its AI elements, loss of internal clock).
4) The reading of input data shall be based on a validity signal which indicates when every needed input is updated and ready to be read by the supervised learning-based braking system. </t>
  </si>
  <si>
    <t>Actions "2)" and "3)" reinforce that applying brakes even when not necessary shall be preferrable to not applying brakes, given the more catastrophic consequences related to the lack of the former event, whenever a fault is detected.</t>
  </si>
  <si>
    <t>In a worst-case scenario, it is deemed that invalid inputs can be read, thus leading to potentially spurious braking control outputs.</t>
  </si>
  <si>
    <t>In a worst-case scenario, it is deemed that the time to react towards a situation of imminent braking application increases in such a way to prevent brakes from being applied in due time when needed.</t>
  </si>
  <si>
    <t xml:space="preserve">1) Improper design of the supervised learning-based braking system training;
2) Random hardware fault that prevents or corrupts the braking system operation. </t>
  </si>
  <si>
    <t>In a worst-case scenario, it is deemed that the braking system can behave unstably, thus compromising brake control.</t>
  </si>
  <si>
    <t>In a worst-case scenario, it is deemed that the braking system can behave inadequately, thus compromising brake control.</t>
  </si>
  <si>
    <t>No safety concerns are expected, since the phasing of the braking system is not able to affect its proper operation.</t>
  </si>
  <si>
    <t>No hazards have been identified for this scenario because it does not change the regular operation of the braking system.</t>
  </si>
  <si>
    <t>Please refer to the table lines involving the keywords 'no/not', 'more', 'less' and 'frequency of operation'.</t>
  </si>
  <si>
    <t>The random forest might not be adequately configured, thus compromising the performance of a supervised learning-based braking system to which it belongs. Please refer to the table lines involving the keywords 'no/not', 'more', 'less' and the same supervised learning model.</t>
  </si>
  <si>
    <t>Please refer to the table lines involving the keywords 'no/not', 'more', 'less' and the same supervised learning model.</t>
  </si>
  <si>
    <t>The AI ensemble might not be adequately configured, thus compromising the performance of a supervised learning-based braking system to which it belongs. Please refer to the table lines involving the keywords 'no/not', 'more', 'less' and the same supervised learning model.</t>
  </si>
  <si>
    <t>No safety concerns are expected, since an early clock input does not affect the proper initialization and operation of the braking system..</t>
  </si>
  <si>
    <t>In a worst-case scenario, it is deemed that the brake control might not occur in due time when needed.</t>
  </si>
  <si>
    <t>No safety concerns are expected, since an early clock input does not affect the proper initialization and operation of the braking system.</t>
  </si>
  <si>
    <t>RSR4.1</t>
  </si>
  <si>
    <t>RSR4.2</t>
  </si>
  <si>
    <t>RSR4.3</t>
  </si>
  <si>
    <t>RSR4.4</t>
  </si>
  <si>
    <t>RSR4.5</t>
  </si>
  <si>
    <t>RSR4.6</t>
  </si>
  <si>
    <t>RSR4.7</t>
  </si>
  <si>
    <t>RSR4.8</t>
  </si>
  <si>
    <t>RSR4.9</t>
  </si>
  <si>
    <t>RSR4.10</t>
  </si>
  <si>
    <t>RSR4.11</t>
  </si>
  <si>
    <t>RSR4.12</t>
  </si>
  <si>
    <t>RSR4.13</t>
  </si>
  <si>
    <t>RSR4.14</t>
  </si>
  <si>
    <t>RSR4.15</t>
  </si>
  <si>
    <t>RSR4.16</t>
  </si>
  <si>
    <t>RSR4.17</t>
  </si>
  <si>
    <t>RSR4.18</t>
  </si>
  <si>
    <t>RSR4.19</t>
  </si>
  <si>
    <t>RSR4.20</t>
  </si>
  <si>
    <t>RSR4.21</t>
  </si>
  <si>
    <t>RSR4.22</t>
  </si>
  <si>
    <t>RSR4.23</t>
  </si>
  <si>
    <t>RSR4.24</t>
  </si>
  <si>
    <t>RSR4.25</t>
  </si>
  <si>
    <t>RSR4.26</t>
  </si>
  <si>
    <t>RSR4.27</t>
  </si>
  <si>
    <t>It shall be ensured that the input dataset has been properly specified, implemented, verified, validated, and deployed.</t>
  </si>
  <si>
    <t>The integrity of the input dataset shall be checked in such a way to ensure the correctness and the consistency of its contents.</t>
  </si>
  <si>
    <t>It shall be ensured that the reading and the pre-processing of input data, prior or within the braking system, has been properly specified implemented, verified, validated, and deployed.</t>
  </si>
  <si>
    <t>The design of the supervised learning-based braking system shall take into account cross-validation to assess different AI approaches and the fine-tuning of the applicable hyperparameters / hyperfunctions.</t>
  </si>
  <si>
    <t>The design of the supervised learning-based braking system shall take into account fault tolerance means to deal with improper inputs and random hardware faults.</t>
  </si>
  <si>
    <t>Whenever a fault is detected, the braking system shall be designed in such a way that brakes are applied even when not necessary.</t>
  </si>
  <si>
    <t>The domain of the distance to an obstacle shall be the interval [0m; 2000m].</t>
  </si>
  <si>
    <t>Distance measurements included within the input dataset shall take into account random noises stemming from typical equipment utilized in the application domain for measuring the distance to an obstacle.</t>
  </si>
  <si>
    <t>The domain of the vehicle speed shall be the interval [0 km/h; 100km/h].</t>
  </si>
  <si>
    <t>Relevant corner cases shall be identified as scenarios in which typical noises on any of the input tuple elements (distance, speed, and GEBR), resulting from sensoring hardware features, lead to a braking classification that is inverted from the actual one.</t>
  </si>
  <si>
    <t xml:space="preserve">The design of the supervised learning-based braking system shall produce an output at logic level '1' when brakes shall be applied and '0' otherwise. </t>
  </si>
  <si>
    <t>Each input data tuple shall be organized as follows: (distance, speed, GEBR, braking classification) for training and cross-validation purposes, and (distance, speed, GEBR) for regular operation. All inputs of each tuple shall be provided in parallel to the braking system utilizing the validity indication when stable.</t>
  </si>
  <si>
    <t>During the cross-validation of any AI instance, all the applicable hyperparamters / hyperfunctions shall be assessed as per their respective plausible domains.</t>
  </si>
  <si>
    <t>Each trained AI instance shall be set to the optimum hyperparameters obtained in its cross-validation.</t>
  </si>
  <si>
    <t>If at least one decision tree is used in the design of the supervised learning-based braking system, the depth of each decision tree shall be exercised on cross-validation in the following way: the minimum depth shall be high enough to provide sufficient performance, and the maximum depth shall be low enough to allow PLD synthesis and explainability.</t>
  </si>
  <si>
    <t>The overall performance of the supervised learning-based braking shall be assessed with the primary goal of maximizing recall whilst not compromising precision, given the input domains of the input variables (distance, speed, GEBR).</t>
  </si>
  <si>
    <t>The decision tree explainability shall allow tracing the decision nodes which justify the braking decision, as well as quantifying the underlying uncertainties of such a decision.</t>
  </si>
  <si>
    <t>If at least one decision tree is used in the design of the supervised learning-based braking system, the number of leaves of each decision tree shall be exercised on cross-validation in the following way: the minimum threshold shall be high enough to provide sufficient performance, and the maximum threshold shall be low enough to allow PLD synthesis and explainability.</t>
  </si>
  <si>
    <t>If at least one decision tree is used in the design of the supervised learning-based braking system, the number of samples per node of the decision tree shall be exercised on cross-validation in the following way: the minimum number of samples per node shall be high enough to provide sufficient performance, and the maximum number of samples per node of the decision tree shall be low enough to allow PLD synthesis and explainability.</t>
  </si>
  <si>
    <t>If at least one decision tree is used in the design of the supervised learning-based braking system, the partitioning criterion of each decision tree shall be exercised so that, along with other hyperparameters, the decision tree provides sufficient performance and is sized to allow PLD synthesis and explainability.</t>
  </si>
  <si>
    <t>If at least one decision tree is used in the design of the supervised learning-based braking system, the attribute weight per decision node shall be exercised on cross-validation so that, along with other hyperparameters, the decision tree provides sufficient performance and is sized to allow PLD synthesis and explainability.</t>
  </si>
  <si>
    <t>If at least one kNN instance is used in the design of the supervised learning-based braking system, the number of neighbors (k) to classify a point per similarity / distance shall be exercised on cross-validation in the following way: the number of neighbors (k) shall be enough to provide sufficient performance and upper-limited by a number which allows PLD synthesis and explainability.</t>
  </si>
  <si>
    <t>The kNN explainability shall allow tracing, for each decision, the training database neighbors which justify the braking decision, as well as quantifying the underlying uncertainties of the decision.</t>
  </si>
  <si>
    <t>If at least one kNN instance is used in the design of the supervised learning-based braking system, the distance function which is used to compute the differences between every pair of tuples (distance, speed, GEBR) shall be exercised as follows: (i.) different distance functions shall be considered (e.g., Minkowski-variants such as Manhattan, Euclidean and Supreme, Mahalanobis, distance derived from cosine similarity), (ii.) the weight given to each input variable shall be guided by the kinematic equations of uniformly accelerated movements, and (iii.) the chosen distance function shall provide sufficient performance and allow PLD synthesis and explainability.</t>
  </si>
  <si>
    <t>The distance function utilized along kNN shall be properly specified, implemented, verified, validated, and deployed.</t>
  </si>
  <si>
    <t>The SVM explainability shall allow assessing the hyperfunction that defines how the subspaces for 'braking' and 'not braking' have been generated, along with the underlying uncertainties of decisions.</t>
  </si>
  <si>
    <t>If at least one SVM instance is used in the design of the supervised learning-based braking system, the training dataset shall be processed in such a way that braking and non-braking states are represented by '1' and '-1', respectively.</t>
  </si>
  <si>
    <t>If at least one SVM instance is used in the design of the supervised learning-based braking system, the kernel function which is used in its design shall be exercised as follows: (i.) potential candidates include standard functions (e.g., polynomial, radial basis, sigmoid) and customized functions (designed according to the kinematic equations of uniformly accelerated movements), and (ii.) the chosen kernel function shall provide sufficient performance and allow PLD synthesis and explainability.</t>
  </si>
  <si>
    <t>The kernel function utilized in an SVM shall be properly specified, implemented, verified, validated, and deployed.</t>
  </si>
  <si>
    <t>If at least one neural network is used in the design of the supervised learning-based braking system, the number of hidden layers shall be exercised on cross-validation in the following way: the minimum number of hidden layers shall be high enough to provide sufficient performance, and the maximum number of hidden layers shall be low enough to allow PLD synthesis and explainability.</t>
  </si>
  <si>
    <t>The neural network explainability shall allow tracing the outputs of the neurons which justify the braking decision, as well as quantifying the underlying uncertainties of such a decision.</t>
  </si>
  <si>
    <t>If at least one neural network is used in the design of the supervised learning-based braking system, the number of neurons per hidden layer shall be exercised on cross-validation in the following way for each hidden layer: the minimum number of neurons shall provide sufficient performance and be upper-limited in such a way to allow PLD synthesis and explainability.</t>
  </si>
  <si>
    <t>If at least one neural network is used in the design of the supervised learning-based braking system, the connections between neurons of different layers (including dropout mechanisms) shall be set in such a way that the neural network provides sufficient performance and that, along with other hyperparameters, the neural network allows PLD synthesis and explainability.</t>
  </si>
  <si>
    <t>If at least one neural network is used in the design of the supervised learning-based braking system, the activation function shall be exercised as follows: (i.) potential candidates include standard functions (e.g., ReLU, logistic tanh, identity,) and customized functions (designed according to the kinematic equations of uniformly accelerated movements), and (ii.) the chosen activation function shall provide sufficient performance and allow PLD synthesis and explainability.</t>
  </si>
  <si>
    <t>The activation function utilized in a neural network shall be properly specified, implemented, verified, validated, and deployed.</t>
  </si>
  <si>
    <t>If at least one neural network is used in the design of the supervised learning-based braking system, the learning rate shall be exercised to provide sufficient performance and allow PLD synthesis and explainability.</t>
  </si>
  <si>
    <t>If at least one neural network is used in the design of the supervised learning-based braking system, the number of learning epochs shall be exercised to provide sufficient performance and allow PLD synthesis and explainability.</t>
  </si>
  <si>
    <t>If at least one random forest is used in the design of the supervised learning-based braking system, its design shall be conceived as follows: (i.) each of its decision trees shall be individually exercised (following their own safety requirements), and (ii.) the random forest shall join trees in such a way to provide sufficient performance and allow PLD synthesis and explainability.</t>
  </si>
  <si>
    <t>The random forest explainability shall be based on the joint explainability of its decision trees.</t>
  </si>
  <si>
    <t>The different members of the random forest, as well as the unweighted output voter, shall be allocated into different hardware elements (e.g., different PLDs) if a single random forest is used in the final design.</t>
  </si>
  <si>
    <t>If more than a single random forest or ensemble is used in the design of the supervised learning-based braking system (e.g., ensemble of random forests, more than one ensemble of AI elements) each ensemble and the majority voter shall be allocated into a different hardware element (e.g., each ensemble allocated to one PLD).</t>
  </si>
  <si>
    <t>If more than a single PLD is utilized, each shall have its own independent input control signals (e.g., clock and reset) and share the same safe input tuples (distance, speed, GEBR) along with the input validity signal.</t>
  </si>
  <si>
    <t>If at least one ensemble is used in the design of the supervised learning-based braking system, its design shall be conceived as follows: (i.) each of its members shall be individually exercised (following their own safety requirements), and (ii.) the ensemble shall join elements in such a way to provide sufficient performance and allow PLD synthesis and explainability.</t>
  </si>
  <si>
    <t>The ensemble explainability shall be based on the joint explainability of its members.</t>
  </si>
  <si>
    <t>The different members of the ensemble, as well as the unweighted output voter, shall be allocated into different hardware elements (e.g., different PLDs) if a single random forest is used in the final design.</t>
  </si>
  <si>
    <t>During the cross-validation and the final, post-trained tests of any AI instance, the adequacy of their designs shall be performed by means of at least four performance metrics: accuracy, precision, recall, and f1-score.</t>
  </si>
  <si>
    <t>The calculation of performance metrics of each AI element (and of an ensemble / random forest, if applicable) shall be properly specified, implemented, verified, validated, and deployed.</t>
  </si>
  <si>
    <t>The accuracy of the supervised learning-based braking system shall be considered in quantitative safety models and, along with other metrics, it shall be enough to allow meeting the quantitative safety requirements stemming from the upper-level safety functions (i.e., SIL 4 for applying brakes when needed and SIL 3 for avoiding recurrent braking application when not needed).</t>
  </si>
  <si>
    <t>The precision of the supervised learning-based braking system shall be considered in quantitative safety models and, along with other metrics, it shall be enough to allow meeting the quantitative safety requirements stemming from the upper-level SIL 3 safety function for avoiding recurrent braking application when not needed.</t>
  </si>
  <si>
    <t>The recall of the supervised learning-based braking system shall be considered in quantitative safety models and, along with other metrics, it shall be enough to allow meeting the quantitative safety requirements stemming from the upper-level SIL 4 safety function for applying brakes when needed.</t>
  </si>
  <si>
    <t>The f1-score of the supervised learning-based braking system shall be considered in quantitative safety models and, along with other metrics, it shall be enough to allow meeting the quantitative safety requirements stemming from the upper-level safety functions (i.e., SIL 4 for applying brakes when needed and SIL 3 for avoiding recurrent braking application when not needed).</t>
  </si>
  <si>
    <t>There shall be means to lead the braking system's output to a safe state whenever at least one of its internal parts does not operate in a proper way (e.g., loss of communication with at least one of its AI elements, loss of internal clock).</t>
  </si>
  <si>
    <t>The reading of input data shall be based on a validity signal which indicates when every needed input is updated and ready to be read by the supervised learning-based braking system.</t>
  </si>
  <si>
    <t>Speed measurements included within the input dataset shall take into account random noises stemming from typical equipment utilized to quantify the speed of a vehicle.</t>
  </si>
  <si>
    <t>1) It shall be ensured that the input dataset has been properly specified, implemented, verified, validated, and deployed.
2) The integrity of the input dataset shall be checked in such a way to ensure the correctness and the consistency of its contents.
3) It shall be ensured that the reading and the pre-processing of input data, prior or within the braking system, has been properly specified implemented, verified, validated, and deployed.
4) The reading of input data shall be based on a validity signal which indicates when every needed input is updated and ready to be read by the supervised learning-based braking system.
5) The design of the supervised learning-based braking system shall take into account cross-validation to assess different AI approaches and the fine-tuning of the applicable hyperparameters / hyperfunctions.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Each input data tuple shall be organized as follows: (distance, speed, GEBR, braking classification) for training and cross-validation purposes, and (distance, speed, GEBR) for regular operation. All inputs of each tuple shall be provided in parallel to the braking system utilizing the validity indication when stable.</t>
  </si>
  <si>
    <t>1) It shall be ensured that the input dataset has been properly specified, implemented, verified, validated, and deployed.
2) The integrity of the input dataset shall be checked in such a way to ensure the correctness and the consistency of its contents.
3) It shall be ensured that the reading and the pre-processing of input data, prior or within the braking system, has been properly specified implemented, verified, validated, and deployed.
4) The reading of input data shall be based on a validity signal which indicates when every needed input is updated and ready to be read by the supervised learning-based braking system.
5) The design of the supervised learning-based braking system shall take into account cross-validation to assess different AI approaches and the fine-tuning of the applicable hyperparameters / hyperfunctions.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domain of the distance to an obstacle shall be the interval [0m; 2000m].
9) Distance measurements included within the input dataset shall take into account random noises stemming from typical equipment utilized in the application domain for measuring the distance to an obstacle.</t>
  </si>
  <si>
    <t>1) It shall be ensured that the input dataset has been properly specified, implemented, verified, validated, and deployed.
2) The integrity of the input dataset shall be checked in such a way to ensure the correctness and the consistency of its contents.
3) It shall be ensured that the reading and the pre-processing of input data, prior or within the braking system, has been properly specified implemented, verified, validated, and deployed.
4) The reading of input data shall be based on a validity signal which indicates when every needed input is updated and ready to be read by the supervised learning-based braking system.
5) The design of the supervised learning-based braking system shall take into account cross-validation to assess different AI approaches and the fine-tuning of the applicable hyperparameters / hyperfunctions.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domain of the vehicle speed shall be the interval [0 km/h; 100km/h].
9) Speed measurements included within the input dataset shall take into account random noises stemming from typical equipment utilized to quantify the speed of a vehicle.</t>
  </si>
  <si>
    <t>1) It shall be ensured that the reading and the pre-processing of input data, prior or within the braking system, has been properly specified implemented, verified, validated, and deployed.
2) The reading of input data shall be based on a validity signal which indicates when every needed input is updated and ready to be read by the supervised learning-based braking system.
3) The design of the supervised learning-based braking system shall take into account fault tolerance means to deal with improper inputs and random hardware faults.
4) The design of the supervised learning-based braking system shall produce an output at logic level '1' when brakes shall be applied and '0' otherwise.</t>
  </si>
  <si>
    <t>1) It shall be ensured that the reading and the pre-processing of input data, prior or within the braking system, has been properly specified implemented, verified, validated, and deployed.
2) The reading of input data shall be based on a validity signal which indicates when every needed input is updated and ready to be read by the supervised learning-based braking system.
3) The design of the supervised learning-based braking system shall take into account fault tolerance means to deal with improper inputs and random hardware faults.
4) Whenever a fault is detected, the braking system shall be designed in such a way that brakes are applied even when not necessary.</t>
  </si>
  <si>
    <t>RSR4.28</t>
  </si>
  <si>
    <t>RSR4.29</t>
  </si>
  <si>
    <t>RSR4.30</t>
  </si>
  <si>
    <t>RSR4.31</t>
  </si>
  <si>
    <t>RSR4.32</t>
  </si>
  <si>
    <t>RSR4.33</t>
  </si>
  <si>
    <t>RSR4.34</t>
  </si>
  <si>
    <t>RSR4.35</t>
  </si>
  <si>
    <t>RSR4.36</t>
  </si>
  <si>
    <t>RSR4.37</t>
  </si>
  <si>
    <t>RSR4.38</t>
  </si>
  <si>
    <t>RSR4.39</t>
  </si>
  <si>
    <t>RSR4.40</t>
  </si>
  <si>
    <t>RSR4.41</t>
  </si>
  <si>
    <t>RSR4.42</t>
  </si>
  <si>
    <t>RSR4.43</t>
  </si>
  <si>
    <t>RSR4.44</t>
  </si>
  <si>
    <t>RSR4.45</t>
  </si>
  <si>
    <t>RSR4.46</t>
  </si>
  <si>
    <t>RSR4.47</t>
  </si>
  <si>
    <t>RSR4.48</t>
  </si>
  <si>
    <t>RSR4.49</t>
  </si>
  <si>
    <t>RSR4.50</t>
  </si>
  <si>
    <t>RSR4.51</t>
  </si>
  <si>
    <t>RSR4.52</t>
  </si>
  <si>
    <t>RSR4.53</t>
  </si>
  <si>
    <t>RSR4.54</t>
  </si>
  <si>
    <t>RSR4.55</t>
  </si>
  <si>
    <t>RSR4.56</t>
  </si>
  <si>
    <t>RSR4.57</t>
  </si>
  <si>
    <t>RSR4.58</t>
  </si>
  <si>
    <t>RSR4.59</t>
  </si>
  <si>
    <t>RSR4.60</t>
  </si>
  <si>
    <t>RSR4.61</t>
  </si>
  <si>
    <t>RSR4.62</t>
  </si>
  <si>
    <t>Category</t>
  </si>
  <si>
    <t>General</t>
  </si>
  <si>
    <t>Decision Tree</t>
  </si>
  <si>
    <t>kNN</t>
  </si>
  <si>
    <t>SVM</t>
  </si>
  <si>
    <t>Neural Network</t>
  </si>
  <si>
    <t>Random Forest</t>
  </si>
  <si>
    <t>Random Forest / Ensemble</t>
  </si>
  <si>
    <t>Ensemble</t>
  </si>
  <si>
    <t xml:space="preserve">It shall be ensured that, if at least one random forest is used in the design of the supervised learning-based braking system, all its decision trees, and only they, are properly set up (i.e., instantiated with the proper hyperparameters and trained with the adequate training datasets). </t>
  </si>
  <si>
    <t>If more than a single random forest or ensemble is used in the design of the supervised learning-based braking system (e.g., ensemble of random forests, more than one ensemble of AI elements), the overall output shall stem from a majority voter of the members' outputs, in such a way that a tie shall favor braking. More than one dataset, with different partitioning and/or braking classification stratification schemes, might be needed for proper balance between performance and safety.</t>
  </si>
  <si>
    <t>It shall be ensured that, if at least one ensemble is used in the design of the supervised learning-based braking system, all its members, and only they, are properly set up (i.e., instantiated with the proper hyperparameters and trained with the adequate training datasets). More than one dataset, with different partitioning and/or braking classification stratification schemes, might be needed for proper balance between performance and safety.</t>
  </si>
  <si>
    <t>The domain of the vehicle GEBR shall include the following figures: 1.395m/s² (no brake failures), 1.1625m/s² (single brake failure), 0.93m/s² (double brake failure), 0.78m/s² (no brake failures with low adherence), and 0.65m/s² (single brake failure with low adherence).</t>
  </si>
  <si>
    <t>1) It shall be ensured that the input dataset has been properly specified, implemented, verified, validated, and deployed.
2) The integrity of the input dataset shall be checked in such a way to ensure the correctness and the consistency of its contents.
3) It shall be ensured that the reading and the pre-processing of input data, prior or within the braking system, has been properly specified implemented, verified, validated, and deployed.
4) The reading of input data shall be based on a validity signal which indicates when every needed input is updated and ready to be read by the supervised learning-based braking system.
5) The design of the supervised learning-based braking system shall take into account cross-validation to assess different AI approaches and the fine-tuning of the applicable hyperparameters / hyperfunctions.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domain of the vehicle GEBR shall include the following figures: 1.395m/s² (no brake failures), 1.1625m/s² (single brake failure), 0.93m/s² (double brake failure), 0.78m/s² (no brake failures with low adherence), and 0.65m/s² (single brake failure with low adherence).</t>
  </si>
  <si>
    <t>If at least one SVM instance is used in the design of the supervised learning-based braking system, the regularization parameter shall be exercised on cross-validation in the following way: it shall not be low enough to accommodate excessive classification errors, nor high enough to avoid the fitting of an SVM.</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</si>
  <si>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SVM instance is used in the design of the supervised learning-based braking system, the regularization parameter shall be exercised on cross-validation in the following way: it shall not be low enough to accommodate excessive classification errors, nor high enough to avoid the fitting of an SVM.
5) The overall performance of the supervised learning-based braking shall be assessed with the primary goal of maximizing recall whilst not compromising precision, given the input domains of the input variables (distance, speed, GEBR).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SVM explainability shall allow assessing the hyperfunction that defines how the subspaces for 'braking' and 'not braking' have been generated, along with the underlying uncertainties of decisions.
9) If at least one SVM instance is used in the design of the supervised learning-based braking system, the training dataset shall be processed in such a way that braking and non-braking states are represented by '1' and '-1', respectively.</t>
  </si>
  <si>
    <t>All the RSRs applicable to the project shall be jointly satisfied with SIL4.</t>
  </si>
  <si>
    <t>Expected Outputs (Simulated)</t>
  </si>
  <si>
    <t>Observed Outputs (Physical Tests)</t>
  </si>
  <si>
    <t>PIN_W9</t>
  </si>
  <si>
    <t>KEY1</t>
  </si>
  <si>
    <t>Input</t>
  </si>
  <si>
    <t>tb_reset</t>
  </si>
  <si>
    <t>tb_iterate_and_run_test_case</t>
  </si>
  <si>
    <t>PIN_W2</t>
  </si>
  <si>
    <t>LEDR2</t>
  </si>
  <si>
    <t>Output</t>
  </si>
  <si>
    <t>prob_valid_mean</t>
  </si>
  <si>
    <t>PIN_V13</t>
  </si>
  <si>
    <t>SW1</t>
  </si>
  <si>
    <t>prob_sel[1]</t>
  </si>
  <si>
    <t>PIN_U13</t>
  </si>
  <si>
    <t>SW0</t>
  </si>
  <si>
    <t>prob_sel[0]</t>
  </si>
  <si>
    <t>PIN_N2</t>
  </si>
  <si>
    <t>LEDR4</t>
  </si>
  <si>
    <t>prob_int</t>
  </si>
  <si>
    <t>PIN_Y3</t>
  </si>
  <si>
    <t>LEDR3</t>
  </si>
  <si>
    <t>PIN_W19</t>
  </si>
  <si>
    <t>HEX56</t>
  </si>
  <si>
    <t>hexa_tc_5[6]</t>
  </si>
  <si>
    <t>PIN_C2</t>
  </si>
  <si>
    <t>HEX55</t>
  </si>
  <si>
    <t>hexa_tc_5[5]</t>
  </si>
  <si>
    <t>PIN_C1</t>
  </si>
  <si>
    <t>HEX54</t>
  </si>
  <si>
    <t>hexa_tc_5[4]</t>
  </si>
  <si>
    <t>PIN_P14</t>
  </si>
  <si>
    <t>HEX53</t>
  </si>
  <si>
    <t>hexa_tc_5[3]</t>
  </si>
  <si>
    <t>PIN_T14</t>
  </si>
  <si>
    <t>HEX52</t>
  </si>
  <si>
    <t>hexa_tc_5[2]</t>
  </si>
  <si>
    <t>PIN_M8</t>
  </si>
  <si>
    <t>HEX51</t>
  </si>
  <si>
    <t>hexa_tc_5[1]</t>
  </si>
  <si>
    <t>PIN_N9</t>
  </si>
  <si>
    <t>HEX50</t>
  </si>
  <si>
    <t>hexa_tc_5[0]</t>
  </si>
  <si>
    <t>PIN_P9</t>
  </si>
  <si>
    <t>HEX46</t>
  </si>
  <si>
    <t>hexa_tc_4[6]</t>
  </si>
  <si>
    <t>PIN_Y15</t>
  </si>
  <si>
    <t>HEX45</t>
  </si>
  <si>
    <t>hexa_tc_4[5]</t>
  </si>
  <si>
    <t>PIN_U15</t>
  </si>
  <si>
    <t>HEX44</t>
  </si>
  <si>
    <t>hexa_tc_4[4]</t>
  </si>
  <si>
    <t>PIN_U16</t>
  </si>
  <si>
    <t>HEX43</t>
  </si>
  <si>
    <t>hexa_tc_4[3]</t>
  </si>
  <si>
    <t>PIN_V20</t>
  </si>
  <si>
    <t>HEX42</t>
  </si>
  <si>
    <t>hexa_tc_4[2]</t>
  </si>
  <si>
    <t>PIN_Y20</t>
  </si>
  <si>
    <t>HEX41</t>
  </si>
  <si>
    <t>hexa_tc_4[1]</t>
  </si>
  <si>
    <t>PIN_U20</t>
  </si>
  <si>
    <t>HEX40</t>
  </si>
  <si>
    <t>hexa_tc_4[0]</t>
  </si>
  <si>
    <t>PIN_V19</t>
  </si>
  <si>
    <t>HEX36</t>
  </si>
  <si>
    <t>hexa_prob_3[6]</t>
  </si>
  <si>
    <t>PIN_V18</t>
  </si>
  <si>
    <t>HEX35</t>
  </si>
  <si>
    <t>hexa_prob_3[5]</t>
  </si>
  <si>
    <t>PIN_U17</t>
  </si>
  <si>
    <t>HEX34</t>
  </si>
  <si>
    <t>hexa_prob_3[4]</t>
  </si>
  <si>
    <t>PIN_V16</t>
  </si>
  <si>
    <t>HEX33</t>
  </si>
  <si>
    <t>hexa_prob_3[3]</t>
  </si>
  <si>
    <t>PIN_Y17</t>
  </si>
  <si>
    <t>HEX32</t>
  </si>
  <si>
    <t>hexa_prob_3[2]</t>
  </si>
  <si>
    <t>PIN_W16</t>
  </si>
  <si>
    <t>HEX31</t>
  </si>
  <si>
    <t>hexa_prob_3[1]</t>
  </si>
  <si>
    <t>PIN_Y16</t>
  </si>
  <si>
    <t>HEX30</t>
  </si>
  <si>
    <t>hexa_prob_3[0]</t>
  </si>
  <si>
    <t>PIN_AB21</t>
  </si>
  <si>
    <t>HEX26</t>
  </si>
  <si>
    <t>hexa_prob_2[6]</t>
  </si>
  <si>
    <t>PIN_AB22</t>
  </si>
  <si>
    <t>HEX25</t>
  </si>
  <si>
    <t>hexa_prob_2[5]</t>
  </si>
  <si>
    <t>PIN_V14</t>
  </si>
  <si>
    <t>HEX24</t>
  </si>
  <si>
    <t>hexa_prob_2[4]</t>
  </si>
  <si>
    <t>PIN_Y14</t>
  </si>
  <si>
    <t>HEX23</t>
  </si>
  <si>
    <t>hexa_prob_2[3]</t>
  </si>
  <si>
    <t>PIN_AA10</t>
  </si>
  <si>
    <t>HEX22</t>
  </si>
  <si>
    <t>hexa_prob_2[2]</t>
  </si>
  <si>
    <t>PIN_AB17</t>
  </si>
  <si>
    <t>HEX21</t>
  </si>
  <si>
    <t>hexa_prob_2[1]</t>
  </si>
  <si>
    <t>PIN_Y19</t>
  </si>
  <si>
    <t>HEX20</t>
  </si>
  <si>
    <t>hexa_prob_2[0]</t>
  </si>
  <si>
    <t>PIN_U22</t>
  </si>
  <si>
    <t>HEX16</t>
  </si>
  <si>
    <t>hexa_prob_1[6]</t>
  </si>
  <si>
    <t>PIN_AA17</t>
  </si>
  <si>
    <t>HEX15</t>
  </si>
  <si>
    <t>hexa_prob_1[5]</t>
  </si>
  <si>
    <t>PIN_AB18</t>
  </si>
  <si>
    <t>HEX14</t>
  </si>
  <si>
    <t>hexa_prob_1[4]</t>
  </si>
  <si>
    <t>PIN_AA18</t>
  </si>
  <si>
    <t>HEX13</t>
  </si>
  <si>
    <t>hexa_prob_1[3]</t>
  </si>
  <si>
    <t>PIN_AA19</t>
  </si>
  <si>
    <t>HEX12</t>
  </si>
  <si>
    <t>hexa_prob_1[2]</t>
  </si>
  <si>
    <t>PIN_AB20</t>
  </si>
  <si>
    <t>HEX11</t>
  </si>
  <si>
    <t>hexa_prob_1[1]</t>
  </si>
  <si>
    <t>PIN_AA20</t>
  </si>
  <si>
    <t>HEX10</t>
  </si>
  <si>
    <t>hexa_prob_1[0]</t>
  </si>
  <si>
    <t>PIN_AA22</t>
  </si>
  <si>
    <t>HEX06</t>
  </si>
  <si>
    <t>hexa_prob_0[6]</t>
  </si>
  <si>
    <t>PIN_Y21</t>
  </si>
  <si>
    <t>HEX05</t>
  </si>
  <si>
    <t>hexa_prob_0[5]</t>
  </si>
  <si>
    <t>PIN_Y22</t>
  </si>
  <si>
    <t>HEX04</t>
  </si>
  <si>
    <t>hexa_prob_0[4]</t>
  </si>
  <si>
    <t>PIN_W21</t>
  </si>
  <si>
    <t>HEX03</t>
  </si>
  <si>
    <t>hexa_prob_0[3]</t>
  </si>
  <si>
    <t>PIN_W22</t>
  </si>
  <si>
    <t>HEX02</t>
  </si>
  <si>
    <t>hexa_prob_0[2]</t>
  </si>
  <si>
    <t>PIN_V21</t>
  </si>
  <si>
    <t>HEX01</t>
  </si>
  <si>
    <t>hexa_prob_0[1]</t>
  </si>
  <si>
    <t>PIN_U21</t>
  </si>
  <si>
    <t>HEX00</t>
  </si>
  <si>
    <t>hexa_prob_0[0]</t>
  </si>
  <si>
    <t>PIN_L1</t>
  </si>
  <si>
    <t>LEDR9</t>
  </si>
  <si>
    <t>finished_tests</t>
  </si>
  <si>
    <t>PIN_L2</t>
  </si>
  <si>
    <t>LEDR8</t>
  </si>
  <si>
    <t>finished_test_case</t>
  </si>
  <si>
    <t>PIN_AA1</t>
  </si>
  <si>
    <t>LEDR1</t>
  </si>
  <si>
    <t>db_prob_valid_2</t>
  </si>
  <si>
    <t>PIN_AA2</t>
  </si>
  <si>
    <t>LEDR0</t>
  </si>
  <si>
    <t>db_prob_valid_1</t>
  </si>
  <si>
    <t>clk_voting</t>
  </si>
  <si>
    <t>clk_stimuli</t>
  </si>
  <si>
    <t>PIN_M16</t>
  </si>
  <si>
    <t>GPIO_0_D2</t>
  </si>
  <si>
    <t>clk_random_forest_2</t>
  </si>
  <si>
    <t>PIN_N16</t>
  </si>
  <si>
    <t>GPIO_0_D0</t>
  </si>
  <si>
    <t>clk_random_forest_1</t>
  </si>
  <si>
    <t>FPGA Pin</t>
  </si>
  <si>
    <t>DE0-CV Signal Name</t>
  </si>
  <si>
    <t>I/O?</t>
  </si>
  <si>
    <t>Interface</t>
  </si>
  <si>
    <t>Waveforms Settings</t>
  </si>
  <si>
    <t>KEY2</t>
  </si>
  <si>
    <t>PIN_M7</t>
  </si>
  <si>
    <t>GPIO_1_D0</t>
  </si>
  <si>
    <t>GPIO_1_D2</t>
  </si>
  <si>
    <t>PIN_H16</t>
  </si>
  <si>
    <t>PIN_H15</t>
  </si>
  <si>
    <t>Patterns &gt; DIO0 &gt; Clock 400Hz</t>
  </si>
  <si>
    <t>Patterns &gt; DIO1 &gt; Clock 400Hz</t>
  </si>
  <si>
    <t>Patterns &gt; DIO2 &gt; Clock 10kHz</t>
  </si>
  <si>
    <t>Patterns &gt; DIO3 &gt; Clock 400Hz</t>
  </si>
  <si>
    <t>prob_ valid_1 flashes at '1'?</t>
  </si>
  <si>
    <t>prob_ valid_2 flashes at '1'?</t>
  </si>
  <si>
    <t>Evidências da Etapa 2 do Método Safety ArtISt</t>
  </si>
  <si>
    <t>Favorável à Segurança?</t>
  </si>
  <si>
    <t>Detalhamento Técnico</t>
  </si>
  <si>
    <t>At e Sa (ID: At.Sa)</t>
  </si>
  <si>
    <t>Considerações Técnicas</t>
  </si>
  <si>
    <t>4.1</t>
  </si>
  <si>
    <t>Sim</t>
  </si>
  <si>
    <t>B</t>
  </si>
  <si>
    <t>Não foram detectados dados incompletos ou faltantes nas bases de dados produzidas por intermédio do gerador de base de dados.</t>
  </si>
  <si>
    <t>D.i</t>
  </si>
  <si>
    <t>H</t>
  </si>
  <si>
    <t>I</t>
  </si>
  <si>
    <t>4.2</t>
  </si>
  <si>
    <t>4.3</t>
  </si>
  <si>
    <t>4.4</t>
  </si>
  <si>
    <t>ID RSR</t>
  </si>
  <si>
    <t>A.ii
D.ii</t>
  </si>
  <si>
    <t>E
F
G</t>
  </si>
  <si>
    <t>4.5</t>
  </si>
  <si>
    <t>4.6</t>
  </si>
  <si>
    <t>4.7</t>
  </si>
  <si>
    <t>4.8</t>
  </si>
  <si>
    <t>4.9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</si>
  <si>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</si>
  <si>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</si>
  <si>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</si>
  <si>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</si>
  <si>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</si>
  <si>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</si>
  <si>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</si>
  <si>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</si>
  <si>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</si>
  <si>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</si>
  <si>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</si>
  <si>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</si>
  <si>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</si>
  <si>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</si>
  <si>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</si>
  <si>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</si>
  <si>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</si>
  <si>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</si>
  <si>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</si>
  <si>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</si>
  <si>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</si>
  <si>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</si>
  <si>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</si>
  <si>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</si>
  <si>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</si>
  <si>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</si>
  <si>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</si>
  <si>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</si>
  <si>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</si>
  <si>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</si>
  <si>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</si>
  <si>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</si>
  <si>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</si>
  <si>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</si>
  <si>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</si>
  <si>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</si>
  <si>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</si>
  <si>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</si>
  <si>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</si>
  <si>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</si>
  <si>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</si>
  <si>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</si>
  <si>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</si>
  <si>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</si>
  <si>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</si>
  <si>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</si>
  <si>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</si>
  <si>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</si>
  <si>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</si>
  <si>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</si>
  <si>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</si>
  <si>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</si>
  <si>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</si>
  <si>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Não há evidências produzidas na etapa 2 que integrem a argumentação de segurança do RSR.</t>
  </si>
  <si>
    <t>Há evidências favoráveis à segurança das ferramentas empregadas na análise do gerador de base de dados e de seus resultados.</t>
  </si>
  <si>
    <r>
      <t>Há evidência de quantidade restrita, mas estatisticamente relevante, sobre cenários de fronteira (</t>
    </r>
    <r>
      <rPr>
        <i/>
        <sz val="12"/>
        <color theme="1"/>
        <rFont val="Times New Roman"/>
        <family val="1"/>
      </rPr>
      <t>corner cases</t>
    </r>
    <r>
      <rPr>
        <sz val="12"/>
        <color theme="1"/>
        <rFont val="Times New Roman"/>
        <family val="1"/>
      </rPr>
      <t>) críticos em relação à segurança. A representatividade desses cenários pode ser aumentada mediante geração de outras bases de dados e filtrando-se, delas, apenas os registros de seus respectivos cenários de fronteira. Os casos de fronteira devem ser analisados detalhadamente na etapa 5 do método Safety ArtISt.</t>
    </r>
  </si>
  <si>
    <t xml:space="preserve">As incertezas de todas as variáveis envolvidas foram avaliadas e quantificadas:
a) Distâncias e velocidades com incertezas limitadas ao dobro das tolerâncias nominais definidas no Apêndice B;
b) Taxas de frenagem isentas de incertezas por serem consideradas valores de pior caso predefinidos pelos projetistas dos equipamentos considerados no Apêndice B;
c) Rótulos de indicação de frenagem com incertezas propagadas a partir das tolerâncias das distâncias e velocidades. Para os dados produzidos com auxílio do gerador de bases de dados, a incerteza é nula porque os cálculos são realizados partindo-se dos valores ideais (i.e., sem ruídos) de distância e velocidade. </t>
  </si>
  <si>
    <t>O gerador de base de dados foi verificado por meio de inspeção de código (estática e dinâmica) e de análise exaustiva de seus resultados por meio de ferramenta redundante (baseada em planilha do Microsoft Excel 2013). Em sua última versão (9), verifica-se que as informações de interesse (distância, velocidade, GEBR e indicação de frenagem) estão presentes, que os respectivos ruídos adicionados aos dados baseiam-se em sorteios aleatórios a partir das incertezas de equipamentos de hardware típicos (sensores de distância e velocidade) e que, por fim, não constam evidências de problemas que possam comprometer a segurança.</t>
  </si>
  <si>
    <t>A.i
A.ii</t>
  </si>
  <si>
    <t>Utilizando como referência os dados disponíveis no arquivo da verificação de segurança da última versão do gerador de base de dados, verificam-se as seguintes quantidades e proporções de registros com cada rótulo:
i. Arquivo “DatasetCheio - V&amp;V Rev. 9.xlsx” (trem com ocupação de 8 passageiros/m² e base de dados gerada sem sobreamostragem de saídas “1”):
•   51513 registros com rótulo 0 (89,924% dos 57285 registros);
•   5772 registros com rótulo 1 (10,076% dos 57285 registros).
ii. Arquivo “DatasetM1200 - V&amp;V Rev. 9.xlsx” (veículo com massa hipotética de apenas 1200kg e base de dados gerada sem sobreamostragem de saídas “1”):
•   51795 registros com rótulo 0 (90,416% dos 57285 registros);
•   5490 registros com rótulo 1 (9,584% dos 57285 registros).
iii. Arquivo “DatasetStratifiedEmpty - V&amp;V Rev. 9.xlsx” (trem sem passageiros e base de dados gerada com sobreamostragem de saídas “1” de tal forma que registros com saídas ‘0’ e ‘1’ representem 50% do total da base de dados):
•   28642 registros com rótulo 0 (49,999% dos 57285 registros);
•   28643 registros com rótulo 1 (50,001% dos 57285 registros).
Os resultados prévios indicam que, na ausência de uma proporção especificamente requisitada por meio da configuração do gerador da base de dados, há uma dominância de registros com rótulo 0 (sem aplicação de freio), visto que estes representam de oito a dez vezes o total de registros com rótulo 1 (com aplicação de freio) para configurações extremas de massa (trem com 8 passageiros/m² e veículo hipotético com 1200kg). Quando há uma proporção explícita para a estratificação da base de dados entre rótulos 0 e 1, tal relação é rigorosamente observada – considerando-se a ressalva de que, com bases de dados com quantidade ímpar de registros, há sempre um registro a mais de ‘1’ para que a proporção mínima de registros com esse rótulo seja atendida.
A representatividade dos cenários de rótulo 1 pode ser ajustada mediante geração de outras bases de dados e filtrando-se, delas, apenas os registros de interesse. Considera-se que tal pré-processamento adicional faz parte do processo de projeto detalhado e treinamento da IA e, portanto, deve ser inicialmente avaliado como parte das atividades de projeto (etapas 3 e 4 e atividade 5-B) e V&amp;V (etapas 5 e 6, exceto atividade 5-B) conforme conveniente. Nessa verificação, não se considera necessário avaliar a adequação dos dados, mas sim se o processo de junção de dados de bases de dados diferentes foi efetuado corretamente (i.e., sem perda de integridade dos dados).</t>
  </si>
  <si>
    <t>Conforme especificado no Apêndice B do relatório técnico do Estudo de Caso 4, as incertezas associadas às medidas de distância estão associadas aos módulos LDS30A e RF601 da Astech GmbH e contemplam até duas vezes o desvio típico das medidas geradas pelos dispositivos. Verificou-se que o gerador de bases de dados incorpora tais incertezas de forma adequada aos registros por ele produzidos.</t>
  </si>
  <si>
    <t>Verificou-se que as medidas de distância produzidas pelo gerador de bases de dados baseiam-se em valores situados no intervalo [0m; 2000m]. A única possibilidade de uma medida de distância situar-se fora desse intervalo ocorre quando um desvio positivo, decorrente das tolerâncias associadas ao sensor de distância simulado para as medidas, for sorteado e acrescido ao valor base (não ruidoso) de um registro.
Como o máximo desvio aleatoriamente sorteado é igual a 1,67m (ver considerações técnicas sobre o RSR 4.9), avalia-se que as distâncias das bases de dados produzidas pertencerão ao intervalo [0m; 2001,67m]. O alargamento do limite superior do intervalo de distâncias em 1,67m não é considerado crítico em relação à segurança exatamente por refletir apenas potenciais incertezas de um sensor de distância na aferição da medida verdadeiramente correta até dado obstáculo - esta última, por sua vez, confinada ao intervalo [0m; 2000m].</t>
  </si>
  <si>
    <t>Conforme especificado no Apêndice B do relatório técnico do Estudo de Caso 4, as incertezas associadas às medidas de velocidade estão associadas a equipamentos embarcados nos trens da Frota F - Alstom do Metrô-SP. Verificou-se que o gerador de bases de dados incorpora tais incertezas de forma adequada aos registros por ele produzidos.</t>
  </si>
  <si>
    <t>Verificou-se que as GEBRs consideradas pelo gerador de bases de dados baseiam-se nos cinco valores especificados no requisito: 1,395 m/s², 1,1625m/s², 0,93m/s², 0,78m/s² e 0,65m/s². Os cinco valores constam no Apêndice B do relatório técnico e associam-se às especificações  dos trens da Frota F-Alstom do Metrô-SP nas seguintes condições operacionais, respectivamente: funcionamento normal, presença de uma falha de freio, presença de duas falhas de freio, operação normal em baixa aderência e presença de uma falha de freio em baixa aderência.</t>
  </si>
  <si>
    <t>Verificou-se que as classificações acerca da aplicação de freios para cada registro (distância, velocidade, GEBR) contém rótulo '0' quando não há aplicação de freios e '1' caso contrário.</t>
  </si>
  <si>
    <t>Verificou-se que as bases de dados estão organizadas em registros com tuplas (distância, velocidade, GEBR, classificação para aplicação de freios).</t>
  </si>
  <si>
    <r>
      <t>Foi estabelecida uma estratégia de uso de bases de dados produzidas com auxílio do gerador de bases de dados detalhado na subatividade 2-A.ii (seção 4.2.1.2) com os seguintes passos:
a) Validação cruzada com bases de dados rearranjadas de forma pseudoaleatória e particionadas em 10 grupos (</t>
    </r>
    <r>
      <rPr>
        <i/>
        <sz val="12"/>
        <color theme="1"/>
        <rFont val="Times New Roman"/>
        <family val="1"/>
      </rPr>
      <t>10-fold cross-validation</t>
    </r>
    <r>
      <rPr>
        <sz val="12"/>
        <color theme="1"/>
        <rFont val="Times New Roman"/>
        <family val="1"/>
      </rPr>
      <t>), cada um dos quais gerados com estratificação proporcional à distribuição dos rótulos 0 e 1. Cada base de dados utilizada para fins de validação cruzada possui proporções de distribuição de rótulos 0 e 1 definida em função do objetivo principal do classificador a ser produzido;
b) Testes de partições unitárias (</t>
    </r>
    <r>
      <rPr>
        <i/>
        <sz val="12"/>
        <color theme="1"/>
        <rFont val="Times New Roman"/>
        <family val="1"/>
      </rPr>
      <t>holdout tests</t>
    </r>
    <r>
      <rPr>
        <sz val="12"/>
        <color theme="1"/>
        <rFont val="Times New Roman"/>
        <family val="1"/>
      </rPr>
      <t>) conduzidos utilizando bases de dados distintas das empregadas na validação cruzada: pelo menos três bases de dados ruidosas (i.e., com incertezas de distâncias e velocidades) distintas entre si, uma base de dados com distâncias e velocidades ideais (i.e., sem ruídos), extratos de todas as bases de dados ruidosas que contemplem os seus respectivos cenários de fronteira ;
c) Criação de 10 bases de dados distintas para as finalidades dos itens "a)" e "b)".
Por meio dessa abordagem, é prevista a criação de classificadores que permitam, de forma integrada, maximizar decisões corretas de aplicação de freios e, ao mesmo tempo, evitar aplicações excessivas de freio quando desnecessário.</t>
    </r>
  </si>
  <si>
    <t>A.i
A.ii
I</t>
  </si>
  <si>
    <t>Evidências da Etapa 3 do Método Safety ArtISt</t>
  </si>
  <si>
    <t>Ver comentários relacionados aos RSRs 4.1 a 4.61.</t>
  </si>
  <si>
    <t>Ver comentários relacionados aos RSRs 4.1 a 4.61 mantidos como aplicáveis para o estudo de caso.</t>
  </si>
  <si>
    <t>RSR não aplicável ao desenvolvimento detalhado do estudo de caso com base em decisões de viabilidade técnica dos modelos base de IA selecionados após projeto preliminar.</t>
  </si>
  <si>
    <t>A</t>
  </si>
  <si>
    <t xml:space="preserve">As especificações de instalação, uso e configuração das ferramentas selecionadas para a realização do projeto, em suas três fases, visam assegurar, entre outros aspectos, que a leitura da indicação de validade dos dados de entrada ocorrerá de forma aderente ao projeto detalhado na atividade 3-A. </t>
  </si>
  <si>
    <t>Na "fase 1" do projeto, é prevista a realização de validação cruzada para exercitar instâncias de IA candidatas à implementação do sistema de controle de frenagem. O conjunto de hiperparâmetros / hiperfunções exercitado é determinado de acordo com a categoria do modelo base de IA, conforme especificado nos respectivos RSRs correlatos ao tema.</t>
  </si>
  <si>
    <t xml:space="preserve">As especificações de instalação, uso e configuração das ferramentas selecionadas para a realização do projeto, em suas três fases, visam assegurar, entre outros aspectos, que a validação cruzada das potenciais instâncias de IA que compõem o sistema de controle de frenagem ocorrerá de forma aderente ao projeto detalhado na atividade 3-A. </t>
  </si>
  <si>
    <t>As especificações de instalação, uso e configuração das ferramentas selecionadas para a realização do projeto, em suas três fases, visam assegurar, entre outros aspectos, que eventuais mecanismos de tolerância a falhas incorporados ao sistema de controle de frenagem não sejam removidos do projeto devido ao uso de otimizações em quaisquer das três fases de projeto.</t>
  </si>
  <si>
    <r>
      <t xml:space="preserve">A depender das necessidades de projeto, incluindo eventuais ajustes para adequação do projeto a práticas de tolerância a falhas, os modelos base de IA e suas instâncias podem requerer, na versão destinada a PLDs, adaptações manuais de código para conferir maior robustez por meio da aderência às práticas identificadas na subatividade 3-D.i. Caso tais alterações sejam efetuadas, também se deve assegurar que os modelos base e as instâncias de IA afetadas por essas mudanças mantenham o mesmo comportamento de seus projetos iniciais, observados desde a versão de software criada com auxílio da biblioteca </t>
    </r>
    <r>
      <rPr>
        <i/>
        <sz val="12"/>
        <color theme="1"/>
        <rFont val="Times New Roman"/>
        <family val="1"/>
      </rPr>
      <t>scikit-learn</t>
    </r>
    <r>
      <rPr>
        <sz val="12"/>
        <color theme="1"/>
        <rFont val="Times New Roman"/>
        <family val="1"/>
      </rPr>
      <t>.</t>
    </r>
  </si>
  <si>
    <t>D-i</t>
  </si>
  <si>
    <t>Nos desenvolvimentos realizados para o presente estudo de caso em VHDL, adotou-se como referência o uso das técnicas de programação defensiva que constam na lista de verificação do Apêndice C. Essa lista de verificação foi construída a partir de técnicas apresentadas por uma equipe de usuários da norma RTCA DO-254:2000 liderada por Lange (2010) e aprimorada por Silva Neto et al. (2017).</t>
  </si>
  <si>
    <t>D-.ii</t>
  </si>
  <si>
    <t>Apesar da não necessidade de técnicas de programação defensiva no desenvolvimento de software devido ao fato de estes serem produtos intermediários do projeto e executados por períodos de tempo curto e em ambiente controlado, avalia-se que as seguintes ações são suficientes para se garantir a ausência de impacto de falhas aleatórias nos produtos decorrentes do projeto de software crítico em relação à segurança, contemplado nas fases 1 e 2 do projeto:
a) Durante as atividades exclusivamente relacionadas à validação cruzada e à otimização das instâncias de IA, os softwares podem ser executados de forma redundante em um ambiente de desenvolvimento alternativo e comparados. Se houver coincidência entre os resultados das múltiplas execuções (exceto para partes potencialmente envolvendo sorteios pseudoaleatórios com sementes distintas), avalia-se ser improvável que uma mesma falha aleatória de hardware tenha afetado da mesma maneira as múltiplas execuções realizadas, o que permitiria atestar a integridade das instâncias de IA geradas em software;
b) Durante as atividades de HLS, avalia-se se os resultados produzidos por ela são coincidentes com os obtidos, no item prévio, para as instâncias de IA geradas em software. Caso haja coincidência plena entre os resultados gerados, sobretudo se diferentes ferramentas de simulação de hardware forem utilizadas (por exemplo, Intel ModelSim e AMD / Xilinx Vivado) em ambientes de desenvolvimento distintos, avalia-se ser improvável que uma mesma falha aleatória de hardware tenha afetado da mesma maneira os dois fluxos distintos de processamento, o que permitiria atestar a integridade das instâncias de IA geradas pela HLS.</t>
  </si>
  <si>
    <t>Não há evidências produzidas na etapa 3 que integrem a argumentação de segurança do RSR.</t>
  </si>
  <si>
    <t>As arquiteturas correspondentes às três fases do projeto foram concebidas de tal forma a se considerar que a saída do sistema de controle de frenagem tenha como estado seguro o nível lógico '1', que indica aplicação de freios.</t>
  </si>
  <si>
    <t>As especificações de instalação, uso e configuração das ferramentas selecionadas para a realização do projeto, em suas três fases, visam assegurar, entre outros aspectos, a integridade do processamento do estado seguro da saída do sistema de controle de frenagem conforme especificado na atividade 3-A.</t>
  </si>
  <si>
    <t>Na "fase 1" do projeto (desenvolvimento de software), é previsto que as instâncias de IA incorporadas ao projeto do sistema de controle de frenagem sejam aquelas que maximizem as respectivas métricas de desempenho estabelecidas como relevantes para ela. Dessa forma, os hiperparâmetros selecionados para cada instância de IA correspondem aos valores potencialmente ótimos selecionados em função da finalidade atribuída à instância de IA dentro do contexto do sistema de controle de frenagem.</t>
  </si>
  <si>
    <t>Avalia-se ser necessário realizar ajustes manuais nos modelos base de IA (e em suas instâncias) em função das necessidades e restrições impostas pelo Conifer para a síntese de florestas aleatórias a partir de árvores de decisão geradas individualmente e que possuem profundidades diversas. Dessa forma, deve-se assegurar que as transcrições dos modelos base (árvores de decisão para florestas aleatórias) e das respectivas instâncias (atributos otimizados por validação cruzada) sejam apropriadamente realizadas.</t>
  </si>
  <si>
    <t xml:space="preserve">Na "fase 1" do projeto (desenvolvimento de software), é previsto que as instâncias de IA incorporadas ao projeto do sistema de controle de frenagem sejam aquelas que maximizem as respectivas métricas de desempenho estabelecidas como relevantes para ela. Dessa forma, os hiperparâmetros selecionados para cada instância de IA correspondem aos valores potencialmente ótimos selecionados em função da finalidade atribuída à instância de IA dentro do contexto do sistema de controle de frenagem - indicando, portanto, que cada árvore é exercitada individualmente.
Na "fase 2" do projeto (HLS), cada árvore é individualmente pré-processada e submetida ao processo de síntese de alto nível, de tal forma a gerar uma ou mais florestas aleatórias com um subconjunto convenientemente escolhido de árvores de decisão.
Por fim, na "fase 3" do projeto (desenvolvimento em hardware), a arquitetura prevista prevê ao menos duas florestas aleatórias independentes, alocadas, respectivamente, aos componentes "FPGA_1" e "FPGA_2". </t>
  </si>
  <si>
    <t>As especificações de instalação, uso e configuração das ferramentas selecionadas para a realização do projeto, em suas três fases, visam assegurar, entre outros aspectos, a integridade do processamento da saída do sistema de controle de frenagem conforme especificado na atividade 3-A.</t>
  </si>
  <si>
    <t xml:space="preserve">As especificações de instalação, uso e configuração das ferramentas selecionadas para a realização do projeto, em suas três fases, visam assegurar, entre outros aspectos, que a validação cruzada, a seleção de hiperparâmetros ótimos, a HLS e a alocação de árvores de decisão a florestas aleatórias distintas ocorrerão de forma aderente ao projeto detalhado na atividade 3-A. </t>
  </si>
  <si>
    <t xml:space="preserve">As especificações de instalação, uso e configuração das ferramentas selecionadas para a realização do projeto, em suas três fases, visam assegurar, entre outros aspectos, que a validação cruzada e a seleção de hiperparâmetros ótimos ocorrerão de forma aderente ao projeto detalhado na atividade 3-A. </t>
  </si>
  <si>
    <t xml:space="preserve">As especificações de instalação, uso e configuração das ferramentas selecionadas para a realização do projeto, em suas três fases, visam assegurar, entre outros aspectos, que a leitura e o pré-processamento dos dados de entrada ocorrerão de forma aderente ao projeto detalhado na atividade 3-A. </t>
  </si>
  <si>
    <t>Na "fase 1" do projeto (desenvolvimento de software), é previsto que as instâncias de IA incorporadas ao projeto do sistema de controle de frenagem sejam aquelas que maximizem as respectivas métricas de desempenho estabelecidas como relevantes para ela. Dessa forma, os hiperparâmetros selecionados para cada instância de IA correspondem aos valores potencialmente ótimos selecionados em função da finalidade atribuída à instância de IA dentro do contexto do sistema de controle de frenagem - indicando, portanto, que cada árvore é exercitada individualmente.
Na "fase 2" do projeto (HLS), cada árvore é individualmente pré-processada e submetida ao processo de síntese de alto nível, de tal forma a gerar uma ou mais florestas aleatórias com um subconjunto convenientemente escolhido de árvores de decisão.</t>
  </si>
  <si>
    <t>Na "fase 1" do projeto (desenvolvimento em software), é previsto um módulo de pré-processamento da base de dados de entrada (pre-processing) antes da validação cruzada e dos testes que visam selecionar instâncias de IA candidatas à implementação do sistema de controle de frenagem. Ademais, cada instância de IA recebe os dados de entrada previstos para o sistema de controle de frenagem, correspondentes à tupla (distância [m], velocidade [m/s], desaceleração [m/s²]).
Na "fase 2" do projeto (HLS), os produtos da "fase 1" são convertidos em descrições de hardware (em HDL) de tal forma que a leitura das entradas siga a mesma especificação do software que a origina: aquisição dos dados por meio de tuplas (distância [m], velocidade [m/s], desaceleração [m/s²]).
Na "fase 3" do projeto (desenvolvimento em hardware), reforça-se que cada instância de IA tem acesso aos dados de entrada por meio de tuplas (distância [m], velocidade [m/s], desaceleração [m/s²]).</t>
  </si>
  <si>
    <t>Na arquitetura de hardware, definida na "fase 3" do projeto, especifica-se que as entradas devem ser adquiridas apenas quando o sinal "input_valid" estiver ativo em nível lógico '1'. Nessas condições, considera-se que as tuplas (distância [m], velocidade [m/s], desaceleração [m/s²]) estão suficientemente estáveis para serem adquiridas e processadas pelos elementos que constituem o sistema projetado.
Analogamente, cada componente do sistema também produz sinalizações de validade de suas saídas imediatamente após o processamento das respectivas entradas a fim de comunicar a componentes posteriores do fluxo de processamento do sistema de controle de frenagem que prossigam com o tratamento das últimas entradas estáveis.</t>
  </si>
  <si>
    <t>Na arquitetura de hardware, definida na "fase 3" do projeto, especifica-se que as entradas do sistema de controle são baseadas em tuplas (distância [m], velocidade [m/s], desaceleração [m/s²]), cujos elementos são fornecidos por meio de entradas paralelas e condicionadas à indicação de estabilidade prevista pelo sinal "input_valid".
Para a validação cruzada, prevista na "fase 1" do projeto, as entradas incluem a tupla previamente mencionada e as classificações acerca da aplicação de freios nas condições correspondentes aos respectivos dados. Nessa situação, a categoria '0' indica a ausência de necessidade de aplicação de freios, e a categoria '1' sinaliza a necessidade de os freios serem acionados.</t>
  </si>
  <si>
    <t>Na "fase 1" do projeto (desenvolvimento de software), é previsto que cada árvore de decisão selecionada por meio de validação cruzada possa ter sua estrutura interna acessível por meio de diagramas e parametrizações numéricas que indiquem, para cada nó decisório, a ponderação das entradas e o valor correspondente à sua saída (i.e., indicação de frenagem). Dessa forma, é possível realizar uma análise formal de segurança que permita mapear, dentro dos domínios de cada elemento da tupla de entradas (distância, velocidade, desaceleração), como as saídas de indicação de frenagem são geradas para cada árvore de decisão.
Na "fase 2" (HLS) e na "fase 3" (desenvolvimento em hardware), é possível avaliar se os domínios analisados na fase 1 mantêm-se verdadeiros por meio da verificação de duas características: (i.) a consistência das ponderações das entradas de cada nó decisório entre as implementações de software (original) e hardware (gerado por HLS, com eventual processamento adicional para fins de segurança) e (ii.) o impacto da precisão de ponto fixo (inteira e decimal) utilizada, na implementação de hardware, para representar os respectivos valores em ponto flutuante empregados na implementação em software.
As análises prévias devem ser realizadas dentro do escopo das etapas 4 a 6 do método Safety ArtISt.</t>
  </si>
  <si>
    <t>Na "fase 1" do projeto (desenvolvimento de software), é previsto que cada árvore de decisão selecionada por meio de validação cruzada possa ter sua estrutura interna acessível por meio de diagramas e parametrizações numéricas que indiquem, para cada nó decisório, a ponderação das entradas e o valor correspondente à sua saída (i.e., indicação de frenagem). Dessa forma, é possível realizar uma análise formal de segurança que permita mapear, dentro dos domínios de cada elemento da tupla de entradas (distância, velocidade, desaceleração), como as saídas de indicação de frenagem são geradas para cada árvore de decisão. Consequentemente, o comportamento de cada floresta aleatória produzida pelo agrupamento de um subconjunto das árvores de decisão geradas também pode ser compreendido por meio da sobreposição das partições espaciais com cada indicação de frenagem e das respectivas probabilidades das classificações para dada tupla de entrada (distância, velocidade, desaceleração).
Na "fase 2" (HLS) e na "fase 3" (desenvolvimento em hardware), é possível avaliar se os domínios analisados na fase 1 mantêm-se verdadeiros por meio da verificação de duas características: (i.) a consistência das ponderações das entradas de cada nó decisório entre as implementações de software (original) e hardware (gerado por HLS, com eventual processamento adicional para fins de segurança) e (ii.) o impacto da precisão de ponto fixo (inteira e decimal) utilizada, na implementação de hardware, para representar os respectivos valores em ponto flutuante empregados na implementação em software.
As análises prévias devem ser realizadas dentro do escopo das etapas 4 a 6 do método Safety ArtISt.</t>
  </si>
  <si>
    <t xml:space="preserve">As especificações de instalação, uso e configuração das ferramentas selecionadas para a realização do projeto, em suas três fases, visam assegurar, entre outros aspectos, que a validação cruzada, a seleção de hiperparâmetros ótimos, a HLS, a alocação de árvores de decisão a florestas aleatórias distintas e o desenvolvimento das programações finais dos PLDs ocorrerão de forma aderente ao projeto detalhado na atividade 3-A. </t>
  </si>
  <si>
    <r>
      <t>As especificações de instalação, uso e configuração das ferramentas selecionadas para a realização do projeto, em suas três fases, visam assegurar, entre outros aspectos, que o projeto do componente "</t>
    </r>
    <r>
      <rPr>
        <i/>
        <sz val="12"/>
        <color theme="1"/>
        <rFont val="Times New Roman"/>
        <family val="1"/>
      </rPr>
      <t>voting</t>
    </r>
    <r>
      <rPr>
        <sz val="12"/>
        <color theme="1"/>
        <rFont val="Times New Roman"/>
        <family val="1"/>
      </rPr>
      <t>" e sua interligação aos demais componentes da arquitetura de hardware ocorrerá de forma aderente à especificação detalhada na atividade 3-A.</t>
    </r>
  </si>
  <si>
    <r>
      <t>A arquitetura de hardware do componente "</t>
    </r>
    <r>
      <rPr>
        <i/>
        <sz val="12"/>
        <color theme="1"/>
        <rFont val="Times New Roman"/>
        <family val="1"/>
      </rPr>
      <t>voting</t>
    </r>
    <r>
      <rPr>
        <sz val="12"/>
        <color theme="1"/>
        <rFont val="Times New Roman"/>
        <family val="1"/>
      </rPr>
      <t>" prevê que as saídas do sistema de controle de frenagem sejam conduzidas ao seu estado seguro ('1', com indicação de frenagem) caso haja de perda de comunicação com pelo menos um dos conjuntos de instâncias de IA críticas em relação à segurança por um período de tempo superior a uma quantidade '</t>
    </r>
    <r>
      <rPr>
        <i/>
        <sz val="12"/>
        <color theme="1"/>
        <rFont val="Times New Roman"/>
        <family val="1"/>
      </rPr>
      <t>loss_comm</t>
    </r>
    <r>
      <rPr>
        <sz val="12"/>
        <color theme="1"/>
        <rFont val="Times New Roman"/>
        <family val="1"/>
      </rPr>
      <t>' ciclos de seu sinal de relógio (</t>
    </r>
    <r>
      <rPr>
        <i/>
        <sz val="12"/>
        <color theme="1"/>
        <rFont val="Times New Roman"/>
        <family val="1"/>
      </rPr>
      <t>clk_voting</t>
    </r>
    <r>
      <rPr>
        <sz val="12"/>
        <color theme="1"/>
        <rFont val="Times New Roman"/>
        <family val="1"/>
      </rPr>
      <t>).</t>
    </r>
  </si>
  <si>
    <r>
      <t>Na "fase 3" do projeto (desenvolvimento em hardware), a arquitetura de hardware apresentada prevê que as florestas aleatórias sejam alocadas a PLDs diferentes, rotulados como "FPGA_1" e "FPGA_2", e que o componente "</t>
    </r>
    <r>
      <rPr>
        <i/>
        <sz val="12"/>
        <color theme="1"/>
        <rFont val="Times New Roman"/>
        <family val="1"/>
      </rPr>
      <t>voting</t>
    </r>
    <r>
      <rPr>
        <sz val="12"/>
        <color theme="1"/>
        <rFont val="Times New Roman"/>
        <family val="1"/>
      </rPr>
      <t>" seja externo a ambos (i.e., baseado em outro PLD ou, até mesmo, em uma outra categoria de dispositivo de hardware.</t>
    </r>
  </si>
  <si>
    <t>RSR não aplicável ao desenvolvimento detalhado do estudo de caso porque, com base na arquitetura de hardware apresentada na "fase 3" do projeto (desenvolvimento em hardware), mais de uma floresta aleatória é utilizada no projeto.</t>
  </si>
  <si>
    <t>If at least one random forest is used in the design of the supervised learning-based braking system, the final decision-making of each random forest shall stem from the weighting of its members' braking output probabilities.</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</si>
  <si>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random forest is used in the design of the supervised learning-based braking system, its design shall be conceived as follows: (i.) each of its decision trees shall be individually exercised (following their own safety requirements), and (ii.) the random forest shall join trees in such a way to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random forest explainability shall be based on the joint explainability of its decision trees.
9) It shall be ensured that, if at least one random forest is used in the design of the supervised learning-based braking system, all its decision trees, and only they, are properly set up (i.e., instantiated with the proper hyperparameters and trained with the adequate training datasets). More than one dataset, with different partitioning and/or braking classification stratification schemes, might be needed for proper balance between performance and safety.
10) If at least one random forest is used in the design of the supervised learning-based braking system, the final decision-making of each random forest shall stem from the weighting of its members' braking output probabilities.
11) The different members of the random forest, as well as the unweighted output voter, shall be allocated into different hardware elements (e.g., different PLDs) if a single random forest is used in the final design.
12) If more than a single random forest or ensemble is used in the design of the supervised learning-based braking system (e.g., ensemble of random forests, more than one ensemble of AI elements), the overall output shall stem from a majority voter of the members' outputs, in such a way that a tie shall favor braking.
13) If more than a single random forest or ensemble is used in the design of the supervised learning-based braking system (e.g., ensemble of random forests, more than one ensemble of AI elements) each ensemble and the majority voter shall be allocated into a different hardware element (e.g., each ensemble allocated to one PLD).
14) If more than a single PLD is utilized, each shall have its own independent input control signals (e.g., clock and reset) and share the same safe input tuples (distance, speed, GEBR) along with the input validity signal.</t>
  </si>
  <si>
    <t>If at least one ensemble is used in the design of the supervised learning-based braking system, the final decision-making of each ensemble shall stem from the weighting of its members' braking output probabilities.</t>
  </si>
  <si>
    <t>1) The design of the supervised learning-based braking system shall take into account cross-validation to assess different AI approaches and the fine-tuning of the applicable hyperparameters / hyperfunctions.
2) During the cross-validation of any AI instance, all the applicable hyperparamters / hyperfunctions shall be assessed as per their respective plausible domains.
3) Each trained AI instance shall be set to the optimum hyperparameters obtained in its cross-validation.
4) If at least one ensemble is used in the design of the supervised learning-based braking system, its design shall be conceived as follows: (i.) each of its members shall be individually exercised (following their own safety requirements), and (ii.) the ensemble shall join elements in such a way to provide sufficient performance and allow PLD synthesis and explainability.
5) The overall performance of the supervised learning-based braking shall be assessed with the primary goal of maximizing recall whilst not compromising precision, given the input domains of the input variables (distance, speed, GEBR).
6) The design of the supervised learning-based braking system shall take into account fault tolerance means to deal with improper inputs and random hardware faults.
7) Whenever a fault is detected, the braking system shall be designed in such a way that brakes are applied even when not necessary.
8) The ensemble explainability shall be based on the joint explainability of its members.
9) It shall be ensured that, if at least one ensemble is used in the design of the supervised learning-based braking system, all its members, and only they, are properly set up (i.e., instantiated with the proper hyperparameters and trained with the adequate training datasets). More than one dataset, with different partitioning and/or braking classification stratification schemes, might be needed for proper balance between performance and safety.
10) If at least one ensemble is used in the design of the supervised learning-based braking system, the final decision-making of each ensemble shall stem from the weighting of its members' braking output probabilities.
11) The different members of the ensemble, as well as the unweighted output voter, shall be allocated into different hardware elements (e.g., different PLDs) if a single random forest is used in the final design.
12) If more than a single random forest or ensemble is used in the design of the supervised learning-based braking system (e.g., ensemble of random forests, more than one ensemble of AI elements), the overall output shall stem from a majority voter of the members' outputs, in such a way that a tie shall favor braking.
13) If more than a single random forest or ensemble is used in the design of the supervised learning-based braking system (e.g., ensemble of random forests, more than one ensemble of AI elements) each ensemble and the majority voter shall be allocated into a different hardware element (e.g., each ensemble allocated to one PLD).
14) If more than a single PLD is utilized, each shall have its own independent input control signals (e.g., clock and reset) and share the same safe input tuples (distance, speed, GEBR) along with the input validity signal.</t>
  </si>
  <si>
    <t>Na "fase 2" do projeto (HLS), é previsto que a combinação de um conjunto de árvores de decisão em uma floresta aleatória seja realizado de tal forma que as probabilidades da saída de classificação de frenagem de cada árvore sejam ponderadas ao se calcular a probabilidade global da classificação de frenagem da floresta aleatória. A adequação desse processo pode ser verificado seguindo-se as diretrizes de explicabilidade das árvores de decisão, mapeadas no RSR4.43.</t>
  </si>
  <si>
    <r>
      <t>Na "fase 3" do projeto (desenvolvimento em hardware), é prevista a existência do componente "</t>
    </r>
    <r>
      <rPr>
        <i/>
        <sz val="12"/>
        <color theme="1"/>
        <rFont val="Times New Roman"/>
        <family val="1"/>
      </rPr>
      <t>voting</t>
    </r>
    <r>
      <rPr>
        <sz val="12"/>
        <color theme="1"/>
        <rFont val="Times New Roman"/>
        <family val="1"/>
      </rPr>
      <t>", que combina as probabilidades das saídas de cada floresta aleatória e produz, a partir dessa combinação, a decisão final acerca da frenagem do veículo. Na especificação do componente "</t>
    </r>
    <r>
      <rPr>
        <i/>
        <sz val="12"/>
        <color theme="1"/>
        <rFont val="Times New Roman"/>
        <family val="1"/>
      </rPr>
      <t>voting</t>
    </r>
    <r>
      <rPr>
        <sz val="12"/>
        <color theme="1"/>
        <rFont val="Times New Roman"/>
        <family val="1"/>
      </rPr>
      <t>", eventuais empates entre as florestas aleatórias devem levar a uma decisão que priorize a segurança (aplicação de freios).</t>
    </r>
  </si>
  <si>
    <r>
      <t xml:space="preserve">Assume-se a premissa de que haja um mecanismo de </t>
    </r>
    <r>
      <rPr>
        <i/>
        <sz val="12"/>
        <color theme="1"/>
        <rFont val="Times New Roman"/>
        <family val="1"/>
      </rPr>
      <t>watchdog</t>
    </r>
    <r>
      <rPr>
        <sz val="12"/>
        <color theme="1"/>
        <rFont val="Times New Roman"/>
        <family val="1"/>
      </rPr>
      <t xml:space="preserve"> intrinsecamente seguro que permita, de forma externa aos componentes FPGA_1, FPGA_2 e </t>
    </r>
    <r>
      <rPr>
        <i/>
        <sz val="12"/>
        <color theme="1"/>
        <rFont val="Times New Roman"/>
        <family val="1"/>
      </rPr>
      <t>voting</t>
    </r>
    <r>
      <rPr>
        <sz val="12"/>
        <color theme="1"/>
        <rFont val="Times New Roman"/>
        <family val="1"/>
      </rPr>
      <t xml:space="preserve">, monitorar a integridade do sinal de relógio </t>
    </r>
    <r>
      <rPr>
        <i/>
        <sz val="12"/>
        <color theme="1"/>
        <rFont val="Times New Roman"/>
        <family val="1"/>
      </rPr>
      <t>clk_voting</t>
    </r>
    <r>
      <rPr>
        <sz val="12"/>
        <color theme="1"/>
        <rFont val="Times New Roman"/>
        <family val="1"/>
      </rPr>
      <t xml:space="preserve"> e gerar saídas seguras. Apenas na presença do referido </t>
    </r>
    <r>
      <rPr>
        <i/>
        <sz val="12"/>
        <color theme="1"/>
        <rFont val="Times New Roman"/>
        <family val="1"/>
      </rPr>
      <t>watchdog</t>
    </r>
    <r>
      <rPr>
        <sz val="12"/>
        <color theme="1"/>
        <rFont val="Times New Roman"/>
        <family val="1"/>
      </rPr>
      <t xml:space="preserve"> externo é que uma falha decorrente da perda do sinal </t>
    </r>
    <r>
      <rPr>
        <i/>
        <sz val="12"/>
        <color theme="1"/>
        <rFont val="Times New Roman"/>
        <family val="1"/>
      </rPr>
      <t>clk_voting</t>
    </r>
    <r>
      <rPr>
        <sz val="12"/>
        <color theme="1"/>
        <rFont val="Times New Roman"/>
        <family val="1"/>
      </rPr>
      <t xml:space="preserve"> pode ser mitigada.</t>
    </r>
  </si>
  <si>
    <r>
      <t>Durante a validação cruzada prevista na "fase 1" do projeto (desenvolvimento de software), a interface "</t>
    </r>
    <r>
      <rPr>
        <i/>
        <sz val="12"/>
        <color theme="1"/>
        <rFont val="Times New Roman"/>
        <family val="1"/>
      </rPr>
      <t>optimization_performance_metrics</t>
    </r>
    <r>
      <rPr>
        <sz val="12"/>
        <color theme="1"/>
        <rFont val="Times New Roman"/>
        <family val="1"/>
      </rPr>
      <t>" define que as métricas a serem avaliadas contemplam exatidão (</t>
    </r>
    <r>
      <rPr>
        <i/>
        <sz val="12"/>
        <color theme="1"/>
        <rFont val="Times New Roman"/>
        <family val="1"/>
      </rPr>
      <t>accuracy</t>
    </r>
    <r>
      <rPr>
        <sz val="12"/>
        <color theme="1"/>
        <rFont val="Times New Roman"/>
        <family val="1"/>
      </rPr>
      <t>), precisão (</t>
    </r>
    <r>
      <rPr>
        <i/>
        <sz val="12"/>
        <color theme="1"/>
        <rFont val="Times New Roman"/>
        <family val="1"/>
      </rPr>
      <t>precision</t>
    </r>
    <r>
      <rPr>
        <sz val="12"/>
        <color theme="1"/>
        <rFont val="Times New Roman"/>
        <family val="1"/>
      </rPr>
      <t>), revocação (</t>
    </r>
    <r>
      <rPr>
        <i/>
        <sz val="12"/>
        <color theme="1"/>
        <rFont val="Times New Roman"/>
        <family val="1"/>
      </rPr>
      <t>recall</t>
    </r>
    <r>
      <rPr>
        <sz val="12"/>
        <color theme="1"/>
        <rFont val="Times New Roman"/>
        <family val="1"/>
      </rPr>
      <t>) e índice f1 (</t>
    </r>
    <r>
      <rPr>
        <i/>
        <sz val="12"/>
        <color theme="1"/>
        <rFont val="Times New Roman"/>
        <family val="1"/>
      </rPr>
      <t>f1-score</t>
    </r>
    <r>
      <rPr>
        <sz val="12"/>
        <color theme="1"/>
        <rFont val="Times New Roman"/>
        <family val="1"/>
      </rPr>
      <t>). Entre elas, destaca-se que a revocação deve ser maximizada por dar ênfase aos falsos negativos  - ou seja, quando o veículo deveria acionar os freios, mas não os aciona - e que a precisão não deve ser sacrificada porque ela também é importante para evitar situações insegurar de múltiplas aplicações espúrias de freios.</t>
    </r>
  </si>
  <si>
    <r>
      <t>Durante a validação cruzada prevista na "fase 1" do projeto (desenvolvimento de software), a interface "</t>
    </r>
    <r>
      <rPr>
        <i/>
        <sz val="12"/>
        <color theme="1"/>
        <rFont val="Times New Roman"/>
        <family val="1"/>
      </rPr>
      <t>optimization_performance_metrics</t>
    </r>
    <r>
      <rPr>
        <sz val="12"/>
        <color theme="1"/>
        <rFont val="Times New Roman"/>
        <family val="1"/>
      </rPr>
      <t>" define que as métricas a serem avaliadas contemplam exatidão (</t>
    </r>
    <r>
      <rPr>
        <i/>
        <sz val="12"/>
        <color theme="1"/>
        <rFont val="Times New Roman"/>
        <family val="1"/>
      </rPr>
      <t>accuracy</t>
    </r>
    <r>
      <rPr>
        <sz val="12"/>
        <color theme="1"/>
        <rFont val="Times New Roman"/>
        <family val="1"/>
      </rPr>
      <t>), precisão (</t>
    </r>
    <r>
      <rPr>
        <i/>
        <sz val="12"/>
        <color theme="1"/>
        <rFont val="Times New Roman"/>
        <family val="1"/>
      </rPr>
      <t>precision</t>
    </r>
    <r>
      <rPr>
        <sz val="12"/>
        <color theme="1"/>
        <rFont val="Times New Roman"/>
        <family val="1"/>
      </rPr>
      <t>), revocação (</t>
    </r>
    <r>
      <rPr>
        <i/>
        <sz val="12"/>
        <color theme="1"/>
        <rFont val="Times New Roman"/>
        <family val="1"/>
      </rPr>
      <t>recall</t>
    </r>
    <r>
      <rPr>
        <sz val="12"/>
        <color theme="1"/>
        <rFont val="Times New Roman"/>
        <family val="1"/>
      </rPr>
      <t>) e índice f1 (</t>
    </r>
    <r>
      <rPr>
        <i/>
        <sz val="12"/>
        <color theme="1"/>
        <rFont val="Times New Roman"/>
        <family val="1"/>
      </rPr>
      <t>f1-score</t>
    </r>
    <r>
      <rPr>
        <sz val="12"/>
        <color theme="1"/>
        <rFont val="Times New Roman"/>
        <family val="1"/>
      </rPr>
      <t xml:space="preserve">). Entre elas, destaca-se que a revocação deve ser maximizada por dar ênfase aos falsos negativos  - ou seja, quando o veículo deveria acionar os freios, mas não os aciona - e que a precisão não deve ser sacrificada porque ela também é importante para evitar situações insegurar de múltiplas aplicações espúrias de freios.
Na "fase 2" (HLS) e na "fase 3" (desenvolvimento em hardware), é possível avaliar se as métricas de desempenho mantêm-se inalteradas por meio da verificação de duas características em testes de </t>
    </r>
    <r>
      <rPr>
        <i/>
        <sz val="12"/>
        <color theme="1"/>
        <rFont val="Times New Roman"/>
        <family val="1"/>
      </rPr>
      <t>holdout</t>
    </r>
    <r>
      <rPr>
        <sz val="12"/>
        <color theme="1"/>
        <rFont val="Times New Roman"/>
        <family val="1"/>
      </rPr>
      <t xml:space="preserve"> análogos aos realizados na "fase 1" (desenvolvimento de software): (i.) a consistência das ponderações das entradas de cada nó decisório entre as implementações de software (original) e hardware (gerado por HLS, com eventual processamento adicional para fins de segurança) e (ii.) o impacto da precisão de ponto fixo (inteira e decimal) utilizada, na implementação de hardware, para representar os respectivos valores em ponto flutuante empregados na implementação em software.
As análises prévias devem ser realizadas dentro do escopo das etapas 4 a 6 do método Safety ArtISt.</t>
    </r>
  </si>
  <si>
    <r>
      <t xml:space="preserve">As especificações de instalação, uso e configuração das ferramentas selecionadas para a realização do projeto, em suas três fases, visam assegurar, entre outros aspectos, a integridade do processamento da validação cruzada, dos testes de </t>
    </r>
    <r>
      <rPr>
        <i/>
        <sz val="12"/>
        <color theme="1"/>
        <rFont val="Times New Roman"/>
        <family val="1"/>
      </rPr>
      <t xml:space="preserve">holdout </t>
    </r>
    <r>
      <rPr>
        <sz val="12"/>
        <color theme="1"/>
        <rFont val="Times New Roman"/>
        <family val="1"/>
      </rPr>
      <t>e das métricas de desempenho saída do sistema de controle de frenagem conforme especificado na atividade 3-A.</t>
    </r>
  </si>
  <si>
    <t>prob_ valid_mean</t>
  </si>
  <si>
    <t>Evidências da Etapa 4 do Método Safety ArtISt</t>
  </si>
  <si>
    <t>B
E</t>
  </si>
  <si>
    <r>
      <t>As árvores de decisão utilizadas no projeto foram projetadas seguindo-se as recomendações de bases de dados inicialmente determinadas na atividade 2-H para definir (i.) quais bases de dados deveriam ser utilizadas nos procedimentos de validação cruzada e treinamento e (ii.) quais bases de dados deveriam ser utilizadas nos testes finais (</t>
    </r>
    <r>
      <rPr>
        <i/>
        <sz val="12"/>
        <color theme="1"/>
        <rFont val="Times New Roman"/>
        <family val="1"/>
      </rPr>
      <t>holdout</t>
    </r>
    <r>
      <rPr>
        <sz val="12"/>
        <color theme="1"/>
        <rFont val="Times New Roman"/>
        <family val="1"/>
      </rPr>
      <t>). Os hiperparâmetros exercitados para cada árvore de decisãoestão aderentes aos respectivos RSRs que os detalham e foram exercitados em todas as árvores de decisão avaliadas.</t>
    </r>
  </si>
  <si>
    <t>A
B</t>
  </si>
  <si>
    <r>
      <t>As árvores de decisão utilizadas no projeto foram projetadas seguindo-se a arquitetura definida na atividade 3-A.
O sinal de validade de entradas é automaticamente incorporado pelo Conifer ao código VHDL das árvores de decisão que compõem as florestas aleatórias produzidas.
Na entidade de votação ("</t>
    </r>
    <r>
      <rPr>
        <i/>
        <sz val="12"/>
        <color theme="1"/>
        <rFont val="Times New Roman"/>
        <family val="1"/>
      </rPr>
      <t>voting</t>
    </r>
    <r>
      <rPr>
        <sz val="12"/>
        <color theme="1"/>
        <rFont val="Times New Roman"/>
        <family val="1"/>
      </rPr>
      <t>"), concebida manualmente, também se incorporou um sinal de validade que leva à atualização das saídas do componente apenas quando pelo menos uma das florestas aleatórias a ele conectadas indicar, em resposta ao processamento de entradas válidas, que suas saídas também são válidas.</t>
    </r>
  </si>
  <si>
    <t>As árvores de decisão utilizadas no projeto foram projetadas seguindo-se a arquitetura definida na atividade 3-A.
No exemplo de árvore de decisão referenciado na atividade 4-E, evidencia-se que as entradas de interesse são representadas da seguinte forma no código VHDL de cada árvore de decisão que compõe as florestas aleatórias geradas por HLS:
X[0] representa a distância do veículo até o obstáculo à frente;
X[1] representa a velocidade do veículo;
X[2] representa a GEBR do veículo.</t>
  </si>
  <si>
    <r>
      <t>Tal qual especificado na arquitetura definida na atividade 3-A, o componente "</t>
    </r>
    <r>
      <rPr>
        <i/>
        <sz val="12"/>
        <color theme="1"/>
        <rFont val="Times New Roman"/>
        <family val="1"/>
      </rPr>
      <t>voting</t>
    </r>
    <r>
      <rPr>
        <sz val="12"/>
        <color theme="1"/>
        <rFont val="Times New Roman"/>
        <family val="1"/>
      </rPr>
      <t>" possui mecanismos que levam as saídas do sistema de controle de frenagem ao seu estado seguro ('1', com indicação de frenagem) caso haja de perda de comunicação com pelo menos um dos conjuntos de instâncias de IA críticas em relação à segurança por um período de tempo superior a uma quantidade '</t>
    </r>
    <r>
      <rPr>
        <i/>
        <sz val="12"/>
        <color theme="1"/>
        <rFont val="Times New Roman"/>
        <family val="1"/>
      </rPr>
      <t>loss_comm</t>
    </r>
    <r>
      <rPr>
        <sz val="12"/>
        <color theme="1"/>
        <rFont val="Times New Roman"/>
        <family val="1"/>
      </rPr>
      <t>' ciclos de seu sinal de relógio (</t>
    </r>
    <r>
      <rPr>
        <i/>
        <sz val="12"/>
        <color theme="1"/>
        <rFont val="Times New Roman"/>
        <family val="1"/>
      </rPr>
      <t>clk_voting</t>
    </r>
    <r>
      <rPr>
        <sz val="12"/>
        <color theme="1"/>
        <rFont val="Times New Roman"/>
        <family val="1"/>
      </rPr>
      <t>).</t>
    </r>
  </si>
  <si>
    <t>A
B
E</t>
  </si>
  <si>
    <r>
      <t>Tal qual estabelecido na subatividade 3-D.ii, o processo de desenvolvimento foi executado contemplando as seguintes ações:
a) Durante as atividades exclusivamente relacionadas à validação cruzada e à otimização das instâncias de IA, os softwares foram  executados de forma redundante em um ambiente de desenvolvimento alternativo ao definido na atividade 3-B, e os resultados obtidos foram comparados. Tal comparação atestou a coincidência de resultados para os elementos que não envolvem sorteios pseudoaleatórios (por exemplo, mecanismos de busca em grade (</t>
    </r>
    <r>
      <rPr>
        <i/>
        <sz val="12"/>
        <color theme="1"/>
        <rFont val="Times New Roman"/>
        <family val="1"/>
      </rPr>
      <t>grid search</t>
    </r>
    <r>
      <rPr>
        <sz val="12"/>
        <color theme="1"/>
        <rFont val="Times New Roman"/>
        <family val="1"/>
      </rPr>
      <t>) de hiperparâmetros ótimos), o que permite inferir que o risco de uma falha aleatória de hardware ter afetado ambas as execuções dos processos de validação cruzada e treinamento da IA é negligenciável. Consequentemente, avalia-se que as instâncias de IA geradas em software estão corretas e consistem em soluções potencialmente ótimas para o estudo de caso;
b) Durante as atividades de HLS, avaliou-se que os resultados produzidos por ela são coincidentes com os obtidos nas instâncias de IA geradas em software ao se utilizar representação de ponto fixo "ap_fixed&lt;24,12&gt;" (12 bits de parte inteira e 12 bits de parte decimal). Além disso, duas ferramentas diferentes para a simulação de hardware forem utilizadas (Intel ModelSim e AMD / Xilinx Vivado) e atestam o mesmo resultado. Dessa forma, avalia-se que o risco de uma falha aleatória de hardware ter afetado o processo de HLS e os testes de seus produtos é negligenciável, o que permite inferir que as instâncias de IA geradas pela HLS (código VHDL) são traduções fieis dos respectivos modelos de software gerados no item "a)".</t>
    </r>
  </si>
  <si>
    <r>
      <t>Nos desenvolvimentos realizados para a entidade "</t>
    </r>
    <r>
      <rPr>
        <i/>
        <sz val="12"/>
        <color theme="1"/>
        <rFont val="Times New Roman"/>
        <family val="1"/>
      </rPr>
      <t>voting</t>
    </r>
    <r>
      <rPr>
        <sz val="12"/>
        <color theme="1"/>
        <rFont val="Times New Roman"/>
        <family val="1"/>
      </rPr>
      <t>", adotou-se como referência o uso das técnicas de programação defensiva definidas na subatividade 3-D.i. Para os produtos gerados pela HLS, por sua vez, como não é possível garantir a aderência plena dos produtos da ferramenta Conifer às referidas técnicas de programação defensiva, a robustez do código-fonte será avaliado, posteriormente, na etapa 5 do método Safety ArtISt (atividade 5-A).</t>
    </r>
  </si>
  <si>
    <t>Como as árvores de decisão utilizadas no projeto foram projetadas seguindo-se as recomendações de bases de dados determinadas na atividade 2-H, e verificou-se que estas contêm distâncias situadas no intervalo [0m; 2000m], com possibilidade de eventuais dados ruidosos no intervalo [0m; 2001,67m] devido às incertezas do sensor de distância, avalia-se que o projeto foi realizado em conformidade com o requisito. Dessa forma, as árvores de decisão projetadas, e as florestas aleatórias construídas pela combinação apropriada de subconjuntos dessas árvores de decisão, permitem processar distâncias no intervalo [0m; 2000m], com eventuais leituras ruidosas abrangendo o intervalo [0m; 2001,67m].</t>
  </si>
  <si>
    <t>Verificou-se que as medidas de velocidade produzidas pelo gerador de bases de dados baseiam-se em valores situados no intervalo [0 km/h; 100,8 km/h (28m/s)]. A única possibilidade de uma medida de velocidade situar-se fora desse intervalo ocorre quando um desvio positivo, decorrente das tolerâncias associadas ao sensor de velocidade simulado para as medidas, for sorteado e acrescido ao valor base (não ruidoso) de um registro.
Como o máximo desvio aleatoriamente sorteado é igual a 3% da velocidade (ver considerações técnicas sobre o RSR 4.11), avalia-se que as velocidades das bases de dados produzidas pertencerão ao intervalo [0 km/h; 103,824 km/h]. O alargamento do limite superior do intervalo de distâncias em 3,824 km/h não é considerado crítico em relação à segurança exatamente por refletir apenas potenciais incertezas de um sensor de velocidade na aferição da medida verdadeiramente correta - esta última, por sua vez, confinada ao intervalo [0 km/h; 100,8 km/h].</t>
  </si>
  <si>
    <t>Como as árvores de decisão utilizadas no projeto foram projetadas seguindo-se as recomendações de bases de dados determinadas na atividade 2-H, e verificou-se que estas contêm velocidades situadas no intervalo [0 km/h; 100,8 km/h], com possibilidade de eventuais dados ruidosos no intervalo [0 km/h; 103,824 km/h] devido às incertezas do sensor de distância, avalia-se que o projeto foi realizado em conformidade com o requisito. Dessa forma, as árvores de decisão projetadas, e as florestas aleatórias construídas pela combinação apropriada de subconjuntos dessas árvores de decisão, permitem processar velocidades no intervalo [0 km/h; 100,8 km/h], com eventuais leituras ruidosas abrangendo o intervalo [0 km/h; 103,824 km/h].</t>
  </si>
  <si>
    <t>Como as árvores de decisão utilizadas no projeto foram projetadas seguindo-se as recomendações de bases de dados determinadas na atividade 2-H, e verificou-se que estas contêm GEBRs pertencentes ao conjunto {1,395 m/s², 1,1625 m/s², 0,93 m/s², 0,78 m/s², 0,65 m/s²}, avalia-se que o projeto foi realizado em conformidade com o requisito. Dessa forma, as árvores de decisão projetadas, e as florestas aleatórias construídas pela combinação apropriada de subconjuntos dessas árvores de decisão, permitem processar GEBRs pertencentes ao conjunto {1,395 m/s², 1,1625 m/s², 0,93 m/s², 0,78 m/s², 0,65 m/s²}.</t>
  </si>
  <si>
    <r>
      <t>Tal qual especificado na arquitetura definida na atividade 3-A, as árvores de decisão projetadas, bem como as florestas aleatórias construídas pela combinação apropriada de subconjunto dessas árvores de decisão e o componente de votação majoritária ("</t>
    </r>
    <r>
      <rPr>
        <i/>
        <sz val="12"/>
        <color theme="1"/>
        <rFont val="Times New Roman"/>
        <family val="1"/>
      </rPr>
      <t>voting</t>
    </r>
    <r>
      <rPr>
        <sz val="12"/>
        <color theme="1"/>
        <rFont val="Times New Roman"/>
        <family val="1"/>
      </rPr>
      <t>") preveem que a saída do sistema de controle de frenagem tenha como estado seguro o nível lógico '1', que indica aplicação de freios.</t>
    </r>
  </si>
  <si>
    <r>
      <t>As árvores de decisão utilizadas no projeto foram projetadas seguindo-se a arquitetura definida na atividade 3-A.
No exemplo de árvore de decisão referenciado na atividade 4-E, evidencia-se que as entradas de interesse são representadas da seguinte forma no código VHDL de cada árvore de decisão que compõe as florestas aleatórias geradas por HLS:
X[0] representa a distância do veículo até o obstáculo à frente;
X[1] representa a velocidade do veículo;
X[2] representa a GEBR do veículo.
Durante a validação cruzada, o treinamento e os testes de desempenho finais (</t>
    </r>
    <r>
      <rPr>
        <i/>
        <sz val="12"/>
        <color theme="1"/>
        <rFont val="Times New Roman"/>
        <family val="1"/>
      </rPr>
      <t>holdout tests</t>
    </r>
    <r>
      <rPr>
        <sz val="12"/>
        <color theme="1"/>
        <rFont val="Times New Roman"/>
        <family val="1"/>
      </rPr>
      <t>), a classificação de frenagem preexistente nas respectivas bases de dados utilizada no projeto de cada árvore de decisão também é uma das entradas consideradas.</t>
    </r>
    <r>
      <rPr>
        <i/>
        <sz val="12"/>
        <color theme="1"/>
        <rFont val="Times New Roman"/>
        <family val="1"/>
      </rPr>
      <t/>
    </r>
  </si>
  <si>
    <r>
      <t>As árvores de decisão utilizadas no projeto foram projetadas seguindo-se as recomendações de bases de dados inicialmente determinadas na atividade 2-H para definir (i.) quais bases de dados deveriam ser utilizadas nos procedimentos de validação cruzada e treinamento e (ii.) quais bases de dados deveriam ser utilizadas nos testes finais (</t>
    </r>
    <r>
      <rPr>
        <i/>
        <sz val="12"/>
        <color theme="1"/>
        <rFont val="Times New Roman"/>
        <family val="1"/>
      </rPr>
      <t>holdout</t>
    </r>
    <r>
      <rPr>
        <sz val="12"/>
        <color theme="1"/>
        <rFont val="Times New Roman"/>
        <family val="1"/>
      </rPr>
      <t>).</t>
    </r>
  </si>
  <si>
    <r>
      <t>Em conformidade com a arquitetura definida na atividade 3-A, a validação cruzada prevista no projeto baseia-se em quatro métricas de desempenho: exatidão (</t>
    </r>
    <r>
      <rPr>
        <i/>
        <sz val="12"/>
        <color theme="1"/>
        <rFont val="Times New Roman"/>
        <family val="1"/>
      </rPr>
      <t>accuracy</t>
    </r>
    <r>
      <rPr>
        <sz val="12"/>
        <color theme="1"/>
        <rFont val="Times New Roman"/>
        <family val="1"/>
      </rPr>
      <t>), precisão (</t>
    </r>
    <r>
      <rPr>
        <i/>
        <sz val="12"/>
        <color theme="1"/>
        <rFont val="Times New Roman"/>
        <family val="1"/>
      </rPr>
      <t>precision</t>
    </r>
    <r>
      <rPr>
        <sz val="12"/>
        <color theme="1"/>
        <rFont val="Times New Roman"/>
        <family val="1"/>
      </rPr>
      <t>), revocação (</t>
    </r>
    <r>
      <rPr>
        <i/>
        <sz val="12"/>
        <color theme="1"/>
        <rFont val="Times New Roman"/>
        <family val="1"/>
      </rPr>
      <t>recall</t>
    </r>
    <r>
      <rPr>
        <sz val="12"/>
        <color theme="1"/>
        <rFont val="Times New Roman"/>
        <family val="1"/>
      </rPr>
      <t>) e índice f1 (</t>
    </r>
    <r>
      <rPr>
        <i/>
        <sz val="12"/>
        <color theme="1"/>
        <rFont val="Times New Roman"/>
        <family val="1"/>
      </rPr>
      <t>f1-score</t>
    </r>
    <r>
      <rPr>
        <sz val="12"/>
        <color theme="1"/>
        <rFont val="Times New Roman"/>
        <family val="1"/>
      </rPr>
      <t>). A revocação foi maximizada, para todas as árvores, por dar ênfase aos falsos negativos  - ou seja, quando o veículo deveria acionar os freios, mas não os aciona -; contudo, no agrupamento das árvores de decisão em florestas aleatórias, os elementos de cada floresta aleatória foram selecionados de tal forma que a precisão dos comitês também fosse maximizada, visto que ela também é importante para evitar situações insegurar de múltiplas aplicações espúrias de freios.</t>
    </r>
  </si>
  <si>
    <t>E</t>
  </si>
  <si>
    <r>
      <t>As árvores de decisão projetadas permitem quantificar a probabilidade de cada nó decisório frente às entradas fornecidas e, consequentemente, explicar apropriadamente a decisão tomada em função das entradas e de suas respectivas incertezas.
A explicabilidade conferida a cada uma das duas florestas aleatórias previstas na arquitetura da atividade 3-A possa ser atingida pela ponderação das probabilidades de classificação ‘0’ de cada uma das três árvores que constituem a floresta aleatória. Por fim, a média aritmética simples das probabilidades de classificação ‘0’ das duas florestas aleatórias, aliada à definição de ativação de freios sempre que tal probabilidade for maior ou igual a 0.5, descreve como o componente “</t>
    </r>
    <r>
      <rPr>
        <i/>
        <sz val="12"/>
        <color theme="1"/>
        <rFont val="Times New Roman"/>
        <family val="1"/>
      </rPr>
      <t>voting</t>
    </r>
    <r>
      <rPr>
        <sz val="12"/>
        <color theme="1"/>
        <rFont val="Times New Roman"/>
        <family val="1"/>
      </rPr>
      <t>” produz a saída final do sistema de controle de frenagem.</t>
    </r>
  </si>
  <si>
    <t>A profundidade é um dos hiperparâmetros exercitados na validação cruzada das árvores de decisão, com números inteiros em [1; 10] nas versões refinadas e números inteiros em [1; 20], com passo de 2 unidades, em buscas iniciais. Avalia-se que árvores de decisão com altura [1; 10] são passíveis de explicabilidade por meio da análise de até 2^n folhas e podem ser sintetizadas em PLDs de custo-benefício adequado para a aplicação.</t>
  </si>
  <si>
    <t>A quantidade de folhas é um dos hiperparâmetros exercitados na validação cruzada das árvores de decisão, com números inteiros em [200; 500] com passo de 10 unidades. Avalia-se que árvores de decisão com tal quantidade de folhas são passíveis de explicabilidade por meio da análise das folhas geradas e podem ser sintetizadas em PLDs de custo-benefício adequado para a aplicação.</t>
  </si>
  <si>
    <t>A quantidade de amostras para gerar um nó decisório ([2; 15] com passo de 3 unidades) e para gerar uma folha ([1; 15] com passo de 3 unidades) são dois hiperparâmetros exercitados na validação cruzada das árvores de decisão. Avalia-se que árvores de decisão com tais quantidades de amostras, aliadas aos demais hiperparâmetos exercitados (ver RSR 4.16) são passíveis de explicabilidade por meio da análise das folhas geradas e podem ser sintetizadas em PLDs de custo-benefício adequado para a aplicação.</t>
  </si>
  <si>
    <r>
      <t>A estratégia de particionamento para gerar um nó decisório (</t>
    </r>
    <r>
      <rPr>
        <i/>
        <sz val="12"/>
        <color theme="1"/>
        <rFont val="Times New Roman"/>
        <family val="1"/>
      </rPr>
      <t xml:space="preserve">best </t>
    </r>
    <r>
      <rPr>
        <sz val="12"/>
        <color theme="1"/>
        <rFont val="Times New Roman"/>
        <family val="1"/>
      </rPr>
      <t xml:space="preserve">ou </t>
    </r>
    <r>
      <rPr>
        <i/>
        <sz val="12"/>
        <color theme="1"/>
        <rFont val="Times New Roman"/>
        <family val="1"/>
      </rPr>
      <t>random</t>
    </r>
    <r>
      <rPr>
        <sz val="12"/>
        <color theme="1"/>
        <rFont val="Times New Roman"/>
        <family val="1"/>
      </rPr>
      <t>), o critério de organização dos dados (</t>
    </r>
    <r>
      <rPr>
        <i/>
        <sz val="12"/>
        <color theme="1"/>
        <rFont val="Times New Roman"/>
        <family val="1"/>
      </rPr>
      <t>entropy</t>
    </r>
    <r>
      <rPr>
        <sz val="12"/>
        <color theme="1"/>
        <rFont val="Times New Roman"/>
        <family val="1"/>
      </rPr>
      <t xml:space="preserve"> ou </t>
    </r>
    <r>
      <rPr>
        <i/>
        <sz val="12"/>
        <color theme="1"/>
        <rFont val="Times New Roman"/>
        <family val="1"/>
      </rPr>
      <t>gini</t>
    </r>
    <r>
      <rPr>
        <sz val="12"/>
        <color theme="1"/>
        <rFont val="Times New Roman"/>
        <family val="1"/>
      </rPr>
      <t>) e a quantidade de parâmetros necessários por nó decisório (1, 2, 3,  log2(total), sqrt(total), ilimitado) são três hiperparâmetros exercitados na validação cruzada das árvores de decisão. Avalia-se que árvores de decisão com tais hiperparâmetros confinados aos seus respectivos domínios, aliados aos demais hiperparâmetos exercitados (ver RSR 4.16), são passíveis de explicabilidade por meio da análise das folhas geradas e podem ser sintetizadas em PLDs de custo-benefício adequado para a aplicação.</t>
    </r>
  </si>
  <si>
    <r>
      <t xml:space="preserve">Os hiperparâmetros selecionados para variação no projeto baseiam-se nas determinações dos requisitos de segurança aplicáveis às árvores de decisão e estão integralmente contidos nos respectivos domínios da implementação existente na biblioteca </t>
    </r>
    <r>
      <rPr>
        <i/>
        <sz val="12"/>
        <color theme="1"/>
        <rFont val="Times New Roman"/>
        <family val="1"/>
      </rPr>
      <t>scikit-learn</t>
    </r>
    <r>
      <rPr>
        <sz val="12"/>
        <color theme="1"/>
        <rFont val="Times New Roman"/>
        <family val="1"/>
      </rPr>
      <t>, utilizada como referência para o desenvolvimento.
Os hiperparâmetros avaliados por meio de validação cruzada são os seguintes:
- Critério de organização e qualidade dos dados (</t>
    </r>
    <r>
      <rPr>
        <i/>
        <sz val="12"/>
        <color theme="1"/>
        <rFont val="Times New Roman"/>
        <family val="1"/>
      </rPr>
      <t>entropy</t>
    </r>
    <r>
      <rPr>
        <sz val="12"/>
        <color theme="1"/>
        <rFont val="Times New Roman"/>
        <family val="1"/>
      </rPr>
      <t xml:space="preserve"> ou </t>
    </r>
    <r>
      <rPr>
        <i/>
        <sz val="12"/>
        <color theme="1"/>
        <rFont val="Times New Roman"/>
        <family val="1"/>
      </rPr>
      <t>gini</t>
    </r>
    <r>
      <rPr>
        <sz val="12"/>
        <color theme="1"/>
        <rFont val="Times New Roman"/>
        <family val="1"/>
      </rPr>
      <t>);
- Estratégia de particionamento dos nós decisórios (</t>
    </r>
    <r>
      <rPr>
        <i/>
        <sz val="12"/>
        <color theme="1"/>
        <rFont val="Times New Roman"/>
        <family val="1"/>
      </rPr>
      <t>best</t>
    </r>
    <r>
      <rPr>
        <sz val="12"/>
        <color theme="1"/>
        <rFont val="Times New Roman"/>
        <family val="1"/>
      </rPr>
      <t xml:space="preserve"> ou </t>
    </r>
    <r>
      <rPr>
        <i/>
        <sz val="12"/>
        <color theme="1"/>
        <rFont val="Times New Roman"/>
        <family val="1"/>
      </rPr>
      <t>random</t>
    </r>
    <r>
      <rPr>
        <sz val="12"/>
        <color theme="1"/>
        <rFont val="Times New Roman"/>
        <family val="1"/>
      </rPr>
      <t>);
- Profundidade da árvore (números inteiros em [1; 10] nas versões refinadas; números inteiros em [1; 20], com passo de 2 unidades, em buscas iniciais);
- Quantidade mínima de amostras para gerar um nó decisório ([2; 15] com passo de 3 unidades);
- Quantidade mínima de amostras para gerar uma folha ([1; 15] com passo de 3 unidades);
- Fração ponderada mínima da soma dos pesos de um nó para ele ser uma folha ([0; 0,5] com passo de 0,1);
- Número máximo de folhas ([200; 500] com passo de 10 unidades);
- Número de entradas consideradas para avaliar a melhor divisão por nó decisório (1, 2, 3, log2(total), sqrt(total), ilimitado).</t>
    </r>
  </si>
  <si>
    <t>A fração ponderada mínima da soma dos pesos de um nó para ele ser uma folha ([0; 0,5] com passo de 0,1), combinada com as  quantidades de amostras para gerar um nó decisório ([2; 15] com passo de 3 unidades) e para gerar uma folha ([1; 15] com passo de 3 unidades) e com a quantidade de parâmetros necessários por nó decisório (1, 2, 3,  log2(total), sqrt(total), ilimitado), caracterizam o peso de cada atributo por nó decisório da árvore.Avalia-se que árvores de decisão com tais hiperparâmetros confinados aos seus respectivos domínios, aliados aos demais hiperparâmetos exercitados (ver RSR 4.16), são passíveis de explicabilidade por meio da análise das folhas geradas e podem ser sintetizadas em PLDs de custo-benefício adequado para a aplicação.</t>
  </si>
  <si>
    <r>
      <t>Em conformidade com a arquitetura definida na atividade 3-A, cada árvore de decisão é projetada individualmente, e as florestas aleatórias são geradas com agrupamentos não repetidos de árvores de decisão, de tal forma que cada floresta aleatória tenha revocação (</t>
    </r>
    <r>
      <rPr>
        <i/>
        <sz val="12"/>
        <color theme="1"/>
        <rFont val="Times New Roman"/>
        <family val="1"/>
      </rPr>
      <t>recall</t>
    </r>
    <r>
      <rPr>
        <sz val="12"/>
        <color theme="1"/>
        <rFont val="Times New Roman"/>
        <family val="1"/>
      </rPr>
      <t>) maximizado e precisão (</t>
    </r>
    <r>
      <rPr>
        <i/>
        <sz val="12"/>
        <color theme="1"/>
        <rFont val="Times New Roman"/>
        <family val="1"/>
      </rPr>
      <t>precision</t>
    </r>
    <r>
      <rPr>
        <sz val="12"/>
        <color theme="1"/>
        <rFont val="Times New Roman"/>
        <family val="1"/>
      </rPr>
      <t>)  aceitável, visto que ela também é importante para evitar situações insegurar de múltiplas aplicações espúrias de freios. Com os hiperâmetros das árvores de decisão e a quantidade de árvores envolvidas (três em cada floresta aleatória), avalia-se que o modelo gerado é explicável e que cada floresta aleatória possa ser sintetizada em PLDs de custo-benefício adequado para a aplicação.</t>
    </r>
  </si>
  <si>
    <r>
      <t>As árvores de decisão utilizadas no projeto foram projetadas seguindo-se as recomendações de bases de dados inicialmente determinadas na atividade 2-H para definir (i.) quais bases de dados deveriam ser utilizadas nos procedimentos de validação cruzada e treinamento e (ii.) quais bases de dados deveriam ser utilizadas nos testes finais (</t>
    </r>
    <r>
      <rPr>
        <i/>
        <sz val="12"/>
        <color theme="1"/>
        <rFont val="Times New Roman"/>
        <family val="1"/>
      </rPr>
      <t>holdout</t>
    </r>
    <r>
      <rPr>
        <sz val="12"/>
        <color theme="1"/>
        <rFont val="Times New Roman"/>
        <family val="1"/>
      </rPr>
      <t>). Os hiperparâmetros obtidos na validação cruzada representam versões otimizadas de cada árvore de decisão, e garante-se que, nas etapas de treinamento e HLS, esses hiperâmetros sejam configurados / transcritos com os valores ótimos gerados na validação cruzada de cada árvore de decisão.</t>
    </r>
  </si>
  <si>
    <r>
      <t>As árvores de decisão utilizadas no projeto foram projetadas seguindo-se as recomendações de bases de dados inicialmente determinadas na atividade 2-H para definir (i.) quais bases de dados deveriam ser utilizadas nos procedimentos de validação cruzada e treinamento e (ii.) quais bases de dados deveriam ser utilizadas nos testes finais (</t>
    </r>
    <r>
      <rPr>
        <i/>
        <sz val="12"/>
        <color theme="1"/>
        <rFont val="Times New Roman"/>
        <family val="1"/>
      </rPr>
      <t>holdout</t>
    </r>
    <r>
      <rPr>
        <sz val="12"/>
        <color theme="1"/>
        <rFont val="Times New Roman"/>
        <family val="1"/>
      </rPr>
      <t>). Os hiperparâmetros obtidos na validação cruzada representam versões otimizadas de cada árvore de decisão, e garante-se que, nas etapas de treinamento e HLS, esses hiperâmetros sejam configurados / transcritos com os valores ótimos gerados na validação cruzada de cada árvore de decisão.
A inspeção dos mecanismos utilizados para ponderar as saídas de cada árvore de decisão que integram uma floresta aleatória, por sua vez, decorrem do processo de HLS e correspondem a uma média simples das probabilidades de rótulo '0' (freios aliviados) das árvores de decisão que compõem a floresta aleatória. Esses mecanismos serão avaliados com mais detalhes nas etapas 5 e 6 do método Safety ArtISt.</t>
    </r>
  </si>
  <si>
    <r>
      <t>O componente "</t>
    </r>
    <r>
      <rPr>
        <i/>
        <sz val="12"/>
        <color theme="1"/>
        <rFont val="Times New Roman"/>
        <family val="1"/>
      </rPr>
      <t>voting</t>
    </r>
    <r>
      <rPr>
        <sz val="12"/>
        <color theme="1"/>
        <rFont val="Times New Roman"/>
        <family val="1"/>
      </rPr>
      <t>" combina as probabilidades das saídas de cada floresta aleatória e produz, a partir dessa combinação, a decisão final acerca da frenagem do veículo. Na especificação do componente "</t>
    </r>
    <r>
      <rPr>
        <i/>
        <sz val="12"/>
        <color theme="1"/>
        <rFont val="Times New Roman"/>
        <family val="1"/>
      </rPr>
      <t>voting</t>
    </r>
    <r>
      <rPr>
        <sz val="12"/>
        <color theme="1"/>
        <rFont val="Times New Roman"/>
        <family val="1"/>
      </rPr>
      <t>", eventuais empates entre as florestas aleatórias levam a uma decisão que prioriza a aplicação de freios.</t>
    </r>
  </si>
  <si>
    <r>
      <t>Em conformidade com a arquitetura definida na atividade 3-A, é previsto que cada floresta aleatória seja alocada a um PLD distinto e que o componente "</t>
    </r>
    <r>
      <rPr>
        <i/>
        <sz val="12"/>
        <color theme="1"/>
        <rFont val="Times New Roman"/>
        <family val="1"/>
      </rPr>
      <t>voting</t>
    </r>
    <r>
      <rPr>
        <sz val="12"/>
        <color theme="1"/>
        <rFont val="Times New Roman"/>
        <family val="1"/>
      </rPr>
      <t>" seja externo a ambos (i.e., baseado em outro PLD ou, até mesmo, em uma outra categoria de dispositivo de hardware.</t>
    </r>
  </si>
  <si>
    <r>
      <t xml:space="preserve">Na "fase 3" do projeto (desenvolvimento em hardware), a arquitetura de hardware apresentada prevê que as florestas aleatórias possuam sinais de </t>
    </r>
    <r>
      <rPr>
        <i/>
        <sz val="12"/>
        <color theme="1"/>
        <rFont val="Times New Roman"/>
        <family val="1"/>
      </rPr>
      <t xml:space="preserve">clock </t>
    </r>
    <r>
      <rPr>
        <sz val="12"/>
        <color theme="1"/>
        <rFont val="Times New Roman"/>
        <family val="1"/>
      </rPr>
      <t>independentes e entradas da tupla (distância, velocidade, GEBR) compartilhadas entre si. Ademais, o componente "</t>
    </r>
    <r>
      <rPr>
        <i/>
        <sz val="12"/>
        <color theme="1"/>
        <rFont val="Times New Roman"/>
        <family val="1"/>
      </rPr>
      <t>voting</t>
    </r>
    <r>
      <rPr>
        <sz val="12"/>
        <color theme="1"/>
        <rFont val="Times New Roman"/>
        <family val="1"/>
      </rPr>
      <t xml:space="preserve">" também possui um sinal de </t>
    </r>
    <r>
      <rPr>
        <i/>
        <sz val="12"/>
        <color theme="1"/>
        <rFont val="Times New Roman"/>
        <family val="1"/>
      </rPr>
      <t xml:space="preserve">clock </t>
    </r>
    <r>
      <rPr>
        <sz val="12"/>
        <color theme="1"/>
        <rFont val="Times New Roman"/>
        <family val="1"/>
      </rPr>
      <t xml:space="preserve">independente.
Salienta-se que sinais de </t>
    </r>
    <r>
      <rPr>
        <i/>
        <sz val="12"/>
        <color theme="1"/>
        <rFont val="Times New Roman"/>
        <family val="1"/>
      </rPr>
      <t>reset</t>
    </r>
    <r>
      <rPr>
        <sz val="12"/>
        <color theme="1"/>
        <rFont val="Times New Roman"/>
        <family val="1"/>
      </rPr>
      <t xml:space="preserve"> não foram incluídos na arquitetura de hardware porque se assumiu que os três macrocomponentes (FPGA_1, FPGA_2 e "</t>
    </r>
    <r>
      <rPr>
        <i/>
        <sz val="12"/>
        <color theme="1"/>
        <rFont val="Times New Roman"/>
        <family val="1"/>
      </rPr>
      <t>voting</t>
    </r>
    <r>
      <rPr>
        <sz val="12"/>
        <color theme="1"/>
        <rFont val="Times New Roman"/>
        <family val="1"/>
      </rPr>
      <t xml:space="preserve">") possuem mecanismos de </t>
    </r>
    <r>
      <rPr>
        <i/>
        <sz val="12"/>
        <color theme="1"/>
        <rFont val="Times New Roman"/>
        <family val="1"/>
      </rPr>
      <t>Power-On Reset (POR)</t>
    </r>
    <r>
      <rPr>
        <sz val="12"/>
        <color theme="1"/>
        <rFont val="Times New Roman"/>
        <family val="1"/>
      </rPr>
      <t xml:space="preserve"> que os leve aos respectivos estados seguros nas suas condições iniciais de operação.</t>
    </r>
  </si>
  <si>
    <r>
      <t>Em conformidade com a arquitetura definida na atividade 3-A, as florestas aleatórias possuem sinais de clock independentes e entradas da tupla (distância, velocidade, GEBR) compartilhadas entre si. O componente "</t>
    </r>
    <r>
      <rPr>
        <i/>
        <sz val="12"/>
        <color theme="1"/>
        <rFont val="Times New Roman"/>
        <family val="1"/>
      </rPr>
      <t>voting</t>
    </r>
    <r>
      <rPr>
        <sz val="12"/>
        <color theme="1"/>
        <rFont val="Times New Roman"/>
        <family val="1"/>
      </rPr>
      <t xml:space="preserve">" também possui um sinal de </t>
    </r>
    <r>
      <rPr>
        <i/>
        <sz val="12"/>
        <color theme="1"/>
        <rFont val="Times New Roman"/>
        <family val="1"/>
      </rPr>
      <t>clock</t>
    </r>
    <r>
      <rPr>
        <sz val="12"/>
        <color theme="1"/>
        <rFont val="Times New Roman"/>
        <family val="1"/>
      </rPr>
      <t xml:space="preserve"> próprio, independente dos de ambas as florestas aleatórias, e sinais de </t>
    </r>
    <r>
      <rPr>
        <i/>
        <sz val="12"/>
        <color theme="1"/>
        <rFont val="Times New Roman"/>
        <family val="1"/>
      </rPr>
      <t>reset</t>
    </r>
    <r>
      <rPr>
        <sz val="12"/>
        <color theme="1"/>
        <rFont val="Times New Roman"/>
        <family val="1"/>
      </rPr>
      <t xml:space="preserve"> não foram incluídos na arquitetura de hardware porque há mecanismos de </t>
    </r>
    <r>
      <rPr>
        <i/>
        <sz val="12"/>
        <color theme="1"/>
        <rFont val="Times New Roman"/>
        <family val="1"/>
      </rPr>
      <t>Power-On Reset</t>
    </r>
    <r>
      <rPr>
        <sz val="12"/>
        <color theme="1"/>
        <rFont val="Times New Roman"/>
        <family val="1"/>
      </rPr>
      <t xml:space="preserve"> (POR) que levem cada árvore de decisão / floresta aleatória e o componente "</t>
    </r>
    <r>
      <rPr>
        <i/>
        <sz val="12"/>
        <color theme="1"/>
        <rFont val="Times New Roman"/>
        <family val="1"/>
      </rPr>
      <t>voting</t>
    </r>
    <r>
      <rPr>
        <sz val="12"/>
        <color theme="1"/>
        <rFont val="Times New Roman"/>
        <family val="1"/>
      </rPr>
      <t>" aos respectivos estados seguros iniciais.</t>
    </r>
  </si>
  <si>
    <r>
      <t>Em conformidade com a arquitetura definida na atividade 3-A, a validação cruzada prevista no projeto baseia-se em quatro métricas de desempenho: exatidão (</t>
    </r>
    <r>
      <rPr>
        <i/>
        <sz val="12"/>
        <color theme="1"/>
        <rFont val="Times New Roman"/>
        <family val="1"/>
      </rPr>
      <t>accuracy</t>
    </r>
    <r>
      <rPr>
        <sz val="12"/>
        <color theme="1"/>
        <rFont val="Times New Roman"/>
        <family val="1"/>
      </rPr>
      <t>), precisão (</t>
    </r>
    <r>
      <rPr>
        <i/>
        <sz val="12"/>
        <color theme="1"/>
        <rFont val="Times New Roman"/>
        <family val="1"/>
      </rPr>
      <t>precision</t>
    </r>
    <r>
      <rPr>
        <sz val="12"/>
        <color theme="1"/>
        <rFont val="Times New Roman"/>
        <family val="1"/>
      </rPr>
      <t>), revocação (</t>
    </r>
    <r>
      <rPr>
        <i/>
        <sz val="12"/>
        <color theme="1"/>
        <rFont val="Times New Roman"/>
        <family val="1"/>
      </rPr>
      <t>recall</t>
    </r>
    <r>
      <rPr>
        <sz val="12"/>
        <color theme="1"/>
        <rFont val="Times New Roman"/>
        <family val="1"/>
      </rPr>
      <t>) e índice f1 (</t>
    </r>
    <r>
      <rPr>
        <i/>
        <sz val="12"/>
        <color theme="1"/>
        <rFont val="Times New Roman"/>
        <family val="1"/>
      </rPr>
      <t>f1-score</t>
    </r>
    <r>
      <rPr>
        <sz val="12"/>
        <color theme="1"/>
        <rFont val="Times New Roman"/>
        <family val="1"/>
      </rPr>
      <t>). A revocação foi maximizada, para todas as árvores, por dar ênfase aos falsos negativos  - ou seja, quando o veículo deveria acionar os freios, mas não os aciona -; contudo, no agrupamento das árvores de decisão em florestas aleatórias, os elementos de cada floresta aleatória foram selecionados de tal forma que a precisão dos comitês também fosse maximizada, visto que ela também é importante para evitar situações insegurar de múltiplas aplicações espúrias de freios.
A avaliação do mérito quantitativo das respectivas métricas de desempenho pertence ao escopo do modelo quantitativo de segurança do sistema, analisado na subatividade 6-A.vi do método Safety ArtISt.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</si>
</sst>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0000E+00"/>
    <numFmt numFmtId="165" formatCode="0.0000E+00"/>
    <numFmt numFmtId="166" formatCode="0.00000"/>
    <numFmt numFmtId="167" formatCode="_-* #,##0.00\ [$€-1]_-;\-* #,##0.00\ [$€-1]_-;_-* &quot;-&quot;??\ [$€-1]_-"/>
    <numFmt numFmtId="168" formatCode="_([$€-2]* #,##0.00_);_([$€-2]* \(#,##0.00\);_([$€-2]* &quot;-&quot;??_)"/>
  </numFmts>
  <fonts count="46">
    <font>
      <sz val="11"/>
      <color theme="1"/>
      <name val="Calibri"/>
      <family val="2"/>
      <scheme val="minor"/>
    </font>
    <font>
      <u/>
      <sz val="11"/>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0"/>
      <name val="MS Sans"/>
    </font>
    <font>
      <u/>
      <sz val="10"/>
      <color indexed="12"/>
      <name val="Arial"/>
      <family val="2"/>
    </font>
    <font>
      <sz val="11"/>
      <color theme="1"/>
      <name val="Arial"/>
      <family val="2"/>
    </font>
    <font>
      <sz val="11"/>
      <color indexed="8"/>
      <name val="Arial"/>
      <family val="2"/>
    </font>
    <font>
      <sz val="10"/>
      <color rgb="FF000000"/>
      <name val="Times New Roman"/>
      <family val="1"/>
    </font>
    <font>
      <sz val="8"/>
      <name val="Arial"/>
      <family val="2"/>
    </font>
    <font>
      <sz val="11"/>
      <color indexed="8"/>
      <name val="Calibri"/>
      <family val="2"/>
    </font>
    <font>
      <b/>
      <sz val="12"/>
      <name val="Arial"/>
      <family val="2"/>
    </font>
    <font>
      <b/>
      <sz val="10"/>
      <name val="Arial"/>
      <family val="2"/>
    </font>
    <font>
      <u/>
      <sz val="10"/>
      <name val="Arial"/>
      <family val="2"/>
    </font>
    <font>
      <b/>
      <i/>
      <sz val="14"/>
      <name val="Arial"/>
      <family val="2"/>
    </font>
    <font>
      <b/>
      <sz val="18"/>
      <color indexed="56"/>
      <name val="Cambria"/>
      <family val="2"/>
    </font>
    <font>
      <b/>
      <sz val="11"/>
      <color indexed="8"/>
      <name val="Calibri"/>
      <family val="2"/>
    </font>
    <font>
      <b/>
      <sz val="10"/>
      <color theme="1"/>
      <name val="Cambria"/>
      <family val="1"/>
      <scheme val="major"/>
    </font>
    <font>
      <sz val="10"/>
      <color theme="1"/>
      <name val="Cambria"/>
      <family val="1"/>
      <scheme val="major"/>
    </font>
    <font>
      <sz val="11"/>
      <color theme="1"/>
      <name val="Cambria"/>
      <family val="1"/>
      <scheme val="major"/>
    </font>
    <font>
      <b/>
      <sz val="11"/>
      <color theme="1"/>
      <name val="Cambria"/>
      <family val="1"/>
      <scheme val="major"/>
    </font>
    <font>
      <sz val="12"/>
      <color theme="1"/>
      <name val="Times New Roman"/>
      <family val="1"/>
    </font>
    <font>
      <b/>
      <sz val="12"/>
      <color theme="1"/>
      <name val="Times New Roman"/>
      <family val="1"/>
    </font>
    <font>
      <b/>
      <sz val="9"/>
      <color theme="1"/>
      <name val="Cambria"/>
      <family val="1"/>
      <scheme val="major"/>
    </font>
    <font>
      <sz val="9"/>
      <color theme="1"/>
      <name val="Cambria"/>
      <family val="1"/>
      <scheme val="major"/>
    </font>
    <font>
      <sz val="9"/>
      <color theme="1"/>
      <name val="Times New Roman"/>
      <family val="1"/>
    </font>
    <font>
      <b/>
      <sz val="9"/>
      <color theme="0"/>
      <name val="Times New Roman"/>
      <family val="1"/>
    </font>
    <font>
      <b/>
      <sz val="9"/>
      <color theme="1"/>
      <name val="Times New Roman"/>
      <family val="1"/>
    </font>
    <font>
      <b/>
      <sz val="11"/>
      <color theme="1"/>
      <name val="Calibri"/>
      <family val="2"/>
      <scheme val="minor"/>
    </font>
    <font>
      <b/>
      <sz val="14"/>
      <color theme="1"/>
      <name val="Calibri"/>
      <family val="2"/>
      <scheme val="minor"/>
    </font>
    <font>
      <i/>
      <sz val="12"/>
      <color theme="1"/>
      <name val="Times New Roman"/>
      <family val="1"/>
    </font>
  </fonts>
  <fills count="38">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bgColor indexed="64"/>
      </patternFill>
    </fill>
    <fill>
      <patternFill patternType="solid">
        <fgColor theme="0" tint="-4.9989318521683403E-2"/>
        <bgColor indexed="64"/>
      </patternFill>
    </fill>
    <fill>
      <patternFill patternType="solid">
        <fgColor rgb="FFD9D9D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1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435">
    <xf numFmtId="0" fontId="0" fillId="0" borderId="0"/>
    <xf numFmtId="0" fontId="1" fillId="0" borderId="0" applyNumberFormat="0" applyFill="0" applyBorder="0" applyAlignment="0" applyProtection="0"/>
    <xf numFmtId="0" fontId="18" fillId="0" borderId="0"/>
    <xf numFmtId="0" fontId="18" fillId="0" borderId="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8" fillId="4" borderId="0" applyNumberFormat="0" applyBorder="0" applyAlignment="0" applyProtection="0"/>
    <xf numFmtId="0" fontId="12" fillId="7" borderId="5" applyNumberFormat="0" applyAlignment="0" applyProtection="0"/>
    <xf numFmtId="0" fontId="14" fillId="8" borderId="8" applyNumberFormat="0" applyAlignment="0" applyProtection="0"/>
    <xf numFmtId="167" fontId="18" fillId="0" borderId="11"/>
    <xf numFmtId="0" fontId="18" fillId="0" borderId="1"/>
    <xf numFmtId="0" fontId="18" fillId="0" borderId="1"/>
    <xf numFmtId="0" fontId="18" fillId="0" borderId="1"/>
    <xf numFmtId="0" fontId="18" fillId="0" borderId="1"/>
    <xf numFmtId="0" fontId="18" fillId="0" borderId="1"/>
    <xf numFmtId="167" fontId="18" fillId="0" borderId="1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1"/>
    <xf numFmtId="0" fontId="18" fillId="0" borderId="11"/>
    <xf numFmtId="0" fontId="18" fillId="0" borderId="11"/>
    <xf numFmtId="0" fontId="18" fillId="0" borderId="1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9" fillId="0" borderId="0" applyNumberForma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8" fillId="0" borderId="0"/>
    <xf numFmtId="0" fontId="18" fillId="0" borderId="0"/>
    <xf numFmtId="0" fontId="16" fillId="0" borderId="0" applyNumberFormat="0" applyFill="0" applyBorder="0" applyAlignment="0" applyProtection="0"/>
    <xf numFmtId="0" fontId="7" fillId="3"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20" fillId="0" borderId="0" applyNumberFormat="0" applyFill="0" applyBorder="0" applyAlignment="0" applyProtection="0">
      <alignment vertical="top"/>
      <protection locked="0"/>
    </xf>
    <xf numFmtId="0" fontId="10" fillId="6" borderId="5" applyNumberFormat="0" applyAlignment="0" applyProtection="0"/>
    <xf numFmtId="0" fontId="13" fillId="0" borderId="7" applyNumberFormat="0" applyFill="0" applyAlignment="0" applyProtection="0"/>
    <xf numFmtId="43" fontId="21" fillId="0" borderId="0" applyFont="0" applyFill="0" applyBorder="0" applyAlignment="0" applyProtection="0"/>
    <xf numFmtId="43" fontId="22" fillId="0" borderId="0" applyFont="0" applyFill="0" applyBorder="0" applyAlignment="0" applyProtection="0"/>
    <xf numFmtId="0" fontId="9" fillId="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167" fontId="18" fillId="0" borderId="0"/>
    <xf numFmtId="0" fontId="18" fillId="0" borderId="0"/>
    <xf numFmtId="0" fontId="18" fillId="0" borderId="0"/>
    <xf numFmtId="0" fontId="23" fillId="0" borderId="0"/>
    <xf numFmtId="0" fontId="18" fillId="0" borderId="0"/>
    <xf numFmtId="0" fontId="18" fillId="0" borderId="0"/>
    <xf numFmtId="0" fontId="23" fillId="0" borderId="0"/>
    <xf numFmtId="167" fontId="18"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18" fillId="0" borderId="0"/>
    <xf numFmtId="0" fontId="2" fillId="0" borderId="0"/>
    <xf numFmtId="0" fontId="2" fillId="0" borderId="0"/>
    <xf numFmtId="0" fontId="2" fillId="0" borderId="0"/>
    <xf numFmtId="0" fontId="2" fillId="0" borderId="0"/>
    <xf numFmtId="167"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4" fillId="0" borderId="0"/>
    <xf numFmtId="0" fontId="2" fillId="9" borderId="9" applyNumberFormat="0" applyFont="0" applyAlignment="0" applyProtection="0"/>
    <xf numFmtId="0" fontId="25" fillId="9" borderId="9" applyNumberFormat="0" applyFont="0" applyAlignment="0" applyProtection="0"/>
    <xf numFmtId="0" fontId="11" fillId="7" borderId="6" applyNumberFormat="0" applyAlignment="0" applyProtection="0"/>
    <xf numFmtId="0" fontId="18" fillId="0" borderId="0"/>
    <xf numFmtId="0" fontId="18" fillId="0" borderId="0"/>
    <xf numFmtId="0" fontId="24" fillId="0" borderId="0">
      <alignment horizontal="center"/>
    </xf>
    <xf numFmtId="0" fontId="26" fillId="0" borderId="0">
      <alignment horizontal="center"/>
    </xf>
    <xf numFmtId="0" fontId="26" fillId="0" borderId="0"/>
    <xf numFmtId="0" fontId="27" fillId="0" borderId="0"/>
    <xf numFmtId="0" fontId="2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7" fillId="0" borderId="1"/>
    <xf numFmtId="0" fontId="27" fillId="0" borderId="1"/>
    <xf numFmtId="0" fontId="29" fillId="0" borderId="12"/>
    <xf numFmtId="0" fontId="3" fillId="0" borderId="0" applyNumberFormat="0" applyFill="0" applyBorder="0" applyAlignment="0" applyProtection="0"/>
    <xf numFmtId="0" fontId="30" fillId="0" borderId="0" applyNumberFormat="0" applyFill="0" applyBorder="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15" fillId="0" borderId="0" applyNumberFormat="0" applyFill="0" applyBorder="0" applyAlignment="0" applyProtection="0"/>
  </cellStyleXfs>
  <cellXfs count="119">
    <xf numFmtId="0" fontId="0" fillId="0" borderId="0" xfId="0"/>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left" vertical="center" wrapText="1"/>
    </xf>
    <xf numFmtId="11" fontId="0" fillId="0" borderId="1" xfId="0" applyNumberFormat="1" applyFill="1" applyBorder="1" applyAlignment="1">
      <alignment horizontal="center" vertical="center"/>
    </xf>
    <xf numFmtId="11" fontId="0" fillId="0" borderId="1" xfId="0" applyNumberFormat="1" applyFill="1" applyBorder="1" applyAlignment="1">
      <alignment horizontal="center"/>
    </xf>
    <xf numFmtId="165" fontId="0" fillId="0" borderId="1" xfId="0" applyNumberFormat="1" applyFill="1" applyBorder="1" applyAlignment="1">
      <alignment horizontal="center"/>
    </xf>
    <xf numFmtId="0" fontId="0" fillId="0" borderId="0" xfId="0" applyFill="1" applyBorder="1" applyAlignment="1">
      <alignment horizontal="center" vertical="center"/>
    </xf>
    <xf numFmtId="164" fontId="0" fillId="0" borderId="1" xfId="0" applyNumberFormat="1" applyBorder="1" applyAlignment="1">
      <alignment horizontal="center"/>
    </xf>
    <xf numFmtId="164" fontId="0" fillId="0" borderId="1" xfId="0" applyNumberFormat="1" applyFill="1" applyBorder="1" applyAlignment="1">
      <alignment horizontal="center"/>
    </xf>
    <xf numFmtId="166"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Fill="1" applyBorder="1" applyAlignment="1">
      <alignment horizontal="center" vertical="center"/>
    </xf>
    <xf numFmtId="0" fontId="33" fillId="0" borderId="0" xfId="0" applyFont="1" applyAlignment="1">
      <alignment vertical="center" wrapText="1"/>
    </xf>
    <xf numFmtId="0" fontId="33" fillId="0" borderId="1" xfId="0" applyFont="1" applyBorder="1" applyAlignment="1">
      <alignment horizontal="center" vertical="center" wrapText="1"/>
    </xf>
    <xf numFmtId="0" fontId="33" fillId="0" borderId="1" xfId="0" applyFont="1" applyBorder="1" applyAlignment="1">
      <alignment vertical="center" wrapText="1"/>
    </xf>
    <xf numFmtId="164" fontId="33" fillId="0" borderId="1" xfId="0" applyNumberFormat="1" applyFont="1" applyBorder="1" applyAlignment="1">
      <alignment horizontal="center" vertical="center" wrapText="1"/>
    </xf>
    <xf numFmtId="166" fontId="33" fillId="0" borderId="1" xfId="0" applyNumberFormat="1" applyFont="1" applyBorder="1" applyAlignment="1">
      <alignment horizontal="center" vertical="center" wrapText="1"/>
    </xf>
    <xf numFmtId="0" fontId="33" fillId="0" borderId="1" xfId="0" applyFont="1" applyFill="1" applyBorder="1" applyAlignment="1">
      <alignment vertical="center" wrapText="1"/>
    </xf>
    <xf numFmtId="0" fontId="33" fillId="0" borderId="1" xfId="0" applyFont="1" applyFill="1" applyBorder="1" applyAlignment="1">
      <alignment horizontal="center" vertical="center" wrapText="1"/>
    </xf>
    <xf numFmtId="0" fontId="33" fillId="0" borderId="1" xfId="0" applyFont="1" applyBorder="1" applyAlignment="1">
      <alignment horizontal="left" vertical="center" wrapText="1"/>
    </xf>
    <xf numFmtId="0" fontId="34" fillId="0" borderId="0" xfId="0" applyFont="1"/>
    <xf numFmtId="0" fontId="34" fillId="0" borderId="1" xfId="0" applyFont="1" applyBorder="1"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 fillId="0" borderId="1" xfId="1" applyBorder="1" applyAlignment="1">
      <alignment horizontal="center" vertical="center"/>
    </xf>
    <xf numFmtId="0" fontId="32" fillId="2" borderId="10" xfId="0" applyFont="1" applyFill="1" applyBorder="1" applyAlignment="1">
      <alignment horizontal="center" vertical="center" wrapText="1"/>
    </xf>
    <xf numFmtId="0" fontId="35" fillId="36" borderId="1" xfId="0" applyFont="1" applyFill="1" applyBorder="1" applyAlignment="1">
      <alignment horizontal="center" vertical="center"/>
    </xf>
    <xf numFmtId="0" fontId="35" fillId="36" borderId="1" xfId="0" applyFont="1" applyFill="1" applyBorder="1" applyAlignment="1">
      <alignment horizontal="left" vertical="center" wrapText="1"/>
    </xf>
    <xf numFmtId="0" fontId="34" fillId="0" borderId="1" xfId="0" applyFont="1" applyBorder="1" applyAlignment="1">
      <alignment horizontal="center" vertical="center"/>
    </xf>
    <xf numFmtId="0" fontId="34" fillId="0" borderId="0" xfId="0" applyFont="1" applyAlignment="1">
      <alignment horizontal="center" vertical="center"/>
    </xf>
    <xf numFmtId="0" fontId="34" fillId="0" borderId="0" xfId="0" applyFont="1" applyAlignment="1">
      <alignment horizontal="left" vertical="center"/>
    </xf>
    <xf numFmtId="0" fontId="34" fillId="0" borderId="0" xfId="0" applyFont="1" applyAlignment="1">
      <alignment horizontal="left" vertical="center" wrapText="1"/>
    </xf>
    <xf numFmtId="0" fontId="34" fillId="0" borderId="1" xfId="0" applyFont="1" applyFill="1" applyBorder="1" applyAlignment="1">
      <alignment horizontal="center" vertical="center"/>
    </xf>
    <xf numFmtId="0" fontId="34" fillId="0" borderId="1" xfId="0" applyFont="1" applyFill="1" applyBorder="1" applyAlignment="1">
      <alignment horizontal="left" vertical="center" wrapText="1"/>
    </xf>
    <xf numFmtId="0" fontId="34" fillId="0" borderId="1" xfId="0" quotePrefix="1" applyFont="1" applyFill="1" applyBorder="1" applyAlignment="1">
      <alignment horizontal="center" vertical="center" wrapText="1"/>
    </xf>
    <xf numFmtId="0" fontId="36" fillId="0" borderId="1" xfId="0" applyFont="1" applyBorder="1" applyAlignment="1">
      <alignment horizontal="left" vertical="center" wrapText="1"/>
    </xf>
    <xf numFmtId="0" fontId="37" fillId="2" borderId="1" xfId="0" applyFont="1" applyFill="1" applyBorder="1" applyAlignment="1">
      <alignment horizontal="left" vertical="center" wrapText="1"/>
    </xf>
    <xf numFmtId="0" fontId="38" fillId="34" borderId="1" xfId="0" applyFont="1" applyFill="1" applyBorder="1" applyAlignment="1">
      <alignment horizontal="center" vertical="center" wrapText="1"/>
    </xf>
    <xf numFmtId="0" fontId="39" fillId="0" borderId="0" xfId="0" applyFont="1"/>
    <xf numFmtId="0" fontId="39" fillId="0" borderId="1" xfId="0" applyFont="1" applyBorder="1" applyAlignment="1">
      <alignment horizontal="center" vertical="center" wrapText="1"/>
    </xf>
    <xf numFmtId="0" fontId="39" fillId="0" borderId="1" xfId="0" applyFont="1" applyBorder="1" applyAlignment="1">
      <alignment horizontal="center" vertical="center"/>
    </xf>
    <xf numFmtId="165" fontId="39" fillId="0" borderId="1" xfId="0" applyNumberFormat="1" applyFont="1" applyBorder="1" applyAlignment="1">
      <alignment horizontal="center" vertical="center" wrapText="1"/>
    </xf>
    <xf numFmtId="0" fontId="40" fillId="0" borderId="0" xfId="0" applyFont="1"/>
    <xf numFmtId="0" fontId="40" fillId="0" borderId="1" xfId="0" applyFont="1" applyBorder="1" applyAlignment="1">
      <alignment horizontal="center" vertical="center"/>
    </xf>
    <xf numFmtId="0" fontId="42" fillId="2" borderId="1" xfId="0" applyFont="1" applyFill="1" applyBorder="1" applyAlignment="1">
      <alignment horizontal="center" vertical="center"/>
    </xf>
    <xf numFmtId="0" fontId="42" fillId="36" borderId="1" xfId="0" applyFont="1" applyFill="1" applyBorder="1" applyAlignment="1">
      <alignment horizontal="center" vertical="center"/>
    </xf>
    <xf numFmtId="0" fontId="34" fillId="0" borderId="10" xfId="0" applyFont="1" applyFill="1" applyBorder="1" applyAlignment="1">
      <alignment horizontal="center" vertical="center"/>
    </xf>
    <xf numFmtId="0" fontId="34" fillId="0" borderId="10" xfId="0" applyFont="1" applyFill="1" applyBorder="1" applyAlignment="1">
      <alignment horizontal="center" vertical="center"/>
    </xf>
    <xf numFmtId="0" fontId="34" fillId="0" borderId="10"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0" borderId="10" xfId="0" quotePrefix="1" applyFont="1" applyFill="1" applyBorder="1" applyAlignment="1">
      <alignment horizontal="center" vertical="center" wrapText="1"/>
    </xf>
    <xf numFmtId="0" fontId="34" fillId="0" borderId="10" xfId="0" applyFont="1" applyFill="1" applyBorder="1" applyAlignment="1">
      <alignment horizontal="center" vertical="center" wrapText="1"/>
    </xf>
    <xf numFmtId="0" fontId="34" fillId="0" borderId="10" xfId="0" applyFont="1" applyFill="1" applyBorder="1" applyAlignment="1">
      <alignment horizontal="center" vertical="center"/>
    </xf>
    <xf numFmtId="0" fontId="35" fillId="36" borderId="1" xfId="0" applyFont="1" applyFill="1" applyBorder="1" applyAlignment="1">
      <alignment horizontal="center" vertical="center" wrapText="1"/>
    </xf>
    <xf numFmtId="0" fontId="34" fillId="0" borderId="0" xfId="0" applyFont="1" applyAlignment="1">
      <alignment horizontal="center" vertical="center" wrapText="1"/>
    </xf>
    <xf numFmtId="0" fontId="34" fillId="0" borderId="1" xfId="0" applyFont="1" applyFill="1" applyBorder="1" applyAlignment="1">
      <alignment horizontal="center" vertical="center" wrapText="1"/>
    </xf>
    <xf numFmtId="0" fontId="34" fillId="0" borderId="10" xfId="0" applyFont="1" applyFill="1" applyBorder="1" applyAlignment="1">
      <alignment horizontal="center" vertical="center"/>
    </xf>
    <xf numFmtId="0" fontId="34" fillId="0" borderId="0" xfId="0" applyFont="1" applyFill="1"/>
    <xf numFmtId="0" fontId="0" fillId="0" borderId="0" xfId="0" applyAlignment="1">
      <alignment wrapText="1"/>
    </xf>
    <xf numFmtId="0" fontId="37" fillId="2"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42" fillId="2" borderId="1" xfId="0" applyFont="1" applyFill="1" applyBorder="1" applyAlignment="1">
      <alignment horizontal="center" vertical="center"/>
    </xf>
    <xf numFmtId="0" fontId="42" fillId="36" borderId="1" xfId="0" applyFont="1" applyFill="1" applyBorder="1" applyAlignment="1">
      <alignment horizontal="center" vertical="center"/>
    </xf>
    <xf numFmtId="0" fontId="43" fillId="2" borderId="1" xfId="0" applyFont="1" applyFill="1" applyBorder="1" applyAlignment="1">
      <alignment horizontal="center" vertical="center"/>
    </xf>
    <xf numFmtId="0" fontId="44" fillId="0" borderId="0" xfId="0" applyFont="1" applyFill="1" applyAlignment="1">
      <alignment vertical="center"/>
    </xf>
    <xf numFmtId="0" fontId="0" fillId="0" borderId="0" xfId="0" applyFill="1" applyAlignment="1"/>
    <xf numFmtId="0" fontId="0" fillId="0" borderId="0" xfId="0" applyFill="1"/>
    <xf numFmtId="0" fontId="40" fillId="0" borderId="0" xfId="0" applyFont="1" applyAlignment="1">
      <alignment horizontal="center"/>
    </xf>
    <xf numFmtId="0" fontId="40" fillId="0" borderId="1" xfId="0" applyFont="1" applyFill="1" applyBorder="1" applyAlignment="1">
      <alignment horizontal="center" vertical="center"/>
    </xf>
    <xf numFmtId="0" fontId="37" fillId="37" borderId="1" xfId="0" applyFont="1" applyFill="1" applyBorder="1" applyAlignment="1">
      <alignment horizontal="center" vertical="center" wrapText="1"/>
    </xf>
    <xf numFmtId="0" fontId="37" fillId="37" borderId="1" xfId="0" applyFont="1" applyFill="1" applyBorder="1" applyAlignment="1">
      <alignment horizontal="left" vertical="center" wrapText="1"/>
    </xf>
    <xf numFmtId="0" fontId="36" fillId="0" borderId="1" xfId="0" applyFont="1" applyBorder="1" applyAlignment="1">
      <alignment horizontal="center" vertical="center" wrapText="1"/>
    </xf>
    <xf numFmtId="0" fontId="36" fillId="0" borderId="1" xfId="0" applyFont="1" applyBorder="1" applyAlignment="1">
      <alignment horizontal="justify" vertical="center" wrapText="1"/>
    </xf>
    <xf numFmtId="0" fontId="36" fillId="0" borderId="1" xfId="0" applyFont="1" applyBorder="1" applyAlignment="1">
      <alignment horizontal="center" vertical="center" wrapText="1"/>
    </xf>
    <xf numFmtId="0" fontId="37" fillId="37" borderId="1" xfId="0" applyFont="1" applyFill="1" applyBorder="1" applyAlignment="1">
      <alignment horizontal="center" vertical="center" wrapText="1"/>
    </xf>
    <xf numFmtId="0" fontId="36" fillId="0" borderId="10" xfId="0" applyFont="1" applyBorder="1" applyAlignment="1">
      <alignment horizontal="center" vertical="center" wrapText="1"/>
    </xf>
    <xf numFmtId="0" fontId="34" fillId="0" borderId="10" xfId="0" applyFont="1" applyFill="1" applyBorder="1" applyAlignment="1">
      <alignment horizontal="center" vertical="center"/>
    </xf>
    <xf numFmtId="0" fontId="34" fillId="0" borderId="17" xfId="0" applyFont="1" applyFill="1" applyBorder="1" applyAlignment="1">
      <alignment horizontal="center" vertical="center"/>
    </xf>
    <xf numFmtId="0" fontId="34" fillId="0" borderId="14"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0" borderId="10" xfId="0" quotePrefix="1" applyFont="1" applyFill="1" applyBorder="1" applyAlignment="1">
      <alignment horizontal="center" vertical="center" wrapText="1"/>
    </xf>
    <xf numFmtId="0" fontId="34" fillId="0" borderId="14" xfId="0" quotePrefix="1" applyFont="1" applyFill="1" applyBorder="1" applyAlignment="1">
      <alignment horizontal="center" vertical="center" wrapText="1"/>
    </xf>
    <xf numFmtId="0" fontId="35" fillId="34" borderId="1" xfId="0" applyFont="1" applyFill="1" applyBorder="1" applyAlignment="1">
      <alignment horizontal="center" vertical="center"/>
    </xf>
    <xf numFmtId="0" fontId="35" fillId="36" borderId="15" xfId="0" applyFont="1" applyFill="1" applyBorder="1" applyAlignment="1">
      <alignment horizontal="center" vertical="center"/>
    </xf>
    <xf numFmtId="0" fontId="35" fillId="36" borderId="16" xfId="0" applyFont="1" applyFill="1" applyBorder="1" applyAlignment="1">
      <alignment horizontal="center" vertical="center"/>
    </xf>
    <xf numFmtId="0" fontId="34" fillId="0" borderId="1" xfId="0" applyFont="1" applyFill="1" applyBorder="1" applyAlignment="1">
      <alignment horizontal="center" vertical="center" textRotation="255"/>
    </xf>
    <xf numFmtId="0" fontId="34" fillId="0" borderId="1" xfId="0" applyFont="1" applyFill="1" applyBorder="1" applyAlignment="1">
      <alignment horizontal="center" vertical="center" textRotation="255" wrapText="1"/>
    </xf>
    <xf numFmtId="0" fontId="34" fillId="0" borderId="10" xfId="0" applyFont="1" applyFill="1" applyBorder="1" applyAlignment="1">
      <alignment horizontal="center" vertical="center" textRotation="255" wrapText="1"/>
    </xf>
    <xf numFmtId="0" fontId="34" fillId="0" borderId="17" xfId="0" applyFont="1" applyFill="1" applyBorder="1" applyAlignment="1">
      <alignment horizontal="center" vertical="center" textRotation="255" wrapText="1"/>
    </xf>
    <xf numFmtId="0" fontId="34" fillId="0" borderId="14" xfId="0" applyFont="1" applyFill="1" applyBorder="1" applyAlignment="1">
      <alignment horizontal="center" vertical="center" textRotation="255" wrapText="1"/>
    </xf>
    <xf numFmtId="0" fontId="34" fillId="0" borderId="10" xfId="0" applyFont="1" applyFill="1" applyBorder="1" applyAlignment="1">
      <alignment horizontal="center" vertical="center" wrapText="1"/>
    </xf>
    <xf numFmtId="0" fontId="34" fillId="0" borderId="17" xfId="0" applyFont="1" applyFill="1" applyBorder="1" applyAlignment="1">
      <alignment horizontal="center" vertical="center" wrapText="1"/>
    </xf>
    <xf numFmtId="0" fontId="34" fillId="0" borderId="14" xfId="0" applyFont="1" applyFill="1" applyBorder="1" applyAlignment="1">
      <alignment horizontal="center" vertical="center" wrapText="1"/>
    </xf>
    <xf numFmtId="0" fontId="36" fillId="0" borderId="1" xfId="0" applyFont="1" applyBorder="1" applyAlignment="1">
      <alignment horizontal="center" vertical="center" wrapText="1"/>
    </xf>
    <xf numFmtId="0" fontId="37" fillId="37" borderId="1" xfId="0" applyFont="1" applyFill="1" applyBorder="1" applyAlignment="1">
      <alignment horizontal="center" vertical="center" wrapText="1"/>
    </xf>
    <xf numFmtId="0" fontId="36" fillId="0" borderId="10" xfId="0" applyFont="1" applyBorder="1" applyAlignment="1">
      <alignment horizontal="center" vertical="center" wrapText="1"/>
    </xf>
    <xf numFmtId="0" fontId="36" fillId="0" borderId="14" xfId="0" applyFont="1" applyBorder="1" applyAlignment="1">
      <alignment horizontal="center" vertical="center" wrapText="1"/>
    </xf>
    <xf numFmtId="0" fontId="36" fillId="0" borderId="17" xfId="0" applyFont="1" applyBorder="1" applyAlignment="1">
      <alignment horizontal="center" vertical="center" wrapText="1"/>
    </xf>
    <xf numFmtId="0" fontId="44" fillId="0" borderId="1" xfId="0" applyFont="1" applyFill="1" applyBorder="1" applyAlignment="1">
      <alignment horizontal="center" vertical="center"/>
    </xf>
    <xf numFmtId="0" fontId="44" fillId="35" borderId="1" xfId="0" applyFont="1" applyFill="1" applyBorder="1" applyAlignment="1">
      <alignment horizontal="center" vertical="center"/>
    </xf>
    <xf numFmtId="0" fontId="41" fillId="35" borderId="1" xfId="0" applyFont="1" applyFill="1" applyBorder="1" applyAlignment="1">
      <alignment horizontal="center" vertical="center"/>
    </xf>
    <xf numFmtId="0" fontId="42" fillId="2" borderId="1" xfId="0" applyFont="1" applyFill="1" applyBorder="1" applyAlignment="1">
      <alignment horizontal="center" vertical="center"/>
    </xf>
    <xf numFmtId="0" fontId="42" fillId="36" borderId="1" xfId="0" applyFont="1" applyFill="1" applyBorder="1" applyAlignment="1">
      <alignment horizontal="center" vertical="center"/>
    </xf>
    <xf numFmtId="0" fontId="41" fillId="35" borderId="1" xfId="0" applyFont="1" applyFill="1" applyBorder="1" applyAlignment="1">
      <alignment horizontal="center" vertical="center" wrapText="1"/>
    </xf>
    <xf numFmtId="0" fontId="42" fillId="36"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1" fillId="0" borderId="1" xfId="1" applyBorder="1" applyAlignment="1">
      <alignment horizontal="left" vertical="center" wrapText="1"/>
    </xf>
    <xf numFmtId="0" fontId="32" fillId="34" borderId="1" xfId="0" applyFont="1" applyFill="1" applyBorder="1" applyAlignment="1">
      <alignment horizontal="center" vertical="center" wrapText="1"/>
    </xf>
    <xf numFmtId="0" fontId="32" fillId="2" borderId="1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8" fillId="34" borderId="1" xfId="0" applyFont="1" applyFill="1" applyBorder="1" applyAlignment="1">
      <alignment horizontal="right"/>
    </xf>
  </cellXfs>
  <cellStyles count="1435">
    <cellStyle name="_Relatórios" xfId="2"/>
    <cellStyle name="_Relatórios 2" xfId="3"/>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2" xfId="29"/>
    <cellStyle name="60% - Accent3" xfId="30"/>
    <cellStyle name="60% - Accent4" xfId="31"/>
    <cellStyle name="60% - Accent5" xfId="32"/>
    <cellStyle name="60% - Accent6" xfId="33"/>
    <cellStyle name="Accent1" xfId="34"/>
    <cellStyle name="Accent2" xfId="35"/>
    <cellStyle name="Accent3" xfId="36"/>
    <cellStyle name="Accent4" xfId="37"/>
    <cellStyle name="Accent5" xfId="38"/>
    <cellStyle name="Accent6" xfId="39"/>
    <cellStyle name="Bad" xfId="40"/>
    <cellStyle name="Calculation" xfId="41"/>
    <cellStyle name="Check Cell" xfId="42"/>
    <cellStyle name="entry" xfId="43"/>
    <cellStyle name="entry 10" xfId="44"/>
    <cellStyle name="entry 10 2" xfId="45"/>
    <cellStyle name="entry 11" xfId="46"/>
    <cellStyle name="entry 11 2" xfId="47"/>
    <cellStyle name="entry 12" xfId="48"/>
    <cellStyle name="entry 13" xfId="49"/>
    <cellStyle name="entry 2" xfId="50"/>
    <cellStyle name="entry 2 2" xfId="51"/>
    <cellStyle name="entry 2 2 2" xfId="52"/>
    <cellStyle name="entry 2 2 2 2" xfId="53"/>
    <cellStyle name="entry 2 2 3" xfId="54"/>
    <cellStyle name="entry 2 2 3 2" xfId="55"/>
    <cellStyle name="entry 2 2 4" xfId="56"/>
    <cellStyle name="entry 2 2 4 2" xfId="57"/>
    <cellStyle name="entry 2 3" xfId="58"/>
    <cellStyle name="entry 2 3 2" xfId="59"/>
    <cellStyle name="entry 2 3 2 2" xfId="60"/>
    <cellStyle name="entry 2 3 3" xfId="61"/>
    <cellStyle name="entry 2 3 3 2" xfId="62"/>
    <cellStyle name="entry 2 4" xfId="63"/>
    <cellStyle name="entry 2 4 2" xfId="64"/>
    <cellStyle name="entry 2 4 2 2" xfId="65"/>
    <cellStyle name="entry 2 4 3" xfId="66"/>
    <cellStyle name="entry 2 4 3 2" xfId="67"/>
    <cellStyle name="entry 2 5" xfId="68"/>
    <cellStyle name="entry 2 5 2" xfId="69"/>
    <cellStyle name="entry 2 6" xfId="70"/>
    <cellStyle name="entry 2 6 2" xfId="71"/>
    <cellStyle name="entry 2 7" xfId="72"/>
    <cellStyle name="entry 2 7 2" xfId="73"/>
    <cellStyle name="entry 3" xfId="74"/>
    <cellStyle name="entry 3 2" xfId="75"/>
    <cellStyle name="entry 3 2 2" xfId="76"/>
    <cellStyle name="entry 3 3" xfId="77"/>
    <cellStyle name="entry 4" xfId="78"/>
    <cellStyle name="entry 4 2" xfId="79"/>
    <cellStyle name="entry 4 2 2" xfId="80"/>
    <cellStyle name="entry 4 3" xfId="81"/>
    <cellStyle name="entry 4 3 2" xfId="82"/>
    <cellStyle name="entry 4 4" xfId="83"/>
    <cellStyle name="entry 5" xfId="84"/>
    <cellStyle name="entry 5 2" xfId="85"/>
    <cellStyle name="entry 6" xfId="86"/>
    <cellStyle name="entry 6 2" xfId="87"/>
    <cellStyle name="entry 7" xfId="88"/>
    <cellStyle name="entry 7 2" xfId="89"/>
    <cellStyle name="entry 8" xfId="90"/>
    <cellStyle name="entry 8 2" xfId="91"/>
    <cellStyle name="entry 9" xfId="92"/>
    <cellStyle name="entry 9 2" xfId="93"/>
    <cellStyle name="Estilo 1" xfId="94"/>
    <cellStyle name="Euro" xfId="95"/>
    <cellStyle name="Euro 2" xfId="96"/>
    <cellStyle name="Excel Built-in Normal" xfId="97"/>
    <cellStyle name="Excel Built-in Normal 2" xfId="98"/>
    <cellStyle name="Explanatory Text" xfId="99"/>
    <cellStyle name="Good" xfId="100"/>
    <cellStyle name="Heading 1" xfId="101"/>
    <cellStyle name="Heading 2" xfId="102"/>
    <cellStyle name="Heading 3" xfId="103"/>
    <cellStyle name="Heading 4" xfId="104"/>
    <cellStyle name="Hiperlink" xfId="1" builtinId="8"/>
    <cellStyle name="Hipervínculo_SL10_ALS_RAMS_0014_A_AppendixA" xfId="105"/>
    <cellStyle name="Input" xfId="106"/>
    <cellStyle name="Linked Cell" xfId="107"/>
    <cellStyle name="Milliers 2" xfId="108"/>
    <cellStyle name="Milliers 2 2" xfId="109"/>
    <cellStyle name="Neutral" xfId="110"/>
    <cellStyle name="Normal" xfId="0" builtinId="0"/>
    <cellStyle name="Normal 10" xfId="111"/>
    <cellStyle name="Normal 10 2" xfId="112"/>
    <cellStyle name="Normal 10 2 2" xfId="113"/>
    <cellStyle name="Normal 10 3" xfId="114"/>
    <cellStyle name="Normal 10 4" xfId="115"/>
    <cellStyle name="Normal 11" xfId="116"/>
    <cellStyle name="Normal 11 2" xfId="117"/>
    <cellStyle name="Normal 11 2 2" xfId="118"/>
    <cellStyle name="Normal 11 2 2 2" xfId="119"/>
    <cellStyle name="Normal 11 2 3" xfId="120"/>
    <cellStyle name="Normal 11 2 3 2" xfId="121"/>
    <cellStyle name="Normal 11 2 4" xfId="122"/>
    <cellStyle name="Normal 11 2 4 2" xfId="123"/>
    <cellStyle name="Normal 11 2 5" xfId="124"/>
    <cellStyle name="Normal 11 2 5 2" xfId="125"/>
    <cellStyle name="Normal 11 2 6" xfId="126"/>
    <cellStyle name="Normal 11 3" xfId="127"/>
    <cellStyle name="Normal 11 3 2" xfId="128"/>
    <cellStyle name="Normal 11 3 2 2" xfId="129"/>
    <cellStyle name="Normal 11 3 3" xfId="130"/>
    <cellStyle name="Normal 11 3 3 2" xfId="131"/>
    <cellStyle name="Normal 11 3 4" xfId="132"/>
    <cellStyle name="Normal 11 3 4 2" xfId="133"/>
    <cellStyle name="Normal 11 3 5" xfId="134"/>
    <cellStyle name="Normal 11 3 5 2" xfId="135"/>
    <cellStyle name="Normal 11 3 6" xfId="136"/>
    <cellStyle name="Normal 11 4" xfId="137"/>
    <cellStyle name="Normal 11 4 2" xfId="138"/>
    <cellStyle name="Normal 11 5" xfId="139"/>
    <cellStyle name="Normal 11 5 2" xfId="140"/>
    <cellStyle name="Normal 11 6" xfId="141"/>
    <cellStyle name="Normal 11 6 2" xfId="142"/>
    <cellStyle name="Normal 11 7" xfId="143"/>
    <cellStyle name="Normal 11 7 2" xfId="144"/>
    <cellStyle name="Normal 11 8" xfId="145"/>
    <cellStyle name="Normal 11 9" xfId="146"/>
    <cellStyle name="Normal 12" xfId="147"/>
    <cellStyle name="Normal 12 2" xfId="148"/>
    <cellStyle name="Normal 12 2 2" xfId="149"/>
    <cellStyle name="Normal 12 3" xfId="150"/>
    <cellStyle name="Normal 12 3 2" xfId="151"/>
    <cellStyle name="Normal 12 4" xfId="152"/>
    <cellStyle name="Normal 12 4 2" xfId="153"/>
    <cellStyle name="Normal 12 5" xfId="154"/>
    <cellStyle name="Normal 12 5 2" xfId="155"/>
    <cellStyle name="Normal 12 6" xfId="156"/>
    <cellStyle name="Normal 13" xfId="157"/>
    <cellStyle name="Normal 13 2" xfId="158"/>
    <cellStyle name="Normal 13 2 2" xfId="159"/>
    <cellStyle name="Normal 13 3" xfId="160"/>
    <cellStyle name="Normal 13 3 2" xfId="161"/>
    <cellStyle name="Normal 13 4" xfId="162"/>
    <cellStyle name="Normal 13 4 2" xfId="163"/>
    <cellStyle name="Normal 13 5" xfId="164"/>
    <cellStyle name="Normal 13 5 2" xfId="165"/>
    <cellStyle name="Normal 13 6" xfId="166"/>
    <cellStyle name="Normal 14" xfId="167"/>
    <cellStyle name="Normal 14 2" xfId="168"/>
    <cellStyle name="Normal 15" xfId="169"/>
    <cellStyle name="Normal 15 2" xfId="170"/>
    <cellStyle name="Normal 16" xfId="171"/>
    <cellStyle name="Normal 16 2" xfId="172"/>
    <cellStyle name="Normal 17" xfId="173"/>
    <cellStyle name="Normal 17 2" xfId="174"/>
    <cellStyle name="Normal 18" xfId="175"/>
    <cellStyle name="Normal 2" xfId="176"/>
    <cellStyle name="Normal 2 12 2" xfId="177"/>
    <cellStyle name="Normal 2 12 2 2" xfId="178"/>
    <cellStyle name="Normal 2 2" xfId="179"/>
    <cellStyle name="Normal 2 2 2" xfId="180"/>
    <cellStyle name="Normal 2 2 2 2" xfId="181"/>
    <cellStyle name="Normal 2 2 3" xfId="182"/>
    <cellStyle name="Normal 2 2 4" xfId="183"/>
    <cellStyle name="Normal 2 2 4 2" xfId="184"/>
    <cellStyle name="Normal 2 2 5" xfId="185"/>
    <cellStyle name="Normal 2 2 6" xfId="186"/>
    <cellStyle name="Normal 2 3" xfId="187"/>
    <cellStyle name="Normal 2 3 2" xfId="188"/>
    <cellStyle name="Normal 2 3 2 2" xfId="189"/>
    <cellStyle name="Normal 2 3 3" xfId="190"/>
    <cellStyle name="Normal 2 4" xfId="191"/>
    <cellStyle name="Normal 2 5" xfId="192"/>
    <cellStyle name="Normal 2_Plan1" xfId="193"/>
    <cellStyle name="Normal 3" xfId="194"/>
    <cellStyle name="Normal 3 10" xfId="195"/>
    <cellStyle name="Normal 3 10 2" xfId="196"/>
    <cellStyle name="Normal 3 10 2 2" xfId="197"/>
    <cellStyle name="Normal 3 10 3" xfId="198"/>
    <cellStyle name="Normal 3 10 3 2" xfId="199"/>
    <cellStyle name="Normal 3 10 4" xfId="200"/>
    <cellStyle name="Normal 3 10 4 2" xfId="201"/>
    <cellStyle name="Normal 3 10 5" xfId="202"/>
    <cellStyle name="Normal 3 10 5 2" xfId="203"/>
    <cellStyle name="Normal 3 10 6" xfId="204"/>
    <cellStyle name="Normal 3 11" xfId="205"/>
    <cellStyle name="Normal 3 11 2" xfId="206"/>
    <cellStyle name="Normal 3 11 2 2" xfId="207"/>
    <cellStyle name="Normal 3 11 3" xfId="208"/>
    <cellStyle name="Normal 3 11 3 2" xfId="209"/>
    <cellStyle name="Normal 3 11 4" xfId="210"/>
    <cellStyle name="Normal 3 11 4 2" xfId="211"/>
    <cellStyle name="Normal 3 11 5" xfId="212"/>
    <cellStyle name="Normal 3 11 5 2" xfId="213"/>
    <cellStyle name="Normal 3 11 6" xfId="214"/>
    <cellStyle name="Normal 3 12" xfId="215"/>
    <cellStyle name="Normal 3 12 2" xfId="216"/>
    <cellStyle name="Normal 3 13" xfId="217"/>
    <cellStyle name="Normal 3 13 2" xfId="218"/>
    <cellStyle name="Normal 3 14" xfId="219"/>
    <cellStyle name="Normal 3 14 2" xfId="220"/>
    <cellStyle name="Normal 3 14 2 2" xfId="221"/>
    <cellStyle name="Normal 3 14 3" xfId="222"/>
    <cellStyle name="Normal 3 14 3 2" xfId="223"/>
    <cellStyle name="Normal 3 14 4" xfId="224"/>
    <cellStyle name="Normal 3 15" xfId="225"/>
    <cellStyle name="Normal 3 15 2" xfId="226"/>
    <cellStyle name="Normal 3 16" xfId="227"/>
    <cellStyle name="Normal 3 16 2" xfId="228"/>
    <cellStyle name="Normal 3 2" xfId="229"/>
    <cellStyle name="Normal 3 2 10" xfId="230"/>
    <cellStyle name="Normal 3 2 10 2" xfId="231"/>
    <cellStyle name="Normal 3 2 10 2 2" xfId="232"/>
    <cellStyle name="Normal 3 2 10 3" xfId="233"/>
    <cellStyle name="Normal 3 2 10 3 2" xfId="234"/>
    <cellStyle name="Normal 3 2 10 4" xfId="235"/>
    <cellStyle name="Normal 3 2 10 4 2" xfId="236"/>
    <cellStyle name="Normal 3 2 10 5" xfId="237"/>
    <cellStyle name="Normal 3 2 10 5 2" xfId="238"/>
    <cellStyle name="Normal 3 2 10 6" xfId="239"/>
    <cellStyle name="Normal 3 2 11" xfId="240"/>
    <cellStyle name="Normal 3 2 11 2" xfId="241"/>
    <cellStyle name="Normal 3 2 12" xfId="242"/>
    <cellStyle name="Normal 3 2 12 2" xfId="243"/>
    <cellStyle name="Normal 3 2 13" xfId="244"/>
    <cellStyle name="Normal 3 2 13 2" xfId="245"/>
    <cellStyle name="Normal 3 2 14" xfId="246"/>
    <cellStyle name="Normal 3 2 14 2" xfId="247"/>
    <cellStyle name="Normal 3 2 15" xfId="248"/>
    <cellStyle name="Normal 3 2 2" xfId="249"/>
    <cellStyle name="Normal 3 2 2 10" xfId="250"/>
    <cellStyle name="Normal 3 2 2 2" xfId="251"/>
    <cellStyle name="Normal 3 2 2 2 2" xfId="252"/>
    <cellStyle name="Normal 3 2 2 2 2 2" xfId="253"/>
    <cellStyle name="Normal 3 2 2 2 2 2 2" xfId="254"/>
    <cellStyle name="Normal 3 2 2 2 2 3" xfId="255"/>
    <cellStyle name="Normal 3 2 2 2 2 3 2" xfId="256"/>
    <cellStyle name="Normal 3 2 2 2 2 4" xfId="257"/>
    <cellStyle name="Normal 3 2 2 2 2 4 2" xfId="258"/>
    <cellStyle name="Normal 3 2 2 2 2 5" xfId="259"/>
    <cellStyle name="Normal 3 2 2 2 2 5 2" xfId="260"/>
    <cellStyle name="Normal 3 2 2 2 2 6" xfId="261"/>
    <cellStyle name="Normal 3 2 2 2 3" xfId="262"/>
    <cellStyle name="Normal 3 2 2 2 3 2" xfId="263"/>
    <cellStyle name="Normal 3 2 2 2 3 2 2" xfId="264"/>
    <cellStyle name="Normal 3 2 2 2 3 3" xfId="265"/>
    <cellStyle name="Normal 3 2 2 2 3 3 2" xfId="266"/>
    <cellStyle name="Normal 3 2 2 2 3 4" xfId="267"/>
    <cellStyle name="Normal 3 2 2 2 3 4 2" xfId="268"/>
    <cellStyle name="Normal 3 2 2 2 3 5" xfId="269"/>
    <cellStyle name="Normal 3 2 2 2 3 5 2" xfId="270"/>
    <cellStyle name="Normal 3 2 2 2 3 6" xfId="271"/>
    <cellStyle name="Normal 3 2 2 2 4" xfId="272"/>
    <cellStyle name="Normal 3 2 2 2 4 2" xfId="273"/>
    <cellStyle name="Normal 3 2 2 2 5" xfId="274"/>
    <cellStyle name="Normal 3 2 2 2 5 2" xfId="275"/>
    <cellStyle name="Normal 3 2 2 2 6" xfId="276"/>
    <cellStyle name="Normal 3 2 2 2 6 2" xfId="277"/>
    <cellStyle name="Normal 3 2 2 2 7" xfId="278"/>
    <cellStyle name="Normal 3 2 2 2 7 2" xfId="279"/>
    <cellStyle name="Normal 3 2 2 2 8" xfId="280"/>
    <cellStyle name="Normal 3 2 2 3" xfId="281"/>
    <cellStyle name="Normal 3 2 2 3 2" xfId="282"/>
    <cellStyle name="Normal 3 2 2 3 2 2" xfId="283"/>
    <cellStyle name="Normal 3 2 2 3 2 2 2" xfId="284"/>
    <cellStyle name="Normal 3 2 2 3 2 3" xfId="285"/>
    <cellStyle name="Normal 3 2 2 3 2 3 2" xfId="286"/>
    <cellStyle name="Normal 3 2 2 3 2 4" xfId="287"/>
    <cellStyle name="Normal 3 2 2 3 2 4 2" xfId="288"/>
    <cellStyle name="Normal 3 2 2 3 2 5" xfId="289"/>
    <cellStyle name="Normal 3 2 2 3 2 5 2" xfId="290"/>
    <cellStyle name="Normal 3 2 2 3 2 6" xfId="291"/>
    <cellStyle name="Normal 3 2 2 3 3" xfId="292"/>
    <cellStyle name="Normal 3 2 2 3 3 2" xfId="293"/>
    <cellStyle name="Normal 3 2 2 3 3 2 2" xfId="294"/>
    <cellStyle name="Normal 3 2 2 3 3 3" xfId="295"/>
    <cellStyle name="Normal 3 2 2 3 3 3 2" xfId="296"/>
    <cellStyle name="Normal 3 2 2 3 3 4" xfId="297"/>
    <cellStyle name="Normal 3 2 2 3 3 4 2" xfId="298"/>
    <cellStyle name="Normal 3 2 2 3 3 5" xfId="299"/>
    <cellStyle name="Normal 3 2 2 3 3 5 2" xfId="300"/>
    <cellStyle name="Normal 3 2 2 3 3 6" xfId="301"/>
    <cellStyle name="Normal 3 2 2 3 4" xfId="302"/>
    <cellStyle name="Normal 3 2 2 3 4 2" xfId="303"/>
    <cellStyle name="Normal 3 2 2 3 5" xfId="304"/>
    <cellStyle name="Normal 3 2 2 3 5 2" xfId="305"/>
    <cellStyle name="Normal 3 2 2 3 6" xfId="306"/>
    <cellStyle name="Normal 3 2 2 3 6 2" xfId="307"/>
    <cellStyle name="Normal 3 2 2 3 7" xfId="308"/>
    <cellStyle name="Normal 3 2 2 3 7 2" xfId="309"/>
    <cellStyle name="Normal 3 2 2 3 8" xfId="310"/>
    <cellStyle name="Normal 3 2 2 4" xfId="311"/>
    <cellStyle name="Normal 3 2 2 4 2" xfId="312"/>
    <cellStyle name="Normal 3 2 2 4 2 2" xfId="313"/>
    <cellStyle name="Normal 3 2 2 4 3" xfId="314"/>
    <cellStyle name="Normal 3 2 2 4 3 2" xfId="315"/>
    <cellStyle name="Normal 3 2 2 4 4" xfId="316"/>
    <cellStyle name="Normal 3 2 2 4 4 2" xfId="317"/>
    <cellStyle name="Normal 3 2 2 4 5" xfId="318"/>
    <cellStyle name="Normal 3 2 2 4 5 2" xfId="319"/>
    <cellStyle name="Normal 3 2 2 4 6" xfId="320"/>
    <cellStyle name="Normal 3 2 2 5" xfId="321"/>
    <cellStyle name="Normal 3 2 2 5 2" xfId="322"/>
    <cellStyle name="Normal 3 2 2 5 2 2" xfId="323"/>
    <cellStyle name="Normal 3 2 2 5 3" xfId="324"/>
    <cellStyle name="Normal 3 2 2 5 3 2" xfId="325"/>
    <cellStyle name="Normal 3 2 2 5 4" xfId="326"/>
    <cellStyle name="Normal 3 2 2 5 4 2" xfId="327"/>
    <cellStyle name="Normal 3 2 2 5 5" xfId="328"/>
    <cellStyle name="Normal 3 2 2 5 5 2" xfId="329"/>
    <cellStyle name="Normal 3 2 2 5 6" xfId="330"/>
    <cellStyle name="Normal 3 2 2 6" xfId="331"/>
    <cellStyle name="Normal 3 2 2 6 2" xfId="332"/>
    <cellStyle name="Normal 3 2 2 7" xfId="333"/>
    <cellStyle name="Normal 3 2 2 7 2" xfId="334"/>
    <cellStyle name="Normal 3 2 2 8" xfId="335"/>
    <cellStyle name="Normal 3 2 2 8 2" xfId="336"/>
    <cellStyle name="Normal 3 2 2 9" xfId="337"/>
    <cellStyle name="Normal 3 2 2 9 2" xfId="338"/>
    <cellStyle name="Normal 3 2 3" xfId="339"/>
    <cellStyle name="Normal 3 2 3 2" xfId="340"/>
    <cellStyle name="Normal 3 2 3 2 2" xfId="341"/>
    <cellStyle name="Normal 3 2 3 2 2 2" xfId="342"/>
    <cellStyle name="Normal 3 2 3 2 3" xfId="343"/>
    <cellStyle name="Normal 3 2 3 2 3 2" xfId="344"/>
    <cellStyle name="Normal 3 2 3 2 4" xfId="345"/>
    <cellStyle name="Normal 3 2 3 2 4 2" xfId="346"/>
    <cellStyle name="Normal 3 2 3 2 5" xfId="347"/>
    <cellStyle name="Normal 3 2 3 2 5 2" xfId="348"/>
    <cellStyle name="Normal 3 2 3 2 6" xfId="349"/>
    <cellStyle name="Normal 3 2 3 3" xfId="350"/>
    <cellStyle name="Normal 3 2 3 3 2" xfId="351"/>
    <cellStyle name="Normal 3 2 3 3 2 2" xfId="352"/>
    <cellStyle name="Normal 3 2 3 3 3" xfId="353"/>
    <cellStyle name="Normal 3 2 3 3 3 2" xfId="354"/>
    <cellStyle name="Normal 3 2 3 3 4" xfId="355"/>
    <cellStyle name="Normal 3 2 3 3 4 2" xfId="356"/>
    <cellStyle name="Normal 3 2 3 3 5" xfId="357"/>
    <cellStyle name="Normal 3 2 3 3 5 2" xfId="358"/>
    <cellStyle name="Normal 3 2 3 3 6" xfId="359"/>
    <cellStyle name="Normal 3 2 3 4" xfId="360"/>
    <cellStyle name="Normal 3 2 3 4 2" xfId="361"/>
    <cellStyle name="Normal 3 2 3 5" xfId="362"/>
    <cellStyle name="Normal 3 2 3 5 2" xfId="363"/>
    <cellStyle name="Normal 3 2 3 6" xfId="364"/>
    <cellStyle name="Normal 3 2 3 6 2" xfId="365"/>
    <cellStyle name="Normal 3 2 3 7" xfId="366"/>
    <cellStyle name="Normal 3 2 3 7 2" xfId="367"/>
    <cellStyle name="Normal 3 2 3 8" xfId="368"/>
    <cellStyle name="Normal 3 2 4" xfId="369"/>
    <cellStyle name="Normal 3 2 4 2" xfId="370"/>
    <cellStyle name="Normal 3 2 4 2 2" xfId="371"/>
    <cellStyle name="Normal 3 2 4 2 2 2" xfId="372"/>
    <cellStyle name="Normal 3 2 4 2 3" xfId="373"/>
    <cellStyle name="Normal 3 2 4 2 3 2" xfId="374"/>
    <cellStyle name="Normal 3 2 4 2 4" xfId="375"/>
    <cellStyle name="Normal 3 2 4 2 4 2" xfId="376"/>
    <cellStyle name="Normal 3 2 4 2 5" xfId="377"/>
    <cellStyle name="Normal 3 2 4 2 5 2" xfId="378"/>
    <cellStyle name="Normal 3 2 4 2 6" xfId="379"/>
    <cellStyle name="Normal 3 2 4 3" xfId="380"/>
    <cellStyle name="Normal 3 2 4 3 2" xfId="381"/>
    <cellStyle name="Normal 3 2 4 3 2 2" xfId="382"/>
    <cellStyle name="Normal 3 2 4 3 3" xfId="383"/>
    <cellStyle name="Normal 3 2 4 3 3 2" xfId="384"/>
    <cellStyle name="Normal 3 2 4 3 4" xfId="385"/>
    <cellStyle name="Normal 3 2 4 3 4 2" xfId="386"/>
    <cellStyle name="Normal 3 2 4 3 5" xfId="387"/>
    <cellStyle name="Normal 3 2 4 3 5 2" xfId="388"/>
    <cellStyle name="Normal 3 2 4 3 6" xfId="389"/>
    <cellStyle name="Normal 3 2 4 4" xfId="390"/>
    <cellStyle name="Normal 3 2 4 4 2" xfId="391"/>
    <cellStyle name="Normal 3 2 4 5" xfId="392"/>
    <cellStyle name="Normal 3 2 4 5 2" xfId="393"/>
    <cellStyle name="Normal 3 2 4 6" xfId="394"/>
    <cellStyle name="Normal 3 2 4 6 2" xfId="395"/>
    <cellStyle name="Normal 3 2 4 7" xfId="396"/>
    <cellStyle name="Normal 3 2 4 7 2" xfId="397"/>
    <cellStyle name="Normal 3 2 4 8" xfId="398"/>
    <cellStyle name="Normal 3 2 5" xfId="399"/>
    <cellStyle name="Normal 3 2 5 2" xfId="400"/>
    <cellStyle name="Normal 3 2 5 2 2" xfId="401"/>
    <cellStyle name="Normal 3 2 5 2 2 2" xfId="402"/>
    <cellStyle name="Normal 3 2 5 2 3" xfId="403"/>
    <cellStyle name="Normal 3 2 5 2 3 2" xfId="404"/>
    <cellStyle name="Normal 3 2 5 2 4" xfId="405"/>
    <cellStyle name="Normal 3 2 5 2 4 2" xfId="406"/>
    <cellStyle name="Normal 3 2 5 2 5" xfId="407"/>
    <cellStyle name="Normal 3 2 5 2 5 2" xfId="408"/>
    <cellStyle name="Normal 3 2 5 2 6" xfId="409"/>
    <cellStyle name="Normal 3 2 5 3" xfId="410"/>
    <cellStyle name="Normal 3 2 5 3 2" xfId="411"/>
    <cellStyle name="Normal 3 2 5 3 2 2" xfId="412"/>
    <cellStyle name="Normal 3 2 5 3 3" xfId="413"/>
    <cellStyle name="Normal 3 2 5 3 3 2" xfId="414"/>
    <cellStyle name="Normal 3 2 5 3 4" xfId="415"/>
    <cellStyle name="Normal 3 2 5 3 4 2" xfId="416"/>
    <cellStyle name="Normal 3 2 5 3 5" xfId="417"/>
    <cellStyle name="Normal 3 2 5 3 5 2" xfId="418"/>
    <cellStyle name="Normal 3 2 5 3 6" xfId="419"/>
    <cellStyle name="Normal 3 2 5 4" xfId="420"/>
    <cellStyle name="Normal 3 2 5 4 2" xfId="421"/>
    <cellStyle name="Normal 3 2 5 5" xfId="422"/>
    <cellStyle name="Normal 3 2 5 5 2" xfId="423"/>
    <cellStyle name="Normal 3 2 5 6" xfId="424"/>
    <cellStyle name="Normal 3 2 5 6 2" xfId="425"/>
    <cellStyle name="Normal 3 2 5 7" xfId="426"/>
    <cellStyle name="Normal 3 2 5 7 2" xfId="427"/>
    <cellStyle name="Normal 3 2 5 8" xfId="428"/>
    <cellStyle name="Normal 3 2 6" xfId="429"/>
    <cellStyle name="Normal 3 2 6 2" xfId="430"/>
    <cellStyle name="Normal 3 2 6 2 2" xfId="431"/>
    <cellStyle name="Normal 3 2 6 2 2 2" xfId="432"/>
    <cellStyle name="Normal 3 2 6 2 3" xfId="433"/>
    <cellStyle name="Normal 3 2 6 2 3 2" xfId="434"/>
    <cellStyle name="Normal 3 2 6 2 4" xfId="435"/>
    <cellStyle name="Normal 3 2 6 2 4 2" xfId="436"/>
    <cellStyle name="Normal 3 2 6 2 5" xfId="437"/>
    <cellStyle name="Normal 3 2 6 2 5 2" xfId="438"/>
    <cellStyle name="Normal 3 2 6 2 6" xfId="439"/>
    <cellStyle name="Normal 3 2 6 3" xfId="440"/>
    <cellStyle name="Normal 3 2 6 3 2" xfId="441"/>
    <cellStyle name="Normal 3 2 6 3 2 2" xfId="442"/>
    <cellStyle name="Normal 3 2 6 3 3" xfId="443"/>
    <cellStyle name="Normal 3 2 6 3 3 2" xfId="444"/>
    <cellStyle name="Normal 3 2 6 3 4" xfId="445"/>
    <cellStyle name="Normal 3 2 6 3 4 2" xfId="446"/>
    <cellStyle name="Normal 3 2 6 3 5" xfId="447"/>
    <cellStyle name="Normal 3 2 6 3 5 2" xfId="448"/>
    <cellStyle name="Normal 3 2 6 3 6" xfId="449"/>
    <cellStyle name="Normal 3 2 6 4" xfId="450"/>
    <cellStyle name="Normal 3 2 6 4 2" xfId="451"/>
    <cellStyle name="Normal 3 2 6 5" xfId="452"/>
    <cellStyle name="Normal 3 2 6 5 2" xfId="453"/>
    <cellStyle name="Normal 3 2 6 6" xfId="454"/>
    <cellStyle name="Normal 3 2 6 6 2" xfId="455"/>
    <cellStyle name="Normal 3 2 6 7" xfId="456"/>
    <cellStyle name="Normal 3 2 6 7 2" xfId="457"/>
    <cellStyle name="Normal 3 2 6 8" xfId="458"/>
    <cellStyle name="Normal 3 2 7" xfId="459"/>
    <cellStyle name="Normal 3 2 7 2" xfId="460"/>
    <cellStyle name="Normal 3 2 7 2 2" xfId="461"/>
    <cellStyle name="Normal 3 2 7 2 2 2" xfId="462"/>
    <cellStyle name="Normal 3 2 7 2 3" xfId="463"/>
    <cellStyle name="Normal 3 2 7 2 3 2" xfId="464"/>
    <cellStyle name="Normal 3 2 7 2 4" xfId="465"/>
    <cellStyle name="Normal 3 2 7 2 4 2" xfId="466"/>
    <cellStyle name="Normal 3 2 7 2 5" xfId="467"/>
    <cellStyle name="Normal 3 2 7 2 5 2" xfId="468"/>
    <cellStyle name="Normal 3 2 7 2 6" xfId="469"/>
    <cellStyle name="Normal 3 2 7 3" xfId="470"/>
    <cellStyle name="Normal 3 2 7 3 2" xfId="471"/>
    <cellStyle name="Normal 3 2 7 3 2 2" xfId="472"/>
    <cellStyle name="Normal 3 2 7 3 3" xfId="473"/>
    <cellStyle name="Normal 3 2 7 3 3 2" xfId="474"/>
    <cellStyle name="Normal 3 2 7 3 4" xfId="475"/>
    <cellStyle name="Normal 3 2 7 3 4 2" xfId="476"/>
    <cellStyle name="Normal 3 2 7 3 5" xfId="477"/>
    <cellStyle name="Normal 3 2 7 3 5 2" xfId="478"/>
    <cellStyle name="Normal 3 2 7 3 6" xfId="479"/>
    <cellStyle name="Normal 3 2 7 4" xfId="480"/>
    <cellStyle name="Normal 3 2 7 4 2" xfId="481"/>
    <cellStyle name="Normal 3 2 7 5" xfId="482"/>
    <cellStyle name="Normal 3 2 7 5 2" xfId="483"/>
    <cellStyle name="Normal 3 2 7 6" xfId="484"/>
    <cellStyle name="Normal 3 2 7 6 2" xfId="485"/>
    <cellStyle name="Normal 3 2 7 7" xfId="486"/>
    <cellStyle name="Normal 3 2 7 7 2" xfId="487"/>
    <cellStyle name="Normal 3 2 7 8" xfId="488"/>
    <cellStyle name="Normal 3 2 8" xfId="489"/>
    <cellStyle name="Normal 3 2 8 2" xfId="490"/>
    <cellStyle name="Normal 3 2 8 2 2" xfId="491"/>
    <cellStyle name="Normal 3 2 8 2 2 2" xfId="492"/>
    <cellStyle name="Normal 3 2 8 2 3" xfId="493"/>
    <cellStyle name="Normal 3 2 8 2 3 2" xfId="494"/>
    <cellStyle name="Normal 3 2 8 2 4" xfId="495"/>
    <cellStyle name="Normal 3 2 8 2 4 2" xfId="496"/>
    <cellStyle name="Normal 3 2 8 2 5" xfId="497"/>
    <cellStyle name="Normal 3 2 8 2 5 2" xfId="498"/>
    <cellStyle name="Normal 3 2 8 2 6" xfId="499"/>
    <cellStyle name="Normal 3 2 8 3" xfId="500"/>
    <cellStyle name="Normal 3 2 8 3 2" xfId="501"/>
    <cellStyle name="Normal 3 2 8 3 2 2" xfId="502"/>
    <cellStyle name="Normal 3 2 8 3 3" xfId="503"/>
    <cellStyle name="Normal 3 2 8 3 3 2" xfId="504"/>
    <cellStyle name="Normal 3 2 8 3 4" xfId="505"/>
    <cellStyle name="Normal 3 2 8 3 4 2" xfId="506"/>
    <cellStyle name="Normal 3 2 8 3 5" xfId="507"/>
    <cellStyle name="Normal 3 2 8 3 5 2" xfId="508"/>
    <cellStyle name="Normal 3 2 8 3 6" xfId="509"/>
    <cellStyle name="Normal 3 2 8 4" xfId="510"/>
    <cellStyle name="Normal 3 2 8 4 2" xfId="511"/>
    <cellStyle name="Normal 3 2 8 5" xfId="512"/>
    <cellStyle name="Normal 3 2 8 5 2" xfId="513"/>
    <cellStyle name="Normal 3 2 8 6" xfId="514"/>
    <cellStyle name="Normal 3 2 8 6 2" xfId="515"/>
    <cellStyle name="Normal 3 2 8 7" xfId="516"/>
    <cellStyle name="Normal 3 2 8 7 2" xfId="517"/>
    <cellStyle name="Normal 3 2 8 8" xfId="518"/>
    <cellStyle name="Normal 3 2 9" xfId="519"/>
    <cellStyle name="Normal 3 2 9 2" xfId="520"/>
    <cellStyle name="Normal 3 2 9 2 2" xfId="521"/>
    <cellStyle name="Normal 3 2 9 3" xfId="522"/>
    <cellStyle name="Normal 3 2 9 3 2" xfId="523"/>
    <cellStyle name="Normal 3 2 9 4" xfId="524"/>
    <cellStyle name="Normal 3 2 9 4 2" xfId="525"/>
    <cellStyle name="Normal 3 2 9 5" xfId="526"/>
    <cellStyle name="Normal 3 2 9 5 2" xfId="527"/>
    <cellStyle name="Normal 3 2 9 6" xfId="528"/>
    <cellStyle name="Normal 3 3" xfId="529"/>
    <cellStyle name="Normal 3 3 10" xfId="530"/>
    <cellStyle name="Normal 3 3 2" xfId="531"/>
    <cellStyle name="Normal 3 3 2 2" xfId="532"/>
    <cellStyle name="Normal 3 3 2 2 2" xfId="533"/>
    <cellStyle name="Normal 3 3 2 2 2 2" xfId="534"/>
    <cellStyle name="Normal 3 3 2 2 3" xfId="535"/>
    <cellStyle name="Normal 3 3 2 2 3 2" xfId="536"/>
    <cellStyle name="Normal 3 3 2 2 4" xfId="537"/>
    <cellStyle name="Normal 3 3 2 2 4 2" xfId="538"/>
    <cellStyle name="Normal 3 3 2 2 5" xfId="539"/>
    <cellStyle name="Normal 3 3 2 2 5 2" xfId="540"/>
    <cellStyle name="Normal 3 3 2 2 6" xfId="541"/>
    <cellStyle name="Normal 3 3 2 2 7" xfId="542"/>
    <cellStyle name="Normal 3 3 2 3" xfId="543"/>
    <cellStyle name="Normal 3 3 2 3 2" xfId="544"/>
    <cellStyle name="Normal 3 3 2 3 2 2" xfId="545"/>
    <cellStyle name="Normal 3 3 2 3 3" xfId="546"/>
    <cellStyle name="Normal 3 3 2 3 3 2" xfId="547"/>
    <cellStyle name="Normal 3 3 2 3 4" xfId="548"/>
    <cellStyle name="Normal 3 3 2 3 4 2" xfId="549"/>
    <cellStyle name="Normal 3 3 2 3 5" xfId="550"/>
    <cellStyle name="Normal 3 3 2 3 5 2" xfId="551"/>
    <cellStyle name="Normal 3 3 2 3 6" xfId="552"/>
    <cellStyle name="Normal 3 3 2 4" xfId="553"/>
    <cellStyle name="Normal 3 3 2 4 2" xfId="554"/>
    <cellStyle name="Normal 3 3 2 5" xfId="555"/>
    <cellStyle name="Normal 3 3 2 5 2" xfId="556"/>
    <cellStyle name="Normal 3 3 2 6" xfId="557"/>
    <cellStyle name="Normal 3 3 2 6 2" xfId="558"/>
    <cellStyle name="Normal 3 3 2 7" xfId="559"/>
    <cellStyle name="Normal 3 3 2 7 2" xfId="560"/>
    <cellStyle name="Normal 3 3 2 8" xfId="561"/>
    <cellStyle name="Normal 3 3 2 9" xfId="562"/>
    <cellStyle name="Normal 3 3 3" xfId="563"/>
    <cellStyle name="Normal 3 3 3 2" xfId="564"/>
    <cellStyle name="Normal 3 3 3 2 2" xfId="565"/>
    <cellStyle name="Normal 3 3 3 2 2 2" xfId="566"/>
    <cellStyle name="Normal 3 3 3 2 3" xfId="567"/>
    <cellStyle name="Normal 3 3 3 2 3 2" xfId="568"/>
    <cellStyle name="Normal 3 3 3 2 4" xfId="569"/>
    <cellStyle name="Normal 3 3 3 2 4 2" xfId="570"/>
    <cellStyle name="Normal 3 3 3 2 5" xfId="571"/>
    <cellStyle name="Normal 3 3 3 2 5 2" xfId="572"/>
    <cellStyle name="Normal 3 3 3 2 6" xfId="573"/>
    <cellStyle name="Normal 3 3 3 3" xfId="574"/>
    <cellStyle name="Normal 3 3 3 3 2" xfId="575"/>
    <cellStyle name="Normal 3 3 3 3 2 2" xfId="576"/>
    <cellStyle name="Normal 3 3 3 3 3" xfId="577"/>
    <cellStyle name="Normal 3 3 3 3 3 2" xfId="578"/>
    <cellStyle name="Normal 3 3 3 3 4" xfId="579"/>
    <cellStyle name="Normal 3 3 3 3 4 2" xfId="580"/>
    <cellStyle name="Normal 3 3 3 3 5" xfId="581"/>
    <cellStyle name="Normal 3 3 3 3 5 2" xfId="582"/>
    <cellStyle name="Normal 3 3 3 3 6" xfId="583"/>
    <cellStyle name="Normal 3 3 3 4" xfId="584"/>
    <cellStyle name="Normal 3 3 3 4 2" xfId="585"/>
    <cellStyle name="Normal 3 3 3 5" xfId="586"/>
    <cellStyle name="Normal 3 3 3 5 2" xfId="587"/>
    <cellStyle name="Normal 3 3 3 6" xfId="588"/>
    <cellStyle name="Normal 3 3 3 6 2" xfId="589"/>
    <cellStyle name="Normal 3 3 3 7" xfId="590"/>
    <cellStyle name="Normal 3 3 3 7 2" xfId="591"/>
    <cellStyle name="Normal 3 3 3 8" xfId="592"/>
    <cellStyle name="Normal 3 3 4" xfId="593"/>
    <cellStyle name="Normal 3 3 4 2" xfId="594"/>
    <cellStyle name="Normal 3 3 4 2 2" xfId="595"/>
    <cellStyle name="Normal 3 3 4 3" xfId="596"/>
    <cellStyle name="Normal 3 3 4 3 2" xfId="597"/>
    <cellStyle name="Normal 3 3 4 4" xfId="598"/>
    <cellStyle name="Normal 3 3 4 4 2" xfId="599"/>
    <cellStyle name="Normal 3 3 4 5" xfId="600"/>
    <cellStyle name="Normal 3 3 4 5 2" xfId="601"/>
    <cellStyle name="Normal 3 3 4 6" xfId="602"/>
    <cellStyle name="Normal 3 3 5" xfId="603"/>
    <cellStyle name="Normal 3 3 5 2" xfId="604"/>
    <cellStyle name="Normal 3 3 5 2 2" xfId="605"/>
    <cellStyle name="Normal 3 3 5 3" xfId="606"/>
    <cellStyle name="Normal 3 3 5 3 2" xfId="607"/>
    <cellStyle name="Normal 3 3 5 4" xfId="608"/>
    <cellStyle name="Normal 3 3 5 4 2" xfId="609"/>
    <cellStyle name="Normal 3 3 5 5" xfId="610"/>
    <cellStyle name="Normal 3 3 5 5 2" xfId="611"/>
    <cellStyle name="Normal 3 3 5 6" xfId="612"/>
    <cellStyle name="Normal 3 3 6" xfId="613"/>
    <cellStyle name="Normal 3 3 6 2" xfId="614"/>
    <cellStyle name="Normal 3 3 7" xfId="615"/>
    <cellStyle name="Normal 3 3 7 2" xfId="616"/>
    <cellStyle name="Normal 3 3 8" xfId="617"/>
    <cellStyle name="Normal 3 3 8 2" xfId="618"/>
    <cellStyle name="Normal 3 3 9" xfId="619"/>
    <cellStyle name="Normal 3 3 9 2" xfId="620"/>
    <cellStyle name="Normal 3 4" xfId="621"/>
    <cellStyle name="Normal 3 4 2" xfId="622"/>
    <cellStyle name="Normal 3 4 2 2" xfId="623"/>
    <cellStyle name="Normal 3 4 2 2 2" xfId="624"/>
    <cellStyle name="Normal 3 4 2 3" xfId="625"/>
    <cellStyle name="Normal 3 4 2 3 2" xfId="626"/>
    <cellStyle name="Normal 3 4 2 4" xfId="627"/>
    <cellStyle name="Normal 3 4 2 4 2" xfId="628"/>
    <cellStyle name="Normal 3 4 2 5" xfId="629"/>
    <cellStyle name="Normal 3 4 2 5 2" xfId="630"/>
    <cellStyle name="Normal 3 4 2 6" xfId="631"/>
    <cellStyle name="Normal 3 4 3" xfId="632"/>
    <cellStyle name="Normal 3 4 3 2" xfId="633"/>
    <cellStyle name="Normal 3 4 3 2 2" xfId="634"/>
    <cellStyle name="Normal 3 4 3 3" xfId="635"/>
    <cellStyle name="Normal 3 4 3 3 2" xfId="636"/>
    <cellStyle name="Normal 3 4 3 4" xfId="637"/>
    <cellStyle name="Normal 3 4 3 4 2" xfId="638"/>
    <cellStyle name="Normal 3 4 3 5" xfId="639"/>
    <cellStyle name="Normal 3 4 3 5 2" xfId="640"/>
    <cellStyle name="Normal 3 4 3 6" xfId="641"/>
    <cellStyle name="Normal 3 4 4" xfId="642"/>
    <cellStyle name="Normal 3 4 4 2" xfId="643"/>
    <cellStyle name="Normal 3 4 5" xfId="644"/>
    <cellStyle name="Normal 3 4 5 2" xfId="645"/>
    <cellStyle name="Normal 3 4 6" xfId="646"/>
    <cellStyle name="Normal 3 4 6 2" xfId="647"/>
    <cellStyle name="Normal 3 4 7" xfId="648"/>
    <cellStyle name="Normal 3 4 7 2" xfId="649"/>
    <cellStyle name="Normal 3 4 8" xfId="650"/>
    <cellStyle name="Normal 3 5" xfId="651"/>
    <cellStyle name="Normal 3 5 2" xfId="652"/>
    <cellStyle name="Normal 3 5 2 2" xfId="653"/>
    <cellStyle name="Normal 3 5 2 2 2" xfId="654"/>
    <cellStyle name="Normal 3 5 2 3" xfId="655"/>
    <cellStyle name="Normal 3 5 2 3 2" xfId="656"/>
    <cellStyle name="Normal 3 5 2 4" xfId="657"/>
    <cellStyle name="Normal 3 5 2 4 2" xfId="658"/>
    <cellStyle name="Normal 3 5 2 5" xfId="659"/>
    <cellStyle name="Normal 3 5 2 5 2" xfId="660"/>
    <cellStyle name="Normal 3 5 2 6" xfId="661"/>
    <cellStyle name="Normal 3 5 3" xfId="662"/>
    <cellStyle name="Normal 3 5 3 2" xfId="663"/>
    <cellStyle name="Normal 3 5 3 2 2" xfId="664"/>
    <cellStyle name="Normal 3 5 3 3" xfId="665"/>
    <cellStyle name="Normal 3 5 3 3 2" xfId="666"/>
    <cellStyle name="Normal 3 5 3 4" xfId="667"/>
    <cellStyle name="Normal 3 5 3 4 2" xfId="668"/>
    <cellStyle name="Normal 3 5 3 5" xfId="669"/>
    <cellStyle name="Normal 3 5 3 5 2" xfId="670"/>
    <cellStyle name="Normal 3 5 3 6" xfId="671"/>
    <cellStyle name="Normal 3 5 4" xfId="672"/>
    <cellStyle name="Normal 3 5 4 2" xfId="673"/>
    <cellStyle name="Normal 3 5 5" xfId="674"/>
    <cellStyle name="Normal 3 5 5 2" xfId="675"/>
    <cellStyle name="Normal 3 5 6" xfId="676"/>
    <cellStyle name="Normal 3 5 6 2" xfId="677"/>
    <cellStyle name="Normal 3 5 7" xfId="678"/>
    <cellStyle name="Normal 3 5 7 2" xfId="679"/>
    <cellStyle name="Normal 3 5 8" xfId="680"/>
    <cellStyle name="Normal 3 6" xfId="681"/>
    <cellStyle name="Normal 3 6 2" xfId="682"/>
    <cellStyle name="Normal 3 6 2 2" xfId="683"/>
    <cellStyle name="Normal 3 6 2 2 2" xfId="684"/>
    <cellStyle name="Normal 3 6 2 3" xfId="685"/>
    <cellStyle name="Normal 3 6 2 3 2" xfId="686"/>
    <cellStyle name="Normal 3 6 2 4" xfId="687"/>
    <cellStyle name="Normal 3 6 2 4 2" xfId="688"/>
    <cellStyle name="Normal 3 6 2 5" xfId="689"/>
    <cellStyle name="Normal 3 6 2 5 2" xfId="690"/>
    <cellStyle name="Normal 3 6 2 6" xfId="691"/>
    <cellStyle name="Normal 3 6 3" xfId="692"/>
    <cellStyle name="Normal 3 6 3 2" xfId="693"/>
    <cellStyle name="Normal 3 6 3 2 2" xfId="694"/>
    <cellStyle name="Normal 3 6 3 3" xfId="695"/>
    <cellStyle name="Normal 3 6 3 3 2" xfId="696"/>
    <cellStyle name="Normal 3 6 3 4" xfId="697"/>
    <cellStyle name="Normal 3 6 3 4 2" xfId="698"/>
    <cellStyle name="Normal 3 6 3 5" xfId="699"/>
    <cellStyle name="Normal 3 6 3 5 2" xfId="700"/>
    <cellStyle name="Normal 3 6 3 6" xfId="701"/>
    <cellStyle name="Normal 3 6 4" xfId="702"/>
    <cellStyle name="Normal 3 6 4 2" xfId="703"/>
    <cellStyle name="Normal 3 6 5" xfId="704"/>
    <cellStyle name="Normal 3 6 5 2" xfId="705"/>
    <cellStyle name="Normal 3 6 6" xfId="706"/>
    <cellStyle name="Normal 3 6 6 2" xfId="707"/>
    <cellStyle name="Normal 3 6 7" xfId="708"/>
    <cellStyle name="Normal 3 6 7 2" xfId="709"/>
    <cellStyle name="Normal 3 6 8" xfId="710"/>
    <cellStyle name="Normal 3 7" xfId="711"/>
    <cellStyle name="Normal 3 7 2" xfId="712"/>
    <cellStyle name="Normal 3 7 2 2" xfId="713"/>
    <cellStyle name="Normal 3 7 2 2 2" xfId="714"/>
    <cellStyle name="Normal 3 7 2 3" xfId="715"/>
    <cellStyle name="Normal 3 7 2 3 2" xfId="716"/>
    <cellStyle name="Normal 3 7 2 4" xfId="717"/>
    <cellStyle name="Normal 3 7 2 4 2" xfId="718"/>
    <cellStyle name="Normal 3 7 2 5" xfId="719"/>
    <cellStyle name="Normal 3 7 2 5 2" xfId="720"/>
    <cellStyle name="Normal 3 7 2 6" xfId="721"/>
    <cellStyle name="Normal 3 7 3" xfId="722"/>
    <cellStyle name="Normal 3 7 3 2" xfId="723"/>
    <cellStyle name="Normal 3 7 3 2 2" xfId="724"/>
    <cellStyle name="Normal 3 7 3 3" xfId="725"/>
    <cellStyle name="Normal 3 7 3 3 2" xfId="726"/>
    <cellStyle name="Normal 3 7 3 4" xfId="727"/>
    <cellStyle name="Normal 3 7 3 4 2" xfId="728"/>
    <cellStyle name="Normal 3 7 3 5" xfId="729"/>
    <cellStyle name="Normal 3 7 3 5 2" xfId="730"/>
    <cellStyle name="Normal 3 7 3 6" xfId="731"/>
    <cellStyle name="Normal 3 7 4" xfId="732"/>
    <cellStyle name="Normal 3 7 4 2" xfId="733"/>
    <cellStyle name="Normal 3 7 5" xfId="734"/>
    <cellStyle name="Normal 3 7 5 2" xfId="735"/>
    <cellStyle name="Normal 3 7 6" xfId="736"/>
    <cellStyle name="Normal 3 7 6 2" xfId="737"/>
    <cellStyle name="Normal 3 7 7" xfId="738"/>
    <cellStyle name="Normal 3 7 7 2" xfId="739"/>
    <cellStyle name="Normal 3 7 8" xfId="740"/>
    <cellStyle name="Normal 3 8" xfId="741"/>
    <cellStyle name="Normal 3 8 2" xfId="742"/>
    <cellStyle name="Normal 3 8 2 2" xfId="743"/>
    <cellStyle name="Normal 3 8 2 2 2" xfId="744"/>
    <cellStyle name="Normal 3 8 2 3" xfId="745"/>
    <cellStyle name="Normal 3 8 2 3 2" xfId="746"/>
    <cellStyle name="Normal 3 8 2 4" xfId="747"/>
    <cellStyle name="Normal 3 8 2 4 2" xfId="748"/>
    <cellStyle name="Normal 3 8 2 5" xfId="749"/>
    <cellStyle name="Normal 3 8 2 5 2" xfId="750"/>
    <cellStyle name="Normal 3 8 2 6" xfId="751"/>
    <cellStyle name="Normal 3 8 3" xfId="752"/>
    <cellStyle name="Normal 3 8 3 2" xfId="753"/>
    <cellStyle name="Normal 3 8 3 2 2" xfId="754"/>
    <cellStyle name="Normal 3 8 3 3" xfId="755"/>
    <cellStyle name="Normal 3 8 3 3 2" xfId="756"/>
    <cellStyle name="Normal 3 8 3 4" xfId="757"/>
    <cellStyle name="Normal 3 8 3 4 2" xfId="758"/>
    <cellStyle name="Normal 3 8 3 5" xfId="759"/>
    <cellStyle name="Normal 3 8 3 5 2" xfId="760"/>
    <cellStyle name="Normal 3 8 3 6" xfId="761"/>
    <cellStyle name="Normal 3 8 4" xfId="762"/>
    <cellStyle name="Normal 3 8 4 2" xfId="763"/>
    <cellStyle name="Normal 3 8 5" xfId="764"/>
    <cellStyle name="Normal 3 8 5 2" xfId="765"/>
    <cellStyle name="Normal 3 8 6" xfId="766"/>
    <cellStyle name="Normal 3 8 6 2" xfId="767"/>
    <cellStyle name="Normal 3 8 7" xfId="768"/>
    <cellStyle name="Normal 3 8 7 2" xfId="769"/>
    <cellStyle name="Normal 3 8 8" xfId="770"/>
    <cellStyle name="Normal 3 9" xfId="771"/>
    <cellStyle name="Normal 3 9 2" xfId="772"/>
    <cellStyle name="Normal 3 9 2 2" xfId="773"/>
    <cellStyle name="Normal 3 9 2 2 2" xfId="774"/>
    <cellStyle name="Normal 3 9 2 3" xfId="775"/>
    <cellStyle name="Normal 3 9 2 3 2" xfId="776"/>
    <cellStyle name="Normal 3 9 2 4" xfId="777"/>
    <cellStyle name="Normal 3 9 2 4 2" xfId="778"/>
    <cellStyle name="Normal 3 9 2 5" xfId="779"/>
    <cellStyle name="Normal 3 9 2 5 2" xfId="780"/>
    <cellStyle name="Normal 3 9 2 6" xfId="781"/>
    <cellStyle name="Normal 3 9 3" xfId="782"/>
    <cellStyle name="Normal 3 9 3 2" xfId="783"/>
    <cellStyle name="Normal 3 9 3 2 2" xfId="784"/>
    <cellStyle name="Normal 3 9 3 3" xfId="785"/>
    <cellStyle name="Normal 3 9 3 3 2" xfId="786"/>
    <cellStyle name="Normal 3 9 3 4" xfId="787"/>
    <cellStyle name="Normal 3 9 3 4 2" xfId="788"/>
    <cellStyle name="Normal 3 9 3 5" xfId="789"/>
    <cellStyle name="Normal 3 9 3 5 2" xfId="790"/>
    <cellStyle name="Normal 3 9 3 6" xfId="791"/>
    <cellStyle name="Normal 3 9 4" xfId="792"/>
    <cellStyle name="Normal 3 9 4 2" xfId="793"/>
    <cellStyle name="Normal 3 9 5" xfId="794"/>
    <cellStyle name="Normal 3 9 5 2" xfId="795"/>
    <cellStyle name="Normal 3 9 6" xfId="796"/>
    <cellStyle name="Normal 3 9 6 2" xfId="797"/>
    <cellStyle name="Normal 3 9 7" xfId="798"/>
    <cellStyle name="Normal 3 9 7 2" xfId="799"/>
    <cellStyle name="Normal 3 9 8" xfId="800"/>
    <cellStyle name="Normal 4" xfId="801"/>
    <cellStyle name="Normal 4 10" xfId="802"/>
    <cellStyle name="Normal 4 10 2" xfId="803"/>
    <cellStyle name="Normal 4 11" xfId="804"/>
    <cellStyle name="Normal 4 11 2" xfId="805"/>
    <cellStyle name="Normal 4 12" xfId="806"/>
    <cellStyle name="Normal 4 2" xfId="807"/>
    <cellStyle name="Normal 4 2 2" xfId="808"/>
    <cellStyle name="Normal 4 2 2 2" xfId="809"/>
    <cellStyle name="Normal 4 2 2 2 2" xfId="810"/>
    <cellStyle name="Normal 4 2 2 3" xfId="811"/>
    <cellStyle name="Normal 4 2 2 3 2" xfId="812"/>
    <cellStyle name="Normal 4 2 2 4" xfId="813"/>
    <cellStyle name="Normal 4 2 2 4 2" xfId="814"/>
    <cellStyle name="Normal 4 2 2 5" xfId="815"/>
    <cellStyle name="Normal 4 2 2 5 2" xfId="816"/>
    <cellStyle name="Normal 4 2 2 6" xfId="817"/>
    <cellStyle name="Normal 4 2 3" xfId="818"/>
    <cellStyle name="Normal 4 2 3 2" xfId="819"/>
    <cellStyle name="Normal 4 2 3 2 2" xfId="820"/>
    <cellStyle name="Normal 4 2 3 3" xfId="821"/>
    <cellStyle name="Normal 4 2 3 3 2" xfId="822"/>
    <cellStyle name="Normal 4 2 3 4" xfId="823"/>
    <cellStyle name="Normal 4 2 3 4 2" xfId="824"/>
    <cellStyle name="Normal 4 2 3 5" xfId="825"/>
    <cellStyle name="Normal 4 2 3 5 2" xfId="826"/>
    <cellStyle name="Normal 4 2 3 6" xfId="827"/>
    <cellStyle name="Normal 4 2 4" xfId="828"/>
    <cellStyle name="Normal 4 2 4 2" xfId="829"/>
    <cellStyle name="Normal 4 2 5" xfId="830"/>
    <cellStyle name="Normal 4 2 5 2" xfId="831"/>
    <cellStyle name="Normal 4 2 6" xfId="832"/>
    <cellStyle name="Normal 4 2 6 2" xfId="833"/>
    <cellStyle name="Normal 4 2 7" xfId="834"/>
    <cellStyle name="Normal 4 2 7 2" xfId="835"/>
    <cellStyle name="Normal 4 2 8" xfId="836"/>
    <cellStyle name="Normal 4 3" xfId="837"/>
    <cellStyle name="Normal 4 3 2" xfId="838"/>
    <cellStyle name="Normal 4 3 2 2" xfId="839"/>
    <cellStyle name="Normal 4 3 2 2 2" xfId="840"/>
    <cellStyle name="Normal 4 3 2 3" xfId="841"/>
    <cellStyle name="Normal 4 3 2 3 2" xfId="842"/>
    <cellStyle name="Normal 4 3 2 4" xfId="843"/>
    <cellStyle name="Normal 4 3 2 4 2" xfId="844"/>
    <cellStyle name="Normal 4 3 2 5" xfId="845"/>
    <cellStyle name="Normal 4 3 2 5 2" xfId="846"/>
    <cellStyle name="Normal 4 3 2 6" xfId="847"/>
    <cellStyle name="Normal 4 3 3" xfId="848"/>
    <cellStyle name="Normal 4 3 3 2" xfId="849"/>
    <cellStyle name="Normal 4 3 3 2 2" xfId="850"/>
    <cellStyle name="Normal 4 3 3 3" xfId="851"/>
    <cellStyle name="Normal 4 3 3 3 2" xfId="852"/>
    <cellStyle name="Normal 4 3 3 4" xfId="853"/>
    <cellStyle name="Normal 4 3 3 4 2" xfId="854"/>
    <cellStyle name="Normal 4 3 3 5" xfId="855"/>
    <cellStyle name="Normal 4 3 3 5 2" xfId="856"/>
    <cellStyle name="Normal 4 3 3 6" xfId="857"/>
    <cellStyle name="Normal 4 3 4" xfId="858"/>
    <cellStyle name="Normal 4 3 4 2" xfId="859"/>
    <cellStyle name="Normal 4 3 5" xfId="860"/>
    <cellStyle name="Normal 4 3 5 2" xfId="861"/>
    <cellStyle name="Normal 4 3 6" xfId="862"/>
    <cellStyle name="Normal 4 3 6 2" xfId="863"/>
    <cellStyle name="Normal 4 3 7" xfId="864"/>
    <cellStyle name="Normal 4 3 7 2" xfId="865"/>
    <cellStyle name="Normal 4 3 8" xfId="866"/>
    <cellStyle name="Normal 4 4" xfId="867"/>
    <cellStyle name="Normal 4 4 2" xfId="868"/>
    <cellStyle name="Normal 4 5" xfId="869"/>
    <cellStyle name="Normal 4 5 2" xfId="870"/>
    <cellStyle name="Normal 4 5 2 2" xfId="871"/>
    <cellStyle name="Normal 4 5 3" xfId="872"/>
    <cellStyle name="Normal 4 5 3 2" xfId="873"/>
    <cellStyle name="Normal 4 5 4" xfId="874"/>
    <cellStyle name="Normal 4 5 4 2" xfId="875"/>
    <cellStyle name="Normal 4 5 5" xfId="876"/>
    <cellStyle name="Normal 4 5 5 2" xfId="877"/>
    <cellStyle name="Normal 4 5 6" xfId="878"/>
    <cellStyle name="Normal 4 6" xfId="879"/>
    <cellStyle name="Normal 4 6 2" xfId="880"/>
    <cellStyle name="Normal 4 6 2 2" xfId="881"/>
    <cellStyle name="Normal 4 6 3" xfId="882"/>
    <cellStyle name="Normal 4 6 3 2" xfId="883"/>
    <cellStyle name="Normal 4 6 4" xfId="884"/>
    <cellStyle name="Normal 4 6 4 2" xfId="885"/>
    <cellStyle name="Normal 4 6 5" xfId="886"/>
    <cellStyle name="Normal 4 6 5 2" xfId="887"/>
    <cellStyle name="Normal 4 6 6" xfId="888"/>
    <cellStyle name="Normal 4 7" xfId="889"/>
    <cellStyle name="Normal 4 7 2" xfId="890"/>
    <cellStyle name="Normal 4 8" xfId="891"/>
    <cellStyle name="Normal 4 8 2" xfId="892"/>
    <cellStyle name="Normal 4 9" xfId="893"/>
    <cellStyle name="Normal 4 9 2" xfId="894"/>
    <cellStyle name="Normal 5" xfId="895"/>
    <cellStyle name="Normal 5 10" xfId="896"/>
    <cellStyle name="Normal 5 2" xfId="897"/>
    <cellStyle name="Normal 5 2 2" xfId="898"/>
    <cellStyle name="Normal 5 2 2 2" xfId="899"/>
    <cellStyle name="Normal 5 2 2 2 2" xfId="900"/>
    <cellStyle name="Normal 5 2 2 2 2 2" xfId="901"/>
    <cellStyle name="Normal 5 2 2 2 3" xfId="902"/>
    <cellStyle name="Normal 5 2 2 2 3 2" xfId="903"/>
    <cellStyle name="Normal 5 2 2 2 4" xfId="904"/>
    <cellStyle name="Normal 5 2 2 2 4 2" xfId="905"/>
    <cellStyle name="Normal 5 2 2 2 5" xfId="906"/>
    <cellStyle name="Normal 5 2 2 2 5 2" xfId="907"/>
    <cellStyle name="Normal 5 2 2 2 6" xfId="908"/>
    <cellStyle name="Normal 5 2 2 3" xfId="909"/>
    <cellStyle name="Normal 5 2 2 3 2" xfId="910"/>
    <cellStyle name="Normal 5 2 2 3 2 2" xfId="911"/>
    <cellStyle name="Normal 5 2 2 3 3" xfId="912"/>
    <cellStyle name="Normal 5 2 2 3 3 2" xfId="913"/>
    <cellStyle name="Normal 5 2 2 3 4" xfId="914"/>
    <cellStyle name="Normal 5 2 2 3 4 2" xfId="915"/>
    <cellStyle name="Normal 5 2 2 3 5" xfId="916"/>
    <cellStyle name="Normal 5 2 2 3 5 2" xfId="917"/>
    <cellStyle name="Normal 5 2 2 3 6" xfId="918"/>
    <cellStyle name="Normal 5 2 2 4" xfId="919"/>
    <cellStyle name="Normal 5 2 2 4 2" xfId="920"/>
    <cellStyle name="Normal 5 2 2 5" xfId="921"/>
    <cellStyle name="Normal 5 2 2 5 2" xfId="922"/>
    <cellStyle name="Normal 5 2 2 6" xfId="923"/>
    <cellStyle name="Normal 5 2 2 6 2" xfId="924"/>
    <cellStyle name="Normal 5 2 2 7" xfId="925"/>
    <cellStyle name="Normal 5 2 2 7 2" xfId="926"/>
    <cellStyle name="Normal 5 2 2 8" xfId="927"/>
    <cellStyle name="Normal 5 2 3" xfId="928"/>
    <cellStyle name="Normal 5 2 3 2" xfId="929"/>
    <cellStyle name="Normal 5 2 3 2 2" xfId="930"/>
    <cellStyle name="Normal 5 2 3 3" xfId="931"/>
    <cellStyle name="Normal 5 2 3 3 2" xfId="932"/>
    <cellStyle name="Normal 5 2 3 4" xfId="933"/>
    <cellStyle name="Normal 5 2 3 4 2" xfId="934"/>
    <cellStyle name="Normal 5 2 3 5" xfId="935"/>
    <cellStyle name="Normal 5 2 3 5 2" xfId="936"/>
    <cellStyle name="Normal 5 2 3 6" xfId="937"/>
    <cellStyle name="Normal 5 2 4" xfId="938"/>
    <cellStyle name="Normal 5 2 4 2" xfId="939"/>
    <cellStyle name="Normal 5 2 4 2 2" xfId="940"/>
    <cellStyle name="Normal 5 2 4 3" xfId="941"/>
    <cellStyle name="Normal 5 2 4 3 2" xfId="942"/>
    <cellStyle name="Normal 5 2 4 4" xfId="943"/>
    <cellStyle name="Normal 5 2 4 4 2" xfId="944"/>
    <cellStyle name="Normal 5 2 4 5" xfId="945"/>
    <cellStyle name="Normal 5 2 4 5 2" xfId="946"/>
    <cellStyle name="Normal 5 2 4 6" xfId="947"/>
    <cellStyle name="Normal 5 2 5" xfId="948"/>
    <cellStyle name="Normal 5 2 5 2" xfId="949"/>
    <cellStyle name="Normal 5 2 6" xfId="950"/>
    <cellStyle name="Normal 5 2 6 2" xfId="951"/>
    <cellStyle name="Normal 5 2 7" xfId="952"/>
    <cellStyle name="Normal 5 2 7 2" xfId="953"/>
    <cellStyle name="Normal 5 2 8" xfId="954"/>
    <cellStyle name="Normal 5 2 8 2" xfId="955"/>
    <cellStyle name="Normal 5 2 9" xfId="956"/>
    <cellStyle name="Normal 5 3" xfId="957"/>
    <cellStyle name="Normal 5 3 2" xfId="958"/>
    <cellStyle name="Normal 5 3 2 2" xfId="959"/>
    <cellStyle name="Normal 5 3 2 2 2" xfId="960"/>
    <cellStyle name="Normal 5 3 2 3" xfId="961"/>
    <cellStyle name="Normal 5 3 2 3 2" xfId="962"/>
    <cellStyle name="Normal 5 3 2 4" xfId="963"/>
    <cellStyle name="Normal 5 3 2 4 2" xfId="964"/>
    <cellStyle name="Normal 5 3 2 5" xfId="965"/>
    <cellStyle name="Normal 5 3 2 5 2" xfId="966"/>
    <cellStyle name="Normal 5 3 2 6" xfId="967"/>
    <cellStyle name="Normal 5 3 3" xfId="968"/>
    <cellStyle name="Normal 5 3 3 2" xfId="969"/>
    <cellStyle name="Normal 5 3 3 2 2" xfId="970"/>
    <cellStyle name="Normal 5 3 3 3" xfId="971"/>
    <cellStyle name="Normal 5 3 3 3 2" xfId="972"/>
    <cellStyle name="Normal 5 3 3 4" xfId="973"/>
    <cellStyle name="Normal 5 3 3 4 2" xfId="974"/>
    <cellStyle name="Normal 5 3 3 5" xfId="975"/>
    <cellStyle name="Normal 5 3 3 5 2" xfId="976"/>
    <cellStyle name="Normal 5 3 3 6" xfId="977"/>
    <cellStyle name="Normal 5 3 4" xfId="978"/>
    <cellStyle name="Normal 5 3 4 2" xfId="979"/>
    <cellStyle name="Normal 5 3 5" xfId="980"/>
    <cellStyle name="Normal 5 3 5 2" xfId="981"/>
    <cellStyle name="Normal 5 3 6" xfId="982"/>
    <cellStyle name="Normal 5 3 6 2" xfId="983"/>
    <cellStyle name="Normal 5 3 7" xfId="984"/>
    <cellStyle name="Normal 5 3 7 2" xfId="985"/>
    <cellStyle name="Normal 5 3 8" xfId="986"/>
    <cellStyle name="Normal 5 4" xfId="987"/>
    <cellStyle name="Normal 5 4 2" xfId="988"/>
    <cellStyle name="Normal 5 4 2 2" xfId="989"/>
    <cellStyle name="Normal 5 4 3" xfId="990"/>
    <cellStyle name="Normal 5 4 3 2" xfId="991"/>
    <cellStyle name="Normal 5 4 4" xfId="992"/>
    <cellStyle name="Normal 5 4 4 2" xfId="993"/>
    <cellStyle name="Normal 5 4 5" xfId="994"/>
    <cellStyle name="Normal 5 4 5 2" xfId="995"/>
    <cellStyle name="Normal 5 4 6" xfId="996"/>
    <cellStyle name="Normal 5 5" xfId="997"/>
    <cellStyle name="Normal 5 5 2" xfId="998"/>
    <cellStyle name="Normal 5 5 2 2" xfId="999"/>
    <cellStyle name="Normal 5 5 3" xfId="1000"/>
    <cellStyle name="Normal 5 5 3 2" xfId="1001"/>
    <cellStyle name="Normal 5 5 4" xfId="1002"/>
    <cellStyle name="Normal 5 5 4 2" xfId="1003"/>
    <cellStyle name="Normal 5 5 5" xfId="1004"/>
    <cellStyle name="Normal 5 5 5 2" xfId="1005"/>
    <cellStyle name="Normal 5 5 6" xfId="1006"/>
    <cellStyle name="Normal 5 6" xfId="1007"/>
    <cellStyle name="Normal 5 6 2" xfId="1008"/>
    <cellStyle name="Normal 5 7" xfId="1009"/>
    <cellStyle name="Normal 5 7 2" xfId="1010"/>
    <cellStyle name="Normal 5 8" xfId="1011"/>
    <cellStyle name="Normal 5 8 2" xfId="1012"/>
    <cellStyle name="Normal 5 9" xfId="1013"/>
    <cellStyle name="Normal 5 9 2" xfId="1014"/>
    <cellStyle name="Normal 6" xfId="1015"/>
    <cellStyle name="Normal 6 2" xfId="1016"/>
    <cellStyle name="Normal 7" xfId="1017"/>
    <cellStyle name="Normal 7 2" xfId="1018"/>
    <cellStyle name="Normal 7 2 2" xfId="1019"/>
    <cellStyle name="Normal 7 2 2 2" xfId="1020"/>
    <cellStyle name="Normal 7 2 2 2 2" xfId="1021"/>
    <cellStyle name="Normal 7 2 2 3" xfId="1022"/>
    <cellStyle name="Normal 7 2 2 3 2" xfId="1023"/>
    <cellStyle name="Normal 7 2 2 4" xfId="1024"/>
    <cellStyle name="Normal 7 2 2 4 2" xfId="1025"/>
    <cellStyle name="Normal 7 2 2 5" xfId="1026"/>
    <cellStyle name="Normal 7 2 2 5 2" xfId="1027"/>
    <cellStyle name="Normal 7 2 2 6" xfId="1028"/>
    <cellStyle name="Normal 7 2 3" xfId="1029"/>
    <cellStyle name="Normal 7 2 3 2" xfId="1030"/>
    <cellStyle name="Normal 7 2 3 2 2" xfId="1031"/>
    <cellStyle name="Normal 7 2 3 3" xfId="1032"/>
    <cellStyle name="Normal 7 2 3 3 2" xfId="1033"/>
    <cellStyle name="Normal 7 2 3 4" xfId="1034"/>
    <cellStyle name="Normal 7 2 3 4 2" xfId="1035"/>
    <cellStyle name="Normal 7 2 3 5" xfId="1036"/>
    <cellStyle name="Normal 7 2 3 5 2" xfId="1037"/>
    <cellStyle name="Normal 7 2 3 6" xfId="1038"/>
    <cellStyle name="Normal 7 2 4" xfId="1039"/>
    <cellStyle name="Normal 7 2 4 2" xfId="1040"/>
    <cellStyle name="Normal 7 2 5" xfId="1041"/>
    <cellStyle name="Normal 7 2 5 2" xfId="1042"/>
    <cellStyle name="Normal 7 2 6" xfId="1043"/>
    <cellStyle name="Normal 7 2 6 2" xfId="1044"/>
    <cellStyle name="Normal 7 2 7" xfId="1045"/>
    <cellStyle name="Normal 7 2 7 2" xfId="1046"/>
    <cellStyle name="Normal 7 2 8" xfId="1047"/>
    <cellStyle name="Normal 7 3" xfId="1048"/>
    <cellStyle name="Normal 7 3 2" xfId="1049"/>
    <cellStyle name="Normal 7 3 2 2" xfId="1050"/>
    <cellStyle name="Normal 7 3 3" xfId="1051"/>
    <cellStyle name="Normal 7 3 3 2" xfId="1052"/>
    <cellStyle name="Normal 7 3 4" xfId="1053"/>
    <cellStyle name="Normal 7 3 4 2" xfId="1054"/>
    <cellStyle name="Normal 7 3 5" xfId="1055"/>
    <cellStyle name="Normal 7 3 5 2" xfId="1056"/>
    <cellStyle name="Normal 7 3 6" xfId="1057"/>
    <cellStyle name="Normal 7 4" xfId="1058"/>
    <cellStyle name="Normal 7 4 2" xfId="1059"/>
    <cellStyle name="Normal 7 4 2 2" xfId="1060"/>
    <cellStyle name="Normal 7 4 3" xfId="1061"/>
    <cellStyle name="Normal 7 4 3 2" xfId="1062"/>
    <cellStyle name="Normal 7 4 4" xfId="1063"/>
    <cellStyle name="Normal 7 4 4 2" xfId="1064"/>
    <cellStyle name="Normal 7 4 5" xfId="1065"/>
    <cellStyle name="Normal 7 4 5 2" xfId="1066"/>
    <cellStyle name="Normal 7 4 6" xfId="1067"/>
    <cellStyle name="Normal 7 5" xfId="1068"/>
    <cellStyle name="Normal 7 5 2" xfId="1069"/>
    <cellStyle name="Normal 7 6" xfId="1070"/>
    <cellStyle name="Normal 7 6 2" xfId="1071"/>
    <cellStyle name="Normal 7 7" xfId="1072"/>
    <cellStyle name="Normal 7 7 2" xfId="1073"/>
    <cellStyle name="Normal 7 8" xfId="1074"/>
    <cellStyle name="Normal 7 8 2" xfId="1075"/>
    <cellStyle name="Normal 7 9" xfId="1076"/>
    <cellStyle name="Normal 8" xfId="1077"/>
    <cellStyle name="Normal 8 2" xfId="1078"/>
    <cellStyle name="Normal 8 2 2" xfId="1079"/>
    <cellStyle name="Normal 8 3" xfId="1080"/>
    <cellStyle name="Normal 9" xfId="1081"/>
    <cellStyle name="Normal 9 2" xfId="1082"/>
    <cellStyle name="Normal 9 2 2" xfId="1083"/>
    <cellStyle name="Normal 9 3" xfId="1084"/>
    <cellStyle name="Normale_PAQ-A426441-22-090707" xfId="1085"/>
    <cellStyle name="Nota 2" xfId="1086"/>
    <cellStyle name="Note" xfId="1087"/>
    <cellStyle name="Output" xfId="1088"/>
    <cellStyle name="para" xfId="1089"/>
    <cellStyle name="para 2" xfId="1090"/>
    <cellStyle name="pec." xfId="1091"/>
    <cellStyle name="sect" xfId="1092"/>
    <cellStyle name="sect1" xfId="1093"/>
    <cellStyle name="sect2" xfId="1094"/>
    <cellStyle name="sect3" xfId="1095"/>
    <cellStyle name="sect4" xfId="1096"/>
    <cellStyle name="sect4 2" xfId="1097"/>
    <cellStyle name="sect5" xfId="1098"/>
    <cellStyle name="sect5 2" xfId="1099"/>
    <cellStyle name="sect6" xfId="1100"/>
    <cellStyle name="sect6 2" xfId="1101"/>
    <cellStyle name="sect7" xfId="1102"/>
    <cellStyle name="sect7 2" xfId="1103"/>
    <cellStyle name="sect8" xfId="1104"/>
    <cellStyle name="sect8 2" xfId="1105"/>
    <cellStyle name="sect9" xfId="1106"/>
    <cellStyle name="sect9 2" xfId="1107"/>
    <cellStyle name="tableTitle" xfId="1108"/>
    <cellStyle name="tableTitle 2" xfId="1109"/>
    <cellStyle name="title" xfId="1110"/>
    <cellStyle name="Title 2" xfId="1111"/>
    <cellStyle name="Titre" xfId="1112"/>
    <cellStyle name="Total 2" xfId="1113"/>
    <cellStyle name="Total 2 2" xfId="1114"/>
    <cellStyle name="Total 2 2 2" xfId="1115"/>
    <cellStyle name="Total 2 2 2 2" xfId="1116"/>
    <cellStyle name="Total 2 2 2 2 2" xfId="1117"/>
    <cellStyle name="Total 2 2 2 3" xfId="1118"/>
    <cellStyle name="Total 2 2 2 3 2" xfId="1119"/>
    <cellStyle name="Total 2 2 2 4" xfId="1120"/>
    <cellStyle name="Total 2 2 2 4 2" xfId="1121"/>
    <cellStyle name="Total 2 2 2 5" xfId="1122"/>
    <cellStyle name="Total 2 2 3" xfId="1123"/>
    <cellStyle name="Total 2 2 3 2" xfId="1124"/>
    <cellStyle name="Total 2 2 3 2 2" xfId="1125"/>
    <cellStyle name="Total 2 2 3 3" xfId="1126"/>
    <cellStyle name="Total 2 2 3 3 2" xfId="1127"/>
    <cellStyle name="Total 2 2 3 4" xfId="1128"/>
    <cellStyle name="Total 2 2 3 4 2" xfId="1129"/>
    <cellStyle name="Total 2 2 3 5" xfId="1130"/>
    <cellStyle name="Total 2 2 4" xfId="1131"/>
    <cellStyle name="Total 2 2 4 2" xfId="1132"/>
    <cellStyle name="Total 2 2 4 2 2" xfId="1133"/>
    <cellStyle name="Total 2 2 4 3" xfId="1134"/>
    <cellStyle name="Total 2 2 4 3 2" xfId="1135"/>
    <cellStyle name="Total 2 2 4 4" xfId="1136"/>
    <cellStyle name="Total 2 2 4 4 2" xfId="1137"/>
    <cellStyle name="Total 2 2 4 5" xfId="1138"/>
    <cellStyle name="Total 2 2 5" xfId="1139"/>
    <cellStyle name="Total 2 2 5 2" xfId="1140"/>
    <cellStyle name="Total 2 2 6" xfId="1141"/>
    <cellStyle name="Total 2 2 6 2" xfId="1142"/>
    <cellStyle name="Total 2 2 7" xfId="1143"/>
    <cellStyle name="Total 2 2 7 2" xfId="1144"/>
    <cellStyle name="Total 2 2 8" xfId="1145"/>
    <cellStyle name="Total 2 3" xfId="1146"/>
    <cellStyle name="Total 2 3 2" xfId="1147"/>
    <cellStyle name="Total 2 3 2 2" xfId="1148"/>
    <cellStyle name="Total 2 3 3" xfId="1149"/>
    <cellStyle name="Total 2 3 3 2" xfId="1150"/>
    <cellStyle name="Total 2 3 4" xfId="1151"/>
    <cellStyle name="Total 2 3 4 2" xfId="1152"/>
    <cellStyle name="Total 2 3 5" xfId="1153"/>
    <cellStyle name="Total 2 4" xfId="1154"/>
    <cellStyle name="Total 2 4 2" xfId="1155"/>
    <cellStyle name="Total 2 4 2 2" xfId="1156"/>
    <cellStyle name="Total 2 4 3" xfId="1157"/>
    <cellStyle name="Total 2 4 3 2" xfId="1158"/>
    <cellStyle name="Total 2 4 4" xfId="1159"/>
    <cellStyle name="Total 2 4 4 2" xfId="1160"/>
    <cellStyle name="Total 2 4 5" xfId="1161"/>
    <cellStyle name="Total 2 5" xfId="1162"/>
    <cellStyle name="Total 2 5 2" xfId="1163"/>
    <cellStyle name="Total 2 5 2 2" xfId="1164"/>
    <cellStyle name="Total 2 5 3" xfId="1165"/>
    <cellStyle name="Total 2 5 3 2" xfId="1166"/>
    <cellStyle name="Total 2 5 4" xfId="1167"/>
    <cellStyle name="Total 2 5 4 2" xfId="1168"/>
    <cellStyle name="Total 2 5 5" xfId="1169"/>
    <cellStyle name="Total 2 6" xfId="1170"/>
    <cellStyle name="Total 2 6 2" xfId="1171"/>
    <cellStyle name="Total 2 7" xfId="1172"/>
    <cellStyle name="Total 2 7 2" xfId="1173"/>
    <cellStyle name="Total 2 8" xfId="1174"/>
    <cellStyle name="Total 2 8 2" xfId="1175"/>
    <cellStyle name="Total 2 9" xfId="1176"/>
    <cellStyle name="Total 3" xfId="1177"/>
    <cellStyle name="Total 3 2" xfId="1178"/>
    <cellStyle name="Total 3 2 2" xfId="1179"/>
    <cellStyle name="Total 3 2 2 2" xfId="1180"/>
    <cellStyle name="Total 3 2 2 2 2" xfId="1181"/>
    <cellStyle name="Total 3 2 2 3" xfId="1182"/>
    <cellStyle name="Total 3 2 2 3 2" xfId="1183"/>
    <cellStyle name="Total 3 2 2 4" xfId="1184"/>
    <cellStyle name="Total 3 2 2 4 2" xfId="1185"/>
    <cellStyle name="Total 3 2 2 5" xfId="1186"/>
    <cellStyle name="Total 3 2 3" xfId="1187"/>
    <cellStyle name="Total 3 2 3 2" xfId="1188"/>
    <cellStyle name="Total 3 2 3 2 2" xfId="1189"/>
    <cellStyle name="Total 3 2 3 3" xfId="1190"/>
    <cellStyle name="Total 3 2 3 3 2" xfId="1191"/>
    <cellStyle name="Total 3 2 3 4" xfId="1192"/>
    <cellStyle name="Total 3 2 3 4 2" xfId="1193"/>
    <cellStyle name="Total 3 2 3 5" xfId="1194"/>
    <cellStyle name="Total 3 2 4" xfId="1195"/>
    <cellStyle name="Total 3 2 4 2" xfId="1196"/>
    <cellStyle name="Total 3 2 4 2 2" xfId="1197"/>
    <cellStyle name="Total 3 2 4 3" xfId="1198"/>
    <cellStyle name="Total 3 2 4 3 2" xfId="1199"/>
    <cellStyle name="Total 3 2 4 4" xfId="1200"/>
    <cellStyle name="Total 3 2 4 4 2" xfId="1201"/>
    <cellStyle name="Total 3 2 4 5" xfId="1202"/>
    <cellStyle name="Total 3 2 5" xfId="1203"/>
    <cellStyle name="Total 3 2 5 2" xfId="1204"/>
    <cellStyle name="Total 3 2 6" xfId="1205"/>
    <cellStyle name="Total 3 2 6 2" xfId="1206"/>
    <cellStyle name="Total 3 2 7" xfId="1207"/>
    <cellStyle name="Total 3 2 7 2" xfId="1208"/>
    <cellStyle name="Total 3 2 8" xfId="1209"/>
    <cellStyle name="Total 3 3" xfId="1210"/>
    <cellStyle name="Total 3 3 2" xfId="1211"/>
    <cellStyle name="Total 3 3 2 2" xfId="1212"/>
    <cellStyle name="Total 3 3 3" xfId="1213"/>
    <cellStyle name="Total 3 3 3 2" xfId="1214"/>
    <cellStyle name="Total 3 3 4" xfId="1215"/>
    <cellStyle name="Total 3 3 4 2" xfId="1216"/>
    <cellStyle name="Total 3 3 5" xfId="1217"/>
    <cellStyle name="Total 3 4" xfId="1218"/>
    <cellStyle name="Total 3 4 2" xfId="1219"/>
    <cellStyle name="Total 3 4 2 2" xfId="1220"/>
    <cellStyle name="Total 3 4 3" xfId="1221"/>
    <cellStyle name="Total 3 4 3 2" xfId="1222"/>
    <cellStyle name="Total 3 4 4" xfId="1223"/>
    <cellStyle name="Total 3 4 4 2" xfId="1224"/>
    <cellStyle name="Total 3 4 5" xfId="1225"/>
    <cellStyle name="Total 3 5" xfId="1226"/>
    <cellStyle name="Total 3 5 2" xfId="1227"/>
    <cellStyle name="Total 3 5 2 2" xfId="1228"/>
    <cellStyle name="Total 3 5 3" xfId="1229"/>
    <cellStyle name="Total 3 5 3 2" xfId="1230"/>
    <cellStyle name="Total 3 5 4" xfId="1231"/>
    <cellStyle name="Total 3 5 4 2" xfId="1232"/>
    <cellStyle name="Total 3 5 5" xfId="1233"/>
    <cellStyle name="Total 3 6" xfId="1234"/>
    <cellStyle name="Total 3 6 2" xfId="1235"/>
    <cellStyle name="Total 3 7" xfId="1236"/>
    <cellStyle name="Total 3 7 2" xfId="1237"/>
    <cellStyle name="Total 3 8" xfId="1238"/>
    <cellStyle name="Total 3 8 2" xfId="1239"/>
    <cellStyle name="Total 3 9" xfId="1240"/>
    <cellStyle name="Total 4" xfId="1241"/>
    <cellStyle name="Total 4 2" xfId="1242"/>
    <cellStyle name="Total 4 2 2" xfId="1243"/>
    <cellStyle name="Total 4 2 2 2" xfId="1244"/>
    <cellStyle name="Total 4 2 2 2 2" xfId="1245"/>
    <cellStyle name="Total 4 2 2 3" xfId="1246"/>
    <cellStyle name="Total 4 2 2 3 2" xfId="1247"/>
    <cellStyle name="Total 4 2 2 4" xfId="1248"/>
    <cellStyle name="Total 4 2 2 4 2" xfId="1249"/>
    <cellStyle name="Total 4 2 2 5" xfId="1250"/>
    <cellStyle name="Total 4 2 3" xfId="1251"/>
    <cellStyle name="Total 4 2 3 2" xfId="1252"/>
    <cellStyle name="Total 4 2 3 2 2" xfId="1253"/>
    <cellStyle name="Total 4 2 3 3" xfId="1254"/>
    <cellStyle name="Total 4 2 3 3 2" xfId="1255"/>
    <cellStyle name="Total 4 2 3 4" xfId="1256"/>
    <cellStyle name="Total 4 2 3 4 2" xfId="1257"/>
    <cellStyle name="Total 4 2 3 5" xfId="1258"/>
    <cellStyle name="Total 4 2 4" xfId="1259"/>
    <cellStyle name="Total 4 2 4 2" xfId="1260"/>
    <cellStyle name="Total 4 2 4 2 2" xfId="1261"/>
    <cellStyle name="Total 4 2 4 3" xfId="1262"/>
    <cellStyle name="Total 4 2 4 3 2" xfId="1263"/>
    <cellStyle name="Total 4 2 4 4" xfId="1264"/>
    <cellStyle name="Total 4 2 4 4 2" xfId="1265"/>
    <cellStyle name="Total 4 2 4 5" xfId="1266"/>
    <cellStyle name="Total 4 2 5" xfId="1267"/>
    <cellStyle name="Total 4 2 5 2" xfId="1268"/>
    <cellStyle name="Total 4 2 6" xfId="1269"/>
    <cellStyle name="Total 4 2 6 2" xfId="1270"/>
    <cellStyle name="Total 4 2 7" xfId="1271"/>
    <cellStyle name="Total 4 2 7 2" xfId="1272"/>
    <cellStyle name="Total 4 2 8" xfId="1273"/>
    <cellStyle name="Total 4 3" xfId="1274"/>
    <cellStyle name="Total 4 3 2" xfId="1275"/>
    <cellStyle name="Total 4 3 2 2" xfId="1276"/>
    <cellStyle name="Total 4 3 3" xfId="1277"/>
    <cellStyle name="Total 4 3 3 2" xfId="1278"/>
    <cellStyle name="Total 4 3 4" xfId="1279"/>
    <cellStyle name="Total 4 3 4 2" xfId="1280"/>
    <cellStyle name="Total 4 3 5" xfId="1281"/>
    <cellStyle name="Total 4 4" xfId="1282"/>
    <cellStyle name="Total 4 4 2" xfId="1283"/>
    <cellStyle name="Total 4 4 2 2" xfId="1284"/>
    <cellStyle name="Total 4 4 3" xfId="1285"/>
    <cellStyle name="Total 4 4 3 2" xfId="1286"/>
    <cellStyle name="Total 4 4 4" xfId="1287"/>
    <cellStyle name="Total 4 4 4 2" xfId="1288"/>
    <cellStyle name="Total 4 4 5" xfId="1289"/>
    <cellStyle name="Total 4 5" xfId="1290"/>
    <cellStyle name="Total 4 5 2" xfId="1291"/>
    <cellStyle name="Total 4 5 2 2" xfId="1292"/>
    <cellStyle name="Total 4 5 3" xfId="1293"/>
    <cellStyle name="Total 4 5 3 2" xfId="1294"/>
    <cellStyle name="Total 4 5 4" xfId="1295"/>
    <cellStyle name="Total 4 5 4 2" xfId="1296"/>
    <cellStyle name="Total 4 5 5" xfId="1297"/>
    <cellStyle name="Total 4 6" xfId="1298"/>
    <cellStyle name="Total 4 6 2" xfId="1299"/>
    <cellStyle name="Total 4 7" xfId="1300"/>
    <cellStyle name="Total 4 7 2" xfId="1301"/>
    <cellStyle name="Total 4 8" xfId="1302"/>
    <cellStyle name="Total 4 8 2" xfId="1303"/>
    <cellStyle name="Total 4 9" xfId="1304"/>
    <cellStyle name="Total 5" xfId="1305"/>
    <cellStyle name="Total 5 2" xfId="1306"/>
    <cellStyle name="Total 5 2 2" xfId="1307"/>
    <cellStyle name="Total 5 2 2 2" xfId="1308"/>
    <cellStyle name="Total 5 2 2 2 2" xfId="1309"/>
    <cellStyle name="Total 5 2 2 3" xfId="1310"/>
    <cellStyle name="Total 5 2 2 3 2" xfId="1311"/>
    <cellStyle name="Total 5 2 2 4" xfId="1312"/>
    <cellStyle name="Total 5 2 2 4 2" xfId="1313"/>
    <cellStyle name="Total 5 2 2 5" xfId="1314"/>
    <cellStyle name="Total 5 2 3" xfId="1315"/>
    <cellStyle name="Total 5 2 3 2" xfId="1316"/>
    <cellStyle name="Total 5 2 3 2 2" xfId="1317"/>
    <cellStyle name="Total 5 2 3 3" xfId="1318"/>
    <cellStyle name="Total 5 2 3 3 2" xfId="1319"/>
    <cellStyle name="Total 5 2 3 4" xfId="1320"/>
    <cellStyle name="Total 5 2 3 4 2" xfId="1321"/>
    <cellStyle name="Total 5 2 3 5" xfId="1322"/>
    <cellStyle name="Total 5 2 4" xfId="1323"/>
    <cellStyle name="Total 5 2 4 2" xfId="1324"/>
    <cellStyle name="Total 5 2 4 2 2" xfId="1325"/>
    <cellStyle name="Total 5 2 4 3" xfId="1326"/>
    <cellStyle name="Total 5 2 4 3 2" xfId="1327"/>
    <cellStyle name="Total 5 2 4 4" xfId="1328"/>
    <cellStyle name="Total 5 2 4 4 2" xfId="1329"/>
    <cellStyle name="Total 5 2 4 5" xfId="1330"/>
    <cellStyle name="Total 5 2 5" xfId="1331"/>
    <cellStyle name="Total 5 2 5 2" xfId="1332"/>
    <cellStyle name="Total 5 2 6" xfId="1333"/>
    <cellStyle name="Total 5 2 6 2" xfId="1334"/>
    <cellStyle name="Total 5 2 7" xfId="1335"/>
    <cellStyle name="Total 5 2 7 2" xfId="1336"/>
    <cellStyle name="Total 5 2 8" xfId="1337"/>
    <cellStyle name="Total 5 3" xfId="1338"/>
    <cellStyle name="Total 5 3 2" xfId="1339"/>
    <cellStyle name="Total 5 3 2 2" xfId="1340"/>
    <cellStyle name="Total 5 3 3" xfId="1341"/>
    <cellStyle name="Total 5 3 3 2" xfId="1342"/>
    <cellStyle name="Total 5 3 4" xfId="1343"/>
    <cellStyle name="Total 5 3 4 2" xfId="1344"/>
    <cellStyle name="Total 5 3 5" xfId="1345"/>
    <cellStyle name="Total 5 4" xfId="1346"/>
    <cellStyle name="Total 5 4 2" xfId="1347"/>
    <cellStyle name="Total 5 4 2 2" xfId="1348"/>
    <cellStyle name="Total 5 4 3" xfId="1349"/>
    <cellStyle name="Total 5 4 3 2" xfId="1350"/>
    <cellStyle name="Total 5 4 4" xfId="1351"/>
    <cellStyle name="Total 5 4 4 2" xfId="1352"/>
    <cellStyle name="Total 5 4 5" xfId="1353"/>
    <cellStyle name="Total 5 5" xfId="1354"/>
    <cellStyle name="Total 5 5 2" xfId="1355"/>
    <cellStyle name="Total 5 5 2 2" xfId="1356"/>
    <cellStyle name="Total 5 5 3" xfId="1357"/>
    <cellStyle name="Total 5 5 3 2" xfId="1358"/>
    <cellStyle name="Total 5 5 4" xfId="1359"/>
    <cellStyle name="Total 5 5 4 2" xfId="1360"/>
    <cellStyle name="Total 5 5 5" xfId="1361"/>
    <cellStyle name="Total 5 6" xfId="1362"/>
    <cellStyle name="Total 5 6 2" xfId="1363"/>
    <cellStyle name="Total 5 7" xfId="1364"/>
    <cellStyle name="Total 5 7 2" xfId="1365"/>
    <cellStyle name="Total 5 8" xfId="1366"/>
    <cellStyle name="Total 5 8 2" xfId="1367"/>
    <cellStyle name="Total 5 9" xfId="1368"/>
    <cellStyle name="Total 6" xfId="1369"/>
    <cellStyle name="Total 6 2" xfId="1370"/>
    <cellStyle name="Total 6 2 2" xfId="1371"/>
    <cellStyle name="Total 6 2 2 2" xfId="1372"/>
    <cellStyle name="Total 6 2 3" xfId="1373"/>
    <cellStyle name="Total 6 2 3 2" xfId="1374"/>
    <cellStyle name="Total 6 2 4" xfId="1375"/>
    <cellStyle name="Total 6 2 4 2" xfId="1376"/>
    <cellStyle name="Total 6 2 5" xfId="1377"/>
    <cellStyle name="Total 6 3" xfId="1378"/>
    <cellStyle name="Total 6 3 2" xfId="1379"/>
    <cellStyle name="Total 6 3 2 2" xfId="1380"/>
    <cellStyle name="Total 6 3 3" xfId="1381"/>
    <cellStyle name="Total 6 3 3 2" xfId="1382"/>
    <cellStyle name="Total 6 3 4" xfId="1383"/>
    <cellStyle name="Total 6 3 4 2" xfId="1384"/>
    <cellStyle name="Total 6 3 5" xfId="1385"/>
    <cellStyle name="Total 6 4" xfId="1386"/>
    <cellStyle name="Total 6 4 2" xfId="1387"/>
    <cellStyle name="Total 6 4 2 2" xfId="1388"/>
    <cellStyle name="Total 6 4 3" xfId="1389"/>
    <cellStyle name="Total 6 4 3 2" xfId="1390"/>
    <cellStyle name="Total 6 4 4" xfId="1391"/>
    <cellStyle name="Total 6 4 4 2" xfId="1392"/>
    <cellStyle name="Total 6 4 5" xfId="1393"/>
    <cellStyle name="Total 6 5" xfId="1394"/>
    <cellStyle name="Total 6 5 2" xfId="1395"/>
    <cellStyle name="Total 6 6" xfId="1396"/>
    <cellStyle name="Total 6 6 2" xfId="1397"/>
    <cellStyle name="Total 6 7" xfId="1398"/>
    <cellStyle name="Total 6 7 2" xfId="1399"/>
    <cellStyle name="Total 6 8" xfId="1400"/>
    <cellStyle name="Total 7" xfId="1401"/>
    <cellStyle name="Total 7 2" xfId="1402"/>
    <cellStyle name="Total 7 2 2" xfId="1403"/>
    <cellStyle name="Total 7 2 2 2" xfId="1404"/>
    <cellStyle name="Total 7 2 3" xfId="1405"/>
    <cellStyle name="Total 7 2 3 2" xfId="1406"/>
    <cellStyle name="Total 7 2 4" xfId="1407"/>
    <cellStyle name="Total 7 2 4 2" xfId="1408"/>
    <cellStyle name="Total 7 2 5" xfId="1409"/>
    <cellStyle name="Total 7 3" xfId="1410"/>
    <cellStyle name="Total 7 3 2" xfId="1411"/>
    <cellStyle name="Total 7 3 2 2" xfId="1412"/>
    <cellStyle name="Total 7 3 3" xfId="1413"/>
    <cellStyle name="Total 7 3 3 2" xfId="1414"/>
    <cellStyle name="Total 7 3 4" xfId="1415"/>
    <cellStyle name="Total 7 3 4 2" xfId="1416"/>
    <cellStyle name="Total 7 3 5" xfId="1417"/>
    <cellStyle name="Total 7 4" xfId="1418"/>
    <cellStyle name="Total 7 4 2" xfId="1419"/>
    <cellStyle name="Total 7 4 2 2" xfId="1420"/>
    <cellStyle name="Total 7 4 3" xfId="1421"/>
    <cellStyle name="Total 7 4 3 2" xfId="1422"/>
    <cellStyle name="Total 7 4 4" xfId="1423"/>
    <cellStyle name="Total 7 4 4 2" xfId="1424"/>
    <cellStyle name="Total 7 4 5" xfId="1425"/>
    <cellStyle name="Total 7 5" xfId="1426"/>
    <cellStyle name="Total 7 5 2" xfId="1427"/>
    <cellStyle name="Total 7 6" xfId="1428"/>
    <cellStyle name="Total 7 6 2" xfId="1429"/>
    <cellStyle name="Total 7 7" xfId="1430"/>
    <cellStyle name="Total 7 7 2" xfId="1431"/>
    <cellStyle name="Total 7 8" xfId="1432"/>
    <cellStyle name="Total 8" xfId="1433"/>
    <cellStyle name="Warning Text" xfId="1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itus\SYSKRSH\ALSTOM\Data%20population\One%20Page%20Reports\Delivery%2009-09-02\MET\LCC%201PR%20BCN%20L5%20100%25%20Alstom%20(std%20pro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Form"/>
      <sheetName val="OnePageReport"/>
      <sheetName val="Feuil2"/>
      <sheetName val="Feuil3"/>
      <sheetName val="WP H110001 RS project"/>
      <sheetName val="Introduction"/>
      <sheetName val="Presentation"/>
      <sheetName val="Table of contents"/>
      <sheetName val="Profit Center Hierarchy"/>
      <sheetName val="Cost Center Hierarchy"/>
      <sheetName val="CC Hierarchy by function"/>
      <sheetName val="Internal Order"/>
      <sheetName val="Project profile Customizing"/>
      <sheetName val="Costing sheets Customizing"/>
      <sheetName val="Costing Sheet screens"/>
      <sheetName val="Result Analysis Customizing"/>
      <sheetName val="Product Cost controlling"/>
      <sheetName val="Maintenance and Service Process"/>
      <sheetName val="OKTZ"/>
      <sheetName val="Work Centers"/>
      <sheetName val="Activity Types"/>
      <sheetName val="Matrix Act-Work centre-WBS"/>
      <sheetName val="Default Account Assignment"/>
      <sheetName val="Project Cash Management"/>
      <sheetName val="Complementary"/>
      <sheetName val="Transport"/>
      <sheetName val="Material Costing"/>
      <sheetName val="OKKN"/>
      <sheetName val="OKK4"/>
      <sheetName val="OKK6"/>
      <sheetName val="OKK5"/>
      <sheetName val="OKKM"/>
      <sheetName val="OKYC"/>
      <sheetName val="Front page 01"/>
      <sheetName val="Ref + Control"/>
      <sheetName val="Registratieformulier"/>
      <sheetName val="Voorbeeld registratieformulier"/>
      <sheetName val="Data Info"/>
    </sheetNames>
    <sheetDataSet>
      <sheetData sheetId="0">
        <row r="2">
          <cell r="C2" t="str">
            <v>Barcelona Mº L5 100% Alstom Standard profile</v>
          </cell>
        </row>
        <row r="6">
          <cell r="J6" t="b">
            <v>0</v>
          </cell>
        </row>
        <row r="7">
          <cell r="C7" t="str">
            <v>Ferrocarril Metropolita de Barcelona</v>
          </cell>
          <cell r="H7" t="str">
            <v>AfterMarket</v>
          </cell>
        </row>
        <row r="8">
          <cell r="C8" t="str">
            <v>Metropolis Std B</v>
          </cell>
          <cell r="H8" t="str">
            <v>Without Margin</v>
          </cell>
        </row>
        <row r="9">
          <cell r="C9" t="str">
            <v>D : Urban rolling stock Metro</v>
          </cell>
          <cell r="E9" t="str">
            <v>100 000</v>
          </cell>
          <cell r="H9" t="str">
            <v>Fleet = 33 trains</v>
          </cell>
        </row>
        <row r="10">
          <cell r="C10">
            <v>5</v>
          </cell>
        </row>
        <row r="11">
          <cell r="C11" t="str">
            <v>Mc-M-T-M-Mc</v>
          </cell>
        </row>
        <row r="12">
          <cell r="C12" t="str">
            <v>1 500 V</v>
          </cell>
        </row>
        <row r="13">
          <cell r="C13" t="str">
            <v>H. Reynaud - Barcelona</v>
          </cell>
          <cell r="H13" t="str">
            <v>Suppliers</v>
          </cell>
        </row>
        <row r="14">
          <cell r="C14">
            <v>37498</v>
          </cell>
        </row>
        <row r="15">
          <cell r="C15" t="str">
            <v>Mº BCN (100% Alstom) 18 std profil</v>
          </cell>
        </row>
        <row r="16">
          <cell r="C16" t="str">
            <v>June 2002</v>
          </cell>
          <cell r="H16" t="str">
            <v>Suppliers</v>
          </cell>
        </row>
        <row r="17">
          <cell r="C17" t="str">
            <v>Technical LCC</v>
          </cell>
        </row>
        <row r="19">
          <cell r="D19" t="b">
            <v>1</v>
          </cell>
        </row>
        <row r="20">
          <cell r="D20" t="str">
            <v>20 years</v>
          </cell>
          <cell r="H20" t="str">
            <v>Compressor</v>
          </cell>
        </row>
        <row r="21">
          <cell r="D21" t="str">
            <v>at 10 years, first overhaul</v>
          </cell>
        </row>
        <row r="25">
          <cell r="B25" t="str">
            <v>Energy consumption: 5,58 kWh/km/train</v>
          </cell>
        </row>
        <row r="26">
          <cell r="B26" t="str">
            <v>Disposal: 342 000 Euro for 33 trains</v>
          </cell>
        </row>
        <row r="39">
          <cell r="A39">
            <v>10</v>
          </cell>
          <cell r="D39">
            <v>8.8179999999999994E-2</v>
          </cell>
          <cell r="E39">
            <v>0.36654999999999999</v>
          </cell>
          <cell r="F39">
            <v>6.2E-4</v>
          </cell>
          <cell r="G39">
            <v>6.6899999999999998E-3</v>
          </cell>
          <cell r="I39">
            <v>6.78</v>
          </cell>
          <cell r="J39" t="str">
            <v>.10-6 KM</v>
          </cell>
        </row>
        <row r="42">
          <cell r="A42">
            <v>4</v>
          </cell>
          <cell r="D42">
            <v>3.44E-2</v>
          </cell>
          <cell r="E42">
            <v>3.5209999999999998E-2</v>
          </cell>
          <cell r="F42">
            <v>5.5000000000000003E-4</v>
          </cell>
          <cell r="G42">
            <v>0.1123</v>
          </cell>
          <cell r="I42">
            <v>13.04</v>
          </cell>
          <cell r="J42" t="str">
            <v>.10-6 KM</v>
          </cell>
        </row>
        <row r="45">
          <cell r="A45">
            <v>40</v>
          </cell>
          <cell r="D45">
            <v>1.7919999999999998E-2</v>
          </cell>
          <cell r="E45">
            <v>1.0460000000000001E-2</v>
          </cell>
          <cell r="F45">
            <v>5.1999999999999995E-4</v>
          </cell>
          <cell r="G45">
            <v>3.0699999999999998E-3</v>
          </cell>
          <cell r="I45">
            <v>14.4</v>
          </cell>
          <cell r="J45" t="str">
            <v>.10-6 KM</v>
          </cell>
        </row>
        <row r="48">
          <cell r="A48">
            <v>5</v>
          </cell>
          <cell r="D48">
            <v>6.3710000000000003E-2</v>
          </cell>
          <cell r="E48">
            <v>8.9499999999999996E-3</v>
          </cell>
          <cell r="F48">
            <v>3.47E-3</v>
          </cell>
          <cell r="G48">
            <v>2.0100000000000001E-3</v>
          </cell>
          <cell r="H48" t="str">
            <v>Saloon + cabin</v>
          </cell>
          <cell r="I48">
            <v>27.849999999999998</v>
          </cell>
          <cell r="J48" t="str">
            <v>.10-6 KM</v>
          </cell>
        </row>
        <row r="51">
          <cell r="A51">
            <v>2</v>
          </cell>
          <cell r="D51">
            <v>1.4E-3</v>
          </cell>
          <cell r="E51">
            <v>1.73E-3</v>
          </cell>
          <cell r="F51">
            <v>7.2000000000000005E-4</v>
          </cell>
          <cell r="G51">
            <v>3.7100000000000002E-3</v>
          </cell>
          <cell r="I51">
            <v>6.95</v>
          </cell>
          <cell r="J51" t="str">
            <v>.10-6 KM</v>
          </cell>
        </row>
        <row r="54">
          <cell r="A54">
            <v>1</v>
          </cell>
          <cell r="B54" t="str">
            <v>Air (produc+distirb)</v>
          </cell>
          <cell r="D54">
            <v>1.941E-2</v>
          </cell>
          <cell r="E54">
            <v>4.0960000000000003E-2</v>
          </cell>
          <cell r="F54">
            <v>2.9E-4</v>
          </cell>
          <cell r="G54">
            <v>4.4000000000000002E-4</v>
          </cell>
          <cell r="H54" t="str">
            <v>Without compressor</v>
          </cell>
          <cell r="I54">
            <v>4.08</v>
          </cell>
          <cell r="J54" t="str">
            <v>.10-6 KM</v>
          </cell>
        </row>
        <row r="57">
          <cell r="D57">
            <v>2.0300000000000012E-2</v>
          </cell>
          <cell r="E57">
            <v>3.5209999999999964E-2</v>
          </cell>
          <cell r="F57">
            <v>1.6299999999999991E-3</v>
          </cell>
          <cell r="G57">
            <v>6.7540000000000003E-2</v>
          </cell>
          <cell r="I57">
            <v>77.900000000000006</v>
          </cell>
          <cell r="J57" t="str">
            <v>.10-6 KM</v>
          </cell>
        </row>
        <row r="60">
          <cell r="I60">
            <v>151</v>
          </cell>
          <cell r="J60" t="str">
            <v>.10-6 KM</v>
          </cell>
        </row>
        <row r="63">
          <cell r="I63">
            <v>0.84</v>
          </cell>
        </row>
        <row r="64">
          <cell r="I64">
            <v>0.62</v>
          </cell>
        </row>
        <row r="91">
          <cell r="E91" t="str">
            <v>3 M; 6 M</v>
          </cell>
          <cell r="G91">
            <v>1.0659999999999999E-2</v>
          </cell>
        </row>
        <row r="92">
          <cell r="E92" t="str">
            <v>1 000 000 km</v>
          </cell>
          <cell r="F92" t="str">
            <v>1 200 Euro</v>
          </cell>
          <cell r="G92">
            <v>2.5919999999999999E-2</v>
          </cell>
        </row>
        <row r="93">
          <cell r="E93" t="str">
            <v>1 Y</v>
          </cell>
          <cell r="F93" t="str">
            <v>52 Euro</v>
          </cell>
          <cell r="G93">
            <v>1.2789999999999999E-2</v>
          </cell>
        </row>
        <row r="94">
          <cell r="E94" t="str">
            <v>1 000 000 km</v>
          </cell>
          <cell r="F94" t="str">
            <v>1 300 Euro</v>
          </cell>
          <cell r="G94">
            <v>1.41E-2</v>
          </cell>
        </row>
        <row r="95">
          <cell r="C95" t="str">
            <v>Gearbox</v>
          </cell>
          <cell r="D95" t="str">
            <v>Overhaul</v>
          </cell>
          <cell r="E95" t="str">
            <v>1 000 000 km</v>
          </cell>
          <cell r="F95" t="str">
            <v>7 500 Euro</v>
          </cell>
          <cell r="G95">
            <v>8.5120000000000001E-2</v>
          </cell>
        </row>
        <row r="96">
          <cell r="C96" t="str">
            <v>Wheel flange</v>
          </cell>
          <cell r="D96" t="str">
            <v>Replacement</v>
          </cell>
          <cell r="E96" t="str">
            <v>1 M</v>
          </cell>
          <cell r="F96" t="str">
            <v>72,2 Eur/bogie</v>
          </cell>
          <cell r="G96">
            <v>0.12803999999999999</v>
          </cell>
        </row>
        <row r="97">
          <cell r="C97" t="str">
            <v>Secondary suspension</v>
          </cell>
          <cell r="D97" t="str">
            <v>Air bag replacement</v>
          </cell>
          <cell r="E97" t="str">
            <v>10 Y</v>
          </cell>
          <cell r="G97">
            <v>2.7150000000000001E-2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nxp.com/docs/en/data-sheet/MPC5744P.pdf"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nxp.com/docs/en/data-sheet/MPC5744P.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endrich.com/fm/2/GD5F4GQ4UAYIG.pdf"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vishay.com/docs/49252/_sg2189-2102-smd_resistors-draloric_beyschlag.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vishay.com/docs/83725/4n25.pdf"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assets.nexperia.com/documents/application-note/AN11009.pdf" TargetMode="External"/><Relationship Id="rId1" Type="http://schemas.openxmlformats.org/officeDocument/2006/relationships/hyperlink" Target="https://assets.nexperia.com/documents/data-sheet/74LVC1G332.pdf"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infineon.com/dgdl/Infineon-IRL3803-DataSheet-v02_01-EN.pdf?fileId=5546d462533600a40153565f80172554"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littelfuse.com/~/media/electronics/datasheets/fuses/littelfuse_fuse_272_273_274_278_279_datasheet.pdf.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morssmitt.com/uploads/files/catalog/products/datasheet-d-bw-relays-ind-v1-4.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vishay.com/docs/88503/1n4001.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vishay.com/docs/85816/1n4728a.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vicorpower.com/documents/datasheets/ds_vi-j00.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tdk-electronics.tdk.com/inf/20/30/db/aec/B41456_B41458.pdf"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8"/>
  <sheetViews>
    <sheetView zoomScale="90" zoomScaleNormal="90" workbookViewId="0">
      <pane ySplit="2" topLeftCell="A299" activePane="bottomLeft" state="frozen"/>
      <selection pane="bottomLeft" activeCell="A2" sqref="A2:XFD2"/>
    </sheetView>
  </sheetViews>
  <sheetFormatPr defaultRowHeight="14.25"/>
  <cols>
    <col min="1" max="1" width="9.140625" style="37"/>
    <col min="2" max="2" width="9.28515625" style="37" customWidth="1"/>
    <col min="3" max="3" width="25.7109375" style="38" customWidth="1"/>
    <col min="4" max="4" width="20.7109375" style="37" customWidth="1"/>
    <col min="5" max="5" width="24.140625" style="62" customWidth="1"/>
    <col min="6" max="10" width="30.7109375" style="39" customWidth="1"/>
    <col min="11" max="11" width="45.85546875" style="39" customWidth="1"/>
    <col min="12" max="12" width="30.7109375" style="39" customWidth="1"/>
    <col min="13" max="16384" width="9.140625" style="27"/>
  </cols>
  <sheetData>
    <row r="1" spans="1:12">
      <c r="A1" s="90" t="s">
        <v>689</v>
      </c>
      <c r="B1" s="90"/>
      <c r="C1" s="90"/>
      <c r="D1" s="90"/>
      <c r="E1" s="90"/>
      <c r="F1" s="90"/>
      <c r="G1" s="90"/>
      <c r="H1" s="90"/>
      <c r="I1" s="90"/>
      <c r="J1" s="90"/>
      <c r="K1" s="90"/>
      <c r="L1" s="90"/>
    </row>
    <row r="2" spans="1:12" ht="15" customHeight="1">
      <c r="A2" s="34" t="s">
        <v>690</v>
      </c>
      <c r="B2" s="91" t="s">
        <v>691</v>
      </c>
      <c r="C2" s="92"/>
      <c r="D2" s="34" t="s">
        <v>692</v>
      </c>
      <c r="E2" s="61" t="s">
        <v>693</v>
      </c>
      <c r="F2" s="35" t="s">
        <v>694</v>
      </c>
      <c r="G2" s="35" t="s">
        <v>695</v>
      </c>
      <c r="H2" s="35" t="s">
        <v>696</v>
      </c>
      <c r="I2" s="35" t="s">
        <v>697</v>
      </c>
      <c r="J2" s="35" t="s">
        <v>698</v>
      </c>
      <c r="K2" s="35" t="s">
        <v>714</v>
      </c>
      <c r="L2" s="35" t="s">
        <v>699</v>
      </c>
    </row>
    <row r="3" spans="1:12" ht="409.5">
      <c r="A3" s="36">
        <v>1</v>
      </c>
      <c r="B3" s="93" t="s">
        <v>711</v>
      </c>
      <c r="C3" s="87" t="s">
        <v>744</v>
      </c>
      <c r="D3" s="40" t="s">
        <v>700</v>
      </c>
      <c r="E3" s="42" t="s">
        <v>46</v>
      </c>
      <c r="F3" s="41" t="s">
        <v>772</v>
      </c>
      <c r="G3" s="28" t="s">
        <v>798</v>
      </c>
      <c r="H3" s="28" t="s">
        <v>804</v>
      </c>
      <c r="I3" s="28" t="s">
        <v>778</v>
      </c>
      <c r="J3" s="28" t="s">
        <v>773</v>
      </c>
      <c r="K3" s="28" t="s">
        <v>1411</v>
      </c>
      <c r="L3" s="28" t="s">
        <v>806</v>
      </c>
    </row>
    <row r="4" spans="1:12" ht="409.5">
      <c r="A4" s="40">
        <v>2</v>
      </c>
      <c r="B4" s="93"/>
      <c r="C4" s="87"/>
      <c r="D4" s="84" t="s">
        <v>701</v>
      </c>
      <c r="E4" s="88" t="s">
        <v>46</v>
      </c>
      <c r="F4" s="41" t="s">
        <v>776</v>
      </c>
      <c r="G4" s="28" t="s">
        <v>798</v>
      </c>
      <c r="H4" s="28" t="s">
        <v>804</v>
      </c>
      <c r="I4" s="28" t="s">
        <v>778</v>
      </c>
      <c r="J4" s="28" t="s">
        <v>773</v>
      </c>
      <c r="K4" s="28" t="s">
        <v>1411</v>
      </c>
      <c r="L4" s="28" t="s">
        <v>806</v>
      </c>
    </row>
    <row r="5" spans="1:12" ht="409.5">
      <c r="A5" s="36">
        <v>3</v>
      </c>
      <c r="B5" s="93"/>
      <c r="C5" s="87"/>
      <c r="D5" s="86"/>
      <c r="E5" s="89"/>
      <c r="F5" s="41" t="s">
        <v>777</v>
      </c>
      <c r="G5" s="28" t="s">
        <v>799</v>
      </c>
      <c r="H5" s="28" t="s">
        <v>804</v>
      </c>
      <c r="I5" s="28" t="s">
        <v>779</v>
      </c>
      <c r="J5" s="41" t="s">
        <v>780</v>
      </c>
      <c r="K5" s="28" t="s">
        <v>1411</v>
      </c>
      <c r="L5" s="41" t="s">
        <v>712</v>
      </c>
    </row>
    <row r="6" spans="1:12" ht="57">
      <c r="A6" s="40">
        <v>4</v>
      </c>
      <c r="B6" s="93"/>
      <c r="C6" s="87"/>
      <c r="D6" s="84" t="s">
        <v>702</v>
      </c>
      <c r="E6" s="88" t="s">
        <v>46</v>
      </c>
      <c r="F6" s="41" t="s">
        <v>781</v>
      </c>
      <c r="G6" s="41" t="s">
        <v>783</v>
      </c>
      <c r="H6" s="41" t="s">
        <v>783</v>
      </c>
      <c r="I6" s="41" t="s">
        <v>783</v>
      </c>
      <c r="J6" s="41" t="s">
        <v>783</v>
      </c>
      <c r="K6" s="41" t="s">
        <v>783</v>
      </c>
      <c r="L6" s="41" t="s">
        <v>712</v>
      </c>
    </row>
    <row r="7" spans="1:12" ht="409.5">
      <c r="A7" s="36">
        <v>5</v>
      </c>
      <c r="B7" s="93"/>
      <c r="C7" s="87"/>
      <c r="D7" s="86"/>
      <c r="E7" s="89"/>
      <c r="F7" s="41" t="s">
        <v>782</v>
      </c>
      <c r="G7" s="28" t="s">
        <v>800</v>
      </c>
      <c r="H7" s="28" t="s">
        <v>804</v>
      </c>
      <c r="I7" s="28" t="s">
        <v>784</v>
      </c>
      <c r="J7" s="41" t="s">
        <v>785</v>
      </c>
      <c r="K7" s="41" t="s">
        <v>1411</v>
      </c>
      <c r="L7" s="28" t="s">
        <v>806</v>
      </c>
    </row>
    <row r="8" spans="1:12" ht="409.5">
      <c r="A8" s="40">
        <v>6</v>
      </c>
      <c r="B8" s="93"/>
      <c r="C8" s="87"/>
      <c r="D8" s="40" t="s">
        <v>703</v>
      </c>
      <c r="E8" s="57" t="s">
        <v>786</v>
      </c>
      <c r="F8" s="41" t="s">
        <v>811</v>
      </c>
      <c r="G8" s="28" t="s">
        <v>798</v>
      </c>
      <c r="H8" s="28" t="s">
        <v>804</v>
      </c>
      <c r="I8" s="28" t="s">
        <v>778</v>
      </c>
      <c r="J8" s="28" t="s">
        <v>773</v>
      </c>
      <c r="K8" s="28" t="s">
        <v>1411</v>
      </c>
      <c r="L8" s="28" t="s">
        <v>806</v>
      </c>
    </row>
    <row r="9" spans="1:12" ht="409.5">
      <c r="A9" s="36">
        <v>7</v>
      </c>
      <c r="B9" s="93"/>
      <c r="C9" s="87"/>
      <c r="D9" s="40" t="s">
        <v>704</v>
      </c>
      <c r="E9" s="42" t="s">
        <v>46</v>
      </c>
      <c r="F9" s="41" t="s">
        <v>787</v>
      </c>
      <c r="G9" s="41" t="s">
        <v>801</v>
      </c>
      <c r="H9" s="28" t="s">
        <v>804</v>
      </c>
      <c r="I9" s="28" t="s">
        <v>778</v>
      </c>
      <c r="J9" s="28" t="s">
        <v>773</v>
      </c>
      <c r="K9" s="28" t="s">
        <v>1411</v>
      </c>
      <c r="L9" s="28" t="s">
        <v>806</v>
      </c>
    </row>
    <row r="10" spans="1:12" ht="409.5">
      <c r="A10" s="40">
        <v>8</v>
      </c>
      <c r="B10" s="93"/>
      <c r="C10" s="87"/>
      <c r="D10" s="40" t="s">
        <v>705</v>
      </c>
      <c r="E10" s="42" t="s">
        <v>46</v>
      </c>
      <c r="F10" s="41" t="s">
        <v>791</v>
      </c>
      <c r="G10" s="41" t="s">
        <v>801</v>
      </c>
      <c r="H10" s="28" t="s">
        <v>804</v>
      </c>
      <c r="I10" s="28" t="s">
        <v>778</v>
      </c>
      <c r="J10" s="28" t="s">
        <v>773</v>
      </c>
      <c r="K10" s="28" t="s">
        <v>1411</v>
      </c>
      <c r="L10" s="28" t="s">
        <v>806</v>
      </c>
    </row>
    <row r="11" spans="1:12" ht="409.5">
      <c r="A11" s="36">
        <v>9</v>
      </c>
      <c r="B11" s="93"/>
      <c r="C11" s="87"/>
      <c r="D11" s="40" t="s">
        <v>706</v>
      </c>
      <c r="E11" s="42" t="s">
        <v>46</v>
      </c>
      <c r="F11" s="41" t="s">
        <v>788</v>
      </c>
      <c r="G11" s="41" t="s">
        <v>801</v>
      </c>
      <c r="H11" s="28" t="s">
        <v>804</v>
      </c>
      <c r="I11" s="28" t="s">
        <v>778</v>
      </c>
      <c r="J11" s="28" t="s">
        <v>773</v>
      </c>
      <c r="K11" s="28" t="s">
        <v>1411</v>
      </c>
      <c r="L11" s="28" t="s">
        <v>806</v>
      </c>
    </row>
    <row r="12" spans="1:12" ht="213.75">
      <c r="A12" s="40">
        <v>10</v>
      </c>
      <c r="B12" s="93"/>
      <c r="C12" s="87"/>
      <c r="D12" s="40" t="s">
        <v>707</v>
      </c>
      <c r="E12" s="42" t="s">
        <v>46</v>
      </c>
      <c r="F12" s="41" t="s">
        <v>792</v>
      </c>
      <c r="G12" s="41" t="s">
        <v>802</v>
      </c>
      <c r="H12" s="28" t="s">
        <v>805</v>
      </c>
      <c r="I12" s="28" t="s">
        <v>778</v>
      </c>
      <c r="J12" s="28" t="s">
        <v>773</v>
      </c>
      <c r="K12" s="28" t="s">
        <v>1414</v>
      </c>
      <c r="L12" s="28" t="s">
        <v>796</v>
      </c>
    </row>
    <row r="13" spans="1:12" ht="99.75">
      <c r="A13" s="36">
        <v>11</v>
      </c>
      <c r="B13" s="93"/>
      <c r="C13" s="87"/>
      <c r="D13" s="40" t="s">
        <v>708</v>
      </c>
      <c r="E13" s="42" t="s">
        <v>46</v>
      </c>
      <c r="F13" s="41" t="s">
        <v>793</v>
      </c>
      <c r="G13" s="41" t="s">
        <v>789</v>
      </c>
      <c r="H13" s="28" t="s">
        <v>805</v>
      </c>
      <c r="I13" s="28" t="s">
        <v>790</v>
      </c>
      <c r="J13" s="28" t="s">
        <v>713</v>
      </c>
      <c r="K13" s="28" t="s">
        <v>715</v>
      </c>
      <c r="L13" s="28" t="s">
        <v>712</v>
      </c>
    </row>
    <row r="14" spans="1:12" ht="213.75">
      <c r="A14" s="40">
        <v>12</v>
      </c>
      <c r="B14" s="93"/>
      <c r="C14" s="87"/>
      <c r="D14" s="40" t="s">
        <v>709</v>
      </c>
      <c r="E14" s="42" t="s">
        <v>46</v>
      </c>
      <c r="F14" s="41" t="s">
        <v>794</v>
      </c>
      <c r="G14" s="41" t="s">
        <v>802</v>
      </c>
      <c r="H14" s="28" t="s">
        <v>805</v>
      </c>
      <c r="I14" s="28" t="s">
        <v>778</v>
      </c>
      <c r="J14" s="28" t="s">
        <v>773</v>
      </c>
      <c r="K14" s="28" t="s">
        <v>1414</v>
      </c>
      <c r="L14" s="28" t="s">
        <v>796</v>
      </c>
    </row>
    <row r="15" spans="1:12" ht="213.75">
      <c r="A15" s="36">
        <v>13</v>
      </c>
      <c r="B15" s="93"/>
      <c r="C15" s="87"/>
      <c r="D15" s="40" t="s">
        <v>710</v>
      </c>
      <c r="E15" s="42" t="s">
        <v>46</v>
      </c>
      <c r="F15" s="41" t="s">
        <v>795</v>
      </c>
      <c r="G15" s="41" t="s">
        <v>803</v>
      </c>
      <c r="H15" s="28" t="s">
        <v>805</v>
      </c>
      <c r="I15" s="28" t="s">
        <v>778</v>
      </c>
      <c r="J15" s="28" t="s">
        <v>773</v>
      </c>
      <c r="K15" s="28" t="s">
        <v>1414</v>
      </c>
      <c r="L15" s="28" t="s">
        <v>796</v>
      </c>
    </row>
    <row r="16" spans="1:12" ht="409.5">
      <c r="A16" s="40">
        <v>14</v>
      </c>
      <c r="B16" s="93"/>
      <c r="C16" s="87" t="s">
        <v>745</v>
      </c>
      <c r="D16" s="40" t="s">
        <v>700</v>
      </c>
      <c r="E16" s="42" t="s">
        <v>46</v>
      </c>
      <c r="F16" s="41" t="s">
        <v>797</v>
      </c>
      <c r="G16" s="28" t="s">
        <v>798</v>
      </c>
      <c r="H16" s="28" t="s">
        <v>841</v>
      </c>
      <c r="I16" s="28" t="s">
        <v>778</v>
      </c>
      <c r="J16" s="28" t="s">
        <v>773</v>
      </c>
      <c r="K16" s="28" t="s">
        <v>1412</v>
      </c>
      <c r="L16" s="28" t="s">
        <v>806</v>
      </c>
    </row>
    <row r="17" spans="1:12" ht="409.5">
      <c r="A17" s="36">
        <v>15</v>
      </c>
      <c r="B17" s="93"/>
      <c r="C17" s="87"/>
      <c r="D17" s="84" t="s">
        <v>701</v>
      </c>
      <c r="E17" s="88" t="s">
        <v>46</v>
      </c>
      <c r="F17" s="41" t="s">
        <v>807</v>
      </c>
      <c r="G17" s="28" t="s">
        <v>798</v>
      </c>
      <c r="H17" s="28" t="s">
        <v>842</v>
      </c>
      <c r="I17" s="28" t="s">
        <v>778</v>
      </c>
      <c r="J17" s="28" t="s">
        <v>773</v>
      </c>
      <c r="K17" s="28" t="s">
        <v>1412</v>
      </c>
      <c r="L17" s="28" t="s">
        <v>806</v>
      </c>
    </row>
    <row r="18" spans="1:12" ht="409.5">
      <c r="A18" s="40">
        <v>16</v>
      </c>
      <c r="B18" s="93"/>
      <c r="C18" s="87"/>
      <c r="D18" s="86"/>
      <c r="E18" s="89"/>
      <c r="F18" s="41" t="s">
        <v>808</v>
      </c>
      <c r="G18" s="28" t="s">
        <v>800</v>
      </c>
      <c r="H18" s="28" t="s">
        <v>842</v>
      </c>
      <c r="I18" s="28" t="s">
        <v>784</v>
      </c>
      <c r="J18" s="41" t="s">
        <v>785</v>
      </c>
      <c r="K18" s="41" t="s">
        <v>1412</v>
      </c>
      <c r="L18" s="28" t="s">
        <v>806</v>
      </c>
    </row>
    <row r="19" spans="1:12" ht="409.5">
      <c r="A19" s="36">
        <v>17</v>
      </c>
      <c r="B19" s="93"/>
      <c r="C19" s="87"/>
      <c r="D19" s="84" t="s">
        <v>702</v>
      </c>
      <c r="E19" s="88" t="s">
        <v>46</v>
      </c>
      <c r="F19" s="41" t="s">
        <v>809</v>
      </c>
      <c r="G19" s="28" t="s">
        <v>798</v>
      </c>
      <c r="H19" s="28" t="s">
        <v>842</v>
      </c>
      <c r="I19" s="28" t="s">
        <v>778</v>
      </c>
      <c r="J19" s="28" t="s">
        <v>773</v>
      </c>
      <c r="K19" s="28" t="s">
        <v>1412</v>
      </c>
      <c r="L19" s="28" t="s">
        <v>806</v>
      </c>
    </row>
    <row r="20" spans="1:12" ht="409.5">
      <c r="A20" s="40">
        <v>18</v>
      </c>
      <c r="B20" s="93"/>
      <c r="C20" s="87"/>
      <c r="D20" s="86"/>
      <c r="E20" s="89"/>
      <c r="F20" s="41" t="s">
        <v>810</v>
      </c>
      <c r="G20" s="28" t="s">
        <v>799</v>
      </c>
      <c r="H20" s="28" t="s">
        <v>842</v>
      </c>
      <c r="I20" s="28" t="s">
        <v>779</v>
      </c>
      <c r="J20" s="41" t="s">
        <v>780</v>
      </c>
      <c r="K20" s="28" t="s">
        <v>1412</v>
      </c>
      <c r="L20" s="41" t="s">
        <v>712</v>
      </c>
    </row>
    <row r="21" spans="1:12" ht="409.5">
      <c r="A21" s="36">
        <v>19</v>
      </c>
      <c r="B21" s="93"/>
      <c r="C21" s="87"/>
      <c r="D21" s="40" t="s">
        <v>703</v>
      </c>
      <c r="E21" s="57" t="s">
        <v>786</v>
      </c>
      <c r="F21" s="41" t="s">
        <v>812</v>
      </c>
      <c r="G21" s="28" t="s">
        <v>798</v>
      </c>
      <c r="H21" s="28" t="s">
        <v>842</v>
      </c>
      <c r="I21" s="28" t="s">
        <v>778</v>
      </c>
      <c r="J21" s="28" t="s">
        <v>773</v>
      </c>
      <c r="K21" s="28" t="s">
        <v>1412</v>
      </c>
      <c r="L21" s="28" t="s">
        <v>806</v>
      </c>
    </row>
    <row r="22" spans="1:12" ht="409.5">
      <c r="A22" s="40">
        <v>20</v>
      </c>
      <c r="B22" s="93"/>
      <c r="C22" s="87"/>
      <c r="D22" s="40" t="s">
        <v>704</v>
      </c>
      <c r="E22" s="42" t="s">
        <v>46</v>
      </c>
      <c r="F22" s="41" t="s">
        <v>813</v>
      </c>
      <c r="G22" s="41" t="s">
        <v>814</v>
      </c>
      <c r="H22" s="28" t="s">
        <v>842</v>
      </c>
      <c r="I22" s="28" t="s">
        <v>778</v>
      </c>
      <c r="J22" s="28" t="s">
        <v>773</v>
      </c>
      <c r="K22" s="28" t="s">
        <v>1412</v>
      </c>
      <c r="L22" s="28" t="s">
        <v>806</v>
      </c>
    </row>
    <row r="23" spans="1:12" ht="409.5">
      <c r="A23" s="36">
        <v>21</v>
      </c>
      <c r="B23" s="93"/>
      <c r="C23" s="87"/>
      <c r="D23" s="40" t="s">
        <v>705</v>
      </c>
      <c r="E23" s="42" t="s">
        <v>46</v>
      </c>
      <c r="F23" s="41" t="s">
        <v>815</v>
      </c>
      <c r="G23" s="41" t="s">
        <v>814</v>
      </c>
      <c r="H23" s="28" t="s">
        <v>842</v>
      </c>
      <c r="I23" s="28" t="s">
        <v>778</v>
      </c>
      <c r="J23" s="28" t="s">
        <v>773</v>
      </c>
      <c r="K23" s="28" t="s">
        <v>1412</v>
      </c>
      <c r="L23" s="28" t="s">
        <v>806</v>
      </c>
    </row>
    <row r="24" spans="1:12" ht="409.5">
      <c r="A24" s="40">
        <v>22</v>
      </c>
      <c r="B24" s="93"/>
      <c r="C24" s="87"/>
      <c r="D24" s="40" t="s">
        <v>706</v>
      </c>
      <c r="E24" s="42" t="s">
        <v>46</v>
      </c>
      <c r="F24" s="41" t="s">
        <v>816</v>
      </c>
      <c r="G24" s="41" t="s">
        <v>814</v>
      </c>
      <c r="H24" s="28" t="s">
        <v>842</v>
      </c>
      <c r="I24" s="28" t="s">
        <v>778</v>
      </c>
      <c r="J24" s="28" t="s">
        <v>773</v>
      </c>
      <c r="K24" s="28" t="s">
        <v>1412</v>
      </c>
      <c r="L24" s="28" t="s">
        <v>806</v>
      </c>
    </row>
    <row r="25" spans="1:12" ht="213.75">
      <c r="A25" s="36">
        <v>23</v>
      </c>
      <c r="B25" s="93"/>
      <c r="C25" s="87"/>
      <c r="D25" s="40" t="s">
        <v>707</v>
      </c>
      <c r="E25" s="42" t="s">
        <v>46</v>
      </c>
      <c r="F25" s="41" t="s">
        <v>817</v>
      </c>
      <c r="G25" s="41" t="s">
        <v>818</v>
      </c>
      <c r="H25" s="28" t="s">
        <v>843</v>
      </c>
      <c r="I25" s="28" t="s">
        <v>778</v>
      </c>
      <c r="J25" s="28" t="s">
        <v>773</v>
      </c>
      <c r="K25" s="28" t="s">
        <v>1414</v>
      </c>
      <c r="L25" s="28" t="s">
        <v>796</v>
      </c>
    </row>
    <row r="26" spans="1:12" ht="99.75">
      <c r="A26" s="40">
        <v>24</v>
      </c>
      <c r="B26" s="93"/>
      <c r="C26" s="87"/>
      <c r="D26" s="40" t="s">
        <v>708</v>
      </c>
      <c r="E26" s="42" t="s">
        <v>46</v>
      </c>
      <c r="F26" s="41" t="s">
        <v>819</v>
      </c>
      <c r="G26" s="41" t="s">
        <v>820</v>
      </c>
      <c r="H26" s="28" t="s">
        <v>843</v>
      </c>
      <c r="I26" s="28" t="s">
        <v>790</v>
      </c>
      <c r="J26" s="28" t="s">
        <v>713</v>
      </c>
      <c r="K26" s="28" t="s">
        <v>715</v>
      </c>
      <c r="L26" s="28" t="s">
        <v>712</v>
      </c>
    </row>
    <row r="27" spans="1:12" ht="213.75">
      <c r="A27" s="36">
        <v>25</v>
      </c>
      <c r="B27" s="93"/>
      <c r="C27" s="87"/>
      <c r="D27" s="40" t="s">
        <v>709</v>
      </c>
      <c r="E27" s="42" t="s">
        <v>46</v>
      </c>
      <c r="F27" s="41" t="s">
        <v>821</v>
      </c>
      <c r="G27" s="41" t="s">
        <v>823</v>
      </c>
      <c r="H27" s="28" t="s">
        <v>843</v>
      </c>
      <c r="I27" s="28" t="s">
        <v>778</v>
      </c>
      <c r="J27" s="28" t="s">
        <v>773</v>
      </c>
      <c r="K27" s="28" t="s">
        <v>1414</v>
      </c>
      <c r="L27" s="28" t="s">
        <v>796</v>
      </c>
    </row>
    <row r="28" spans="1:12" ht="213.75">
      <c r="A28" s="40">
        <v>26</v>
      </c>
      <c r="B28" s="93"/>
      <c r="C28" s="87"/>
      <c r="D28" s="40" t="s">
        <v>710</v>
      </c>
      <c r="E28" s="42" t="s">
        <v>46</v>
      </c>
      <c r="F28" s="41" t="s">
        <v>822</v>
      </c>
      <c r="G28" s="41" t="s">
        <v>823</v>
      </c>
      <c r="H28" s="28" t="s">
        <v>843</v>
      </c>
      <c r="I28" s="28" t="s">
        <v>778</v>
      </c>
      <c r="J28" s="28" t="s">
        <v>773</v>
      </c>
      <c r="K28" s="28" t="s">
        <v>1414</v>
      </c>
      <c r="L28" s="28" t="s">
        <v>796</v>
      </c>
    </row>
    <row r="29" spans="1:12" ht="409.5">
      <c r="A29" s="36">
        <v>27</v>
      </c>
      <c r="B29" s="93"/>
      <c r="C29" s="87" t="s">
        <v>825</v>
      </c>
      <c r="D29" s="40" t="s">
        <v>700</v>
      </c>
      <c r="E29" s="42" t="s">
        <v>46</v>
      </c>
      <c r="F29" s="41" t="s">
        <v>824</v>
      </c>
      <c r="G29" s="28" t="s">
        <v>798</v>
      </c>
      <c r="H29" s="28" t="s">
        <v>844</v>
      </c>
      <c r="I29" s="28" t="s">
        <v>778</v>
      </c>
      <c r="J29" s="28" t="s">
        <v>773</v>
      </c>
      <c r="K29" s="28" t="s">
        <v>1463</v>
      </c>
      <c r="L29" s="28" t="s">
        <v>806</v>
      </c>
    </row>
    <row r="30" spans="1:12" ht="409.5">
      <c r="A30" s="40">
        <v>28</v>
      </c>
      <c r="B30" s="93"/>
      <c r="C30" s="87"/>
      <c r="D30" s="84" t="s">
        <v>701</v>
      </c>
      <c r="E30" s="88" t="s">
        <v>46</v>
      </c>
      <c r="F30" s="41" t="s">
        <v>826</v>
      </c>
      <c r="G30" s="28" t="s">
        <v>798</v>
      </c>
      <c r="H30" s="28" t="s">
        <v>844</v>
      </c>
      <c r="I30" s="28" t="s">
        <v>778</v>
      </c>
      <c r="J30" s="28" t="s">
        <v>773</v>
      </c>
      <c r="K30" s="28" t="s">
        <v>1463</v>
      </c>
      <c r="L30" s="28" t="s">
        <v>806</v>
      </c>
    </row>
    <row r="31" spans="1:12" ht="409.5">
      <c r="A31" s="36">
        <v>29</v>
      </c>
      <c r="B31" s="93"/>
      <c r="C31" s="87"/>
      <c r="D31" s="86"/>
      <c r="E31" s="89"/>
      <c r="F31" s="41" t="s">
        <v>827</v>
      </c>
      <c r="G31" s="28" t="s">
        <v>799</v>
      </c>
      <c r="H31" s="28" t="s">
        <v>844</v>
      </c>
      <c r="I31" s="28" t="s">
        <v>779</v>
      </c>
      <c r="J31" s="41" t="s">
        <v>780</v>
      </c>
      <c r="K31" s="28" t="s">
        <v>1463</v>
      </c>
      <c r="L31" s="41" t="s">
        <v>712</v>
      </c>
    </row>
    <row r="32" spans="1:12" ht="42.75">
      <c r="A32" s="40">
        <v>30</v>
      </c>
      <c r="B32" s="93"/>
      <c r="C32" s="87"/>
      <c r="D32" s="84" t="s">
        <v>702</v>
      </c>
      <c r="E32" s="88" t="s">
        <v>46</v>
      </c>
      <c r="F32" s="41" t="s">
        <v>828</v>
      </c>
      <c r="G32" s="41" t="s">
        <v>783</v>
      </c>
      <c r="H32" s="41" t="s">
        <v>783</v>
      </c>
      <c r="I32" s="41" t="s">
        <v>783</v>
      </c>
      <c r="J32" s="41" t="s">
        <v>783</v>
      </c>
      <c r="K32" s="41" t="s">
        <v>783</v>
      </c>
      <c r="L32" s="41" t="s">
        <v>712</v>
      </c>
    </row>
    <row r="33" spans="1:12" ht="409.5">
      <c r="A33" s="36">
        <v>31</v>
      </c>
      <c r="B33" s="93"/>
      <c r="C33" s="87"/>
      <c r="D33" s="86"/>
      <c r="E33" s="89"/>
      <c r="F33" s="41" t="s">
        <v>829</v>
      </c>
      <c r="G33" s="28" t="s">
        <v>800</v>
      </c>
      <c r="H33" s="28" t="s">
        <v>844</v>
      </c>
      <c r="I33" s="28" t="s">
        <v>784</v>
      </c>
      <c r="J33" s="41" t="s">
        <v>785</v>
      </c>
      <c r="K33" s="28" t="s">
        <v>1463</v>
      </c>
      <c r="L33" s="28" t="s">
        <v>806</v>
      </c>
    </row>
    <row r="34" spans="1:12" ht="409.5">
      <c r="A34" s="40">
        <v>32</v>
      </c>
      <c r="B34" s="93"/>
      <c r="C34" s="87"/>
      <c r="D34" s="40" t="s">
        <v>703</v>
      </c>
      <c r="E34" s="57" t="s">
        <v>786</v>
      </c>
      <c r="F34" s="41" t="s">
        <v>830</v>
      </c>
      <c r="G34" s="28" t="s">
        <v>798</v>
      </c>
      <c r="H34" s="28" t="s">
        <v>844</v>
      </c>
      <c r="I34" s="28" t="s">
        <v>778</v>
      </c>
      <c r="J34" s="28" t="s">
        <v>773</v>
      </c>
      <c r="K34" s="28" t="s">
        <v>1463</v>
      </c>
      <c r="L34" s="28" t="s">
        <v>806</v>
      </c>
    </row>
    <row r="35" spans="1:12" ht="409.5">
      <c r="A35" s="36">
        <v>33</v>
      </c>
      <c r="B35" s="93"/>
      <c r="C35" s="87"/>
      <c r="D35" s="40" t="s">
        <v>704</v>
      </c>
      <c r="E35" s="42" t="s">
        <v>46</v>
      </c>
      <c r="F35" s="41" t="s">
        <v>831</v>
      </c>
      <c r="G35" s="41" t="s">
        <v>832</v>
      </c>
      <c r="H35" s="28" t="s">
        <v>844</v>
      </c>
      <c r="I35" s="28" t="s">
        <v>778</v>
      </c>
      <c r="J35" s="28" t="s">
        <v>773</v>
      </c>
      <c r="K35" s="28" t="s">
        <v>1463</v>
      </c>
      <c r="L35" s="28" t="s">
        <v>806</v>
      </c>
    </row>
    <row r="36" spans="1:12" ht="409.5">
      <c r="A36" s="40">
        <v>34</v>
      </c>
      <c r="B36" s="93"/>
      <c r="C36" s="87"/>
      <c r="D36" s="40" t="s">
        <v>705</v>
      </c>
      <c r="E36" s="42" t="s">
        <v>46</v>
      </c>
      <c r="F36" s="41" t="s">
        <v>833</v>
      </c>
      <c r="G36" s="41" t="s">
        <v>832</v>
      </c>
      <c r="H36" s="28" t="s">
        <v>844</v>
      </c>
      <c r="I36" s="28" t="s">
        <v>778</v>
      </c>
      <c r="J36" s="28" t="s">
        <v>773</v>
      </c>
      <c r="K36" s="28" t="s">
        <v>1463</v>
      </c>
      <c r="L36" s="28" t="s">
        <v>806</v>
      </c>
    </row>
    <row r="37" spans="1:12" ht="409.5">
      <c r="A37" s="36">
        <v>35</v>
      </c>
      <c r="B37" s="93"/>
      <c r="C37" s="87"/>
      <c r="D37" s="40" t="s">
        <v>706</v>
      </c>
      <c r="E37" s="42" t="s">
        <v>46</v>
      </c>
      <c r="F37" s="41" t="s">
        <v>834</v>
      </c>
      <c r="G37" s="41" t="s">
        <v>832</v>
      </c>
      <c r="H37" s="28" t="s">
        <v>844</v>
      </c>
      <c r="I37" s="28" t="s">
        <v>778</v>
      </c>
      <c r="J37" s="28" t="s">
        <v>773</v>
      </c>
      <c r="K37" s="28" t="s">
        <v>1463</v>
      </c>
      <c r="L37" s="28" t="s">
        <v>806</v>
      </c>
    </row>
    <row r="38" spans="1:12" ht="213.75">
      <c r="A38" s="40">
        <v>36</v>
      </c>
      <c r="B38" s="93"/>
      <c r="C38" s="87"/>
      <c r="D38" s="40" t="s">
        <v>707</v>
      </c>
      <c r="E38" s="42" t="s">
        <v>46</v>
      </c>
      <c r="F38" s="41" t="s">
        <v>835</v>
      </c>
      <c r="G38" s="41" t="s">
        <v>840</v>
      </c>
      <c r="H38" s="28" t="s">
        <v>845</v>
      </c>
      <c r="I38" s="28" t="s">
        <v>778</v>
      </c>
      <c r="J38" s="28" t="s">
        <v>773</v>
      </c>
      <c r="K38" s="28" t="s">
        <v>1414</v>
      </c>
      <c r="L38" s="28" t="s">
        <v>796</v>
      </c>
    </row>
    <row r="39" spans="1:12" ht="99.75">
      <c r="A39" s="36">
        <v>37</v>
      </c>
      <c r="B39" s="93"/>
      <c r="C39" s="87"/>
      <c r="D39" s="40" t="s">
        <v>708</v>
      </c>
      <c r="E39" s="42" t="s">
        <v>46</v>
      </c>
      <c r="F39" s="41" t="s">
        <v>836</v>
      </c>
      <c r="G39" s="41" t="s">
        <v>839</v>
      </c>
      <c r="H39" s="28" t="s">
        <v>846</v>
      </c>
      <c r="I39" s="28" t="s">
        <v>790</v>
      </c>
      <c r="J39" s="28" t="s">
        <v>713</v>
      </c>
      <c r="K39" s="28" t="s">
        <v>715</v>
      </c>
      <c r="L39" s="28" t="s">
        <v>712</v>
      </c>
    </row>
    <row r="40" spans="1:12" ht="213.75">
      <c r="A40" s="40">
        <v>38</v>
      </c>
      <c r="B40" s="93"/>
      <c r="C40" s="87"/>
      <c r="D40" s="40" t="s">
        <v>709</v>
      </c>
      <c r="E40" s="42" t="s">
        <v>46</v>
      </c>
      <c r="F40" s="41" t="s">
        <v>837</v>
      </c>
      <c r="G40" s="41" t="s">
        <v>840</v>
      </c>
      <c r="H40" s="28" t="s">
        <v>845</v>
      </c>
      <c r="I40" s="28" t="s">
        <v>778</v>
      </c>
      <c r="J40" s="28" t="s">
        <v>773</v>
      </c>
      <c r="K40" s="28" t="s">
        <v>1414</v>
      </c>
      <c r="L40" s="28" t="s">
        <v>796</v>
      </c>
    </row>
    <row r="41" spans="1:12" ht="213.75">
      <c r="A41" s="36">
        <v>39</v>
      </c>
      <c r="B41" s="93"/>
      <c r="C41" s="87"/>
      <c r="D41" s="40" t="s">
        <v>710</v>
      </c>
      <c r="E41" s="42" t="s">
        <v>46</v>
      </c>
      <c r="F41" s="41" t="s">
        <v>838</v>
      </c>
      <c r="G41" s="41" t="s">
        <v>840</v>
      </c>
      <c r="H41" s="28" t="s">
        <v>845</v>
      </c>
      <c r="I41" s="28" t="s">
        <v>778</v>
      </c>
      <c r="J41" s="28" t="s">
        <v>773</v>
      </c>
      <c r="K41" s="28" t="s">
        <v>1414</v>
      </c>
      <c r="L41" s="28" t="s">
        <v>796</v>
      </c>
    </row>
    <row r="42" spans="1:12" ht="409.5">
      <c r="A42" s="40">
        <v>40</v>
      </c>
      <c r="B42" s="93"/>
      <c r="C42" s="87" t="s">
        <v>854</v>
      </c>
      <c r="D42" s="40" t="s">
        <v>700</v>
      </c>
      <c r="E42" s="42" t="s">
        <v>46</v>
      </c>
      <c r="F42" s="41" t="s">
        <v>847</v>
      </c>
      <c r="G42" s="28" t="s">
        <v>798</v>
      </c>
      <c r="H42" s="28" t="s">
        <v>848</v>
      </c>
      <c r="I42" s="28" t="s">
        <v>778</v>
      </c>
      <c r="J42" s="28" t="s">
        <v>773</v>
      </c>
      <c r="K42" s="28" t="s">
        <v>1310</v>
      </c>
      <c r="L42" s="28" t="s">
        <v>712</v>
      </c>
    </row>
    <row r="43" spans="1:12" ht="409.5">
      <c r="A43" s="36">
        <v>41</v>
      </c>
      <c r="B43" s="93"/>
      <c r="C43" s="87"/>
      <c r="D43" s="54" t="s">
        <v>701</v>
      </c>
      <c r="E43" s="58" t="s">
        <v>46</v>
      </c>
      <c r="F43" s="41" t="s">
        <v>849</v>
      </c>
      <c r="G43" s="28" t="s">
        <v>800</v>
      </c>
      <c r="H43" s="28" t="s">
        <v>848</v>
      </c>
      <c r="I43" s="28" t="s">
        <v>784</v>
      </c>
      <c r="J43" s="41" t="s">
        <v>785</v>
      </c>
      <c r="K43" s="41" t="s">
        <v>1310</v>
      </c>
      <c r="L43" s="28" t="s">
        <v>712</v>
      </c>
    </row>
    <row r="44" spans="1:12" ht="409.5">
      <c r="A44" s="40">
        <v>42</v>
      </c>
      <c r="B44" s="93"/>
      <c r="C44" s="87"/>
      <c r="D44" s="54" t="s">
        <v>702</v>
      </c>
      <c r="E44" s="58" t="s">
        <v>46</v>
      </c>
      <c r="F44" s="41" t="s">
        <v>850</v>
      </c>
      <c r="G44" s="28" t="s">
        <v>799</v>
      </c>
      <c r="H44" s="28" t="s">
        <v>848</v>
      </c>
      <c r="I44" s="28" t="s">
        <v>784</v>
      </c>
      <c r="J44" s="41" t="s">
        <v>780</v>
      </c>
      <c r="K44" s="28" t="s">
        <v>1310</v>
      </c>
      <c r="L44" s="28" t="s">
        <v>712</v>
      </c>
    </row>
    <row r="45" spans="1:12" ht="409.5">
      <c r="A45" s="36">
        <v>43</v>
      </c>
      <c r="B45" s="93"/>
      <c r="C45" s="87"/>
      <c r="D45" s="40" t="s">
        <v>703</v>
      </c>
      <c r="E45" s="57" t="s">
        <v>786</v>
      </c>
      <c r="F45" s="41" t="s">
        <v>851</v>
      </c>
      <c r="G45" s="28" t="s">
        <v>798</v>
      </c>
      <c r="H45" s="28" t="s">
        <v>848</v>
      </c>
      <c r="I45" s="28" t="s">
        <v>778</v>
      </c>
      <c r="J45" s="28" t="s">
        <v>773</v>
      </c>
      <c r="K45" s="28" t="s">
        <v>1310</v>
      </c>
      <c r="L45" s="28" t="s">
        <v>712</v>
      </c>
    </row>
    <row r="46" spans="1:12" ht="409.5">
      <c r="A46" s="40">
        <v>44</v>
      </c>
      <c r="B46" s="93"/>
      <c r="C46" s="87"/>
      <c r="D46" s="40" t="s">
        <v>704</v>
      </c>
      <c r="E46" s="58" t="s">
        <v>46</v>
      </c>
      <c r="F46" s="41" t="s">
        <v>852</v>
      </c>
      <c r="G46" s="41" t="s">
        <v>853</v>
      </c>
      <c r="H46" s="28" t="s">
        <v>848</v>
      </c>
      <c r="I46" s="28" t="s">
        <v>778</v>
      </c>
      <c r="J46" s="28" t="s">
        <v>773</v>
      </c>
      <c r="K46" s="28" t="s">
        <v>1310</v>
      </c>
      <c r="L46" s="28" t="s">
        <v>712</v>
      </c>
    </row>
    <row r="47" spans="1:12" ht="409.5">
      <c r="A47" s="36">
        <v>45</v>
      </c>
      <c r="B47" s="93"/>
      <c r="C47" s="87"/>
      <c r="D47" s="40" t="s">
        <v>705</v>
      </c>
      <c r="E47" s="58" t="s">
        <v>46</v>
      </c>
      <c r="F47" s="41" t="s">
        <v>855</v>
      </c>
      <c r="G47" s="28" t="s">
        <v>798</v>
      </c>
      <c r="H47" s="28" t="s">
        <v>848</v>
      </c>
      <c r="I47" s="28" t="s">
        <v>778</v>
      </c>
      <c r="J47" s="28" t="s">
        <v>773</v>
      </c>
      <c r="K47" s="28" t="s">
        <v>1310</v>
      </c>
      <c r="L47" s="28" t="s">
        <v>712</v>
      </c>
    </row>
    <row r="48" spans="1:12" ht="409.5">
      <c r="A48" s="40">
        <v>46</v>
      </c>
      <c r="B48" s="93"/>
      <c r="C48" s="87"/>
      <c r="D48" s="40" t="s">
        <v>706</v>
      </c>
      <c r="E48" s="58" t="s">
        <v>46</v>
      </c>
      <c r="F48" s="41" t="s">
        <v>856</v>
      </c>
      <c r="G48" s="41" t="s">
        <v>853</v>
      </c>
      <c r="H48" s="28" t="s">
        <v>848</v>
      </c>
      <c r="I48" s="28" t="s">
        <v>778</v>
      </c>
      <c r="J48" s="28" t="s">
        <v>773</v>
      </c>
      <c r="K48" s="28" t="s">
        <v>1310</v>
      </c>
      <c r="L48" s="28" t="s">
        <v>712</v>
      </c>
    </row>
    <row r="49" spans="1:12" ht="228">
      <c r="A49" s="36">
        <v>47</v>
      </c>
      <c r="B49" s="93"/>
      <c r="C49" s="87"/>
      <c r="D49" s="40" t="s">
        <v>707</v>
      </c>
      <c r="E49" s="58" t="s">
        <v>46</v>
      </c>
      <c r="F49" s="41" t="s">
        <v>857</v>
      </c>
      <c r="G49" s="41" t="s">
        <v>858</v>
      </c>
      <c r="H49" s="28" t="s">
        <v>1000</v>
      </c>
      <c r="I49" s="28" t="s">
        <v>778</v>
      </c>
      <c r="J49" s="28" t="s">
        <v>773</v>
      </c>
      <c r="K49" s="28" t="s">
        <v>1413</v>
      </c>
      <c r="L49" s="28" t="s">
        <v>712</v>
      </c>
    </row>
    <row r="50" spans="1:12" ht="228">
      <c r="A50" s="40">
        <v>48</v>
      </c>
      <c r="B50" s="93"/>
      <c r="C50" s="87"/>
      <c r="D50" s="40" t="s">
        <v>708</v>
      </c>
      <c r="E50" s="58" t="s">
        <v>46</v>
      </c>
      <c r="F50" s="41" t="s">
        <v>859</v>
      </c>
      <c r="G50" s="41" t="s">
        <v>858</v>
      </c>
      <c r="H50" s="28" t="s">
        <v>1000</v>
      </c>
      <c r="I50" s="28" t="s">
        <v>778</v>
      </c>
      <c r="J50" s="28" t="s">
        <v>773</v>
      </c>
      <c r="K50" s="28" t="s">
        <v>1413</v>
      </c>
      <c r="L50" s="28" t="s">
        <v>712</v>
      </c>
    </row>
    <row r="51" spans="1:12" ht="228">
      <c r="A51" s="36">
        <v>49</v>
      </c>
      <c r="B51" s="93"/>
      <c r="C51" s="87"/>
      <c r="D51" s="40" t="s">
        <v>709</v>
      </c>
      <c r="E51" s="58" t="s">
        <v>46</v>
      </c>
      <c r="F51" s="41" t="s">
        <v>860</v>
      </c>
      <c r="G51" s="41" t="s">
        <v>858</v>
      </c>
      <c r="H51" s="28" t="s">
        <v>1000</v>
      </c>
      <c r="I51" s="28" t="s">
        <v>778</v>
      </c>
      <c r="J51" s="28" t="s">
        <v>773</v>
      </c>
      <c r="K51" s="28" t="s">
        <v>1413</v>
      </c>
      <c r="L51" s="28" t="s">
        <v>712</v>
      </c>
    </row>
    <row r="52" spans="1:12" ht="228">
      <c r="A52" s="40">
        <v>50</v>
      </c>
      <c r="B52" s="93"/>
      <c r="C52" s="87"/>
      <c r="D52" s="40" t="s">
        <v>710</v>
      </c>
      <c r="E52" s="58" t="s">
        <v>46</v>
      </c>
      <c r="F52" s="41" t="s">
        <v>861</v>
      </c>
      <c r="G52" s="41" t="s">
        <v>858</v>
      </c>
      <c r="H52" s="28" t="s">
        <v>1000</v>
      </c>
      <c r="I52" s="28" t="s">
        <v>778</v>
      </c>
      <c r="J52" s="28" t="s">
        <v>773</v>
      </c>
      <c r="K52" s="28" t="s">
        <v>1413</v>
      </c>
      <c r="L52" s="28" t="s">
        <v>712</v>
      </c>
    </row>
    <row r="53" spans="1:12" ht="409.5">
      <c r="A53" s="36">
        <v>51</v>
      </c>
      <c r="B53" s="93"/>
      <c r="C53" s="87" t="s">
        <v>747</v>
      </c>
      <c r="D53" s="40" t="s">
        <v>700</v>
      </c>
      <c r="E53" s="42" t="s">
        <v>46</v>
      </c>
      <c r="F53" s="41" t="s">
        <v>862</v>
      </c>
      <c r="G53" s="28" t="s">
        <v>798</v>
      </c>
      <c r="H53" s="28" t="s">
        <v>804</v>
      </c>
      <c r="I53" s="28" t="s">
        <v>778</v>
      </c>
      <c r="J53" s="28" t="s">
        <v>773</v>
      </c>
      <c r="K53" s="28" t="s">
        <v>1410</v>
      </c>
      <c r="L53" s="28" t="s">
        <v>806</v>
      </c>
    </row>
    <row r="54" spans="1:12" ht="409.5">
      <c r="A54" s="40">
        <v>52</v>
      </c>
      <c r="B54" s="93"/>
      <c r="C54" s="87"/>
      <c r="D54" s="84" t="s">
        <v>701</v>
      </c>
      <c r="E54" s="84" t="s">
        <v>46</v>
      </c>
      <c r="F54" s="41" t="s">
        <v>863</v>
      </c>
      <c r="G54" s="28" t="s">
        <v>798</v>
      </c>
      <c r="H54" s="28" t="s">
        <v>804</v>
      </c>
      <c r="I54" s="28" t="s">
        <v>778</v>
      </c>
      <c r="J54" s="28" t="s">
        <v>773</v>
      </c>
      <c r="K54" s="28" t="s">
        <v>1410</v>
      </c>
      <c r="L54" s="28" t="s">
        <v>806</v>
      </c>
    </row>
    <row r="55" spans="1:12" ht="409.5">
      <c r="A55" s="36">
        <v>53</v>
      </c>
      <c r="B55" s="93"/>
      <c r="C55" s="87"/>
      <c r="D55" s="86"/>
      <c r="E55" s="86"/>
      <c r="F55" s="41" t="s">
        <v>864</v>
      </c>
      <c r="G55" s="28" t="s">
        <v>798</v>
      </c>
      <c r="H55" s="28" t="s">
        <v>804</v>
      </c>
      <c r="I55" s="28" t="s">
        <v>778</v>
      </c>
      <c r="J55" s="28" t="s">
        <v>773</v>
      </c>
      <c r="K55" s="28" t="s">
        <v>1410</v>
      </c>
      <c r="L55" s="28" t="s">
        <v>806</v>
      </c>
    </row>
    <row r="56" spans="1:12" ht="409.5">
      <c r="A56" s="40">
        <v>54</v>
      </c>
      <c r="B56" s="93"/>
      <c r="C56" s="87"/>
      <c r="D56" s="54" t="s">
        <v>702</v>
      </c>
      <c r="E56" s="56" t="s">
        <v>46</v>
      </c>
      <c r="F56" s="41" t="s">
        <v>865</v>
      </c>
      <c r="G56" s="28" t="s">
        <v>798</v>
      </c>
      <c r="H56" s="28" t="s">
        <v>804</v>
      </c>
      <c r="I56" s="28" t="s">
        <v>778</v>
      </c>
      <c r="J56" s="28" t="s">
        <v>773</v>
      </c>
      <c r="K56" s="28" t="s">
        <v>1410</v>
      </c>
      <c r="L56" s="28" t="s">
        <v>806</v>
      </c>
    </row>
    <row r="57" spans="1:12" ht="409.5">
      <c r="A57" s="36">
        <v>55</v>
      </c>
      <c r="B57" s="93"/>
      <c r="C57" s="87"/>
      <c r="D57" s="40" t="s">
        <v>703</v>
      </c>
      <c r="E57" s="56" t="s">
        <v>46</v>
      </c>
      <c r="F57" s="41" t="s">
        <v>864</v>
      </c>
      <c r="G57" s="28" t="s">
        <v>798</v>
      </c>
      <c r="H57" s="28" t="s">
        <v>804</v>
      </c>
      <c r="I57" s="28" t="s">
        <v>778</v>
      </c>
      <c r="J57" s="28" t="s">
        <v>773</v>
      </c>
      <c r="K57" s="28" t="s">
        <v>1410</v>
      </c>
      <c r="L57" s="28" t="s">
        <v>806</v>
      </c>
    </row>
    <row r="58" spans="1:12" ht="409.5">
      <c r="A58" s="40">
        <v>56</v>
      </c>
      <c r="B58" s="93"/>
      <c r="C58" s="87"/>
      <c r="D58" s="40" t="s">
        <v>704</v>
      </c>
      <c r="E58" s="56" t="s">
        <v>46</v>
      </c>
      <c r="F58" s="41" t="s">
        <v>865</v>
      </c>
      <c r="G58" s="28" t="s">
        <v>798</v>
      </c>
      <c r="H58" s="28" t="s">
        <v>804</v>
      </c>
      <c r="I58" s="28" t="s">
        <v>778</v>
      </c>
      <c r="J58" s="28" t="s">
        <v>773</v>
      </c>
      <c r="K58" s="28" t="s">
        <v>1410</v>
      </c>
      <c r="L58" s="28" t="s">
        <v>806</v>
      </c>
    </row>
    <row r="59" spans="1:12" ht="409.5">
      <c r="A59" s="36">
        <v>57</v>
      </c>
      <c r="B59" s="93"/>
      <c r="C59" s="87"/>
      <c r="D59" s="40" t="s">
        <v>705</v>
      </c>
      <c r="E59" s="56" t="s">
        <v>46</v>
      </c>
      <c r="F59" s="41" t="s">
        <v>866</v>
      </c>
      <c r="G59" s="28" t="s">
        <v>798</v>
      </c>
      <c r="H59" s="28" t="s">
        <v>804</v>
      </c>
      <c r="I59" s="28" t="s">
        <v>778</v>
      </c>
      <c r="J59" s="28" t="s">
        <v>773</v>
      </c>
      <c r="K59" s="28" t="s">
        <v>1410</v>
      </c>
      <c r="L59" s="28" t="s">
        <v>806</v>
      </c>
    </row>
    <row r="60" spans="1:12" ht="409.5">
      <c r="A60" s="40">
        <v>58</v>
      </c>
      <c r="B60" s="93"/>
      <c r="C60" s="87"/>
      <c r="D60" s="40" t="s">
        <v>706</v>
      </c>
      <c r="E60" s="56" t="s">
        <v>46</v>
      </c>
      <c r="F60" s="41" t="s">
        <v>867</v>
      </c>
      <c r="G60" s="28" t="s">
        <v>798</v>
      </c>
      <c r="H60" s="28" t="s">
        <v>804</v>
      </c>
      <c r="I60" s="28" t="s">
        <v>778</v>
      </c>
      <c r="J60" s="28" t="s">
        <v>773</v>
      </c>
      <c r="K60" s="28" t="s">
        <v>1410</v>
      </c>
      <c r="L60" s="28" t="s">
        <v>806</v>
      </c>
    </row>
    <row r="61" spans="1:12" ht="409.5">
      <c r="A61" s="36">
        <v>59</v>
      </c>
      <c r="B61" s="93"/>
      <c r="C61" s="87"/>
      <c r="D61" s="40" t="s">
        <v>707</v>
      </c>
      <c r="E61" s="56" t="s">
        <v>46</v>
      </c>
      <c r="F61" s="41" t="s">
        <v>868</v>
      </c>
      <c r="G61" s="28" t="s">
        <v>798</v>
      </c>
      <c r="H61" s="28" t="s">
        <v>804</v>
      </c>
      <c r="I61" s="28" t="s">
        <v>778</v>
      </c>
      <c r="J61" s="28" t="s">
        <v>773</v>
      </c>
      <c r="K61" s="28" t="s">
        <v>1410</v>
      </c>
      <c r="L61" s="28" t="s">
        <v>806</v>
      </c>
    </row>
    <row r="62" spans="1:12" ht="409.5">
      <c r="A62" s="40">
        <v>60</v>
      </c>
      <c r="B62" s="93"/>
      <c r="C62" s="87"/>
      <c r="D62" s="40" t="s">
        <v>708</v>
      </c>
      <c r="E62" s="56" t="s">
        <v>46</v>
      </c>
      <c r="F62" s="41" t="s">
        <v>869</v>
      </c>
      <c r="G62" s="28" t="s">
        <v>798</v>
      </c>
      <c r="H62" s="28" t="s">
        <v>804</v>
      </c>
      <c r="I62" s="28" t="s">
        <v>778</v>
      </c>
      <c r="J62" s="28" t="s">
        <v>773</v>
      </c>
      <c r="K62" s="28" t="s">
        <v>1410</v>
      </c>
      <c r="L62" s="28" t="s">
        <v>806</v>
      </c>
    </row>
    <row r="63" spans="1:12" ht="409.5">
      <c r="A63" s="36">
        <v>61</v>
      </c>
      <c r="B63" s="93"/>
      <c r="C63" s="87"/>
      <c r="D63" s="40" t="s">
        <v>709</v>
      </c>
      <c r="E63" s="56" t="s">
        <v>46</v>
      </c>
      <c r="F63" s="41" t="s">
        <v>870</v>
      </c>
      <c r="G63" s="28" t="s">
        <v>798</v>
      </c>
      <c r="H63" s="28" t="s">
        <v>804</v>
      </c>
      <c r="I63" s="28" t="s">
        <v>778</v>
      </c>
      <c r="J63" s="28" t="s">
        <v>773</v>
      </c>
      <c r="K63" s="28" t="s">
        <v>1410</v>
      </c>
      <c r="L63" s="28" t="s">
        <v>806</v>
      </c>
    </row>
    <row r="64" spans="1:12" ht="409.5">
      <c r="A64" s="40">
        <v>62</v>
      </c>
      <c r="B64" s="93"/>
      <c r="C64" s="87"/>
      <c r="D64" s="40" t="s">
        <v>710</v>
      </c>
      <c r="E64" s="56" t="s">
        <v>46</v>
      </c>
      <c r="F64" s="41" t="s">
        <v>871</v>
      </c>
      <c r="G64" s="28" t="s">
        <v>798</v>
      </c>
      <c r="H64" s="28" t="s">
        <v>804</v>
      </c>
      <c r="I64" s="28" t="s">
        <v>778</v>
      </c>
      <c r="J64" s="28" t="s">
        <v>773</v>
      </c>
      <c r="K64" s="28" t="s">
        <v>1410</v>
      </c>
      <c r="L64" s="28" t="s">
        <v>806</v>
      </c>
    </row>
    <row r="65" spans="1:12" ht="409.5">
      <c r="A65" s="36">
        <v>63</v>
      </c>
      <c r="B65" s="93" t="s">
        <v>748</v>
      </c>
      <c r="C65" s="87" t="s">
        <v>749</v>
      </c>
      <c r="D65" s="40" t="s">
        <v>700</v>
      </c>
      <c r="E65" s="56" t="s">
        <v>46</v>
      </c>
      <c r="F65" s="41" t="s">
        <v>872</v>
      </c>
      <c r="G65" s="41" t="s">
        <v>873</v>
      </c>
      <c r="H65" s="28" t="s">
        <v>1000</v>
      </c>
      <c r="I65" s="28" t="s">
        <v>778</v>
      </c>
      <c r="J65" s="28" t="s">
        <v>773</v>
      </c>
      <c r="K65" s="41" t="s">
        <v>1012</v>
      </c>
      <c r="L65" s="41" t="s">
        <v>889</v>
      </c>
    </row>
    <row r="66" spans="1:12" ht="409.5">
      <c r="A66" s="40">
        <v>64</v>
      </c>
      <c r="B66" s="93"/>
      <c r="C66" s="87"/>
      <c r="D66" s="40" t="s">
        <v>701</v>
      </c>
      <c r="E66" s="56" t="s">
        <v>46</v>
      </c>
      <c r="F66" s="41" t="s">
        <v>874</v>
      </c>
      <c r="G66" s="41" t="s">
        <v>875</v>
      </c>
      <c r="H66" s="28" t="s">
        <v>1000</v>
      </c>
      <c r="I66" s="28" t="s">
        <v>778</v>
      </c>
      <c r="J66" s="28" t="s">
        <v>773</v>
      </c>
      <c r="K66" s="41" t="s">
        <v>1012</v>
      </c>
      <c r="L66" s="41" t="s">
        <v>889</v>
      </c>
    </row>
    <row r="67" spans="1:12" ht="409.5">
      <c r="A67" s="36">
        <v>65</v>
      </c>
      <c r="B67" s="93"/>
      <c r="C67" s="87"/>
      <c r="D67" s="40" t="s">
        <v>702</v>
      </c>
      <c r="E67" s="56" t="s">
        <v>46</v>
      </c>
      <c r="F67" s="41" t="s">
        <v>876</v>
      </c>
      <c r="G67" s="41" t="s">
        <v>875</v>
      </c>
      <c r="H67" s="28" t="s">
        <v>1000</v>
      </c>
      <c r="I67" s="28" t="s">
        <v>778</v>
      </c>
      <c r="J67" s="28" t="s">
        <v>773</v>
      </c>
      <c r="K67" s="41" t="s">
        <v>1012</v>
      </c>
      <c r="L67" s="41" t="s">
        <v>889</v>
      </c>
    </row>
    <row r="68" spans="1:12" ht="409.5">
      <c r="A68" s="40">
        <v>66</v>
      </c>
      <c r="B68" s="93"/>
      <c r="C68" s="87"/>
      <c r="D68" s="84" t="s">
        <v>703</v>
      </c>
      <c r="E68" s="59" t="s">
        <v>750</v>
      </c>
      <c r="F68" s="41" t="s">
        <v>877</v>
      </c>
      <c r="G68" s="41" t="s">
        <v>881</v>
      </c>
      <c r="H68" s="28" t="s">
        <v>1000</v>
      </c>
      <c r="I68" s="28" t="s">
        <v>778</v>
      </c>
      <c r="J68" s="28" t="s">
        <v>773</v>
      </c>
      <c r="K68" s="41" t="s">
        <v>1012</v>
      </c>
      <c r="L68" s="41" t="s">
        <v>889</v>
      </c>
    </row>
    <row r="69" spans="1:12" ht="409.5">
      <c r="A69" s="36">
        <v>67</v>
      </c>
      <c r="B69" s="93"/>
      <c r="C69" s="87"/>
      <c r="D69" s="85"/>
      <c r="E69" s="59" t="s">
        <v>751</v>
      </c>
      <c r="F69" s="41" t="s">
        <v>879</v>
      </c>
      <c r="G69" s="41" t="s">
        <v>881</v>
      </c>
      <c r="H69" s="28" t="s">
        <v>1000</v>
      </c>
      <c r="I69" s="28" t="s">
        <v>778</v>
      </c>
      <c r="J69" s="28" t="s">
        <v>773</v>
      </c>
      <c r="K69" s="41" t="s">
        <v>1012</v>
      </c>
      <c r="L69" s="41" t="s">
        <v>889</v>
      </c>
    </row>
    <row r="70" spans="1:12" ht="409.5">
      <c r="A70" s="40">
        <v>68</v>
      </c>
      <c r="B70" s="93"/>
      <c r="C70" s="87"/>
      <c r="D70" s="86"/>
      <c r="E70" s="59" t="s">
        <v>878</v>
      </c>
      <c r="F70" s="41" t="s">
        <v>880</v>
      </c>
      <c r="G70" s="41" t="s">
        <v>881</v>
      </c>
      <c r="H70" s="28" t="s">
        <v>1000</v>
      </c>
      <c r="I70" s="28" t="s">
        <v>778</v>
      </c>
      <c r="J70" s="28" t="s">
        <v>773</v>
      </c>
      <c r="K70" s="41" t="s">
        <v>1012</v>
      </c>
      <c r="L70" s="41" t="s">
        <v>889</v>
      </c>
    </row>
    <row r="71" spans="1:12" ht="409.5">
      <c r="A71" s="36">
        <v>69</v>
      </c>
      <c r="B71" s="93"/>
      <c r="C71" s="87"/>
      <c r="D71" s="84" t="s">
        <v>704</v>
      </c>
      <c r="E71" s="56" t="s">
        <v>46</v>
      </c>
      <c r="F71" s="41" t="s">
        <v>883</v>
      </c>
      <c r="G71" s="41" t="s">
        <v>884</v>
      </c>
      <c r="H71" s="28" t="s">
        <v>1000</v>
      </c>
      <c r="I71" s="28" t="s">
        <v>778</v>
      </c>
      <c r="J71" s="28" t="s">
        <v>773</v>
      </c>
      <c r="K71" s="41" t="s">
        <v>1012</v>
      </c>
      <c r="L71" s="41" t="s">
        <v>889</v>
      </c>
    </row>
    <row r="72" spans="1:12" ht="409.5">
      <c r="A72" s="40">
        <v>70</v>
      </c>
      <c r="B72" s="93"/>
      <c r="C72" s="87"/>
      <c r="D72" s="86"/>
      <c r="E72" s="56" t="s">
        <v>46</v>
      </c>
      <c r="F72" s="41" t="s">
        <v>882</v>
      </c>
      <c r="G72" s="41" t="s">
        <v>885</v>
      </c>
      <c r="H72" s="28" t="s">
        <v>1000</v>
      </c>
      <c r="I72" s="28" t="s">
        <v>778</v>
      </c>
      <c r="J72" s="28" t="s">
        <v>773</v>
      </c>
      <c r="K72" s="41" t="s">
        <v>1012</v>
      </c>
      <c r="L72" s="41" t="s">
        <v>889</v>
      </c>
    </row>
    <row r="73" spans="1:12" ht="409.5">
      <c r="A73" s="36">
        <v>71</v>
      </c>
      <c r="B73" s="93"/>
      <c r="C73" s="87"/>
      <c r="D73" s="84" t="s">
        <v>705</v>
      </c>
      <c r="E73" s="56" t="s">
        <v>46</v>
      </c>
      <c r="F73" s="41" t="s">
        <v>886</v>
      </c>
      <c r="G73" s="41" t="s">
        <v>884</v>
      </c>
      <c r="H73" s="28" t="s">
        <v>1000</v>
      </c>
      <c r="I73" s="28" t="s">
        <v>778</v>
      </c>
      <c r="J73" s="28" t="s">
        <v>773</v>
      </c>
      <c r="K73" s="41" t="s">
        <v>1012</v>
      </c>
      <c r="L73" s="41" t="s">
        <v>889</v>
      </c>
    </row>
    <row r="74" spans="1:12" ht="128.25">
      <c r="A74" s="40">
        <v>72</v>
      </c>
      <c r="B74" s="93"/>
      <c r="C74" s="87"/>
      <c r="D74" s="86"/>
      <c r="E74" s="56" t="s">
        <v>46</v>
      </c>
      <c r="F74" s="41" t="s">
        <v>887</v>
      </c>
      <c r="G74" s="41" t="s">
        <v>888</v>
      </c>
      <c r="H74" s="28" t="s">
        <v>1000</v>
      </c>
      <c r="I74" s="41" t="s">
        <v>897</v>
      </c>
      <c r="J74" s="41" t="s">
        <v>713</v>
      </c>
      <c r="K74" s="41" t="s">
        <v>715</v>
      </c>
      <c r="L74" s="41" t="s">
        <v>712</v>
      </c>
    </row>
    <row r="75" spans="1:12" ht="409.5">
      <c r="A75" s="36">
        <v>73</v>
      </c>
      <c r="B75" s="93"/>
      <c r="C75" s="87"/>
      <c r="D75" s="40" t="s">
        <v>706</v>
      </c>
      <c r="E75" s="56" t="s">
        <v>46</v>
      </c>
      <c r="F75" s="41" t="s">
        <v>890</v>
      </c>
      <c r="G75" s="41" t="s">
        <v>884</v>
      </c>
      <c r="H75" s="28" t="s">
        <v>1000</v>
      </c>
      <c r="I75" s="28" t="s">
        <v>778</v>
      </c>
      <c r="J75" s="28" t="s">
        <v>773</v>
      </c>
      <c r="K75" s="41" t="s">
        <v>1012</v>
      </c>
      <c r="L75" s="41" t="s">
        <v>889</v>
      </c>
    </row>
    <row r="76" spans="1:12" ht="71.25">
      <c r="A76" s="40">
        <v>74</v>
      </c>
      <c r="B76" s="93"/>
      <c r="C76" s="87"/>
      <c r="D76" s="40" t="s">
        <v>707</v>
      </c>
      <c r="E76" s="56" t="s">
        <v>46</v>
      </c>
      <c r="F76" s="41" t="s">
        <v>891</v>
      </c>
      <c r="G76" s="41" t="s">
        <v>895</v>
      </c>
      <c r="H76" s="28" t="s">
        <v>896</v>
      </c>
      <c r="I76" s="41" t="s">
        <v>897</v>
      </c>
      <c r="J76" s="41" t="s">
        <v>713</v>
      </c>
      <c r="K76" s="41" t="s">
        <v>715</v>
      </c>
      <c r="L76" s="41" t="s">
        <v>712</v>
      </c>
    </row>
    <row r="77" spans="1:12" ht="142.5">
      <c r="A77" s="36">
        <v>75</v>
      </c>
      <c r="B77" s="93"/>
      <c r="C77" s="87"/>
      <c r="D77" s="40" t="s">
        <v>708</v>
      </c>
      <c r="E77" s="56" t="s">
        <v>46</v>
      </c>
      <c r="F77" s="41" t="s">
        <v>892</v>
      </c>
      <c r="G77" s="28" t="s">
        <v>970</v>
      </c>
      <c r="H77" s="28" t="s">
        <v>935</v>
      </c>
      <c r="I77" s="28" t="s">
        <v>935</v>
      </c>
      <c r="J77" s="28" t="s">
        <v>935</v>
      </c>
      <c r="K77" s="28" t="s">
        <v>935</v>
      </c>
      <c r="L77" s="41" t="s">
        <v>712</v>
      </c>
    </row>
    <row r="78" spans="1:12" ht="142.5">
      <c r="A78" s="40">
        <v>76</v>
      </c>
      <c r="B78" s="93"/>
      <c r="C78" s="87"/>
      <c r="D78" s="40" t="s">
        <v>709</v>
      </c>
      <c r="E78" s="56" t="s">
        <v>46</v>
      </c>
      <c r="F78" s="41" t="s">
        <v>893</v>
      </c>
      <c r="G78" s="28" t="s">
        <v>970</v>
      </c>
      <c r="H78" s="28" t="s">
        <v>935</v>
      </c>
      <c r="I78" s="28" t="s">
        <v>935</v>
      </c>
      <c r="J78" s="28" t="s">
        <v>935</v>
      </c>
      <c r="K78" s="28" t="s">
        <v>935</v>
      </c>
      <c r="L78" s="41" t="s">
        <v>712</v>
      </c>
    </row>
    <row r="79" spans="1:12" ht="142.5">
      <c r="A79" s="36">
        <v>77</v>
      </c>
      <c r="B79" s="93"/>
      <c r="C79" s="87"/>
      <c r="D79" s="40" t="s">
        <v>710</v>
      </c>
      <c r="E79" s="56" t="s">
        <v>46</v>
      </c>
      <c r="F79" s="41" t="s">
        <v>894</v>
      </c>
      <c r="G79" s="28" t="s">
        <v>970</v>
      </c>
      <c r="H79" s="28" t="s">
        <v>935</v>
      </c>
      <c r="I79" s="28" t="s">
        <v>935</v>
      </c>
      <c r="J79" s="28" t="s">
        <v>935</v>
      </c>
      <c r="K79" s="28" t="s">
        <v>935</v>
      </c>
      <c r="L79" s="41" t="s">
        <v>712</v>
      </c>
    </row>
    <row r="80" spans="1:12" ht="409.5">
      <c r="A80" s="40">
        <v>78</v>
      </c>
      <c r="B80" s="93"/>
      <c r="C80" s="87" t="s">
        <v>750</v>
      </c>
      <c r="D80" s="40" t="s">
        <v>700</v>
      </c>
      <c r="E80" s="56" t="s">
        <v>46</v>
      </c>
      <c r="F80" s="41" t="s">
        <v>872</v>
      </c>
      <c r="G80" s="41" t="s">
        <v>873</v>
      </c>
      <c r="H80" s="28" t="s">
        <v>1000</v>
      </c>
      <c r="I80" s="28" t="s">
        <v>778</v>
      </c>
      <c r="J80" s="28" t="s">
        <v>773</v>
      </c>
      <c r="K80" s="41" t="s">
        <v>1013</v>
      </c>
      <c r="L80" s="41" t="s">
        <v>889</v>
      </c>
    </row>
    <row r="81" spans="1:12" ht="409.5">
      <c r="A81" s="36">
        <v>79</v>
      </c>
      <c r="B81" s="93"/>
      <c r="C81" s="87"/>
      <c r="D81" s="40" t="s">
        <v>701</v>
      </c>
      <c r="E81" s="56" t="s">
        <v>46</v>
      </c>
      <c r="F81" s="41" t="s">
        <v>898</v>
      </c>
      <c r="G81" s="41" t="s">
        <v>875</v>
      </c>
      <c r="H81" s="28" t="s">
        <v>1000</v>
      </c>
      <c r="I81" s="28" t="s">
        <v>778</v>
      </c>
      <c r="J81" s="28" t="s">
        <v>773</v>
      </c>
      <c r="K81" s="41" t="s">
        <v>1013</v>
      </c>
      <c r="L81" s="41" t="s">
        <v>889</v>
      </c>
    </row>
    <row r="82" spans="1:12" ht="409.5">
      <c r="A82" s="40">
        <v>80</v>
      </c>
      <c r="B82" s="93"/>
      <c r="C82" s="87"/>
      <c r="D82" s="40" t="s">
        <v>702</v>
      </c>
      <c r="E82" s="56" t="s">
        <v>46</v>
      </c>
      <c r="F82" s="41" t="s">
        <v>899</v>
      </c>
      <c r="G82" s="41" t="s">
        <v>875</v>
      </c>
      <c r="H82" s="28" t="s">
        <v>1000</v>
      </c>
      <c r="I82" s="28" t="s">
        <v>778</v>
      </c>
      <c r="J82" s="28" t="s">
        <v>773</v>
      </c>
      <c r="K82" s="41" t="s">
        <v>1013</v>
      </c>
      <c r="L82" s="41" t="s">
        <v>889</v>
      </c>
    </row>
    <row r="83" spans="1:12" ht="409.5">
      <c r="A83" s="36">
        <v>81</v>
      </c>
      <c r="B83" s="93"/>
      <c r="C83" s="87"/>
      <c r="D83" s="84" t="s">
        <v>703</v>
      </c>
      <c r="E83" s="59" t="s">
        <v>901</v>
      </c>
      <c r="F83" s="41" t="s">
        <v>900</v>
      </c>
      <c r="G83" s="41" t="s">
        <v>881</v>
      </c>
      <c r="H83" s="28" t="s">
        <v>1000</v>
      </c>
      <c r="I83" s="28" t="s">
        <v>778</v>
      </c>
      <c r="J83" s="28" t="s">
        <v>773</v>
      </c>
      <c r="K83" s="41" t="s">
        <v>1013</v>
      </c>
      <c r="L83" s="41" t="s">
        <v>889</v>
      </c>
    </row>
    <row r="84" spans="1:12" ht="409.5">
      <c r="A84" s="40">
        <v>82</v>
      </c>
      <c r="B84" s="93"/>
      <c r="C84" s="87"/>
      <c r="D84" s="85"/>
      <c r="E84" s="59" t="s">
        <v>751</v>
      </c>
      <c r="F84" s="41" t="s">
        <v>902</v>
      </c>
      <c r="G84" s="41" t="s">
        <v>881</v>
      </c>
      <c r="H84" s="28" t="s">
        <v>1000</v>
      </c>
      <c r="I84" s="28" t="s">
        <v>778</v>
      </c>
      <c r="J84" s="28" t="s">
        <v>773</v>
      </c>
      <c r="K84" s="41" t="s">
        <v>1013</v>
      </c>
      <c r="L84" s="41" t="s">
        <v>889</v>
      </c>
    </row>
    <row r="85" spans="1:12" ht="409.5">
      <c r="A85" s="36">
        <v>83</v>
      </c>
      <c r="B85" s="93"/>
      <c r="C85" s="87"/>
      <c r="D85" s="86"/>
      <c r="E85" s="59" t="s">
        <v>878</v>
      </c>
      <c r="F85" s="41" t="s">
        <v>903</v>
      </c>
      <c r="G85" s="41" t="s">
        <v>881</v>
      </c>
      <c r="H85" s="28" t="s">
        <v>1000</v>
      </c>
      <c r="I85" s="28" t="s">
        <v>778</v>
      </c>
      <c r="J85" s="28" t="s">
        <v>773</v>
      </c>
      <c r="K85" s="41" t="s">
        <v>1013</v>
      </c>
      <c r="L85" s="41" t="s">
        <v>889</v>
      </c>
    </row>
    <row r="86" spans="1:12" ht="409.5">
      <c r="A86" s="40">
        <v>84</v>
      </c>
      <c r="B86" s="93"/>
      <c r="C86" s="87"/>
      <c r="D86" s="84" t="s">
        <v>704</v>
      </c>
      <c r="E86" s="56" t="s">
        <v>46</v>
      </c>
      <c r="F86" s="41" t="s">
        <v>904</v>
      </c>
      <c r="G86" s="41" t="s">
        <v>927</v>
      </c>
      <c r="H86" s="28" t="s">
        <v>1000</v>
      </c>
      <c r="I86" s="28" t="s">
        <v>778</v>
      </c>
      <c r="J86" s="28" t="s">
        <v>773</v>
      </c>
      <c r="K86" s="41" t="s">
        <v>1013</v>
      </c>
      <c r="L86" s="41" t="s">
        <v>889</v>
      </c>
    </row>
    <row r="87" spans="1:12" ht="409.5">
      <c r="A87" s="36">
        <v>85</v>
      </c>
      <c r="B87" s="93"/>
      <c r="C87" s="87"/>
      <c r="D87" s="86"/>
      <c r="E87" s="56" t="s">
        <v>46</v>
      </c>
      <c r="F87" s="41" t="s">
        <v>905</v>
      </c>
      <c r="G87" s="41" t="s">
        <v>929</v>
      </c>
      <c r="H87" s="28" t="s">
        <v>1000</v>
      </c>
      <c r="I87" s="28" t="s">
        <v>778</v>
      </c>
      <c r="J87" s="28" t="s">
        <v>773</v>
      </c>
      <c r="K87" s="41" t="s">
        <v>1013</v>
      </c>
      <c r="L87" s="41" t="s">
        <v>889</v>
      </c>
    </row>
    <row r="88" spans="1:12" ht="409.5">
      <c r="A88" s="40">
        <v>86</v>
      </c>
      <c r="B88" s="93"/>
      <c r="C88" s="87"/>
      <c r="D88" s="84" t="s">
        <v>705</v>
      </c>
      <c r="E88" s="56" t="s">
        <v>46</v>
      </c>
      <c r="F88" s="41" t="s">
        <v>906</v>
      </c>
      <c r="G88" s="41" t="s">
        <v>927</v>
      </c>
      <c r="H88" s="28" t="s">
        <v>1000</v>
      </c>
      <c r="I88" s="28" t="s">
        <v>778</v>
      </c>
      <c r="J88" s="28" t="s">
        <v>773</v>
      </c>
      <c r="K88" s="41" t="s">
        <v>1013</v>
      </c>
      <c r="L88" s="41" t="s">
        <v>889</v>
      </c>
    </row>
    <row r="89" spans="1:12" ht="128.25">
      <c r="A89" s="36">
        <v>87</v>
      </c>
      <c r="B89" s="93"/>
      <c r="C89" s="87"/>
      <c r="D89" s="86"/>
      <c r="E89" s="56" t="s">
        <v>46</v>
      </c>
      <c r="F89" s="41" t="s">
        <v>907</v>
      </c>
      <c r="G89" s="41" t="s">
        <v>928</v>
      </c>
      <c r="H89" s="28" t="s">
        <v>1000</v>
      </c>
      <c r="I89" s="41" t="s">
        <v>897</v>
      </c>
      <c r="J89" s="41" t="s">
        <v>713</v>
      </c>
      <c r="K89" s="41" t="s">
        <v>715</v>
      </c>
      <c r="L89" s="41" t="s">
        <v>712</v>
      </c>
    </row>
    <row r="90" spans="1:12" ht="409.5">
      <c r="A90" s="40">
        <v>88</v>
      </c>
      <c r="B90" s="93"/>
      <c r="C90" s="87"/>
      <c r="D90" s="55" t="s">
        <v>706</v>
      </c>
      <c r="E90" s="56" t="s">
        <v>46</v>
      </c>
      <c r="F90" s="41" t="s">
        <v>908</v>
      </c>
      <c r="G90" s="41" t="s">
        <v>927</v>
      </c>
      <c r="H90" s="28" t="s">
        <v>1000</v>
      </c>
      <c r="I90" s="28" t="s">
        <v>778</v>
      </c>
      <c r="J90" s="28" t="s">
        <v>773</v>
      </c>
      <c r="K90" s="41" t="s">
        <v>1013</v>
      </c>
      <c r="L90" s="41" t="s">
        <v>889</v>
      </c>
    </row>
    <row r="91" spans="1:12" ht="71.25">
      <c r="A91" s="36">
        <v>89</v>
      </c>
      <c r="B91" s="93"/>
      <c r="C91" s="87"/>
      <c r="D91" s="40" t="s">
        <v>707</v>
      </c>
      <c r="E91" s="56" t="s">
        <v>46</v>
      </c>
      <c r="F91" s="41" t="s">
        <v>909</v>
      </c>
      <c r="G91" s="41" t="s">
        <v>895</v>
      </c>
      <c r="H91" s="28" t="s">
        <v>896</v>
      </c>
      <c r="I91" s="41" t="s">
        <v>897</v>
      </c>
      <c r="J91" s="41" t="s">
        <v>713</v>
      </c>
      <c r="K91" s="41" t="s">
        <v>715</v>
      </c>
      <c r="L91" s="41" t="s">
        <v>712</v>
      </c>
    </row>
    <row r="92" spans="1:12" ht="142.5">
      <c r="A92" s="40">
        <v>90</v>
      </c>
      <c r="B92" s="93"/>
      <c r="C92" s="87"/>
      <c r="D92" s="40" t="s">
        <v>708</v>
      </c>
      <c r="E92" s="56" t="s">
        <v>46</v>
      </c>
      <c r="F92" s="41" t="s">
        <v>910</v>
      </c>
      <c r="G92" s="28" t="s">
        <v>970</v>
      </c>
      <c r="H92" s="28" t="s">
        <v>935</v>
      </c>
      <c r="I92" s="28" t="s">
        <v>935</v>
      </c>
      <c r="J92" s="28" t="s">
        <v>935</v>
      </c>
      <c r="K92" s="28" t="s">
        <v>935</v>
      </c>
      <c r="L92" s="41" t="s">
        <v>712</v>
      </c>
    </row>
    <row r="93" spans="1:12" ht="142.5">
      <c r="A93" s="36">
        <v>91</v>
      </c>
      <c r="B93" s="93"/>
      <c r="C93" s="87"/>
      <c r="D93" s="40" t="s">
        <v>709</v>
      </c>
      <c r="E93" s="56" t="s">
        <v>46</v>
      </c>
      <c r="F93" s="41" t="s">
        <v>911</v>
      </c>
      <c r="G93" s="28" t="s">
        <v>970</v>
      </c>
      <c r="H93" s="28" t="s">
        <v>935</v>
      </c>
      <c r="I93" s="28" t="s">
        <v>935</v>
      </c>
      <c r="J93" s="28" t="s">
        <v>935</v>
      </c>
      <c r="K93" s="28" t="s">
        <v>935</v>
      </c>
      <c r="L93" s="41" t="s">
        <v>712</v>
      </c>
    </row>
    <row r="94" spans="1:12" ht="142.5">
      <c r="A94" s="40">
        <v>92</v>
      </c>
      <c r="B94" s="93"/>
      <c r="C94" s="87"/>
      <c r="D94" s="40" t="s">
        <v>710</v>
      </c>
      <c r="E94" s="56" t="s">
        <v>46</v>
      </c>
      <c r="F94" s="41" t="s">
        <v>912</v>
      </c>
      <c r="G94" s="28" t="s">
        <v>970</v>
      </c>
      <c r="H94" s="28" t="s">
        <v>935</v>
      </c>
      <c r="I94" s="28" t="s">
        <v>935</v>
      </c>
      <c r="J94" s="28" t="s">
        <v>935</v>
      </c>
      <c r="K94" s="28" t="s">
        <v>935</v>
      </c>
      <c r="L94" s="41" t="s">
        <v>712</v>
      </c>
    </row>
    <row r="95" spans="1:12" ht="409.5">
      <c r="A95" s="36">
        <v>93</v>
      </c>
      <c r="B95" s="93"/>
      <c r="C95" s="87" t="s">
        <v>751</v>
      </c>
      <c r="D95" s="40" t="s">
        <v>700</v>
      </c>
      <c r="E95" s="56" t="s">
        <v>46</v>
      </c>
      <c r="F95" s="41" t="s">
        <v>872</v>
      </c>
      <c r="G95" s="41" t="s">
        <v>873</v>
      </c>
      <c r="H95" s="28" t="s">
        <v>1000</v>
      </c>
      <c r="I95" s="28" t="s">
        <v>778</v>
      </c>
      <c r="J95" s="28" t="s">
        <v>773</v>
      </c>
      <c r="K95" s="41" t="s">
        <v>1014</v>
      </c>
      <c r="L95" s="41" t="s">
        <v>889</v>
      </c>
    </row>
    <row r="96" spans="1:12" ht="409.5">
      <c r="A96" s="40">
        <v>94</v>
      </c>
      <c r="B96" s="93"/>
      <c r="C96" s="87"/>
      <c r="D96" s="40" t="s">
        <v>701</v>
      </c>
      <c r="E96" s="56" t="s">
        <v>46</v>
      </c>
      <c r="F96" s="41" t="s">
        <v>913</v>
      </c>
      <c r="G96" s="41" t="s">
        <v>875</v>
      </c>
      <c r="H96" s="28" t="s">
        <v>1000</v>
      </c>
      <c r="I96" s="28" t="s">
        <v>778</v>
      </c>
      <c r="J96" s="28" t="s">
        <v>773</v>
      </c>
      <c r="K96" s="41" t="s">
        <v>1014</v>
      </c>
      <c r="L96" s="41" t="s">
        <v>889</v>
      </c>
    </row>
    <row r="97" spans="1:12" ht="409.5">
      <c r="A97" s="36">
        <v>95</v>
      </c>
      <c r="B97" s="93"/>
      <c r="C97" s="87"/>
      <c r="D97" s="40" t="s">
        <v>702</v>
      </c>
      <c r="E97" s="56" t="s">
        <v>46</v>
      </c>
      <c r="F97" s="41" t="s">
        <v>914</v>
      </c>
      <c r="G97" s="41" t="s">
        <v>875</v>
      </c>
      <c r="H97" s="28" t="s">
        <v>1000</v>
      </c>
      <c r="I97" s="28" t="s">
        <v>778</v>
      </c>
      <c r="J97" s="28" t="s">
        <v>773</v>
      </c>
      <c r="K97" s="41" t="s">
        <v>1014</v>
      </c>
      <c r="L97" s="41" t="s">
        <v>889</v>
      </c>
    </row>
    <row r="98" spans="1:12" ht="409.5">
      <c r="A98" s="40">
        <v>96</v>
      </c>
      <c r="B98" s="93"/>
      <c r="C98" s="87"/>
      <c r="D98" s="84" t="s">
        <v>703</v>
      </c>
      <c r="E98" s="59" t="s">
        <v>750</v>
      </c>
      <c r="F98" s="41" t="s">
        <v>915</v>
      </c>
      <c r="G98" s="41" t="s">
        <v>881</v>
      </c>
      <c r="H98" s="28" t="s">
        <v>1000</v>
      </c>
      <c r="I98" s="28" t="s">
        <v>778</v>
      </c>
      <c r="J98" s="28" t="s">
        <v>773</v>
      </c>
      <c r="K98" s="41" t="s">
        <v>1014</v>
      </c>
      <c r="L98" s="41" t="s">
        <v>889</v>
      </c>
    </row>
    <row r="99" spans="1:12" ht="409.5">
      <c r="A99" s="36">
        <v>97</v>
      </c>
      <c r="B99" s="93"/>
      <c r="C99" s="87"/>
      <c r="D99" s="85"/>
      <c r="E99" s="59" t="s">
        <v>901</v>
      </c>
      <c r="F99" s="41" t="s">
        <v>916</v>
      </c>
      <c r="G99" s="41" t="s">
        <v>881</v>
      </c>
      <c r="H99" s="28" t="s">
        <v>1000</v>
      </c>
      <c r="I99" s="28" t="s">
        <v>778</v>
      </c>
      <c r="J99" s="28" t="s">
        <v>773</v>
      </c>
      <c r="K99" s="41" t="s">
        <v>1014</v>
      </c>
      <c r="L99" s="41" t="s">
        <v>889</v>
      </c>
    </row>
    <row r="100" spans="1:12" ht="409.5">
      <c r="A100" s="40">
        <v>98</v>
      </c>
      <c r="B100" s="93"/>
      <c r="C100" s="87"/>
      <c r="D100" s="86"/>
      <c r="E100" s="59" t="s">
        <v>878</v>
      </c>
      <c r="F100" s="41" t="s">
        <v>917</v>
      </c>
      <c r="G100" s="41" t="s">
        <v>881</v>
      </c>
      <c r="H100" s="28" t="s">
        <v>1000</v>
      </c>
      <c r="I100" s="28" t="s">
        <v>778</v>
      </c>
      <c r="J100" s="28" t="s">
        <v>773</v>
      </c>
      <c r="K100" s="41" t="s">
        <v>1014</v>
      </c>
      <c r="L100" s="41" t="s">
        <v>889</v>
      </c>
    </row>
    <row r="101" spans="1:12" ht="409.5">
      <c r="A101" s="36">
        <v>99</v>
      </c>
      <c r="B101" s="93"/>
      <c r="C101" s="87"/>
      <c r="D101" s="84" t="s">
        <v>704</v>
      </c>
      <c r="E101" s="56" t="s">
        <v>46</v>
      </c>
      <c r="F101" s="41" t="s">
        <v>918</v>
      </c>
      <c r="G101" s="41" t="s">
        <v>930</v>
      </c>
      <c r="H101" s="28" t="s">
        <v>1000</v>
      </c>
      <c r="I101" s="28" t="s">
        <v>778</v>
      </c>
      <c r="J101" s="28" t="s">
        <v>773</v>
      </c>
      <c r="K101" s="41" t="s">
        <v>1014</v>
      </c>
      <c r="L101" s="41" t="s">
        <v>889</v>
      </c>
    </row>
    <row r="102" spans="1:12" ht="409.5">
      <c r="A102" s="40">
        <v>100</v>
      </c>
      <c r="B102" s="93"/>
      <c r="C102" s="87"/>
      <c r="D102" s="86"/>
      <c r="E102" s="56" t="s">
        <v>46</v>
      </c>
      <c r="F102" s="41" t="s">
        <v>919</v>
      </c>
      <c r="G102" s="41" t="s">
        <v>931</v>
      </c>
      <c r="H102" s="28" t="s">
        <v>1000</v>
      </c>
      <c r="I102" s="28" t="s">
        <v>778</v>
      </c>
      <c r="J102" s="28" t="s">
        <v>773</v>
      </c>
      <c r="K102" s="41" t="s">
        <v>1014</v>
      </c>
      <c r="L102" s="41" t="s">
        <v>889</v>
      </c>
    </row>
    <row r="103" spans="1:12" ht="409.5">
      <c r="A103" s="36">
        <v>101</v>
      </c>
      <c r="B103" s="93"/>
      <c r="C103" s="87"/>
      <c r="D103" s="84" t="s">
        <v>705</v>
      </c>
      <c r="E103" s="56" t="s">
        <v>46</v>
      </c>
      <c r="F103" s="41" t="s">
        <v>920</v>
      </c>
      <c r="G103" s="41" t="s">
        <v>930</v>
      </c>
      <c r="H103" s="28" t="s">
        <v>1000</v>
      </c>
      <c r="I103" s="28" t="s">
        <v>778</v>
      </c>
      <c r="J103" s="28" t="s">
        <v>773</v>
      </c>
      <c r="K103" s="41" t="s">
        <v>1014</v>
      </c>
      <c r="L103" s="41" t="s">
        <v>889</v>
      </c>
    </row>
    <row r="104" spans="1:12" ht="128.25">
      <c r="A104" s="40">
        <v>102</v>
      </c>
      <c r="B104" s="93"/>
      <c r="C104" s="87"/>
      <c r="D104" s="86"/>
      <c r="E104" s="56" t="s">
        <v>46</v>
      </c>
      <c r="F104" s="41" t="s">
        <v>921</v>
      </c>
      <c r="G104" s="41" t="s">
        <v>932</v>
      </c>
      <c r="H104" s="28" t="s">
        <v>1000</v>
      </c>
      <c r="I104" s="41" t="s">
        <v>897</v>
      </c>
      <c r="J104" s="41" t="s">
        <v>713</v>
      </c>
      <c r="K104" s="41" t="s">
        <v>715</v>
      </c>
      <c r="L104" s="41" t="s">
        <v>712</v>
      </c>
    </row>
    <row r="105" spans="1:12" ht="409.5">
      <c r="A105" s="36">
        <v>103</v>
      </c>
      <c r="B105" s="93"/>
      <c r="C105" s="87"/>
      <c r="D105" s="40" t="s">
        <v>706</v>
      </c>
      <c r="E105" s="56" t="s">
        <v>46</v>
      </c>
      <c r="F105" s="41" t="s">
        <v>922</v>
      </c>
      <c r="G105" s="41" t="s">
        <v>930</v>
      </c>
      <c r="H105" s="28" t="s">
        <v>1000</v>
      </c>
      <c r="I105" s="28" t="s">
        <v>778</v>
      </c>
      <c r="J105" s="28" t="s">
        <v>773</v>
      </c>
      <c r="K105" s="41" t="s">
        <v>1014</v>
      </c>
      <c r="L105" s="41" t="s">
        <v>889</v>
      </c>
    </row>
    <row r="106" spans="1:12" ht="85.5">
      <c r="A106" s="40">
        <v>104</v>
      </c>
      <c r="B106" s="93"/>
      <c r="C106" s="87"/>
      <c r="D106" s="40" t="s">
        <v>707</v>
      </c>
      <c r="E106" s="56" t="s">
        <v>46</v>
      </c>
      <c r="F106" s="41" t="s">
        <v>923</v>
      </c>
      <c r="G106" s="41" t="s">
        <v>895</v>
      </c>
      <c r="H106" s="28" t="s">
        <v>896</v>
      </c>
      <c r="I106" s="41" t="s">
        <v>897</v>
      </c>
      <c r="J106" s="41" t="s">
        <v>713</v>
      </c>
      <c r="K106" s="41" t="s">
        <v>715</v>
      </c>
      <c r="L106" s="41" t="s">
        <v>712</v>
      </c>
    </row>
    <row r="107" spans="1:12" ht="142.5">
      <c r="A107" s="36">
        <v>105</v>
      </c>
      <c r="B107" s="93"/>
      <c r="C107" s="87"/>
      <c r="D107" s="40" t="s">
        <v>708</v>
      </c>
      <c r="E107" s="56" t="s">
        <v>46</v>
      </c>
      <c r="F107" s="41" t="s">
        <v>924</v>
      </c>
      <c r="G107" s="28" t="s">
        <v>970</v>
      </c>
      <c r="H107" s="28" t="s">
        <v>935</v>
      </c>
      <c r="I107" s="28" t="s">
        <v>935</v>
      </c>
      <c r="J107" s="28" t="s">
        <v>935</v>
      </c>
      <c r="K107" s="28" t="s">
        <v>935</v>
      </c>
      <c r="L107" s="41" t="s">
        <v>712</v>
      </c>
    </row>
    <row r="108" spans="1:12" ht="142.5">
      <c r="A108" s="40">
        <v>106</v>
      </c>
      <c r="B108" s="93"/>
      <c r="C108" s="87"/>
      <c r="D108" s="40" t="s">
        <v>709</v>
      </c>
      <c r="E108" s="56" t="s">
        <v>46</v>
      </c>
      <c r="F108" s="41" t="s">
        <v>925</v>
      </c>
      <c r="G108" s="28" t="s">
        <v>970</v>
      </c>
      <c r="H108" s="28" t="s">
        <v>935</v>
      </c>
      <c r="I108" s="28" t="s">
        <v>935</v>
      </c>
      <c r="J108" s="28" t="s">
        <v>935</v>
      </c>
      <c r="K108" s="28" t="s">
        <v>935</v>
      </c>
      <c r="L108" s="41" t="s">
        <v>712</v>
      </c>
    </row>
    <row r="109" spans="1:12" ht="142.5">
      <c r="A109" s="36">
        <v>107</v>
      </c>
      <c r="B109" s="93"/>
      <c r="C109" s="87"/>
      <c r="D109" s="40" t="s">
        <v>710</v>
      </c>
      <c r="E109" s="56" t="s">
        <v>46</v>
      </c>
      <c r="F109" s="41" t="s">
        <v>926</v>
      </c>
      <c r="G109" s="28" t="s">
        <v>970</v>
      </c>
      <c r="H109" s="28" t="s">
        <v>935</v>
      </c>
      <c r="I109" s="28" t="s">
        <v>935</v>
      </c>
      <c r="J109" s="28" t="s">
        <v>935</v>
      </c>
      <c r="K109" s="28" t="s">
        <v>935</v>
      </c>
      <c r="L109" s="41" t="s">
        <v>712</v>
      </c>
    </row>
    <row r="110" spans="1:12" ht="409.5">
      <c r="A110" s="40">
        <v>108</v>
      </c>
      <c r="B110" s="93"/>
      <c r="C110" s="87" t="s">
        <v>752</v>
      </c>
      <c r="D110" s="40" t="s">
        <v>700</v>
      </c>
      <c r="E110" s="56" t="s">
        <v>46</v>
      </c>
      <c r="F110" s="41" t="s">
        <v>872</v>
      </c>
      <c r="G110" s="41" t="s">
        <v>873</v>
      </c>
      <c r="H110" s="28" t="s">
        <v>1000</v>
      </c>
      <c r="I110" s="28" t="s">
        <v>778</v>
      </c>
      <c r="J110" s="28" t="s">
        <v>773</v>
      </c>
      <c r="K110" s="41" t="s">
        <v>1242</v>
      </c>
      <c r="L110" s="41" t="s">
        <v>889</v>
      </c>
    </row>
    <row r="111" spans="1:12" ht="409.5">
      <c r="A111" s="36">
        <v>109</v>
      </c>
      <c r="B111" s="93"/>
      <c r="C111" s="87"/>
      <c r="D111" s="40" t="s">
        <v>701</v>
      </c>
      <c r="E111" s="56" t="s">
        <v>46</v>
      </c>
      <c r="F111" s="41" t="s">
        <v>934</v>
      </c>
      <c r="G111" s="41" t="s">
        <v>875</v>
      </c>
      <c r="H111" s="28" t="s">
        <v>1000</v>
      </c>
      <c r="I111" s="28" t="s">
        <v>778</v>
      </c>
      <c r="J111" s="28" t="s">
        <v>773</v>
      </c>
      <c r="K111" s="41" t="s">
        <v>1242</v>
      </c>
      <c r="L111" s="41" t="s">
        <v>889</v>
      </c>
    </row>
    <row r="112" spans="1:12" ht="71.25">
      <c r="A112" s="40">
        <v>110</v>
      </c>
      <c r="B112" s="93"/>
      <c r="C112" s="87"/>
      <c r="D112" s="40" t="s">
        <v>702</v>
      </c>
      <c r="E112" s="56" t="s">
        <v>46</v>
      </c>
      <c r="F112" s="28" t="s">
        <v>936</v>
      </c>
      <c r="G112" s="28" t="s">
        <v>936</v>
      </c>
      <c r="H112" s="28" t="s">
        <v>936</v>
      </c>
      <c r="I112" s="28" t="s">
        <v>936</v>
      </c>
      <c r="J112" s="28" t="s">
        <v>936</v>
      </c>
      <c r="K112" s="28" t="s">
        <v>936</v>
      </c>
      <c r="L112" s="41" t="s">
        <v>712</v>
      </c>
    </row>
    <row r="113" spans="1:12" ht="71.25">
      <c r="A113" s="36">
        <v>111</v>
      </c>
      <c r="B113" s="93"/>
      <c r="C113" s="87"/>
      <c r="D113" s="84" t="s">
        <v>703</v>
      </c>
      <c r="E113" s="59" t="s">
        <v>933</v>
      </c>
      <c r="F113" s="41" t="s">
        <v>937</v>
      </c>
      <c r="G113" s="41" t="s">
        <v>939</v>
      </c>
      <c r="H113" s="28" t="s">
        <v>936</v>
      </c>
      <c r="I113" s="28" t="s">
        <v>936</v>
      </c>
      <c r="J113" s="28" t="s">
        <v>936</v>
      </c>
      <c r="K113" s="28" t="s">
        <v>936</v>
      </c>
      <c r="L113" s="41" t="s">
        <v>712</v>
      </c>
    </row>
    <row r="114" spans="1:12" ht="99.75">
      <c r="A114" s="40">
        <v>112</v>
      </c>
      <c r="B114" s="93"/>
      <c r="C114" s="87"/>
      <c r="D114" s="86"/>
      <c r="E114" s="59" t="s">
        <v>878</v>
      </c>
      <c r="F114" s="41" t="s">
        <v>938</v>
      </c>
      <c r="G114" s="41" t="s">
        <v>940</v>
      </c>
      <c r="H114" s="28" t="s">
        <v>936</v>
      </c>
      <c r="I114" s="28" t="s">
        <v>936</v>
      </c>
      <c r="J114" s="28" t="s">
        <v>936</v>
      </c>
      <c r="K114" s="28" t="s">
        <v>936</v>
      </c>
      <c r="L114" s="41" t="s">
        <v>712</v>
      </c>
    </row>
    <row r="115" spans="1:12" ht="71.25">
      <c r="A115" s="36">
        <v>113</v>
      </c>
      <c r="B115" s="93"/>
      <c r="C115" s="87"/>
      <c r="D115" s="84" t="s">
        <v>704</v>
      </c>
      <c r="E115" s="56" t="s">
        <v>46</v>
      </c>
      <c r="F115" s="41" t="s">
        <v>941</v>
      </c>
      <c r="G115" s="41" t="s">
        <v>942</v>
      </c>
      <c r="H115" s="28" t="s">
        <v>936</v>
      </c>
      <c r="I115" s="28" t="s">
        <v>936</v>
      </c>
      <c r="J115" s="28" t="s">
        <v>936</v>
      </c>
      <c r="K115" s="28" t="s">
        <v>936</v>
      </c>
      <c r="L115" s="41" t="s">
        <v>712</v>
      </c>
    </row>
    <row r="116" spans="1:12" ht="409.5">
      <c r="A116" s="40">
        <v>114</v>
      </c>
      <c r="B116" s="93"/>
      <c r="C116" s="87"/>
      <c r="D116" s="86"/>
      <c r="E116" s="56" t="s">
        <v>46</v>
      </c>
      <c r="F116" s="41" t="s">
        <v>943</v>
      </c>
      <c r="G116" s="41" t="s">
        <v>885</v>
      </c>
      <c r="H116" s="28" t="s">
        <v>1000</v>
      </c>
      <c r="I116" s="28" t="s">
        <v>778</v>
      </c>
      <c r="J116" s="28" t="s">
        <v>773</v>
      </c>
      <c r="K116" s="41" t="s">
        <v>1012</v>
      </c>
      <c r="L116" s="41" t="s">
        <v>889</v>
      </c>
    </row>
    <row r="117" spans="1:12" ht="71.25">
      <c r="A117" s="36">
        <v>115</v>
      </c>
      <c r="B117" s="93"/>
      <c r="C117" s="87"/>
      <c r="D117" s="84" t="s">
        <v>705</v>
      </c>
      <c r="E117" s="56" t="s">
        <v>46</v>
      </c>
      <c r="F117" s="41" t="s">
        <v>944</v>
      </c>
      <c r="G117" s="41" t="s">
        <v>942</v>
      </c>
      <c r="H117" s="28" t="s">
        <v>936</v>
      </c>
      <c r="I117" s="28" t="s">
        <v>936</v>
      </c>
      <c r="J117" s="28" t="s">
        <v>936</v>
      </c>
      <c r="K117" s="28" t="s">
        <v>936</v>
      </c>
      <c r="L117" s="41" t="s">
        <v>712</v>
      </c>
    </row>
    <row r="118" spans="1:12" ht="128.25">
      <c r="A118" s="40">
        <v>116</v>
      </c>
      <c r="B118" s="93"/>
      <c r="C118" s="87"/>
      <c r="D118" s="86"/>
      <c r="E118" s="56" t="s">
        <v>46</v>
      </c>
      <c r="F118" s="41" t="s">
        <v>945</v>
      </c>
      <c r="G118" s="41" t="s">
        <v>946</v>
      </c>
      <c r="H118" s="28" t="s">
        <v>1000</v>
      </c>
      <c r="I118" s="41" t="s">
        <v>897</v>
      </c>
      <c r="J118" s="41" t="s">
        <v>713</v>
      </c>
      <c r="K118" s="41" t="s">
        <v>715</v>
      </c>
      <c r="L118" s="41" t="s">
        <v>712</v>
      </c>
    </row>
    <row r="119" spans="1:12" ht="71.25">
      <c r="A119" s="36">
        <v>117</v>
      </c>
      <c r="B119" s="93"/>
      <c r="C119" s="87"/>
      <c r="D119" s="40" t="s">
        <v>706</v>
      </c>
      <c r="E119" s="56" t="s">
        <v>46</v>
      </c>
      <c r="F119" s="41" t="s">
        <v>948</v>
      </c>
      <c r="G119" s="41" t="s">
        <v>942</v>
      </c>
      <c r="H119" s="28" t="s">
        <v>936</v>
      </c>
      <c r="I119" s="28" t="s">
        <v>936</v>
      </c>
      <c r="J119" s="28" t="s">
        <v>936</v>
      </c>
      <c r="K119" s="28" t="s">
        <v>936</v>
      </c>
      <c r="L119" s="41" t="s">
        <v>712</v>
      </c>
    </row>
    <row r="120" spans="1:12" ht="71.25">
      <c r="A120" s="40">
        <v>118</v>
      </c>
      <c r="B120" s="93"/>
      <c r="C120" s="87"/>
      <c r="D120" s="40" t="s">
        <v>707</v>
      </c>
      <c r="E120" s="56" t="s">
        <v>46</v>
      </c>
      <c r="F120" s="41" t="s">
        <v>947</v>
      </c>
      <c r="G120" s="41" t="s">
        <v>895</v>
      </c>
      <c r="H120" s="28" t="s">
        <v>896</v>
      </c>
      <c r="I120" s="41" t="s">
        <v>897</v>
      </c>
      <c r="J120" s="41" t="s">
        <v>713</v>
      </c>
      <c r="K120" s="41" t="s">
        <v>715</v>
      </c>
      <c r="L120" s="41" t="s">
        <v>712</v>
      </c>
    </row>
    <row r="121" spans="1:12" ht="156.75">
      <c r="A121" s="36">
        <v>119</v>
      </c>
      <c r="B121" s="93"/>
      <c r="C121" s="87"/>
      <c r="D121" s="40" t="s">
        <v>708</v>
      </c>
      <c r="E121" s="56" t="s">
        <v>46</v>
      </c>
      <c r="F121" s="41" t="s">
        <v>949</v>
      </c>
      <c r="G121" s="28" t="s">
        <v>971</v>
      </c>
      <c r="H121" s="28" t="s">
        <v>952</v>
      </c>
      <c r="I121" s="28" t="s">
        <v>952</v>
      </c>
      <c r="J121" s="28" t="s">
        <v>952</v>
      </c>
      <c r="K121" s="28" t="s">
        <v>952</v>
      </c>
      <c r="L121" s="41" t="s">
        <v>712</v>
      </c>
    </row>
    <row r="122" spans="1:12" ht="156.75">
      <c r="A122" s="40">
        <v>120</v>
      </c>
      <c r="B122" s="93"/>
      <c r="C122" s="87"/>
      <c r="D122" s="40" t="s">
        <v>709</v>
      </c>
      <c r="E122" s="56" t="s">
        <v>46</v>
      </c>
      <c r="F122" s="41" t="s">
        <v>950</v>
      </c>
      <c r="G122" s="28" t="s">
        <v>971</v>
      </c>
      <c r="H122" s="28" t="s">
        <v>952</v>
      </c>
      <c r="I122" s="28" t="s">
        <v>952</v>
      </c>
      <c r="J122" s="28" t="s">
        <v>952</v>
      </c>
      <c r="K122" s="28" t="s">
        <v>952</v>
      </c>
      <c r="L122" s="41" t="s">
        <v>712</v>
      </c>
    </row>
    <row r="123" spans="1:12" ht="156.75">
      <c r="A123" s="36">
        <v>121</v>
      </c>
      <c r="B123" s="93"/>
      <c r="C123" s="87"/>
      <c r="D123" s="40" t="s">
        <v>710</v>
      </c>
      <c r="E123" s="56" t="s">
        <v>46</v>
      </c>
      <c r="F123" s="41" t="s">
        <v>951</v>
      </c>
      <c r="G123" s="28" t="s">
        <v>971</v>
      </c>
      <c r="H123" s="28" t="s">
        <v>952</v>
      </c>
      <c r="I123" s="28" t="s">
        <v>952</v>
      </c>
      <c r="J123" s="28" t="s">
        <v>952</v>
      </c>
      <c r="K123" s="28" t="s">
        <v>952</v>
      </c>
      <c r="L123" s="41" t="s">
        <v>712</v>
      </c>
    </row>
    <row r="124" spans="1:12" ht="409.5">
      <c r="A124" s="40">
        <v>122</v>
      </c>
      <c r="B124" s="93"/>
      <c r="C124" s="87" t="s">
        <v>753</v>
      </c>
      <c r="D124" s="40" t="s">
        <v>700</v>
      </c>
      <c r="E124" s="56" t="s">
        <v>46</v>
      </c>
      <c r="F124" s="41" t="s">
        <v>953</v>
      </c>
      <c r="G124" s="41" t="s">
        <v>875</v>
      </c>
      <c r="H124" s="28" t="s">
        <v>1000</v>
      </c>
      <c r="I124" s="28" t="s">
        <v>778</v>
      </c>
      <c r="J124" s="28" t="s">
        <v>773</v>
      </c>
      <c r="K124" s="41" t="s">
        <v>1243</v>
      </c>
      <c r="L124" s="41" t="s">
        <v>889</v>
      </c>
    </row>
    <row r="125" spans="1:12" ht="409.5">
      <c r="A125" s="36">
        <v>123</v>
      </c>
      <c r="B125" s="93"/>
      <c r="C125" s="87"/>
      <c r="D125" s="40" t="s">
        <v>701</v>
      </c>
      <c r="E125" s="56" t="s">
        <v>46</v>
      </c>
      <c r="F125" s="41" t="s">
        <v>954</v>
      </c>
      <c r="G125" s="41" t="s">
        <v>875</v>
      </c>
      <c r="H125" s="28" t="s">
        <v>1000</v>
      </c>
      <c r="I125" s="28" t="s">
        <v>778</v>
      </c>
      <c r="J125" s="28" t="s">
        <v>773</v>
      </c>
      <c r="K125" s="41" t="s">
        <v>1243</v>
      </c>
      <c r="L125" s="41" t="s">
        <v>889</v>
      </c>
    </row>
    <row r="126" spans="1:12" ht="409.5">
      <c r="A126" s="40">
        <v>124</v>
      </c>
      <c r="B126" s="93"/>
      <c r="C126" s="87"/>
      <c r="D126" s="40" t="s">
        <v>702</v>
      </c>
      <c r="E126" s="56" t="s">
        <v>46</v>
      </c>
      <c r="F126" s="41" t="s">
        <v>955</v>
      </c>
      <c r="G126" s="41" t="s">
        <v>875</v>
      </c>
      <c r="H126" s="28" t="s">
        <v>1000</v>
      </c>
      <c r="I126" s="28" t="s">
        <v>778</v>
      </c>
      <c r="J126" s="28" t="s">
        <v>773</v>
      </c>
      <c r="K126" s="41" t="s">
        <v>1243</v>
      </c>
      <c r="L126" s="41" t="s">
        <v>889</v>
      </c>
    </row>
    <row r="127" spans="1:12" ht="409.5">
      <c r="A127" s="36">
        <v>125</v>
      </c>
      <c r="B127" s="93"/>
      <c r="C127" s="87"/>
      <c r="D127" s="84" t="s">
        <v>703</v>
      </c>
      <c r="E127" s="59" t="s">
        <v>956</v>
      </c>
      <c r="F127" s="41" t="s">
        <v>958</v>
      </c>
      <c r="G127" s="41" t="s">
        <v>881</v>
      </c>
      <c r="H127" s="28" t="s">
        <v>1000</v>
      </c>
      <c r="I127" s="28" t="s">
        <v>778</v>
      </c>
      <c r="J127" s="28" t="s">
        <v>773</v>
      </c>
      <c r="K127" s="41" t="s">
        <v>1243</v>
      </c>
      <c r="L127" s="41" t="s">
        <v>889</v>
      </c>
    </row>
    <row r="128" spans="1:12" ht="409.5">
      <c r="A128" s="40">
        <v>126</v>
      </c>
      <c r="B128" s="93"/>
      <c r="C128" s="87"/>
      <c r="D128" s="85"/>
      <c r="E128" s="59" t="s">
        <v>957</v>
      </c>
      <c r="F128" s="41" t="s">
        <v>959</v>
      </c>
      <c r="G128" s="41" t="s">
        <v>881</v>
      </c>
      <c r="H128" s="28" t="s">
        <v>1000</v>
      </c>
      <c r="I128" s="28" t="s">
        <v>778</v>
      </c>
      <c r="J128" s="28" t="s">
        <v>773</v>
      </c>
      <c r="K128" s="41" t="s">
        <v>1243</v>
      </c>
      <c r="L128" s="41" t="s">
        <v>889</v>
      </c>
    </row>
    <row r="129" spans="1:12" ht="409.5">
      <c r="A129" s="36">
        <v>127</v>
      </c>
      <c r="B129" s="93"/>
      <c r="C129" s="87"/>
      <c r="D129" s="86"/>
      <c r="E129" s="59" t="s">
        <v>878</v>
      </c>
      <c r="F129" s="41" t="s">
        <v>960</v>
      </c>
      <c r="G129" s="41" t="s">
        <v>881</v>
      </c>
      <c r="H129" s="28" t="s">
        <v>1000</v>
      </c>
      <c r="I129" s="28" t="s">
        <v>778</v>
      </c>
      <c r="J129" s="28" t="s">
        <v>773</v>
      </c>
      <c r="K129" s="41" t="s">
        <v>1243</v>
      </c>
      <c r="L129" s="41" t="s">
        <v>889</v>
      </c>
    </row>
    <row r="130" spans="1:12" ht="409.5">
      <c r="A130" s="40">
        <v>128</v>
      </c>
      <c r="B130" s="93"/>
      <c r="C130" s="87"/>
      <c r="D130" s="84" t="s">
        <v>704</v>
      </c>
      <c r="E130" s="56" t="s">
        <v>46</v>
      </c>
      <c r="F130" s="41" t="s">
        <v>961</v>
      </c>
      <c r="G130" s="41" t="s">
        <v>962</v>
      </c>
      <c r="H130" s="28" t="s">
        <v>1000</v>
      </c>
      <c r="I130" s="28" t="s">
        <v>778</v>
      </c>
      <c r="J130" s="28" t="s">
        <v>773</v>
      </c>
      <c r="K130" s="41" t="s">
        <v>1243</v>
      </c>
      <c r="L130" s="41" t="s">
        <v>889</v>
      </c>
    </row>
    <row r="131" spans="1:12" ht="409.5">
      <c r="A131" s="36">
        <v>129</v>
      </c>
      <c r="B131" s="93"/>
      <c r="C131" s="87"/>
      <c r="D131" s="86"/>
      <c r="E131" s="56" t="s">
        <v>46</v>
      </c>
      <c r="F131" s="41" t="s">
        <v>1244</v>
      </c>
      <c r="G131" s="41" t="s">
        <v>963</v>
      </c>
      <c r="H131" s="28" t="s">
        <v>1000</v>
      </c>
      <c r="I131" s="28" t="s">
        <v>778</v>
      </c>
      <c r="J131" s="28" t="s">
        <v>773</v>
      </c>
      <c r="K131" s="41" t="s">
        <v>1243</v>
      </c>
      <c r="L131" s="41" t="s">
        <v>889</v>
      </c>
    </row>
    <row r="132" spans="1:12" ht="409.5">
      <c r="A132" s="40">
        <v>130</v>
      </c>
      <c r="B132" s="93"/>
      <c r="C132" s="87"/>
      <c r="D132" s="84" t="s">
        <v>705</v>
      </c>
      <c r="E132" s="56" t="s">
        <v>46</v>
      </c>
      <c r="F132" s="41" t="s">
        <v>964</v>
      </c>
      <c r="G132" s="41" t="s">
        <v>972</v>
      </c>
      <c r="H132" s="28" t="s">
        <v>1000</v>
      </c>
      <c r="I132" s="28" t="s">
        <v>778</v>
      </c>
      <c r="J132" s="28" t="s">
        <v>773</v>
      </c>
      <c r="K132" s="41" t="s">
        <v>1243</v>
      </c>
      <c r="L132" s="41" t="s">
        <v>889</v>
      </c>
    </row>
    <row r="133" spans="1:12" ht="409.5">
      <c r="A133" s="36">
        <v>131</v>
      </c>
      <c r="B133" s="93"/>
      <c r="C133" s="87"/>
      <c r="D133" s="85"/>
      <c r="E133" s="56" t="s">
        <v>46</v>
      </c>
      <c r="F133" s="41" t="s">
        <v>1245</v>
      </c>
      <c r="G133" s="41" t="s">
        <v>972</v>
      </c>
      <c r="H133" s="28" t="s">
        <v>1000</v>
      </c>
      <c r="I133" s="28" t="s">
        <v>778</v>
      </c>
      <c r="J133" s="28" t="s">
        <v>773</v>
      </c>
      <c r="K133" s="41" t="s">
        <v>1243</v>
      </c>
      <c r="L133" s="41" t="s">
        <v>889</v>
      </c>
    </row>
    <row r="134" spans="1:12" ht="128.25">
      <c r="A134" s="40">
        <v>132</v>
      </c>
      <c r="B134" s="93"/>
      <c r="C134" s="87"/>
      <c r="D134" s="86"/>
      <c r="E134" s="56" t="s">
        <v>46</v>
      </c>
      <c r="F134" s="41" t="s">
        <v>1246</v>
      </c>
      <c r="G134" s="41" t="s">
        <v>888</v>
      </c>
      <c r="H134" s="28" t="s">
        <v>1000</v>
      </c>
      <c r="I134" s="41" t="s">
        <v>897</v>
      </c>
      <c r="J134" s="41" t="s">
        <v>713</v>
      </c>
      <c r="K134" s="41" t="s">
        <v>715</v>
      </c>
      <c r="L134" s="41" t="s">
        <v>712</v>
      </c>
    </row>
    <row r="135" spans="1:12" ht="409.5">
      <c r="A135" s="36">
        <v>133</v>
      </c>
      <c r="B135" s="93"/>
      <c r="C135" s="87"/>
      <c r="D135" s="40" t="s">
        <v>706</v>
      </c>
      <c r="E135" s="56" t="s">
        <v>46</v>
      </c>
      <c r="F135" s="41" t="s">
        <v>965</v>
      </c>
      <c r="G135" s="41" t="s">
        <v>972</v>
      </c>
      <c r="H135" s="28" t="s">
        <v>1000</v>
      </c>
      <c r="I135" s="28" t="s">
        <v>778</v>
      </c>
      <c r="J135" s="28" t="s">
        <v>773</v>
      </c>
      <c r="K135" s="41" t="s">
        <v>1243</v>
      </c>
      <c r="L135" s="41" t="s">
        <v>889</v>
      </c>
    </row>
    <row r="136" spans="1:12" ht="85.5">
      <c r="A136" s="40">
        <v>134</v>
      </c>
      <c r="B136" s="93"/>
      <c r="C136" s="87"/>
      <c r="D136" s="40" t="s">
        <v>707</v>
      </c>
      <c r="E136" s="56" t="s">
        <v>46</v>
      </c>
      <c r="F136" s="41" t="s">
        <v>966</v>
      </c>
      <c r="G136" s="41" t="s">
        <v>895</v>
      </c>
      <c r="H136" s="28" t="s">
        <v>896</v>
      </c>
      <c r="I136" s="41" t="s">
        <v>897</v>
      </c>
      <c r="J136" s="41" t="s">
        <v>713</v>
      </c>
      <c r="K136" s="41" t="s">
        <v>715</v>
      </c>
      <c r="L136" s="41" t="s">
        <v>712</v>
      </c>
    </row>
    <row r="137" spans="1:12" ht="142.5">
      <c r="A137" s="36">
        <v>135</v>
      </c>
      <c r="B137" s="93"/>
      <c r="C137" s="87"/>
      <c r="D137" s="40" t="s">
        <v>708</v>
      </c>
      <c r="E137" s="56" t="s">
        <v>46</v>
      </c>
      <c r="F137" s="41" t="s">
        <v>967</v>
      </c>
      <c r="G137" s="28" t="s">
        <v>970</v>
      </c>
      <c r="H137" s="28" t="s">
        <v>935</v>
      </c>
      <c r="I137" s="28" t="s">
        <v>935</v>
      </c>
      <c r="J137" s="28" t="s">
        <v>935</v>
      </c>
      <c r="K137" s="28" t="s">
        <v>935</v>
      </c>
      <c r="L137" s="41" t="s">
        <v>712</v>
      </c>
    </row>
    <row r="138" spans="1:12" ht="142.5">
      <c r="A138" s="40">
        <v>136</v>
      </c>
      <c r="B138" s="93"/>
      <c r="C138" s="87"/>
      <c r="D138" s="40" t="s">
        <v>709</v>
      </c>
      <c r="E138" s="56" t="s">
        <v>46</v>
      </c>
      <c r="F138" s="41" t="s">
        <v>968</v>
      </c>
      <c r="G138" s="28" t="s">
        <v>970</v>
      </c>
      <c r="H138" s="28" t="s">
        <v>935</v>
      </c>
      <c r="I138" s="28" t="s">
        <v>935</v>
      </c>
      <c r="J138" s="28" t="s">
        <v>935</v>
      </c>
      <c r="K138" s="28" t="s">
        <v>935</v>
      </c>
      <c r="L138" s="41" t="s">
        <v>712</v>
      </c>
    </row>
    <row r="139" spans="1:12" ht="142.5">
      <c r="A139" s="36">
        <v>137</v>
      </c>
      <c r="B139" s="93"/>
      <c r="C139" s="87"/>
      <c r="D139" s="40" t="s">
        <v>710</v>
      </c>
      <c r="E139" s="56" t="s">
        <v>46</v>
      </c>
      <c r="F139" s="41" t="s">
        <v>969</v>
      </c>
      <c r="G139" s="28" t="s">
        <v>970</v>
      </c>
      <c r="H139" s="28" t="s">
        <v>935</v>
      </c>
      <c r="I139" s="28" t="s">
        <v>935</v>
      </c>
      <c r="J139" s="28" t="s">
        <v>935</v>
      </c>
      <c r="K139" s="28" t="s">
        <v>935</v>
      </c>
      <c r="L139" s="41" t="s">
        <v>712</v>
      </c>
    </row>
    <row r="140" spans="1:12" ht="409.5">
      <c r="A140" s="40">
        <v>138</v>
      </c>
      <c r="B140" s="95" t="s">
        <v>754</v>
      </c>
      <c r="C140" s="87" t="s">
        <v>755</v>
      </c>
      <c r="D140" s="40" t="s">
        <v>700</v>
      </c>
      <c r="E140" s="56" t="s">
        <v>46</v>
      </c>
      <c r="F140" s="41" t="s">
        <v>974</v>
      </c>
      <c r="G140" s="41" t="s">
        <v>975</v>
      </c>
      <c r="H140" s="28" t="s">
        <v>1000</v>
      </c>
      <c r="I140" s="28" t="s">
        <v>778</v>
      </c>
      <c r="J140" s="28" t="s">
        <v>773</v>
      </c>
      <c r="K140" s="41" t="s">
        <v>1247</v>
      </c>
      <c r="L140" s="41" t="s">
        <v>889</v>
      </c>
    </row>
    <row r="141" spans="1:12" ht="409.5">
      <c r="A141" s="36">
        <v>139</v>
      </c>
      <c r="B141" s="96"/>
      <c r="C141" s="87"/>
      <c r="D141" s="40" t="s">
        <v>701</v>
      </c>
      <c r="E141" s="57" t="s">
        <v>46</v>
      </c>
      <c r="F141" s="41" t="s">
        <v>976</v>
      </c>
      <c r="G141" s="41" t="s">
        <v>978</v>
      </c>
      <c r="H141" s="28" t="s">
        <v>1000</v>
      </c>
      <c r="I141" s="28" t="s">
        <v>778</v>
      </c>
      <c r="J141" s="28" t="s">
        <v>773</v>
      </c>
      <c r="K141" s="41" t="s">
        <v>1247</v>
      </c>
      <c r="L141" s="41" t="s">
        <v>889</v>
      </c>
    </row>
    <row r="142" spans="1:12" ht="409.5">
      <c r="A142" s="40">
        <v>140</v>
      </c>
      <c r="B142" s="96"/>
      <c r="C142" s="87"/>
      <c r="D142" s="40" t="s">
        <v>702</v>
      </c>
      <c r="E142" s="57" t="s">
        <v>46</v>
      </c>
      <c r="F142" s="41" t="s">
        <v>977</v>
      </c>
      <c r="G142" s="41" t="s">
        <v>978</v>
      </c>
      <c r="H142" s="28" t="s">
        <v>1000</v>
      </c>
      <c r="I142" s="28" t="s">
        <v>778</v>
      </c>
      <c r="J142" s="28" t="s">
        <v>773</v>
      </c>
      <c r="K142" s="41" t="s">
        <v>1247</v>
      </c>
      <c r="L142" s="41" t="s">
        <v>889</v>
      </c>
    </row>
    <row r="143" spans="1:12" ht="409.5">
      <c r="A143" s="36">
        <v>141</v>
      </c>
      <c r="B143" s="96"/>
      <c r="C143" s="87"/>
      <c r="D143" s="40" t="s">
        <v>703</v>
      </c>
      <c r="E143" s="57" t="s">
        <v>878</v>
      </c>
      <c r="F143" s="41" t="s">
        <v>979</v>
      </c>
      <c r="G143" s="41" t="s">
        <v>980</v>
      </c>
      <c r="H143" s="28" t="s">
        <v>1000</v>
      </c>
      <c r="I143" s="28" t="s">
        <v>778</v>
      </c>
      <c r="J143" s="28" t="s">
        <v>773</v>
      </c>
      <c r="K143" s="41" t="s">
        <v>1247</v>
      </c>
      <c r="L143" s="41" t="s">
        <v>889</v>
      </c>
    </row>
    <row r="144" spans="1:12" ht="409.5">
      <c r="A144" s="40">
        <v>142</v>
      </c>
      <c r="B144" s="96"/>
      <c r="C144" s="87"/>
      <c r="D144" s="84" t="s">
        <v>704</v>
      </c>
      <c r="E144" s="57" t="s">
        <v>46</v>
      </c>
      <c r="F144" s="41" t="s">
        <v>981</v>
      </c>
      <c r="G144" s="41" t="s">
        <v>983</v>
      </c>
      <c r="H144" s="28" t="s">
        <v>1000</v>
      </c>
      <c r="I144" s="28" t="s">
        <v>778</v>
      </c>
      <c r="J144" s="28" t="s">
        <v>773</v>
      </c>
      <c r="K144" s="41" t="s">
        <v>1247</v>
      </c>
      <c r="L144" s="41" t="s">
        <v>889</v>
      </c>
    </row>
    <row r="145" spans="1:12" ht="409.5">
      <c r="A145" s="36">
        <v>143</v>
      </c>
      <c r="B145" s="96"/>
      <c r="C145" s="87"/>
      <c r="D145" s="86"/>
      <c r="E145" s="57" t="s">
        <v>46</v>
      </c>
      <c r="F145" s="41" t="s">
        <v>982</v>
      </c>
      <c r="G145" s="41" t="s">
        <v>984</v>
      </c>
      <c r="H145" s="28" t="s">
        <v>1000</v>
      </c>
      <c r="I145" s="28" t="s">
        <v>778</v>
      </c>
      <c r="J145" s="28" t="s">
        <v>773</v>
      </c>
      <c r="K145" s="41" t="s">
        <v>1247</v>
      </c>
      <c r="L145" s="41" t="s">
        <v>889</v>
      </c>
    </row>
    <row r="146" spans="1:12" ht="409.5">
      <c r="A146" s="40">
        <v>144</v>
      </c>
      <c r="B146" s="96"/>
      <c r="C146" s="87"/>
      <c r="D146" s="84" t="s">
        <v>705</v>
      </c>
      <c r="E146" s="56" t="s">
        <v>46</v>
      </c>
      <c r="F146" s="41" t="s">
        <v>985</v>
      </c>
      <c r="G146" s="41" t="s">
        <v>983</v>
      </c>
      <c r="H146" s="28" t="s">
        <v>1000</v>
      </c>
      <c r="I146" s="28" t="s">
        <v>778</v>
      </c>
      <c r="J146" s="28" t="s">
        <v>773</v>
      </c>
      <c r="K146" s="41" t="s">
        <v>1247</v>
      </c>
      <c r="L146" s="41" t="s">
        <v>889</v>
      </c>
    </row>
    <row r="147" spans="1:12" ht="128.25">
      <c r="A147" s="36">
        <v>145</v>
      </c>
      <c r="B147" s="96"/>
      <c r="C147" s="87"/>
      <c r="D147" s="86"/>
      <c r="E147" s="56" t="s">
        <v>46</v>
      </c>
      <c r="F147" s="41" t="s">
        <v>986</v>
      </c>
      <c r="G147" s="41" t="s">
        <v>987</v>
      </c>
      <c r="H147" s="28" t="s">
        <v>1000</v>
      </c>
      <c r="I147" s="41" t="s">
        <v>897</v>
      </c>
      <c r="J147" s="41" t="s">
        <v>713</v>
      </c>
      <c r="K147" s="41" t="s">
        <v>715</v>
      </c>
      <c r="L147" s="41" t="s">
        <v>712</v>
      </c>
    </row>
    <row r="148" spans="1:12" ht="409.5">
      <c r="A148" s="40">
        <v>146</v>
      </c>
      <c r="B148" s="96"/>
      <c r="C148" s="87"/>
      <c r="D148" s="40" t="s">
        <v>706</v>
      </c>
      <c r="E148" s="56" t="s">
        <v>46</v>
      </c>
      <c r="F148" s="41" t="s">
        <v>988</v>
      </c>
      <c r="G148" s="41" t="s">
        <v>983</v>
      </c>
      <c r="H148" s="28" t="s">
        <v>1000</v>
      </c>
      <c r="I148" s="28" t="s">
        <v>778</v>
      </c>
      <c r="J148" s="28" t="s">
        <v>773</v>
      </c>
      <c r="K148" s="41" t="s">
        <v>1247</v>
      </c>
      <c r="L148" s="41" t="s">
        <v>889</v>
      </c>
    </row>
    <row r="149" spans="1:12" ht="71.25">
      <c r="A149" s="36">
        <v>147</v>
      </c>
      <c r="B149" s="96"/>
      <c r="C149" s="87"/>
      <c r="D149" s="40" t="s">
        <v>707</v>
      </c>
      <c r="E149" s="56" t="s">
        <v>46</v>
      </c>
      <c r="F149" s="41" t="s">
        <v>1008</v>
      </c>
      <c r="G149" s="41" t="s">
        <v>895</v>
      </c>
      <c r="H149" s="28" t="s">
        <v>896</v>
      </c>
      <c r="I149" s="41" t="s">
        <v>897</v>
      </c>
      <c r="J149" s="41" t="s">
        <v>713</v>
      </c>
      <c r="K149" s="41" t="s">
        <v>715</v>
      </c>
      <c r="L149" s="41" t="s">
        <v>712</v>
      </c>
    </row>
    <row r="150" spans="1:12" ht="142.5">
      <c r="A150" s="40">
        <v>148</v>
      </c>
      <c r="B150" s="96"/>
      <c r="C150" s="87"/>
      <c r="D150" s="40" t="s">
        <v>708</v>
      </c>
      <c r="E150" s="56" t="s">
        <v>46</v>
      </c>
      <c r="F150" s="41" t="s">
        <v>1009</v>
      </c>
      <c r="G150" s="28" t="s">
        <v>1007</v>
      </c>
      <c r="H150" s="28" t="s">
        <v>935</v>
      </c>
      <c r="I150" s="28" t="s">
        <v>935</v>
      </c>
      <c r="J150" s="28" t="s">
        <v>935</v>
      </c>
      <c r="K150" s="28" t="s">
        <v>935</v>
      </c>
      <c r="L150" s="41" t="s">
        <v>712</v>
      </c>
    </row>
    <row r="151" spans="1:12" ht="142.5">
      <c r="A151" s="36">
        <v>149</v>
      </c>
      <c r="B151" s="96"/>
      <c r="C151" s="87"/>
      <c r="D151" s="40" t="s">
        <v>709</v>
      </c>
      <c r="E151" s="56" t="s">
        <v>46</v>
      </c>
      <c r="F151" s="41" t="s">
        <v>989</v>
      </c>
      <c r="G151" s="28" t="s">
        <v>1007</v>
      </c>
      <c r="H151" s="28" t="s">
        <v>935</v>
      </c>
      <c r="I151" s="28" t="s">
        <v>935</v>
      </c>
      <c r="J151" s="28" t="s">
        <v>935</v>
      </c>
      <c r="K151" s="28" t="s">
        <v>935</v>
      </c>
      <c r="L151" s="41" t="s">
        <v>712</v>
      </c>
    </row>
    <row r="152" spans="1:12" ht="142.5">
      <c r="A152" s="40">
        <v>150</v>
      </c>
      <c r="B152" s="96"/>
      <c r="C152" s="87"/>
      <c r="D152" s="40" t="s">
        <v>710</v>
      </c>
      <c r="E152" s="56" t="s">
        <v>46</v>
      </c>
      <c r="F152" s="41" t="s">
        <v>990</v>
      </c>
      <c r="G152" s="28" t="s">
        <v>1007</v>
      </c>
      <c r="H152" s="28" t="s">
        <v>935</v>
      </c>
      <c r="I152" s="28" t="s">
        <v>935</v>
      </c>
      <c r="J152" s="28" t="s">
        <v>935</v>
      </c>
      <c r="K152" s="28" t="s">
        <v>935</v>
      </c>
      <c r="L152" s="41" t="s">
        <v>712</v>
      </c>
    </row>
    <row r="153" spans="1:12" ht="409.5">
      <c r="A153" s="36">
        <v>151</v>
      </c>
      <c r="B153" s="96"/>
      <c r="C153" s="98" t="s">
        <v>973</v>
      </c>
      <c r="D153" s="40" t="s">
        <v>700</v>
      </c>
      <c r="E153" s="56" t="s">
        <v>46</v>
      </c>
      <c r="F153" s="41" t="s">
        <v>974</v>
      </c>
      <c r="G153" s="41" t="s">
        <v>975</v>
      </c>
      <c r="H153" s="28" t="s">
        <v>1000</v>
      </c>
      <c r="I153" s="28" t="s">
        <v>778</v>
      </c>
      <c r="J153" s="28" t="s">
        <v>773</v>
      </c>
      <c r="K153" s="41" t="s">
        <v>1248</v>
      </c>
      <c r="L153" s="41" t="s">
        <v>889</v>
      </c>
    </row>
    <row r="154" spans="1:12" ht="409.5">
      <c r="A154" s="40">
        <v>152</v>
      </c>
      <c r="B154" s="96"/>
      <c r="C154" s="99"/>
      <c r="D154" s="40" t="s">
        <v>701</v>
      </c>
      <c r="E154" s="56" t="s">
        <v>46</v>
      </c>
      <c r="F154" s="41" t="s">
        <v>992</v>
      </c>
      <c r="G154" s="41" t="s">
        <v>991</v>
      </c>
      <c r="H154" s="28" t="s">
        <v>1000</v>
      </c>
      <c r="I154" s="28" t="s">
        <v>778</v>
      </c>
      <c r="J154" s="28" t="s">
        <v>773</v>
      </c>
      <c r="K154" s="41" t="s">
        <v>1248</v>
      </c>
      <c r="L154" s="41" t="s">
        <v>889</v>
      </c>
    </row>
    <row r="155" spans="1:12" ht="409.5">
      <c r="A155" s="36">
        <v>153</v>
      </c>
      <c r="B155" s="96"/>
      <c r="C155" s="99"/>
      <c r="D155" s="40" t="s">
        <v>702</v>
      </c>
      <c r="E155" s="56" t="s">
        <v>46</v>
      </c>
      <c r="F155" s="41" t="s">
        <v>993</v>
      </c>
      <c r="G155" s="41" t="s">
        <v>991</v>
      </c>
      <c r="H155" s="28" t="s">
        <v>1000</v>
      </c>
      <c r="I155" s="28" t="s">
        <v>778</v>
      </c>
      <c r="J155" s="28" t="s">
        <v>773</v>
      </c>
      <c r="K155" s="41" t="s">
        <v>1248</v>
      </c>
      <c r="L155" s="41" t="s">
        <v>889</v>
      </c>
    </row>
    <row r="156" spans="1:12" ht="409.5">
      <c r="A156" s="40">
        <v>154</v>
      </c>
      <c r="B156" s="96"/>
      <c r="C156" s="99"/>
      <c r="D156" s="40" t="s">
        <v>703</v>
      </c>
      <c r="E156" s="57" t="s">
        <v>994</v>
      </c>
      <c r="F156" s="41" t="s">
        <v>995</v>
      </c>
      <c r="G156" s="41" t="s">
        <v>991</v>
      </c>
      <c r="H156" s="28" t="s">
        <v>1000</v>
      </c>
      <c r="I156" s="28" t="s">
        <v>778</v>
      </c>
      <c r="J156" s="28" t="s">
        <v>773</v>
      </c>
      <c r="K156" s="41" t="s">
        <v>1248</v>
      </c>
      <c r="L156" s="41" t="s">
        <v>889</v>
      </c>
    </row>
    <row r="157" spans="1:12" ht="409.5">
      <c r="A157" s="36">
        <v>155</v>
      </c>
      <c r="B157" s="96"/>
      <c r="C157" s="99"/>
      <c r="D157" s="84" t="s">
        <v>704</v>
      </c>
      <c r="E157" s="57" t="s">
        <v>46</v>
      </c>
      <c r="F157" s="41" t="s">
        <v>996</v>
      </c>
      <c r="G157" s="41" t="s">
        <v>1037</v>
      </c>
      <c r="H157" s="28" t="s">
        <v>1000</v>
      </c>
      <c r="I157" s="28" t="s">
        <v>778</v>
      </c>
      <c r="J157" s="28" t="s">
        <v>773</v>
      </c>
      <c r="K157" s="41" t="s">
        <v>1248</v>
      </c>
      <c r="L157" s="41" t="s">
        <v>889</v>
      </c>
    </row>
    <row r="158" spans="1:12" ht="409.5">
      <c r="A158" s="40">
        <v>156</v>
      </c>
      <c r="B158" s="96"/>
      <c r="C158" s="99"/>
      <c r="D158" s="86"/>
      <c r="E158" s="57" t="s">
        <v>46</v>
      </c>
      <c r="F158" s="41" t="s">
        <v>997</v>
      </c>
      <c r="G158" s="41" t="s">
        <v>998</v>
      </c>
      <c r="H158" s="28" t="s">
        <v>1000</v>
      </c>
      <c r="I158" s="28" t="s">
        <v>778</v>
      </c>
      <c r="J158" s="28" t="s">
        <v>773</v>
      </c>
      <c r="K158" s="41" t="s">
        <v>1248</v>
      </c>
      <c r="L158" s="41" t="s">
        <v>889</v>
      </c>
    </row>
    <row r="159" spans="1:12" ht="409.5">
      <c r="A159" s="36">
        <v>157</v>
      </c>
      <c r="B159" s="96"/>
      <c r="C159" s="99"/>
      <c r="D159" s="84" t="s">
        <v>705</v>
      </c>
      <c r="E159" s="56" t="s">
        <v>46</v>
      </c>
      <c r="F159" s="41" t="s">
        <v>999</v>
      </c>
      <c r="G159" s="41" t="s">
        <v>1037</v>
      </c>
      <c r="H159" s="28" t="s">
        <v>1000</v>
      </c>
      <c r="I159" s="28" t="s">
        <v>778</v>
      </c>
      <c r="J159" s="28" t="s">
        <v>773</v>
      </c>
      <c r="K159" s="41" t="s">
        <v>1248</v>
      </c>
      <c r="L159" s="41" t="s">
        <v>889</v>
      </c>
    </row>
    <row r="160" spans="1:12" ht="128.25">
      <c r="A160" s="40">
        <v>158</v>
      </c>
      <c r="B160" s="96"/>
      <c r="C160" s="99"/>
      <c r="D160" s="86"/>
      <c r="E160" s="56" t="s">
        <v>46</v>
      </c>
      <c r="F160" s="41" t="s">
        <v>1001</v>
      </c>
      <c r="G160" s="41" t="s">
        <v>1043</v>
      </c>
      <c r="H160" s="28" t="s">
        <v>1000</v>
      </c>
      <c r="I160" s="41" t="s">
        <v>897</v>
      </c>
      <c r="J160" s="41" t="s">
        <v>713</v>
      </c>
      <c r="K160" s="41" t="s">
        <v>715</v>
      </c>
      <c r="L160" s="41" t="s">
        <v>712</v>
      </c>
    </row>
    <row r="161" spans="1:12" ht="409.5">
      <c r="A161" s="36">
        <v>159</v>
      </c>
      <c r="B161" s="96"/>
      <c r="C161" s="99"/>
      <c r="D161" s="40" t="s">
        <v>706</v>
      </c>
      <c r="E161" s="56" t="s">
        <v>46</v>
      </c>
      <c r="F161" s="41" t="s">
        <v>1002</v>
      </c>
      <c r="G161" s="41" t="s">
        <v>1037</v>
      </c>
      <c r="H161" s="28" t="s">
        <v>1000</v>
      </c>
      <c r="I161" s="28" t="s">
        <v>778</v>
      </c>
      <c r="J161" s="28" t="s">
        <v>773</v>
      </c>
      <c r="K161" s="41" t="s">
        <v>1248</v>
      </c>
      <c r="L161" s="41" t="s">
        <v>889</v>
      </c>
    </row>
    <row r="162" spans="1:12" ht="71.25">
      <c r="A162" s="40">
        <v>160</v>
      </c>
      <c r="B162" s="96"/>
      <c r="C162" s="99"/>
      <c r="D162" s="40" t="s">
        <v>707</v>
      </c>
      <c r="E162" s="56" t="s">
        <v>46</v>
      </c>
      <c r="F162" s="41" t="s">
        <v>1003</v>
      </c>
      <c r="G162" s="41" t="s">
        <v>895</v>
      </c>
      <c r="H162" s="28" t="s">
        <v>896</v>
      </c>
      <c r="I162" s="41" t="s">
        <v>897</v>
      </c>
      <c r="J162" s="41" t="s">
        <v>713</v>
      </c>
      <c r="K162" s="41" t="s">
        <v>715</v>
      </c>
      <c r="L162" s="41" t="s">
        <v>712</v>
      </c>
    </row>
    <row r="163" spans="1:12" ht="142.5">
      <c r="A163" s="36">
        <v>161</v>
      </c>
      <c r="B163" s="96"/>
      <c r="C163" s="99"/>
      <c r="D163" s="40" t="s">
        <v>708</v>
      </c>
      <c r="E163" s="56" t="s">
        <v>46</v>
      </c>
      <c r="F163" s="41" t="s">
        <v>1004</v>
      </c>
      <c r="G163" s="28" t="s">
        <v>1007</v>
      </c>
      <c r="H163" s="28" t="s">
        <v>935</v>
      </c>
      <c r="I163" s="28" t="s">
        <v>935</v>
      </c>
      <c r="J163" s="28" t="s">
        <v>935</v>
      </c>
      <c r="K163" s="28" t="s">
        <v>935</v>
      </c>
      <c r="L163" s="41" t="s">
        <v>712</v>
      </c>
    </row>
    <row r="164" spans="1:12" ht="142.5">
      <c r="A164" s="40">
        <v>162</v>
      </c>
      <c r="B164" s="96"/>
      <c r="C164" s="99"/>
      <c r="D164" s="40" t="s">
        <v>709</v>
      </c>
      <c r="E164" s="56" t="s">
        <v>46</v>
      </c>
      <c r="F164" s="41" t="s">
        <v>1005</v>
      </c>
      <c r="G164" s="28" t="s">
        <v>1007</v>
      </c>
      <c r="H164" s="28" t="s">
        <v>935</v>
      </c>
      <c r="I164" s="28" t="s">
        <v>935</v>
      </c>
      <c r="J164" s="28" t="s">
        <v>935</v>
      </c>
      <c r="K164" s="28" t="s">
        <v>935</v>
      </c>
      <c r="L164" s="41" t="s">
        <v>712</v>
      </c>
    </row>
    <row r="165" spans="1:12" ht="142.5">
      <c r="A165" s="36">
        <v>163</v>
      </c>
      <c r="B165" s="97"/>
      <c r="C165" s="100"/>
      <c r="D165" s="40" t="s">
        <v>710</v>
      </c>
      <c r="E165" s="56" t="s">
        <v>46</v>
      </c>
      <c r="F165" s="41" t="s">
        <v>1006</v>
      </c>
      <c r="G165" s="28" t="s">
        <v>1007</v>
      </c>
      <c r="H165" s="28" t="s">
        <v>935</v>
      </c>
      <c r="I165" s="28" t="s">
        <v>935</v>
      </c>
      <c r="J165" s="28" t="s">
        <v>935</v>
      </c>
      <c r="K165" s="28" t="s">
        <v>935</v>
      </c>
      <c r="L165" s="41" t="s">
        <v>712</v>
      </c>
    </row>
    <row r="166" spans="1:12" ht="409.5">
      <c r="A166" s="40">
        <v>164</v>
      </c>
      <c r="B166" s="94" t="s">
        <v>756</v>
      </c>
      <c r="C166" s="87" t="s">
        <v>757</v>
      </c>
      <c r="D166" s="40" t="s">
        <v>700</v>
      </c>
      <c r="E166" s="56" t="s">
        <v>46</v>
      </c>
      <c r="F166" s="41" t="s">
        <v>1010</v>
      </c>
      <c r="G166" s="41" t="s">
        <v>1011</v>
      </c>
      <c r="H166" s="28" t="s">
        <v>1000</v>
      </c>
      <c r="I166" s="28" t="s">
        <v>778</v>
      </c>
      <c r="J166" s="28" t="s">
        <v>773</v>
      </c>
      <c r="K166" s="41" t="s">
        <v>1465</v>
      </c>
      <c r="L166" s="41" t="s">
        <v>889</v>
      </c>
    </row>
    <row r="167" spans="1:12" ht="409.5">
      <c r="A167" s="36">
        <v>165</v>
      </c>
      <c r="B167" s="94"/>
      <c r="C167" s="87"/>
      <c r="D167" s="40" t="s">
        <v>701</v>
      </c>
      <c r="E167" s="56" t="s">
        <v>46</v>
      </c>
      <c r="F167" s="41" t="s">
        <v>1017</v>
      </c>
      <c r="G167" s="41" t="s">
        <v>1016</v>
      </c>
      <c r="H167" s="28" t="s">
        <v>1000</v>
      </c>
      <c r="I167" s="28" t="s">
        <v>778</v>
      </c>
      <c r="J167" s="28" t="s">
        <v>773</v>
      </c>
      <c r="K167" s="41" t="s">
        <v>1465</v>
      </c>
      <c r="L167" s="41" t="s">
        <v>889</v>
      </c>
    </row>
    <row r="168" spans="1:12" ht="409.5">
      <c r="A168" s="40">
        <v>166</v>
      </c>
      <c r="B168" s="94"/>
      <c r="C168" s="87"/>
      <c r="D168" s="40" t="s">
        <v>702</v>
      </c>
      <c r="E168" s="56" t="s">
        <v>46</v>
      </c>
      <c r="F168" s="41" t="s">
        <v>1015</v>
      </c>
      <c r="G168" s="41" t="s">
        <v>1016</v>
      </c>
      <c r="H168" s="28" t="s">
        <v>1000</v>
      </c>
      <c r="I168" s="28" t="s">
        <v>778</v>
      </c>
      <c r="J168" s="28" t="s">
        <v>773</v>
      </c>
      <c r="K168" s="41" t="s">
        <v>1465</v>
      </c>
      <c r="L168" s="41" t="s">
        <v>889</v>
      </c>
    </row>
    <row r="169" spans="1:12" ht="409.5">
      <c r="A169" s="36">
        <v>167</v>
      </c>
      <c r="B169" s="94"/>
      <c r="C169" s="87"/>
      <c r="D169" s="40" t="s">
        <v>703</v>
      </c>
      <c r="E169" s="57" t="s">
        <v>878</v>
      </c>
      <c r="F169" s="41" t="s">
        <v>1018</v>
      </c>
      <c r="G169" s="41" t="s">
        <v>1019</v>
      </c>
      <c r="H169" s="28" t="s">
        <v>1000</v>
      </c>
      <c r="I169" s="28" t="s">
        <v>778</v>
      </c>
      <c r="J169" s="28" t="s">
        <v>773</v>
      </c>
      <c r="K169" s="41" t="s">
        <v>1465</v>
      </c>
      <c r="L169" s="41" t="s">
        <v>889</v>
      </c>
    </row>
    <row r="170" spans="1:12" ht="409.5">
      <c r="A170" s="40">
        <v>168</v>
      </c>
      <c r="B170" s="94"/>
      <c r="C170" s="87"/>
      <c r="D170" s="84" t="s">
        <v>704</v>
      </c>
      <c r="E170" s="57" t="s">
        <v>46</v>
      </c>
      <c r="F170" s="41" t="s">
        <v>1020</v>
      </c>
      <c r="G170" s="41" t="s">
        <v>1021</v>
      </c>
      <c r="H170" s="28" t="s">
        <v>1000</v>
      </c>
      <c r="I170" s="28" t="s">
        <v>778</v>
      </c>
      <c r="J170" s="28" t="s">
        <v>773</v>
      </c>
      <c r="K170" s="41" t="s">
        <v>1465</v>
      </c>
      <c r="L170" s="41" t="s">
        <v>889</v>
      </c>
    </row>
    <row r="171" spans="1:12" ht="409.5">
      <c r="A171" s="36">
        <v>169</v>
      </c>
      <c r="B171" s="94"/>
      <c r="C171" s="87"/>
      <c r="D171" s="86"/>
      <c r="E171" s="57" t="s">
        <v>46</v>
      </c>
      <c r="F171" s="41" t="s">
        <v>1022</v>
      </c>
      <c r="G171" s="41" t="s">
        <v>1023</v>
      </c>
      <c r="H171" s="28" t="s">
        <v>1000</v>
      </c>
      <c r="I171" s="28" t="s">
        <v>778</v>
      </c>
      <c r="J171" s="28" t="s">
        <v>773</v>
      </c>
      <c r="K171" s="41" t="s">
        <v>1465</v>
      </c>
      <c r="L171" s="41" t="s">
        <v>889</v>
      </c>
    </row>
    <row r="172" spans="1:12" ht="409.5">
      <c r="A172" s="40">
        <v>170</v>
      </c>
      <c r="B172" s="94"/>
      <c r="C172" s="87"/>
      <c r="D172" s="84" t="s">
        <v>705</v>
      </c>
      <c r="E172" s="56" t="s">
        <v>46</v>
      </c>
      <c r="F172" s="41" t="s">
        <v>1024</v>
      </c>
      <c r="G172" s="41" t="s">
        <v>1021</v>
      </c>
      <c r="H172" s="28" t="s">
        <v>1000</v>
      </c>
      <c r="I172" s="28" t="s">
        <v>778</v>
      </c>
      <c r="J172" s="28" t="s">
        <v>773</v>
      </c>
      <c r="K172" s="41" t="s">
        <v>1465</v>
      </c>
      <c r="L172" s="41" t="s">
        <v>889</v>
      </c>
    </row>
    <row r="173" spans="1:12" ht="128.25">
      <c r="A173" s="36">
        <v>171</v>
      </c>
      <c r="B173" s="94"/>
      <c r="C173" s="87"/>
      <c r="D173" s="86"/>
      <c r="E173" s="56" t="s">
        <v>46</v>
      </c>
      <c r="F173" s="41" t="s">
        <v>1025</v>
      </c>
      <c r="G173" s="41" t="s">
        <v>987</v>
      </c>
      <c r="H173" s="28" t="s">
        <v>1000</v>
      </c>
      <c r="I173" s="41" t="s">
        <v>897</v>
      </c>
      <c r="J173" s="41" t="s">
        <v>713</v>
      </c>
      <c r="K173" s="41" t="s">
        <v>715</v>
      </c>
      <c r="L173" s="41" t="s">
        <v>712</v>
      </c>
    </row>
    <row r="174" spans="1:12" ht="409.5">
      <c r="A174" s="40">
        <v>172</v>
      </c>
      <c r="B174" s="94"/>
      <c r="C174" s="87"/>
      <c r="D174" s="40" t="s">
        <v>706</v>
      </c>
      <c r="E174" s="56" t="s">
        <v>46</v>
      </c>
      <c r="F174" s="41" t="s">
        <v>1026</v>
      </c>
      <c r="G174" s="41" t="s">
        <v>1021</v>
      </c>
      <c r="H174" s="28" t="s">
        <v>1000</v>
      </c>
      <c r="I174" s="28" t="s">
        <v>778</v>
      </c>
      <c r="J174" s="28" t="s">
        <v>773</v>
      </c>
      <c r="K174" s="41" t="s">
        <v>1465</v>
      </c>
      <c r="L174" s="41" t="s">
        <v>889</v>
      </c>
    </row>
    <row r="175" spans="1:12" ht="71.25">
      <c r="A175" s="36">
        <v>173</v>
      </c>
      <c r="B175" s="94"/>
      <c r="C175" s="87"/>
      <c r="D175" s="40" t="s">
        <v>707</v>
      </c>
      <c r="E175" s="56" t="s">
        <v>46</v>
      </c>
      <c r="F175" s="41" t="s">
        <v>1027</v>
      </c>
      <c r="G175" s="41" t="s">
        <v>895</v>
      </c>
      <c r="H175" s="28" t="s">
        <v>896</v>
      </c>
      <c r="I175" s="41" t="s">
        <v>897</v>
      </c>
      <c r="J175" s="41" t="s">
        <v>713</v>
      </c>
      <c r="K175" s="41" t="s">
        <v>715</v>
      </c>
      <c r="L175" s="41" t="s">
        <v>712</v>
      </c>
    </row>
    <row r="176" spans="1:12" ht="142.5">
      <c r="A176" s="40">
        <v>174</v>
      </c>
      <c r="B176" s="94"/>
      <c r="C176" s="87"/>
      <c r="D176" s="40" t="s">
        <v>708</v>
      </c>
      <c r="E176" s="56" t="s">
        <v>46</v>
      </c>
      <c r="F176" s="41" t="s">
        <v>1028</v>
      </c>
      <c r="G176" s="28" t="s">
        <v>1031</v>
      </c>
      <c r="H176" s="28" t="s">
        <v>935</v>
      </c>
      <c r="I176" s="28" t="s">
        <v>935</v>
      </c>
      <c r="J176" s="28" t="s">
        <v>935</v>
      </c>
      <c r="K176" s="28" t="s">
        <v>935</v>
      </c>
      <c r="L176" s="41" t="s">
        <v>712</v>
      </c>
    </row>
    <row r="177" spans="1:12" ht="142.5">
      <c r="A177" s="36">
        <v>175</v>
      </c>
      <c r="B177" s="94"/>
      <c r="C177" s="87"/>
      <c r="D177" s="40" t="s">
        <v>709</v>
      </c>
      <c r="E177" s="56" t="s">
        <v>46</v>
      </c>
      <c r="F177" s="41" t="s">
        <v>1029</v>
      </c>
      <c r="G177" s="28" t="s">
        <v>1031</v>
      </c>
      <c r="H177" s="28" t="s">
        <v>935</v>
      </c>
      <c r="I177" s="28" t="s">
        <v>935</v>
      </c>
      <c r="J177" s="28" t="s">
        <v>935</v>
      </c>
      <c r="K177" s="28" t="s">
        <v>935</v>
      </c>
      <c r="L177" s="41" t="s">
        <v>712</v>
      </c>
    </row>
    <row r="178" spans="1:12" ht="142.5">
      <c r="A178" s="40">
        <v>176</v>
      </c>
      <c r="B178" s="94"/>
      <c r="C178" s="87"/>
      <c r="D178" s="40" t="s">
        <v>710</v>
      </c>
      <c r="E178" s="56" t="s">
        <v>46</v>
      </c>
      <c r="F178" s="41" t="s">
        <v>1030</v>
      </c>
      <c r="G178" s="28" t="s">
        <v>1031</v>
      </c>
      <c r="H178" s="28" t="s">
        <v>935</v>
      </c>
      <c r="I178" s="28" t="s">
        <v>935</v>
      </c>
      <c r="J178" s="28" t="s">
        <v>935</v>
      </c>
      <c r="K178" s="28" t="s">
        <v>935</v>
      </c>
      <c r="L178" s="41" t="s">
        <v>712</v>
      </c>
    </row>
    <row r="179" spans="1:12" ht="409.5">
      <c r="A179" s="36">
        <v>177</v>
      </c>
      <c r="B179" s="94"/>
      <c r="C179" s="87" t="s">
        <v>758</v>
      </c>
      <c r="D179" s="40" t="s">
        <v>700</v>
      </c>
      <c r="E179" s="56" t="s">
        <v>46</v>
      </c>
      <c r="F179" s="41" t="s">
        <v>1010</v>
      </c>
      <c r="G179" s="41" t="s">
        <v>1011</v>
      </c>
      <c r="H179" s="28" t="s">
        <v>1000</v>
      </c>
      <c r="I179" s="28" t="s">
        <v>778</v>
      </c>
      <c r="J179" s="28" t="s">
        <v>773</v>
      </c>
      <c r="K179" s="41" t="s">
        <v>1249</v>
      </c>
      <c r="L179" s="41" t="s">
        <v>889</v>
      </c>
    </row>
    <row r="180" spans="1:12" ht="409.5">
      <c r="A180" s="40">
        <v>178</v>
      </c>
      <c r="B180" s="94"/>
      <c r="C180" s="87"/>
      <c r="D180" s="40" t="s">
        <v>701</v>
      </c>
      <c r="E180" s="56" t="s">
        <v>46</v>
      </c>
      <c r="F180" s="41" t="s">
        <v>1032</v>
      </c>
      <c r="G180" s="41" t="s">
        <v>1016</v>
      </c>
      <c r="H180" s="28" t="s">
        <v>1000</v>
      </c>
      <c r="I180" s="28" t="s">
        <v>778</v>
      </c>
      <c r="J180" s="28" t="s">
        <v>773</v>
      </c>
      <c r="K180" s="41" t="s">
        <v>1249</v>
      </c>
      <c r="L180" s="41" t="s">
        <v>889</v>
      </c>
    </row>
    <row r="181" spans="1:12" ht="409.5">
      <c r="A181" s="36">
        <v>179</v>
      </c>
      <c r="B181" s="94"/>
      <c r="C181" s="87"/>
      <c r="D181" s="40" t="s">
        <v>702</v>
      </c>
      <c r="E181" s="56" t="s">
        <v>46</v>
      </c>
      <c r="F181" s="41" t="s">
        <v>1033</v>
      </c>
      <c r="G181" s="41" t="s">
        <v>1016</v>
      </c>
      <c r="H181" s="28" t="s">
        <v>1000</v>
      </c>
      <c r="I181" s="28" t="s">
        <v>778</v>
      </c>
      <c r="J181" s="28" t="s">
        <v>773</v>
      </c>
      <c r="K181" s="41" t="s">
        <v>1249</v>
      </c>
      <c r="L181" s="41" t="s">
        <v>889</v>
      </c>
    </row>
    <row r="182" spans="1:12" ht="409.5">
      <c r="A182" s="40">
        <v>180</v>
      </c>
      <c r="B182" s="94"/>
      <c r="C182" s="87"/>
      <c r="D182" s="40" t="s">
        <v>703</v>
      </c>
      <c r="E182" s="57" t="s">
        <v>1034</v>
      </c>
      <c r="F182" s="41" t="s">
        <v>1035</v>
      </c>
      <c r="G182" s="41" t="s">
        <v>1016</v>
      </c>
      <c r="H182" s="28" t="s">
        <v>1000</v>
      </c>
      <c r="I182" s="28" t="s">
        <v>778</v>
      </c>
      <c r="J182" s="28" t="s">
        <v>773</v>
      </c>
      <c r="K182" s="41" t="s">
        <v>1249</v>
      </c>
      <c r="L182" s="41" t="s">
        <v>889</v>
      </c>
    </row>
    <row r="183" spans="1:12" ht="409.5">
      <c r="A183" s="36">
        <v>181</v>
      </c>
      <c r="B183" s="94"/>
      <c r="C183" s="87"/>
      <c r="D183" s="84" t="s">
        <v>704</v>
      </c>
      <c r="E183" s="57" t="s">
        <v>46</v>
      </c>
      <c r="F183" s="41" t="s">
        <v>1036</v>
      </c>
      <c r="G183" s="41" t="s">
        <v>1016</v>
      </c>
      <c r="H183" s="28" t="s">
        <v>1000</v>
      </c>
      <c r="I183" s="28" t="s">
        <v>778</v>
      </c>
      <c r="J183" s="28" t="s">
        <v>773</v>
      </c>
      <c r="K183" s="41" t="s">
        <v>1249</v>
      </c>
      <c r="L183" s="41" t="s">
        <v>889</v>
      </c>
    </row>
    <row r="184" spans="1:12" ht="409.5">
      <c r="A184" s="40">
        <v>182</v>
      </c>
      <c r="B184" s="94"/>
      <c r="C184" s="87"/>
      <c r="D184" s="86"/>
      <c r="E184" s="57" t="s">
        <v>46</v>
      </c>
      <c r="F184" s="41" t="s">
        <v>1038</v>
      </c>
      <c r="G184" s="41" t="s">
        <v>1039</v>
      </c>
      <c r="H184" s="28" t="s">
        <v>1000</v>
      </c>
      <c r="I184" s="28" t="s">
        <v>778</v>
      </c>
      <c r="J184" s="28" t="s">
        <v>773</v>
      </c>
      <c r="K184" s="41" t="s">
        <v>1249</v>
      </c>
      <c r="L184" s="41" t="s">
        <v>889</v>
      </c>
    </row>
    <row r="185" spans="1:12" ht="409.5">
      <c r="A185" s="36">
        <v>183</v>
      </c>
      <c r="B185" s="94"/>
      <c r="C185" s="87"/>
      <c r="D185" s="84" t="s">
        <v>705</v>
      </c>
      <c r="E185" s="56" t="s">
        <v>46</v>
      </c>
      <c r="F185" s="41" t="s">
        <v>1040</v>
      </c>
      <c r="G185" s="41" t="s">
        <v>1016</v>
      </c>
      <c r="H185" s="28" t="s">
        <v>1000</v>
      </c>
      <c r="I185" s="28" t="s">
        <v>778</v>
      </c>
      <c r="J185" s="28" t="s">
        <v>773</v>
      </c>
      <c r="K185" s="41" t="s">
        <v>1249</v>
      </c>
      <c r="L185" s="41" t="s">
        <v>889</v>
      </c>
    </row>
    <row r="186" spans="1:12" ht="128.25">
      <c r="A186" s="40">
        <v>184</v>
      </c>
      <c r="B186" s="94"/>
      <c r="C186" s="87"/>
      <c r="D186" s="86"/>
      <c r="E186" s="56" t="s">
        <v>46</v>
      </c>
      <c r="F186" s="41" t="s">
        <v>1041</v>
      </c>
      <c r="G186" s="41" t="s">
        <v>1042</v>
      </c>
      <c r="H186" s="28" t="s">
        <v>1000</v>
      </c>
      <c r="I186" s="41" t="s">
        <v>897</v>
      </c>
      <c r="J186" s="41" t="s">
        <v>713</v>
      </c>
      <c r="K186" s="41" t="s">
        <v>715</v>
      </c>
      <c r="L186" s="41" t="s">
        <v>712</v>
      </c>
    </row>
    <row r="187" spans="1:12" ht="409.5">
      <c r="A187" s="36">
        <v>185</v>
      </c>
      <c r="B187" s="94"/>
      <c r="C187" s="87"/>
      <c r="D187" s="40" t="s">
        <v>706</v>
      </c>
      <c r="E187" s="56" t="s">
        <v>46</v>
      </c>
      <c r="F187" s="41" t="s">
        <v>1044</v>
      </c>
      <c r="G187" s="41" t="s">
        <v>1045</v>
      </c>
      <c r="H187" s="28" t="s">
        <v>1000</v>
      </c>
      <c r="I187" s="28" t="s">
        <v>778</v>
      </c>
      <c r="J187" s="28" t="s">
        <v>773</v>
      </c>
      <c r="K187" s="41" t="s">
        <v>1249</v>
      </c>
      <c r="L187" s="41" t="s">
        <v>889</v>
      </c>
    </row>
    <row r="188" spans="1:12" ht="71.25">
      <c r="A188" s="40">
        <v>186</v>
      </c>
      <c r="B188" s="94"/>
      <c r="C188" s="87"/>
      <c r="D188" s="40" t="s">
        <v>707</v>
      </c>
      <c r="E188" s="56" t="s">
        <v>46</v>
      </c>
      <c r="F188" s="41" t="s">
        <v>1046</v>
      </c>
      <c r="G188" s="41" t="s">
        <v>895</v>
      </c>
      <c r="H188" s="28" t="s">
        <v>896</v>
      </c>
      <c r="I188" s="41" t="s">
        <v>897</v>
      </c>
      <c r="J188" s="41" t="s">
        <v>713</v>
      </c>
      <c r="K188" s="41" t="s">
        <v>715</v>
      </c>
      <c r="L188" s="41" t="s">
        <v>712</v>
      </c>
    </row>
    <row r="189" spans="1:12" ht="142.5">
      <c r="A189" s="36">
        <v>187</v>
      </c>
      <c r="B189" s="94"/>
      <c r="C189" s="87"/>
      <c r="D189" s="40" t="s">
        <v>708</v>
      </c>
      <c r="E189" s="56" t="s">
        <v>46</v>
      </c>
      <c r="F189" s="41" t="s">
        <v>1047</v>
      </c>
      <c r="G189" s="28" t="s">
        <v>1048</v>
      </c>
      <c r="H189" s="28" t="s">
        <v>1051</v>
      </c>
      <c r="I189" s="28" t="s">
        <v>1051</v>
      </c>
      <c r="J189" s="28" t="s">
        <v>1051</v>
      </c>
      <c r="K189" s="28" t="s">
        <v>1051</v>
      </c>
      <c r="L189" s="41" t="s">
        <v>712</v>
      </c>
    </row>
    <row r="190" spans="1:12" ht="142.5">
      <c r="A190" s="40">
        <v>188</v>
      </c>
      <c r="B190" s="94"/>
      <c r="C190" s="87"/>
      <c r="D190" s="40" t="s">
        <v>709</v>
      </c>
      <c r="E190" s="56" t="s">
        <v>46</v>
      </c>
      <c r="F190" s="41" t="s">
        <v>1049</v>
      </c>
      <c r="G190" s="28" t="s">
        <v>1007</v>
      </c>
      <c r="H190" s="28" t="s">
        <v>1051</v>
      </c>
      <c r="I190" s="28" t="s">
        <v>1051</v>
      </c>
      <c r="J190" s="28" t="s">
        <v>1051</v>
      </c>
      <c r="K190" s="28" t="s">
        <v>1051</v>
      </c>
      <c r="L190" s="41" t="s">
        <v>712</v>
      </c>
    </row>
    <row r="191" spans="1:12" ht="142.5">
      <c r="A191" s="36">
        <v>189</v>
      </c>
      <c r="B191" s="94"/>
      <c r="C191" s="87"/>
      <c r="D191" s="40" t="s">
        <v>710</v>
      </c>
      <c r="E191" s="56" t="s">
        <v>46</v>
      </c>
      <c r="F191" s="41" t="s">
        <v>1050</v>
      </c>
      <c r="G191" s="28" t="s">
        <v>1007</v>
      </c>
      <c r="H191" s="28" t="s">
        <v>1051</v>
      </c>
      <c r="I191" s="28" t="s">
        <v>1051</v>
      </c>
      <c r="J191" s="28" t="s">
        <v>1051</v>
      </c>
      <c r="K191" s="28" t="s">
        <v>1051</v>
      </c>
      <c r="L191" s="41" t="s">
        <v>712</v>
      </c>
    </row>
    <row r="192" spans="1:12" ht="409.5">
      <c r="A192" s="40">
        <v>190</v>
      </c>
      <c r="B192" s="93" t="s">
        <v>759</v>
      </c>
      <c r="C192" s="87" t="s">
        <v>760</v>
      </c>
      <c r="D192" s="40" t="s">
        <v>700</v>
      </c>
      <c r="E192" s="60" t="s">
        <v>46</v>
      </c>
      <c r="F192" s="41" t="s">
        <v>1055</v>
      </c>
      <c r="G192" s="41" t="s">
        <v>1056</v>
      </c>
      <c r="H192" s="28" t="s">
        <v>1000</v>
      </c>
      <c r="I192" s="28" t="s">
        <v>778</v>
      </c>
      <c r="J192" s="28" t="s">
        <v>773</v>
      </c>
      <c r="K192" s="41" t="s">
        <v>1057</v>
      </c>
      <c r="L192" s="41" t="s">
        <v>889</v>
      </c>
    </row>
    <row r="193" spans="1:12" ht="409.5">
      <c r="A193" s="36">
        <v>191</v>
      </c>
      <c r="B193" s="93"/>
      <c r="C193" s="87"/>
      <c r="D193" s="40" t="s">
        <v>701</v>
      </c>
      <c r="E193" s="60" t="s">
        <v>46</v>
      </c>
      <c r="F193" s="41" t="s">
        <v>1058</v>
      </c>
      <c r="G193" s="41" t="s">
        <v>1056</v>
      </c>
      <c r="H193" s="28" t="s">
        <v>1000</v>
      </c>
      <c r="I193" s="28" t="s">
        <v>778</v>
      </c>
      <c r="J193" s="28" t="s">
        <v>773</v>
      </c>
      <c r="K193" s="41" t="s">
        <v>1057</v>
      </c>
      <c r="L193" s="41" t="s">
        <v>889</v>
      </c>
    </row>
    <row r="194" spans="1:12" ht="409.5">
      <c r="A194" s="40">
        <v>192</v>
      </c>
      <c r="B194" s="93"/>
      <c r="C194" s="87"/>
      <c r="D194" s="40" t="s">
        <v>702</v>
      </c>
      <c r="E194" s="60" t="s">
        <v>46</v>
      </c>
      <c r="F194" s="41" t="s">
        <v>1059</v>
      </c>
      <c r="G194" s="41" t="s">
        <v>1056</v>
      </c>
      <c r="H194" s="28" t="s">
        <v>1000</v>
      </c>
      <c r="I194" s="28" t="s">
        <v>778</v>
      </c>
      <c r="J194" s="28" t="s">
        <v>773</v>
      </c>
      <c r="K194" s="41" t="s">
        <v>1057</v>
      </c>
      <c r="L194" s="41" t="s">
        <v>889</v>
      </c>
    </row>
    <row r="195" spans="1:12" ht="409.5">
      <c r="A195" s="36">
        <v>193</v>
      </c>
      <c r="B195" s="93"/>
      <c r="C195" s="87"/>
      <c r="D195" s="84" t="s">
        <v>703</v>
      </c>
      <c r="E195" s="57" t="s">
        <v>1052</v>
      </c>
      <c r="F195" s="41" t="s">
        <v>1060</v>
      </c>
      <c r="G195" s="41" t="s">
        <v>881</v>
      </c>
      <c r="H195" s="28" t="s">
        <v>1000</v>
      </c>
      <c r="I195" s="28" t="s">
        <v>778</v>
      </c>
      <c r="J195" s="28" t="s">
        <v>773</v>
      </c>
      <c r="K195" s="41" t="s">
        <v>1057</v>
      </c>
      <c r="L195" s="41" t="s">
        <v>889</v>
      </c>
    </row>
    <row r="196" spans="1:12" ht="409.5">
      <c r="A196" s="40">
        <v>194</v>
      </c>
      <c r="B196" s="93"/>
      <c r="C196" s="87"/>
      <c r="D196" s="85"/>
      <c r="E196" s="57" t="s">
        <v>765</v>
      </c>
      <c r="F196" s="41" t="s">
        <v>1061</v>
      </c>
      <c r="G196" s="41" t="s">
        <v>881</v>
      </c>
      <c r="H196" s="28" t="s">
        <v>1000</v>
      </c>
      <c r="I196" s="28" t="s">
        <v>778</v>
      </c>
      <c r="J196" s="28" t="s">
        <v>773</v>
      </c>
      <c r="K196" s="41" t="s">
        <v>1057</v>
      </c>
      <c r="L196" s="41" t="s">
        <v>889</v>
      </c>
    </row>
    <row r="197" spans="1:12" ht="409.5">
      <c r="A197" s="36">
        <v>195</v>
      </c>
      <c r="B197" s="93"/>
      <c r="C197" s="87"/>
      <c r="D197" s="86"/>
      <c r="E197" s="57" t="s">
        <v>878</v>
      </c>
      <c r="F197" s="41" t="s">
        <v>1062</v>
      </c>
      <c r="G197" s="41" t="s">
        <v>881</v>
      </c>
      <c r="H197" s="28" t="s">
        <v>1000</v>
      </c>
      <c r="I197" s="28" t="s">
        <v>778</v>
      </c>
      <c r="J197" s="28" t="s">
        <v>773</v>
      </c>
      <c r="K197" s="41" t="s">
        <v>1057</v>
      </c>
      <c r="L197" s="41" t="s">
        <v>889</v>
      </c>
    </row>
    <row r="198" spans="1:12" ht="409.5">
      <c r="A198" s="40">
        <v>196</v>
      </c>
      <c r="B198" s="93"/>
      <c r="C198" s="87"/>
      <c r="D198" s="84" t="s">
        <v>704</v>
      </c>
      <c r="E198" s="60" t="s">
        <v>46</v>
      </c>
      <c r="F198" s="41" t="s">
        <v>1063</v>
      </c>
      <c r="G198" s="41" t="s">
        <v>1064</v>
      </c>
      <c r="H198" s="28" t="s">
        <v>1000</v>
      </c>
      <c r="I198" s="28" t="s">
        <v>778</v>
      </c>
      <c r="J198" s="28" t="s">
        <v>773</v>
      </c>
      <c r="K198" s="41" t="s">
        <v>1057</v>
      </c>
      <c r="L198" s="41" t="s">
        <v>889</v>
      </c>
    </row>
    <row r="199" spans="1:12" ht="409.5">
      <c r="A199" s="36">
        <v>197</v>
      </c>
      <c r="B199" s="93"/>
      <c r="C199" s="87"/>
      <c r="D199" s="86"/>
      <c r="E199" s="60" t="s">
        <v>46</v>
      </c>
      <c r="F199" s="41" t="s">
        <v>1065</v>
      </c>
      <c r="G199" s="41" t="s">
        <v>1160</v>
      </c>
      <c r="H199" s="28" t="s">
        <v>1000</v>
      </c>
      <c r="I199" s="28" t="s">
        <v>778</v>
      </c>
      <c r="J199" s="28" t="s">
        <v>773</v>
      </c>
      <c r="K199" s="41" t="s">
        <v>1057</v>
      </c>
      <c r="L199" s="41" t="s">
        <v>889</v>
      </c>
    </row>
    <row r="200" spans="1:12" ht="409.5">
      <c r="A200" s="40">
        <v>198</v>
      </c>
      <c r="B200" s="93"/>
      <c r="C200" s="87"/>
      <c r="D200" s="84" t="s">
        <v>705</v>
      </c>
      <c r="E200" s="60" t="s">
        <v>46</v>
      </c>
      <c r="F200" s="41" t="s">
        <v>1066</v>
      </c>
      <c r="G200" s="41" t="s">
        <v>1064</v>
      </c>
      <c r="H200" s="28" t="s">
        <v>1000</v>
      </c>
      <c r="I200" s="28" t="s">
        <v>778</v>
      </c>
      <c r="J200" s="28" t="s">
        <v>773</v>
      </c>
      <c r="K200" s="41" t="s">
        <v>1057</v>
      </c>
      <c r="L200" s="41" t="s">
        <v>889</v>
      </c>
    </row>
    <row r="201" spans="1:12" ht="128.25">
      <c r="A201" s="36">
        <v>199</v>
      </c>
      <c r="B201" s="93"/>
      <c r="C201" s="87"/>
      <c r="D201" s="86"/>
      <c r="E201" s="60" t="s">
        <v>46</v>
      </c>
      <c r="F201" s="41" t="s">
        <v>1067</v>
      </c>
      <c r="G201" s="41" t="s">
        <v>1068</v>
      </c>
      <c r="H201" s="28" t="s">
        <v>1000</v>
      </c>
      <c r="I201" s="41" t="s">
        <v>897</v>
      </c>
      <c r="J201" s="41" t="s">
        <v>713</v>
      </c>
      <c r="K201" s="41" t="s">
        <v>715</v>
      </c>
      <c r="L201" s="41" t="s">
        <v>712</v>
      </c>
    </row>
    <row r="202" spans="1:12" ht="409.5">
      <c r="A202" s="40">
        <v>200</v>
      </c>
      <c r="B202" s="93"/>
      <c r="C202" s="87"/>
      <c r="D202" s="40" t="s">
        <v>706</v>
      </c>
      <c r="E202" s="60" t="s">
        <v>46</v>
      </c>
      <c r="F202" s="41" t="s">
        <v>1069</v>
      </c>
      <c r="G202" s="41" t="s">
        <v>1064</v>
      </c>
      <c r="H202" s="28" t="s">
        <v>1000</v>
      </c>
      <c r="I202" s="28" t="s">
        <v>778</v>
      </c>
      <c r="J202" s="28" t="s">
        <v>773</v>
      </c>
      <c r="K202" s="41" t="s">
        <v>1057</v>
      </c>
      <c r="L202" s="41" t="s">
        <v>889</v>
      </c>
    </row>
    <row r="203" spans="1:12" ht="71.25">
      <c r="A203" s="36">
        <v>201</v>
      </c>
      <c r="B203" s="93"/>
      <c r="C203" s="87"/>
      <c r="D203" s="40" t="s">
        <v>707</v>
      </c>
      <c r="E203" s="60" t="s">
        <v>46</v>
      </c>
      <c r="F203" s="41" t="s">
        <v>1088</v>
      </c>
      <c r="G203" s="41" t="s">
        <v>895</v>
      </c>
      <c r="H203" s="28" t="s">
        <v>896</v>
      </c>
      <c r="I203" s="41" t="s">
        <v>897</v>
      </c>
      <c r="J203" s="41" t="s">
        <v>713</v>
      </c>
      <c r="K203" s="41" t="s">
        <v>715</v>
      </c>
      <c r="L203" s="41" t="s">
        <v>712</v>
      </c>
    </row>
    <row r="204" spans="1:12" ht="142.5">
      <c r="A204" s="40">
        <v>202</v>
      </c>
      <c r="B204" s="93"/>
      <c r="C204" s="87"/>
      <c r="D204" s="40" t="s">
        <v>708</v>
      </c>
      <c r="E204" s="60" t="s">
        <v>46</v>
      </c>
      <c r="F204" s="41" t="s">
        <v>1089</v>
      </c>
      <c r="G204" s="28" t="s">
        <v>1072</v>
      </c>
      <c r="H204" s="28" t="s">
        <v>935</v>
      </c>
      <c r="I204" s="28" t="s">
        <v>935</v>
      </c>
      <c r="J204" s="28" t="s">
        <v>935</v>
      </c>
      <c r="K204" s="28" t="s">
        <v>935</v>
      </c>
      <c r="L204" s="41" t="s">
        <v>712</v>
      </c>
    </row>
    <row r="205" spans="1:12" ht="142.5">
      <c r="A205" s="36">
        <v>203</v>
      </c>
      <c r="B205" s="93"/>
      <c r="C205" s="87"/>
      <c r="D205" s="40" t="s">
        <v>709</v>
      </c>
      <c r="E205" s="60" t="s">
        <v>46</v>
      </c>
      <c r="F205" s="41" t="s">
        <v>1070</v>
      </c>
      <c r="G205" s="28" t="s">
        <v>1072</v>
      </c>
      <c r="H205" s="28" t="s">
        <v>935</v>
      </c>
      <c r="I205" s="28" t="s">
        <v>935</v>
      </c>
      <c r="J205" s="28" t="s">
        <v>935</v>
      </c>
      <c r="K205" s="28" t="s">
        <v>935</v>
      </c>
      <c r="L205" s="41" t="s">
        <v>712</v>
      </c>
    </row>
    <row r="206" spans="1:12" ht="142.5">
      <c r="A206" s="40">
        <v>204</v>
      </c>
      <c r="B206" s="93"/>
      <c r="C206" s="87"/>
      <c r="D206" s="40" t="s">
        <v>710</v>
      </c>
      <c r="E206" s="60" t="s">
        <v>46</v>
      </c>
      <c r="F206" s="41" t="s">
        <v>1071</v>
      </c>
      <c r="G206" s="28" t="s">
        <v>1072</v>
      </c>
      <c r="H206" s="28" t="s">
        <v>935</v>
      </c>
      <c r="I206" s="28" t="s">
        <v>935</v>
      </c>
      <c r="J206" s="28" t="s">
        <v>935</v>
      </c>
      <c r="K206" s="28" t="s">
        <v>935</v>
      </c>
      <c r="L206" s="41" t="s">
        <v>712</v>
      </c>
    </row>
    <row r="207" spans="1:12" ht="409.5">
      <c r="A207" s="36">
        <v>205</v>
      </c>
      <c r="B207" s="93"/>
      <c r="C207" s="87" t="s">
        <v>761</v>
      </c>
      <c r="D207" s="40" t="s">
        <v>700</v>
      </c>
      <c r="E207" s="60" t="s">
        <v>46</v>
      </c>
      <c r="F207" s="41" t="s">
        <v>1073</v>
      </c>
      <c r="G207" s="41" t="s">
        <v>1056</v>
      </c>
      <c r="H207" s="28" t="s">
        <v>1000</v>
      </c>
      <c r="I207" s="28" t="s">
        <v>778</v>
      </c>
      <c r="J207" s="28" t="s">
        <v>773</v>
      </c>
      <c r="K207" s="41" t="s">
        <v>1094</v>
      </c>
      <c r="L207" s="41" t="s">
        <v>889</v>
      </c>
    </row>
    <row r="208" spans="1:12" ht="409.5">
      <c r="A208" s="40">
        <v>206</v>
      </c>
      <c r="B208" s="93"/>
      <c r="C208" s="87"/>
      <c r="D208" s="40" t="s">
        <v>701</v>
      </c>
      <c r="E208" s="60" t="s">
        <v>46</v>
      </c>
      <c r="F208" s="41" t="s">
        <v>1074</v>
      </c>
      <c r="G208" s="41" t="s">
        <v>1056</v>
      </c>
      <c r="H208" s="28" t="s">
        <v>1000</v>
      </c>
      <c r="I208" s="28" t="s">
        <v>778</v>
      </c>
      <c r="J208" s="28" t="s">
        <v>773</v>
      </c>
      <c r="K208" s="41" t="s">
        <v>1094</v>
      </c>
      <c r="L208" s="41" t="s">
        <v>889</v>
      </c>
    </row>
    <row r="209" spans="1:12" ht="409.5">
      <c r="A209" s="36">
        <v>207</v>
      </c>
      <c r="B209" s="93"/>
      <c r="C209" s="87"/>
      <c r="D209" s="40" t="s">
        <v>702</v>
      </c>
      <c r="E209" s="60" t="s">
        <v>46</v>
      </c>
      <c r="F209" s="41" t="s">
        <v>1075</v>
      </c>
      <c r="G209" s="41" t="s">
        <v>1056</v>
      </c>
      <c r="H209" s="28" t="s">
        <v>1000</v>
      </c>
      <c r="I209" s="28" t="s">
        <v>778</v>
      </c>
      <c r="J209" s="28" t="s">
        <v>773</v>
      </c>
      <c r="K209" s="41" t="s">
        <v>1094</v>
      </c>
      <c r="L209" s="41" t="s">
        <v>889</v>
      </c>
    </row>
    <row r="210" spans="1:12" ht="409.5">
      <c r="A210" s="40">
        <v>208</v>
      </c>
      <c r="B210" s="93"/>
      <c r="C210" s="87"/>
      <c r="D210" s="84" t="s">
        <v>703</v>
      </c>
      <c r="E210" s="57" t="s">
        <v>760</v>
      </c>
      <c r="F210" s="41" t="s">
        <v>1077</v>
      </c>
      <c r="G210" s="41" t="s">
        <v>881</v>
      </c>
      <c r="H210" s="28" t="s">
        <v>1000</v>
      </c>
      <c r="I210" s="28" t="s">
        <v>778</v>
      </c>
      <c r="J210" s="28" t="s">
        <v>773</v>
      </c>
      <c r="K210" s="41" t="s">
        <v>1094</v>
      </c>
      <c r="L210" s="41" t="s">
        <v>889</v>
      </c>
    </row>
    <row r="211" spans="1:12" ht="409.5">
      <c r="A211" s="36">
        <v>209</v>
      </c>
      <c r="B211" s="93"/>
      <c r="C211" s="87"/>
      <c r="D211" s="85"/>
      <c r="E211" s="57" t="s">
        <v>765</v>
      </c>
      <c r="F211" s="41" t="s">
        <v>1076</v>
      </c>
      <c r="G211" s="41" t="s">
        <v>881</v>
      </c>
      <c r="H211" s="28" t="s">
        <v>1000</v>
      </c>
      <c r="I211" s="28" t="s">
        <v>778</v>
      </c>
      <c r="J211" s="28" t="s">
        <v>773</v>
      </c>
      <c r="K211" s="41" t="s">
        <v>1094</v>
      </c>
      <c r="L211" s="41" t="s">
        <v>889</v>
      </c>
    </row>
    <row r="212" spans="1:12" ht="409.5">
      <c r="A212" s="40">
        <v>210</v>
      </c>
      <c r="B212" s="93"/>
      <c r="C212" s="87"/>
      <c r="D212" s="86"/>
      <c r="E212" s="57" t="s">
        <v>878</v>
      </c>
      <c r="F212" s="41" t="s">
        <v>1078</v>
      </c>
      <c r="G212" s="41" t="s">
        <v>881</v>
      </c>
      <c r="H212" s="28" t="s">
        <v>1000</v>
      </c>
      <c r="I212" s="28" t="s">
        <v>778</v>
      </c>
      <c r="J212" s="28" t="s">
        <v>773</v>
      </c>
      <c r="K212" s="41" t="s">
        <v>1094</v>
      </c>
      <c r="L212" s="41" t="s">
        <v>889</v>
      </c>
    </row>
    <row r="213" spans="1:12" ht="409.5">
      <c r="A213" s="36">
        <v>211</v>
      </c>
      <c r="B213" s="93"/>
      <c r="C213" s="87"/>
      <c r="D213" s="84" t="s">
        <v>704</v>
      </c>
      <c r="E213" s="60" t="s">
        <v>46</v>
      </c>
      <c r="F213" s="41" t="s">
        <v>1079</v>
      </c>
      <c r="G213" s="41" t="s">
        <v>1080</v>
      </c>
      <c r="H213" s="28" t="s">
        <v>1000</v>
      </c>
      <c r="I213" s="28" t="s">
        <v>778</v>
      </c>
      <c r="J213" s="28" t="s">
        <v>773</v>
      </c>
      <c r="K213" s="41" t="s">
        <v>1094</v>
      </c>
      <c r="L213" s="41" t="s">
        <v>889</v>
      </c>
    </row>
    <row r="214" spans="1:12" ht="409.5">
      <c r="A214" s="40">
        <v>212</v>
      </c>
      <c r="B214" s="93"/>
      <c r="C214" s="87"/>
      <c r="D214" s="86"/>
      <c r="E214" s="60" t="s">
        <v>46</v>
      </c>
      <c r="F214" s="41" t="s">
        <v>1084</v>
      </c>
      <c r="G214" s="41" t="s">
        <v>1159</v>
      </c>
      <c r="H214" s="28" t="s">
        <v>1000</v>
      </c>
      <c r="I214" s="28" t="s">
        <v>778</v>
      </c>
      <c r="J214" s="28" t="s">
        <v>773</v>
      </c>
      <c r="K214" s="41" t="s">
        <v>1094</v>
      </c>
      <c r="L214" s="41" t="s">
        <v>889</v>
      </c>
    </row>
    <row r="215" spans="1:12" ht="409.5">
      <c r="A215" s="36">
        <v>213</v>
      </c>
      <c r="B215" s="93"/>
      <c r="C215" s="87"/>
      <c r="D215" s="84" t="s">
        <v>705</v>
      </c>
      <c r="E215" s="60" t="s">
        <v>46</v>
      </c>
      <c r="F215" s="41" t="s">
        <v>1082</v>
      </c>
      <c r="G215" s="41" t="s">
        <v>1083</v>
      </c>
      <c r="H215" s="28" t="s">
        <v>1000</v>
      </c>
      <c r="I215" s="28" t="s">
        <v>778</v>
      </c>
      <c r="J215" s="28" t="s">
        <v>773</v>
      </c>
      <c r="K215" s="41" t="s">
        <v>1094</v>
      </c>
      <c r="L215" s="41" t="s">
        <v>889</v>
      </c>
    </row>
    <row r="216" spans="1:12" ht="128.25">
      <c r="A216" s="40">
        <v>214</v>
      </c>
      <c r="B216" s="93"/>
      <c r="C216" s="87"/>
      <c r="D216" s="86"/>
      <c r="E216" s="60" t="s">
        <v>46</v>
      </c>
      <c r="F216" s="41" t="s">
        <v>1081</v>
      </c>
      <c r="G216" s="41" t="s">
        <v>1085</v>
      </c>
      <c r="H216" s="28" t="s">
        <v>1000</v>
      </c>
      <c r="I216" s="41" t="s">
        <v>897</v>
      </c>
      <c r="J216" s="41" t="s">
        <v>713</v>
      </c>
      <c r="K216" s="41" t="s">
        <v>715</v>
      </c>
      <c r="L216" s="41" t="s">
        <v>712</v>
      </c>
    </row>
    <row r="217" spans="1:12" ht="409.5">
      <c r="A217" s="36">
        <v>215</v>
      </c>
      <c r="B217" s="93"/>
      <c r="C217" s="87"/>
      <c r="D217" s="40" t="s">
        <v>706</v>
      </c>
      <c r="E217" s="60" t="s">
        <v>46</v>
      </c>
      <c r="F217" s="41" t="s">
        <v>1086</v>
      </c>
      <c r="G217" s="41" t="s">
        <v>1083</v>
      </c>
      <c r="H217" s="28" t="s">
        <v>1000</v>
      </c>
      <c r="I217" s="28" t="s">
        <v>778</v>
      </c>
      <c r="J217" s="28" t="s">
        <v>773</v>
      </c>
      <c r="K217" s="41" t="s">
        <v>1094</v>
      </c>
      <c r="L217" s="41" t="s">
        <v>889</v>
      </c>
    </row>
    <row r="218" spans="1:12" ht="85.5">
      <c r="A218" s="40">
        <v>216</v>
      </c>
      <c r="B218" s="93"/>
      <c r="C218" s="87"/>
      <c r="D218" s="40" t="s">
        <v>707</v>
      </c>
      <c r="E218" s="60" t="s">
        <v>46</v>
      </c>
      <c r="F218" s="41" t="s">
        <v>1087</v>
      </c>
      <c r="G218" s="41" t="s">
        <v>895</v>
      </c>
      <c r="H218" s="28" t="s">
        <v>896</v>
      </c>
      <c r="I218" s="41" t="s">
        <v>897</v>
      </c>
      <c r="J218" s="41" t="s">
        <v>713</v>
      </c>
      <c r="K218" s="41" t="s">
        <v>715</v>
      </c>
      <c r="L218" s="41" t="s">
        <v>712</v>
      </c>
    </row>
    <row r="219" spans="1:12" ht="142.5">
      <c r="A219" s="36">
        <v>217</v>
      </c>
      <c r="B219" s="93"/>
      <c r="C219" s="87"/>
      <c r="D219" s="40" t="s">
        <v>708</v>
      </c>
      <c r="E219" s="60" t="s">
        <v>46</v>
      </c>
      <c r="F219" s="41" t="s">
        <v>1090</v>
      </c>
      <c r="G219" s="28" t="s">
        <v>1072</v>
      </c>
      <c r="H219" s="28" t="s">
        <v>935</v>
      </c>
      <c r="I219" s="28" t="s">
        <v>935</v>
      </c>
      <c r="J219" s="28" t="s">
        <v>935</v>
      </c>
      <c r="K219" s="28" t="s">
        <v>935</v>
      </c>
      <c r="L219" s="41" t="s">
        <v>712</v>
      </c>
    </row>
    <row r="220" spans="1:12" ht="142.5">
      <c r="A220" s="40">
        <v>218</v>
      </c>
      <c r="B220" s="93"/>
      <c r="C220" s="87"/>
      <c r="D220" s="40" t="s">
        <v>709</v>
      </c>
      <c r="E220" s="60" t="s">
        <v>46</v>
      </c>
      <c r="F220" s="41" t="s">
        <v>1091</v>
      </c>
      <c r="G220" s="28" t="s">
        <v>1072</v>
      </c>
      <c r="H220" s="28" t="s">
        <v>935</v>
      </c>
      <c r="I220" s="28" t="s">
        <v>935</v>
      </c>
      <c r="J220" s="28" t="s">
        <v>935</v>
      </c>
      <c r="K220" s="28" t="s">
        <v>935</v>
      </c>
      <c r="L220" s="41" t="s">
        <v>712</v>
      </c>
    </row>
    <row r="221" spans="1:12" ht="142.5">
      <c r="A221" s="36">
        <v>219</v>
      </c>
      <c r="B221" s="93"/>
      <c r="C221" s="87"/>
      <c r="D221" s="40" t="s">
        <v>710</v>
      </c>
      <c r="E221" s="60" t="s">
        <v>46</v>
      </c>
      <c r="F221" s="41" t="s">
        <v>1092</v>
      </c>
      <c r="G221" s="28" t="s">
        <v>1072</v>
      </c>
      <c r="H221" s="28" t="s">
        <v>935</v>
      </c>
      <c r="I221" s="28" t="s">
        <v>935</v>
      </c>
      <c r="J221" s="28" t="s">
        <v>935</v>
      </c>
      <c r="K221" s="28" t="s">
        <v>935</v>
      </c>
      <c r="L221" s="41" t="s">
        <v>712</v>
      </c>
    </row>
    <row r="222" spans="1:12" ht="409.5">
      <c r="A222" s="40">
        <v>220</v>
      </c>
      <c r="B222" s="93"/>
      <c r="C222" s="87" t="s">
        <v>762</v>
      </c>
      <c r="D222" s="40" t="s">
        <v>700</v>
      </c>
      <c r="E222" s="60" t="s">
        <v>46</v>
      </c>
      <c r="F222" s="41" t="s">
        <v>1093</v>
      </c>
      <c r="G222" s="41" t="s">
        <v>1056</v>
      </c>
      <c r="H222" s="28" t="s">
        <v>1000</v>
      </c>
      <c r="I222" s="28" t="s">
        <v>778</v>
      </c>
      <c r="J222" s="28" t="s">
        <v>773</v>
      </c>
      <c r="K222" s="41" t="s">
        <v>1098</v>
      </c>
      <c r="L222" s="41" t="s">
        <v>889</v>
      </c>
    </row>
    <row r="223" spans="1:12" ht="409.5">
      <c r="A223" s="36">
        <v>221</v>
      </c>
      <c r="B223" s="93"/>
      <c r="C223" s="87"/>
      <c r="D223" s="40" t="s">
        <v>701</v>
      </c>
      <c r="E223" s="60" t="s">
        <v>46</v>
      </c>
      <c r="F223" s="41" t="s">
        <v>1095</v>
      </c>
      <c r="G223" s="41" t="s">
        <v>1056</v>
      </c>
      <c r="H223" s="28" t="s">
        <v>1000</v>
      </c>
      <c r="I223" s="28" t="s">
        <v>778</v>
      </c>
      <c r="J223" s="28" t="s">
        <v>773</v>
      </c>
      <c r="K223" s="41" t="s">
        <v>1098</v>
      </c>
      <c r="L223" s="41" t="s">
        <v>889</v>
      </c>
    </row>
    <row r="224" spans="1:12" ht="409.5">
      <c r="A224" s="40">
        <v>222</v>
      </c>
      <c r="B224" s="93"/>
      <c r="C224" s="87"/>
      <c r="D224" s="40" t="s">
        <v>702</v>
      </c>
      <c r="E224" s="60" t="s">
        <v>46</v>
      </c>
      <c r="F224" s="41" t="s">
        <v>1096</v>
      </c>
      <c r="G224" s="41" t="s">
        <v>1056</v>
      </c>
      <c r="H224" s="28" t="s">
        <v>1000</v>
      </c>
      <c r="I224" s="28" t="s">
        <v>778</v>
      </c>
      <c r="J224" s="28" t="s">
        <v>773</v>
      </c>
      <c r="K224" s="41" t="s">
        <v>1098</v>
      </c>
      <c r="L224" s="41" t="s">
        <v>889</v>
      </c>
    </row>
    <row r="225" spans="1:12" ht="409.5">
      <c r="A225" s="36">
        <v>223</v>
      </c>
      <c r="B225" s="93"/>
      <c r="C225" s="87"/>
      <c r="D225" s="40" t="s">
        <v>703</v>
      </c>
      <c r="E225" s="57" t="s">
        <v>1053</v>
      </c>
      <c r="F225" s="41" t="s">
        <v>1097</v>
      </c>
      <c r="G225" s="41" t="s">
        <v>1056</v>
      </c>
      <c r="H225" s="28" t="s">
        <v>1000</v>
      </c>
      <c r="I225" s="28" t="s">
        <v>778</v>
      </c>
      <c r="J225" s="28" t="s">
        <v>773</v>
      </c>
      <c r="K225" s="41" t="s">
        <v>1098</v>
      </c>
      <c r="L225" s="41" t="s">
        <v>889</v>
      </c>
    </row>
    <row r="226" spans="1:12" ht="409.5">
      <c r="A226" s="40">
        <v>224</v>
      </c>
      <c r="B226" s="93"/>
      <c r="C226" s="87"/>
      <c r="D226" s="84" t="s">
        <v>704</v>
      </c>
      <c r="E226" s="60" t="s">
        <v>46</v>
      </c>
      <c r="F226" s="41" t="s">
        <v>1099</v>
      </c>
      <c r="G226" s="41" t="s">
        <v>1100</v>
      </c>
      <c r="H226" s="28" t="s">
        <v>1000</v>
      </c>
      <c r="I226" s="28" t="s">
        <v>778</v>
      </c>
      <c r="J226" s="28" t="s">
        <v>773</v>
      </c>
      <c r="K226" s="41" t="s">
        <v>1098</v>
      </c>
      <c r="L226" s="41" t="s">
        <v>889</v>
      </c>
    </row>
    <row r="227" spans="1:12" ht="409.5">
      <c r="A227" s="36">
        <v>225</v>
      </c>
      <c r="B227" s="93"/>
      <c r="C227" s="87"/>
      <c r="D227" s="86"/>
      <c r="E227" s="60" t="s">
        <v>46</v>
      </c>
      <c r="F227" s="41" t="s">
        <v>1101</v>
      </c>
      <c r="G227" s="41" t="s">
        <v>1102</v>
      </c>
      <c r="H227" s="28" t="s">
        <v>1000</v>
      </c>
      <c r="I227" s="28" t="s">
        <v>778</v>
      </c>
      <c r="J227" s="28" t="s">
        <v>773</v>
      </c>
      <c r="K227" s="41" t="s">
        <v>1098</v>
      </c>
      <c r="L227" s="41" t="s">
        <v>889</v>
      </c>
    </row>
    <row r="228" spans="1:12" ht="409.5">
      <c r="A228" s="40">
        <v>226</v>
      </c>
      <c r="B228" s="93"/>
      <c r="C228" s="87"/>
      <c r="D228" s="84" t="s">
        <v>705</v>
      </c>
      <c r="E228" s="60" t="s">
        <v>46</v>
      </c>
      <c r="F228" s="41" t="s">
        <v>1103</v>
      </c>
      <c r="G228" s="41" t="s">
        <v>1100</v>
      </c>
      <c r="H228" s="28" t="s">
        <v>1000</v>
      </c>
      <c r="I228" s="28" t="s">
        <v>778</v>
      </c>
      <c r="J228" s="28" t="s">
        <v>773</v>
      </c>
      <c r="K228" s="41" t="s">
        <v>1098</v>
      </c>
      <c r="L228" s="41" t="s">
        <v>889</v>
      </c>
    </row>
    <row r="229" spans="1:12" ht="128.25">
      <c r="A229" s="36">
        <v>227</v>
      </c>
      <c r="B229" s="93"/>
      <c r="C229" s="87"/>
      <c r="D229" s="86"/>
      <c r="E229" s="60" t="s">
        <v>46</v>
      </c>
      <c r="F229" s="41" t="s">
        <v>1104</v>
      </c>
      <c r="G229" s="41" t="s">
        <v>1125</v>
      </c>
      <c r="H229" s="28" t="s">
        <v>1000</v>
      </c>
      <c r="I229" s="41" t="s">
        <v>897</v>
      </c>
      <c r="J229" s="41" t="s">
        <v>713</v>
      </c>
      <c r="K229" s="41" t="s">
        <v>715</v>
      </c>
      <c r="L229" s="41" t="s">
        <v>712</v>
      </c>
    </row>
    <row r="230" spans="1:12" ht="409.5">
      <c r="A230" s="40">
        <v>228</v>
      </c>
      <c r="B230" s="93"/>
      <c r="C230" s="87"/>
      <c r="D230" s="40" t="s">
        <v>706</v>
      </c>
      <c r="E230" s="60" t="s">
        <v>46</v>
      </c>
      <c r="F230" s="41" t="s">
        <v>1105</v>
      </c>
      <c r="G230" s="41" t="s">
        <v>1100</v>
      </c>
      <c r="H230" s="28" t="s">
        <v>1000</v>
      </c>
      <c r="I230" s="28" t="s">
        <v>778</v>
      </c>
      <c r="J230" s="28" t="s">
        <v>773</v>
      </c>
      <c r="K230" s="41" t="s">
        <v>1098</v>
      </c>
      <c r="L230" s="41" t="s">
        <v>889</v>
      </c>
    </row>
    <row r="231" spans="1:12" ht="71.25">
      <c r="A231" s="36">
        <v>229</v>
      </c>
      <c r="B231" s="93"/>
      <c r="C231" s="87"/>
      <c r="D231" s="40" t="s">
        <v>707</v>
      </c>
      <c r="E231" s="60" t="s">
        <v>46</v>
      </c>
      <c r="F231" s="41" t="s">
        <v>1106</v>
      </c>
      <c r="G231" s="41" t="s">
        <v>895</v>
      </c>
      <c r="H231" s="28" t="s">
        <v>896</v>
      </c>
      <c r="I231" s="41" t="s">
        <v>897</v>
      </c>
      <c r="J231" s="41" t="s">
        <v>713</v>
      </c>
      <c r="K231" s="41" t="s">
        <v>715</v>
      </c>
      <c r="L231" s="41" t="s">
        <v>712</v>
      </c>
    </row>
    <row r="232" spans="1:12" ht="142.5">
      <c r="A232" s="40">
        <v>230</v>
      </c>
      <c r="B232" s="93"/>
      <c r="C232" s="87"/>
      <c r="D232" s="40" t="s">
        <v>708</v>
      </c>
      <c r="E232" s="60" t="s">
        <v>46</v>
      </c>
      <c r="F232" s="41" t="s">
        <v>1107</v>
      </c>
      <c r="G232" s="28" t="s">
        <v>1072</v>
      </c>
      <c r="H232" s="28" t="s">
        <v>935</v>
      </c>
      <c r="I232" s="28" t="s">
        <v>935</v>
      </c>
      <c r="J232" s="28" t="s">
        <v>935</v>
      </c>
      <c r="K232" s="28" t="s">
        <v>935</v>
      </c>
      <c r="L232" s="41" t="s">
        <v>712</v>
      </c>
    </row>
    <row r="233" spans="1:12" ht="142.5">
      <c r="A233" s="36">
        <v>231</v>
      </c>
      <c r="B233" s="93"/>
      <c r="C233" s="87"/>
      <c r="D233" s="40" t="s">
        <v>709</v>
      </c>
      <c r="E233" s="60" t="s">
        <v>46</v>
      </c>
      <c r="F233" s="41" t="s">
        <v>1108</v>
      </c>
      <c r="G233" s="28" t="s">
        <v>1072</v>
      </c>
      <c r="H233" s="28" t="s">
        <v>935</v>
      </c>
      <c r="I233" s="28" t="s">
        <v>935</v>
      </c>
      <c r="J233" s="28" t="s">
        <v>935</v>
      </c>
      <c r="K233" s="28" t="s">
        <v>935</v>
      </c>
      <c r="L233" s="41" t="s">
        <v>712</v>
      </c>
    </row>
    <row r="234" spans="1:12" ht="142.5">
      <c r="A234" s="40">
        <v>232</v>
      </c>
      <c r="B234" s="93"/>
      <c r="C234" s="87"/>
      <c r="D234" s="40" t="s">
        <v>710</v>
      </c>
      <c r="E234" s="60" t="s">
        <v>46</v>
      </c>
      <c r="F234" s="41" t="s">
        <v>1109</v>
      </c>
      <c r="G234" s="28" t="s">
        <v>1072</v>
      </c>
      <c r="H234" s="28" t="s">
        <v>935</v>
      </c>
      <c r="I234" s="28" t="s">
        <v>935</v>
      </c>
      <c r="J234" s="28" t="s">
        <v>935</v>
      </c>
      <c r="K234" s="28" t="s">
        <v>935</v>
      </c>
      <c r="L234" s="41" t="s">
        <v>712</v>
      </c>
    </row>
    <row r="235" spans="1:12" ht="409.5">
      <c r="A235" s="36">
        <v>233</v>
      </c>
      <c r="B235" s="93"/>
      <c r="C235" s="87" t="s">
        <v>763</v>
      </c>
      <c r="D235" s="40" t="s">
        <v>700</v>
      </c>
      <c r="E235" s="60" t="s">
        <v>46</v>
      </c>
      <c r="F235" s="41" t="s">
        <v>1111</v>
      </c>
      <c r="G235" s="41" t="s">
        <v>1110</v>
      </c>
      <c r="H235" s="28" t="s">
        <v>1000</v>
      </c>
      <c r="I235" s="28" t="s">
        <v>778</v>
      </c>
      <c r="J235" s="28" t="s">
        <v>773</v>
      </c>
      <c r="K235" s="41" t="s">
        <v>1112</v>
      </c>
      <c r="L235" s="41" t="s">
        <v>889</v>
      </c>
    </row>
    <row r="236" spans="1:12" ht="409.5">
      <c r="A236" s="40">
        <v>234</v>
      </c>
      <c r="B236" s="93"/>
      <c r="C236" s="87"/>
      <c r="D236" s="40" t="s">
        <v>701</v>
      </c>
      <c r="E236" s="60" t="s">
        <v>46</v>
      </c>
      <c r="F236" s="41" t="s">
        <v>1113</v>
      </c>
      <c r="G236" s="41" t="s">
        <v>1056</v>
      </c>
      <c r="H236" s="28" t="s">
        <v>1000</v>
      </c>
      <c r="I236" s="28" t="s">
        <v>778</v>
      </c>
      <c r="J236" s="28" t="s">
        <v>773</v>
      </c>
      <c r="K236" s="41" t="s">
        <v>1112</v>
      </c>
      <c r="L236" s="41" t="s">
        <v>889</v>
      </c>
    </row>
    <row r="237" spans="1:12" ht="409.5">
      <c r="A237" s="36">
        <v>235</v>
      </c>
      <c r="B237" s="93"/>
      <c r="C237" s="87"/>
      <c r="D237" s="40" t="s">
        <v>702</v>
      </c>
      <c r="E237" s="60" t="s">
        <v>46</v>
      </c>
      <c r="F237" s="41" t="s">
        <v>1111</v>
      </c>
      <c r="G237" s="41" t="s">
        <v>1110</v>
      </c>
      <c r="H237" s="28" t="s">
        <v>1000</v>
      </c>
      <c r="I237" s="28" t="s">
        <v>778</v>
      </c>
      <c r="J237" s="28" t="s">
        <v>773</v>
      </c>
      <c r="K237" s="41" t="s">
        <v>1112</v>
      </c>
      <c r="L237" s="41" t="s">
        <v>889</v>
      </c>
    </row>
    <row r="238" spans="1:12" ht="409.5">
      <c r="A238" s="40">
        <v>236</v>
      </c>
      <c r="B238" s="93"/>
      <c r="C238" s="87"/>
      <c r="D238" s="40" t="s">
        <v>703</v>
      </c>
      <c r="E238" s="57" t="s">
        <v>1054</v>
      </c>
      <c r="F238" s="41" t="s">
        <v>1114</v>
      </c>
      <c r="G238" s="41" t="s">
        <v>1056</v>
      </c>
      <c r="H238" s="28" t="s">
        <v>1000</v>
      </c>
      <c r="I238" s="28" t="s">
        <v>778</v>
      </c>
      <c r="J238" s="28" t="s">
        <v>773</v>
      </c>
      <c r="K238" s="41" t="s">
        <v>1112</v>
      </c>
      <c r="L238" s="41" t="s">
        <v>889</v>
      </c>
    </row>
    <row r="239" spans="1:12" ht="409.5">
      <c r="A239" s="36">
        <v>237</v>
      </c>
      <c r="B239" s="93"/>
      <c r="C239" s="87"/>
      <c r="D239" s="84" t="s">
        <v>704</v>
      </c>
      <c r="E239" s="60" t="s">
        <v>46</v>
      </c>
      <c r="F239" s="41" t="s">
        <v>1115</v>
      </c>
      <c r="G239" s="41" t="s">
        <v>1116</v>
      </c>
      <c r="H239" s="28" t="s">
        <v>1000</v>
      </c>
      <c r="I239" s="28" t="s">
        <v>778</v>
      </c>
      <c r="J239" s="28" t="s">
        <v>773</v>
      </c>
      <c r="K239" s="41" t="s">
        <v>1112</v>
      </c>
      <c r="L239" s="41" t="s">
        <v>889</v>
      </c>
    </row>
    <row r="240" spans="1:12" ht="409.5">
      <c r="A240" s="40">
        <v>238</v>
      </c>
      <c r="B240" s="93"/>
      <c r="C240" s="87"/>
      <c r="D240" s="86"/>
      <c r="E240" s="60" t="s">
        <v>46</v>
      </c>
      <c r="F240" s="41" t="s">
        <v>1117</v>
      </c>
      <c r="G240" s="41" t="s">
        <v>1118</v>
      </c>
      <c r="H240" s="28" t="s">
        <v>1000</v>
      </c>
      <c r="I240" s="28" t="s">
        <v>778</v>
      </c>
      <c r="J240" s="28" t="s">
        <v>773</v>
      </c>
      <c r="K240" s="41" t="s">
        <v>1112</v>
      </c>
      <c r="L240" s="41" t="s">
        <v>889</v>
      </c>
    </row>
    <row r="241" spans="1:12" ht="409.5">
      <c r="A241" s="36">
        <v>239</v>
      </c>
      <c r="B241" s="93"/>
      <c r="C241" s="87"/>
      <c r="D241" s="84" t="s">
        <v>705</v>
      </c>
      <c r="E241" s="60" t="s">
        <v>46</v>
      </c>
      <c r="F241" s="41" t="s">
        <v>1119</v>
      </c>
      <c r="G241" s="41" t="s">
        <v>1116</v>
      </c>
      <c r="H241" s="28" t="s">
        <v>1000</v>
      </c>
      <c r="I241" s="28" t="s">
        <v>778</v>
      </c>
      <c r="J241" s="28" t="s">
        <v>773</v>
      </c>
      <c r="K241" s="41" t="s">
        <v>1112</v>
      </c>
      <c r="L241" s="41" t="s">
        <v>889</v>
      </c>
    </row>
    <row r="242" spans="1:12" ht="128.25">
      <c r="A242" s="40">
        <v>240</v>
      </c>
      <c r="B242" s="93"/>
      <c r="C242" s="87"/>
      <c r="D242" s="86"/>
      <c r="E242" s="60" t="s">
        <v>46</v>
      </c>
      <c r="F242" s="41" t="s">
        <v>1120</v>
      </c>
      <c r="G242" s="41" t="s">
        <v>1121</v>
      </c>
      <c r="H242" s="28" t="s">
        <v>1000</v>
      </c>
      <c r="I242" s="41" t="s">
        <v>897</v>
      </c>
      <c r="J242" s="41" t="s">
        <v>713</v>
      </c>
      <c r="K242" s="41" t="s">
        <v>715</v>
      </c>
      <c r="L242" s="41" t="s">
        <v>712</v>
      </c>
    </row>
    <row r="243" spans="1:12" ht="409.5">
      <c r="A243" s="36">
        <v>241</v>
      </c>
      <c r="B243" s="93"/>
      <c r="C243" s="87"/>
      <c r="D243" s="40" t="s">
        <v>706</v>
      </c>
      <c r="E243" s="60" t="s">
        <v>46</v>
      </c>
      <c r="F243" s="41" t="s">
        <v>1122</v>
      </c>
      <c r="G243" s="41" t="s">
        <v>1123</v>
      </c>
      <c r="H243" s="28" t="s">
        <v>1000</v>
      </c>
      <c r="I243" s="28" t="s">
        <v>778</v>
      </c>
      <c r="J243" s="28" t="s">
        <v>773</v>
      </c>
      <c r="K243" s="41" t="s">
        <v>1112</v>
      </c>
      <c r="L243" s="41" t="s">
        <v>889</v>
      </c>
    </row>
    <row r="244" spans="1:12" ht="71.25">
      <c r="A244" s="40">
        <v>242</v>
      </c>
      <c r="B244" s="93"/>
      <c r="C244" s="87"/>
      <c r="D244" s="40" t="s">
        <v>707</v>
      </c>
      <c r="E244" s="60" t="s">
        <v>46</v>
      </c>
      <c r="F244" s="41" t="s">
        <v>1124</v>
      </c>
      <c r="G244" s="41" t="s">
        <v>895</v>
      </c>
      <c r="H244" s="28" t="s">
        <v>896</v>
      </c>
      <c r="I244" s="41" t="s">
        <v>897</v>
      </c>
      <c r="J244" s="41" t="s">
        <v>713</v>
      </c>
      <c r="K244" s="41" t="s">
        <v>715</v>
      </c>
      <c r="L244" s="41" t="s">
        <v>712</v>
      </c>
    </row>
    <row r="245" spans="1:12" ht="142.5">
      <c r="A245" s="36">
        <v>243</v>
      </c>
      <c r="B245" s="93"/>
      <c r="C245" s="87"/>
      <c r="D245" s="40" t="s">
        <v>708</v>
      </c>
      <c r="E245" s="60" t="s">
        <v>46</v>
      </c>
      <c r="F245" s="41" t="s">
        <v>1239</v>
      </c>
      <c r="G245" s="28" t="s">
        <v>1072</v>
      </c>
      <c r="H245" s="28" t="s">
        <v>935</v>
      </c>
      <c r="I245" s="28" t="s">
        <v>935</v>
      </c>
      <c r="J245" s="28" t="s">
        <v>935</v>
      </c>
      <c r="K245" s="28" t="s">
        <v>935</v>
      </c>
      <c r="L245" s="41" t="s">
        <v>712</v>
      </c>
    </row>
    <row r="246" spans="1:12" ht="142.5">
      <c r="A246" s="40">
        <v>244</v>
      </c>
      <c r="B246" s="93"/>
      <c r="C246" s="87"/>
      <c r="D246" s="40" t="s">
        <v>709</v>
      </c>
      <c r="E246" s="60" t="s">
        <v>46</v>
      </c>
      <c r="F246" s="41" t="s">
        <v>1240</v>
      </c>
      <c r="G246" s="28" t="s">
        <v>1072</v>
      </c>
      <c r="H246" s="28" t="s">
        <v>935</v>
      </c>
      <c r="I246" s="28" t="s">
        <v>935</v>
      </c>
      <c r="J246" s="28" t="s">
        <v>935</v>
      </c>
      <c r="K246" s="28" t="s">
        <v>935</v>
      </c>
      <c r="L246" s="41" t="s">
        <v>712</v>
      </c>
    </row>
    <row r="247" spans="1:12" ht="142.5">
      <c r="A247" s="36">
        <v>245</v>
      </c>
      <c r="B247" s="93"/>
      <c r="C247" s="87"/>
      <c r="D247" s="40" t="s">
        <v>710</v>
      </c>
      <c r="E247" s="60" t="s">
        <v>46</v>
      </c>
      <c r="F247" s="41" t="s">
        <v>1241</v>
      </c>
      <c r="G247" s="28" t="s">
        <v>1072</v>
      </c>
      <c r="H247" s="28" t="s">
        <v>935</v>
      </c>
      <c r="I247" s="28" t="s">
        <v>935</v>
      </c>
      <c r="J247" s="28" t="s">
        <v>935</v>
      </c>
      <c r="K247" s="28" t="s">
        <v>935</v>
      </c>
      <c r="L247" s="41" t="s">
        <v>712</v>
      </c>
    </row>
    <row r="248" spans="1:12" ht="409.5">
      <c r="A248" s="40">
        <v>246</v>
      </c>
      <c r="B248" s="93"/>
      <c r="C248" s="87" t="s">
        <v>764</v>
      </c>
      <c r="D248" s="40" t="s">
        <v>700</v>
      </c>
      <c r="E248" s="60" t="s">
        <v>46</v>
      </c>
      <c r="F248" s="41" t="s">
        <v>1111</v>
      </c>
      <c r="G248" s="41" t="s">
        <v>1110</v>
      </c>
      <c r="H248" s="28" t="s">
        <v>1000</v>
      </c>
      <c r="I248" s="28" t="s">
        <v>778</v>
      </c>
      <c r="J248" s="28" t="s">
        <v>773</v>
      </c>
      <c r="K248" s="41" t="s">
        <v>1126</v>
      </c>
      <c r="L248" s="41" t="s">
        <v>889</v>
      </c>
    </row>
    <row r="249" spans="1:12" ht="409.5">
      <c r="A249" s="36">
        <v>247</v>
      </c>
      <c r="B249" s="93"/>
      <c r="C249" s="87"/>
      <c r="D249" s="40" t="s">
        <v>701</v>
      </c>
      <c r="E249" s="60" t="s">
        <v>46</v>
      </c>
      <c r="F249" s="41" t="s">
        <v>1128</v>
      </c>
      <c r="G249" s="41" t="s">
        <v>1056</v>
      </c>
      <c r="H249" s="28" t="s">
        <v>1000</v>
      </c>
      <c r="I249" s="28" t="s">
        <v>778</v>
      </c>
      <c r="J249" s="28" t="s">
        <v>773</v>
      </c>
      <c r="K249" s="41" t="s">
        <v>1126</v>
      </c>
      <c r="L249" s="41" t="s">
        <v>889</v>
      </c>
    </row>
    <row r="250" spans="1:12" ht="409.5">
      <c r="A250" s="40">
        <v>248</v>
      </c>
      <c r="B250" s="93"/>
      <c r="C250" s="87"/>
      <c r="D250" s="40" t="s">
        <v>702</v>
      </c>
      <c r="E250" s="60" t="s">
        <v>46</v>
      </c>
      <c r="F250" s="41" t="s">
        <v>1127</v>
      </c>
      <c r="G250" s="41" t="s">
        <v>1110</v>
      </c>
      <c r="H250" s="28" t="s">
        <v>1000</v>
      </c>
      <c r="I250" s="28" t="s">
        <v>778</v>
      </c>
      <c r="J250" s="28" t="s">
        <v>773</v>
      </c>
      <c r="K250" s="41" t="s">
        <v>1126</v>
      </c>
      <c r="L250" s="41" t="s">
        <v>889</v>
      </c>
    </row>
    <row r="251" spans="1:12" ht="409.5">
      <c r="A251" s="36">
        <v>249</v>
      </c>
      <c r="B251" s="93"/>
      <c r="C251" s="87"/>
      <c r="D251" s="40" t="s">
        <v>703</v>
      </c>
      <c r="E251" s="57" t="s">
        <v>878</v>
      </c>
      <c r="F251" s="41" t="s">
        <v>1129</v>
      </c>
      <c r="G251" s="41" t="s">
        <v>1056</v>
      </c>
      <c r="H251" s="28" t="s">
        <v>1000</v>
      </c>
      <c r="I251" s="28" t="s">
        <v>778</v>
      </c>
      <c r="J251" s="28" t="s">
        <v>773</v>
      </c>
      <c r="K251" s="41" t="s">
        <v>1126</v>
      </c>
      <c r="L251" s="41" t="s">
        <v>889</v>
      </c>
    </row>
    <row r="252" spans="1:12" ht="409.5">
      <c r="A252" s="40">
        <v>250</v>
      </c>
      <c r="B252" s="93"/>
      <c r="C252" s="87"/>
      <c r="D252" s="84" t="s">
        <v>704</v>
      </c>
      <c r="E252" s="60" t="s">
        <v>46</v>
      </c>
      <c r="F252" s="41" t="s">
        <v>1130</v>
      </c>
      <c r="G252" s="41" t="s">
        <v>1116</v>
      </c>
      <c r="H252" s="28" t="s">
        <v>1000</v>
      </c>
      <c r="I252" s="28" t="s">
        <v>778</v>
      </c>
      <c r="J252" s="28" t="s">
        <v>773</v>
      </c>
      <c r="K252" s="41" t="s">
        <v>1126</v>
      </c>
      <c r="L252" s="41" t="s">
        <v>889</v>
      </c>
    </row>
    <row r="253" spans="1:12" ht="409.5">
      <c r="A253" s="36">
        <v>251</v>
      </c>
      <c r="B253" s="93"/>
      <c r="C253" s="87"/>
      <c r="D253" s="86"/>
      <c r="E253" s="60" t="s">
        <v>46</v>
      </c>
      <c r="F253" s="41" t="s">
        <v>1131</v>
      </c>
      <c r="G253" s="41" t="s">
        <v>1132</v>
      </c>
      <c r="H253" s="28" t="s">
        <v>1000</v>
      </c>
      <c r="I253" s="28" t="s">
        <v>778</v>
      </c>
      <c r="J253" s="28" t="s">
        <v>773</v>
      </c>
      <c r="K253" s="41" t="s">
        <v>1126</v>
      </c>
      <c r="L253" s="41" t="s">
        <v>889</v>
      </c>
    </row>
    <row r="254" spans="1:12" ht="409.5">
      <c r="A254" s="40">
        <v>252</v>
      </c>
      <c r="B254" s="93"/>
      <c r="C254" s="87"/>
      <c r="D254" s="84" t="s">
        <v>705</v>
      </c>
      <c r="E254" s="60" t="s">
        <v>46</v>
      </c>
      <c r="F254" s="41" t="s">
        <v>1133</v>
      </c>
      <c r="G254" s="41" t="s">
        <v>1116</v>
      </c>
      <c r="H254" s="28" t="s">
        <v>1000</v>
      </c>
      <c r="I254" s="28" t="s">
        <v>778</v>
      </c>
      <c r="J254" s="28" t="s">
        <v>773</v>
      </c>
      <c r="K254" s="41" t="s">
        <v>1126</v>
      </c>
      <c r="L254" s="41" t="s">
        <v>889</v>
      </c>
    </row>
    <row r="255" spans="1:12" ht="128.25">
      <c r="A255" s="36">
        <v>253</v>
      </c>
      <c r="B255" s="93"/>
      <c r="C255" s="87"/>
      <c r="D255" s="86"/>
      <c r="E255" s="60" t="s">
        <v>46</v>
      </c>
      <c r="F255" s="41" t="s">
        <v>1134</v>
      </c>
      <c r="G255" s="41" t="s">
        <v>1135</v>
      </c>
      <c r="H255" s="28" t="s">
        <v>1000</v>
      </c>
      <c r="I255" s="41" t="s">
        <v>897</v>
      </c>
      <c r="J255" s="41" t="s">
        <v>713</v>
      </c>
      <c r="K255" s="41" t="s">
        <v>715</v>
      </c>
      <c r="L255" s="41" t="s">
        <v>712</v>
      </c>
    </row>
    <row r="256" spans="1:12" ht="409.5">
      <c r="A256" s="40">
        <v>254</v>
      </c>
      <c r="B256" s="93"/>
      <c r="C256" s="87"/>
      <c r="D256" s="40" t="s">
        <v>706</v>
      </c>
      <c r="E256" s="60" t="s">
        <v>46</v>
      </c>
      <c r="F256" s="41" t="s">
        <v>1136</v>
      </c>
      <c r="G256" s="41" t="s">
        <v>1137</v>
      </c>
      <c r="H256" s="28" t="s">
        <v>1000</v>
      </c>
      <c r="I256" s="28" t="s">
        <v>778</v>
      </c>
      <c r="J256" s="28" t="s">
        <v>773</v>
      </c>
      <c r="K256" s="41" t="s">
        <v>1126</v>
      </c>
      <c r="L256" s="41" t="s">
        <v>889</v>
      </c>
    </row>
    <row r="257" spans="1:12" ht="71.25">
      <c r="A257" s="36">
        <v>255</v>
      </c>
      <c r="B257" s="93"/>
      <c r="C257" s="87"/>
      <c r="D257" s="40" t="s">
        <v>707</v>
      </c>
      <c r="E257" s="60" t="s">
        <v>46</v>
      </c>
      <c r="F257" s="41" t="s">
        <v>1138</v>
      </c>
      <c r="G257" s="41" t="s">
        <v>895</v>
      </c>
      <c r="H257" s="28" t="s">
        <v>896</v>
      </c>
      <c r="I257" s="41" t="s">
        <v>897</v>
      </c>
      <c r="J257" s="41" t="s">
        <v>713</v>
      </c>
      <c r="K257" s="41" t="s">
        <v>715</v>
      </c>
      <c r="L257" s="41" t="s">
        <v>712</v>
      </c>
    </row>
    <row r="258" spans="1:12" ht="142.5">
      <c r="A258" s="40">
        <v>256</v>
      </c>
      <c r="B258" s="93"/>
      <c r="C258" s="87"/>
      <c r="D258" s="40" t="s">
        <v>708</v>
      </c>
      <c r="E258" s="60" t="s">
        <v>46</v>
      </c>
      <c r="F258" s="41" t="s">
        <v>1250</v>
      </c>
      <c r="G258" s="28" t="s">
        <v>1072</v>
      </c>
      <c r="H258" s="28" t="s">
        <v>935</v>
      </c>
      <c r="I258" s="28" t="s">
        <v>935</v>
      </c>
      <c r="J258" s="28" t="s">
        <v>935</v>
      </c>
      <c r="K258" s="28" t="s">
        <v>935</v>
      </c>
      <c r="L258" s="41" t="s">
        <v>712</v>
      </c>
    </row>
    <row r="259" spans="1:12" ht="142.5">
      <c r="A259" s="36">
        <v>257</v>
      </c>
      <c r="B259" s="93"/>
      <c r="C259" s="87"/>
      <c r="D259" s="40" t="s">
        <v>709</v>
      </c>
      <c r="E259" s="60" t="s">
        <v>46</v>
      </c>
      <c r="F259" s="41" t="s">
        <v>1139</v>
      </c>
      <c r="G259" s="28" t="s">
        <v>1072</v>
      </c>
      <c r="H259" s="28" t="s">
        <v>935</v>
      </c>
      <c r="I259" s="28" t="s">
        <v>935</v>
      </c>
      <c r="J259" s="28" t="s">
        <v>935</v>
      </c>
      <c r="K259" s="28" t="s">
        <v>935</v>
      </c>
      <c r="L259" s="41" t="s">
        <v>712</v>
      </c>
    </row>
    <row r="260" spans="1:12" ht="142.5">
      <c r="A260" s="40">
        <v>258</v>
      </c>
      <c r="B260" s="93"/>
      <c r="C260" s="87"/>
      <c r="D260" s="40" t="s">
        <v>710</v>
      </c>
      <c r="E260" s="60" t="s">
        <v>46</v>
      </c>
      <c r="F260" s="41" t="s">
        <v>1140</v>
      </c>
      <c r="G260" s="28" t="s">
        <v>1072</v>
      </c>
      <c r="H260" s="28" t="s">
        <v>935</v>
      </c>
      <c r="I260" s="28" t="s">
        <v>935</v>
      </c>
      <c r="J260" s="28" t="s">
        <v>935</v>
      </c>
      <c r="K260" s="28" t="s">
        <v>935</v>
      </c>
      <c r="L260" s="41" t="s">
        <v>712</v>
      </c>
    </row>
    <row r="261" spans="1:12" ht="409.5">
      <c r="A261" s="36">
        <v>259</v>
      </c>
      <c r="B261" s="93"/>
      <c r="C261" s="87" t="s">
        <v>765</v>
      </c>
      <c r="D261" s="40" t="s">
        <v>700</v>
      </c>
      <c r="E261" s="60" t="s">
        <v>46</v>
      </c>
      <c r="F261" s="41" t="s">
        <v>1111</v>
      </c>
      <c r="G261" s="41" t="s">
        <v>1110</v>
      </c>
      <c r="H261" s="28" t="s">
        <v>1000</v>
      </c>
      <c r="I261" s="28" t="s">
        <v>778</v>
      </c>
      <c r="J261" s="28" t="s">
        <v>773</v>
      </c>
      <c r="K261" s="41" t="s">
        <v>1141</v>
      </c>
      <c r="L261" s="41" t="s">
        <v>889</v>
      </c>
    </row>
    <row r="262" spans="1:12" ht="409.5">
      <c r="A262" s="40">
        <v>260</v>
      </c>
      <c r="B262" s="93"/>
      <c r="C262" s="87"/>
      <c r="D262" s="40" t="s">
        <v>701</v>
      </c>
      <c r="E262" s="60" t="s">
        <v>46</v>
      </c>
      <c r="F262" s="41" t="s">
        <v>1142</v>
      </c>
      <c r="G262" s="41" t="s">
        <v>1056</v>
      </c>
      <c r="H262" s="28" t="s">
        <v>1000</v>
      </c>
      <c r="I262" s="28" t="s">
        <v>778</v>
      </c>
      <c r="J262" s="28" t="s">
        <v>773</v>
      </c>
      <c r="K262" s="41" t="s">
        <v>1141</v>
      </c>
      <c r="L262" s="41" t="s">
        <v>889</v>
      </c>
    </row>
    <row r="263" spans="1:12" ht="409.5">
      <c r="A263" s="36">
        <v>261</v>
      </c>
      <c r="B263" s="93"/>
      <c r="C263" s="87"/>
      <c r="D263" s="40" t="s">
        <v>702</v>
      </c>
      <c r="E263" s="60" t="s">
        <v>46</v>
      </c>
      <c r="F263" s="41" t="s">
        <v>1143</v>
      </c>
      <c r="G263" s="41" t="s">
        <v>1056</v>
      </c>
      <c r="H263" s="28" t="s">
        <v>1000</v>
      </c>
      <c r="I263" s="28" t="s">
        <v>778</v>
      </c>
      <c r="J263" s="28" t="s">
        <v>773</v>
      </c>
      <c r="K263" s="41" t="s">
        <v>1141</v>
      </c>
      <c r="L263" s="41" t="s">
        <v>889</v>
      </c>
    </row>
    <row r="264" spans="1:12" ht="409.5">
      <c r="A264" s="40">
        <v>262</v>
      </c>
      <c r="B264" s="93"/>
      <c r="C264" s="87"/>
      <c r="D264" s="84" t="s">
        <v>703</v>
      </c>
      <c r="E264" s="57" t="s">
        <v>760</v>
      </c>
      <c r="F264" s="41" t="s">
        <v>1144</v>
      </c>
      <c r="G264" s="41" t="s">
        <v>881</v>
      </c>
      <c r="H264" s="28" t="s">
        <v>1000</v>
      </c>
      <c r="I264" s="28" t="s">
        <v>778</v>
      </c>
      <c r="J264" s="28" t="s">
        <v>773</v>
      </c>
      <c r="K264" s="41" t="s">
        <v>1141</v>
      </c>
      <c r="L264" s="41" t="s">
        <v>889</v>
      </c>
    </row>
    <row r="265" spans="1:12" ht="409.5">
      <c r="A265" s="36">
        <v>263</v>
      </c>
      <c r="B265" s="93"/>
      <c r="C265" s="87"/>
      <c r="D265" s="85"/>
      <c r="E265" s="57" t="s">
        <v>761</v>
      </c>
      <c r="F265" s="41" t="s">
        <v>1145</v>
      </c>
      <c r="G265" s="41" t="s">
        <v>881</v>
      </c>
      <c r="H265" s="28" t="s">
        <v>1000</v>
      </c>
      <c r="I265" s="28" t="s">
        <v>778</v>
      </c>
      <c r="J265" s="28" t="s">
        <v>773</v>
      </c>
      <c r="K265" s="41" t="s">
        <v>1141</v>
      </c>
      <c r="L265" s="41" t="s">
        <v>889</v>
      </c>
    </row>
    <row r="266" spans="1:12" ht="409.5">
      <c r="A266" s="40">
        <v>264</v>
      </c>
      <c r="B266" s="93"/>
      <c r="C266" s="87"/>
      <c r="D266" s="86"/>
      <c r="E266" s="57" t="s">
        <v>878</v>
      </c>
      <c r="F266" s="41" t="s">
        <v>1146</v>
      </c>
      <c r="G266" s="41" t="s">
        <v>881</v>
      </c>
      <c r="H266" s="28" t="s">
        <v>1000</v>
      </c>
      <c r="I266" s="28" t="s">
        <v>778</v>
      </c>
      <c r="J266" s="28" t="s">
        <v>773</v>
      </c>
      <c r="K266" s="41" t="s">
        <v>1141</v>
      </c>
      <c r="L266" s="41" t="s">
        <v>889</v>
      </c>
    </row>
    <row r="267" spans="1:12" ht="409.5">
      <c r="A267" s="36">
        <v>265</v>
      </c>
      <c r="B267" s="93"/>
      <c r="C267" s="87"/>
      <c r="D267" s="84" t="s">
        <v>704</v>
      </c>
      <c r="E267" s="60" t="s">
        <v>46</v>
      </c>
      <c r="F267" s="41" t="s">
        <v>1147</v>
      </c>
      <c r="G267" s="41" t="s">
        <v>1148</v>
      </c>
      <c r="H267" s="28" t="s">
        <v>1000</v>
      </c>
      <c r="I267" s="28" t="s">
        <v>778</v>
      </c>
      <c r="J267" s="28" t="s">
        <v>773</v>
      </c>
      <c r="K267" s="41" t="s">
        <v>1141</v>
      </c>
      <c r="L267" s="41" t="s">
        <v>889</v>
      </c>
    </row>
    <row r="268" spans="1:12" ht="409.5">
      <c r="A268" s="40">
        <v>266</v>
      </c>
      <c r="B268" s="93"/>
      <c r="C268" s="87"/>
      <c r="D268" s="86"/>
      <c r="E268" s="60" t="s">
        <v>46</v>
      </c>
      <c r="F268" s="41" t="s">
        <v>1149</v>
      </c>
      <c r="G268" s="41" t="s">
        <v>1150</v>
      </c>
      <c r="H268" s="28" t="s">
        <v>1000</v>
      </c>
      <c r="I268" s="28" t="s">
        <v>778</v>
      </c>
      <c r="J268" s="28" t="s">
        <v>773</v>
      </c>
      <c r="K268" s="41" t="s">
        <v>1141</v>
      </c>
      <c r="L268" s="41" t="s">
        <v>889</v>
      </c>
    </row>
    <row r="269" spans="1:12" ht="409.5">
      <c r="A269" s="36">
        <v>267</v>
      </c>
      <c r="B269" s="93"/>
      <c r="C269" s="87"/>
      <c r="D269" s="84" t="s">
        <v>705</v>
      </c>
      <c r="E269" s="60" t="s">
        <v>46</v>
      </c>
      <c r="F269" s="41" t="s">
        <v>1151</v>
      </c>
      <c r="G269" s="41" t="s">
        <v>1148</v>
      </c>
      <c r="H269" s="28" t="s">
        <v>1000</v>
      </c>
      <c r="I269" s="28" t="s">
        <v>778</v>
      </c>
      <c r="J269" s="28" t="s">
        <v>773</v>
      </c>
      <c r="K269" s="41" t="s">
        <v>1141</v>
      </c>
      <c r="L269" s="41" t="s">
        <v>889</v>
      </c>
    </row>
    <row r="270" spans="1:12" ht="128.25">
      <c r="A270" s="40">
        <v>268</v>
      </c>
      <c r="B270" s="93"/>
      <c r="C270" s="87"/>
      <c r="D270" s="86"/>
      <c r="E270" s="60" t="s">
        <v>46</v>
      </c>
      <c r="F270" s="41" t="s">
        <v>1152</v>
      </c>
      <c r="G270" s="41" t="s">
        <v>1153</v>
      </c>
      <c r="H270" s="28" t="s">
        <v>1000</v>
      </c>
      <c r="I270" s="41" t="s">
        <v>897</v>
      </c>
      <c r="J270" s="41" t="s">
        <v>713</v>
      </c>
      <c r="K270" s="41" t="s">
        <v>715</v>
      </c>
      <c r="L270" s="41" t="s">
        <v>712</v>
      </c>
    </row>
    <row r="271" spans="1:12" ht="409.5">
      <c r="A271" s="36">
        <v>269</v>
      </c>
      <c r="B271" s="93"/>
      <c r="C271" s="87"/>
      <c r="D271" s="40" t="s">
        <v>706</v>
      </c>
      <c r="E271" s="60" t="s">
        <v>46</v>
      </c>
      <c r="F271" s="41" t="s">
        <v>1154</v>
      </c>
      <c r="G271" s="41" t="s">
        <v>1148</v>
      </c>
      <c r="H271" s="28" t="s">
        <v>1000</v>
      </c>
      <c r="I271" s="28" t="s">
        <v>778</v>
      </c>
      <c r="J271" s="28" t="s">
        <v>773</v>
      </c>
      <c r="K271" s="41" t="s">
        <v>1141</v>
      </c>
      <c r="L271" s="41" t="s">
        <v>889</v>
      </c>
    </row>
    <row r="272" spans="1:12" ht="71.25">
      <c r="A272" s="40">
        <v>270</v>
      </c>
      <c r="B272" s="93"/>
      <c r="C272" s="87"/>
      <c r="D272" s="40" t="s">
        <v>707</v>
      </c>
      <c r="E272" s="60" t="s">
        <v>46</v>
      </c>
      <c r="F272" s="41" t="s">
        <v>1155</v>
      </c>
      <c r="G272" s="41" t="s">
        <v>895</v>
      </c>
      <c r="H272" s="28" t="s">
        <v>896</v>
      </c>
      <c r="I272" s="41" t="s">
        <v>897</v>
      </c>
      <c r="J272" s="41" t="s">
        <v>713</v>
      </c>
      <c r="K272" s="41" t="s">
        <v>715</v>
      </c>
      <c r="L272" s="41" t="s">
        <v>712</v>
      </c>
    </row>
    <row r="273" spans="1:12" ht="142.5">
      <c r="A273" s="36">
        <v>271</v>
      </c>
      <c r="B273" s="93"/>
      <c r="C273" s="87"/>
      <c r="D273" s="40" t="s">
        <v>708</v>
      </c>
      <c r="E273" s="60" t="s">
        <v>46</v>
      </c>
      <c r="F273" s="41" t="s">
        <v>1156</v>
      </c>
      <c r="G273" s="28" t="s">
        <v>1072</v>
      </c>
      <c r="H273" s="28" t="s">
        <v>935</v>
      </c>
      <c r="I273" s="28" t="s">
        <v>935</v>
      </c>
      <c r="J273" s="28" t="s">
        <v>935</v>
      </c>
      <c r="K273" s="28" t="s">
        <v>935</v>
      </c>
      <c r="L273" s="41" t="s">
        <v>712</v>
      </c>
    </row>
    <row r="274" spans="1:12" ht="142.5">
      <c r="A274" s="40">
        <v>272</v>
      </c>
      <c r="B274" s="93"/>
      <c r="C274" s="87"/>
      <c r="D274" s="40" t="s">
        <v>709</v>
      </c>
      <c r="E274" s="60" t="s">
        <v>46</v>
      </c>
      <c r="F274" s="41" t="s">
        <v>1157</v>
      </c>
      <c r="G274" s="28" t="s">
        <v>1072</v>
      </c>
      <c r="H274" s="28" t="s">
        <v>935</v>
      </c>
      <c r="I274" s="28" t="s">
        <v>935</v>
      </c>
      <c r="J274" s="28" t="s">
        <v>935</v>
      </c>
      <c r="K274" s="28" t="s">
        <v>935</v>
      </c>
      <c r="L274" s="41" t="s">
        <v>712</v>
      </c>
    </row>
    <row r="275" spans="1:12" ht="142.5">
      <c r="A275" s="36">
        <v>273</v>
      </c>
      <c r="B275" s="93"/>
      <c r="C275" s="87"/>
      <c r="D275" s="40" t="s">
        <v>710</v>
      </c>
      <c r="E275" s="60" t="s">
        <v>46</v>
      </c>
      <c r="F275" s="41" t="s">
        <v>1158</v>
      </c>
      <c r="G275" s="28" t="s">
        <v>1072</v>
      </c>
      <c r="H275" s="28" t="s">
        <v>935</v>
      </c>
      <c r="I275" s="28" t="s">
        <v>935</v>
      </c>
      <c r="J275" s="28" t="s">
        <v>935</v>
      </c>
      <c r="K275" s="28" t="s">
        <v>935</v>
      </c>
      <c r="L275" s="41" t="s">
        <v>712</v>
      </c>
    </row>
    <row r="276" spans="1:12" ht="409.5">
      <c r="A276" s="40">
        <v>274</v>
      </c>
      <c r="B276" s="94" t="s">
        <v>766</v>
      </c>
      <c r="C276" s="87" t="s">
        <v>767</v>
      </c>
      <c r="D276" s="40" t="s">
        <v>700</v>
      </c>
      <c r="E276" s="64" t="s">
        <v>46</v>
      </c>
      <c r="F276" s="41" t="s">
        <v>1164</v>
      </c>
      <c r="G276" s="41" t="s">
        <v>1163</v>
      </c>
      <c r="H276" s="28" t="s">
        <v>1000</v>
      </c>
      <c r="I276" s="28" t="s">
        <v>778</v>
      </c>
      <c r="J276" s="28" t="s">
        <v>773</v>
      </c>
      <c r="K276" s="41" t="s">
        <v>1779</v>
      </c>
      <c r="L276" s="41" t="s">
        <v>889</v>
      </c>
    </row>
    <row r="277" spans="1:12" ht="409.5">
      <c r="A277" s="36">
        <v>275</v>
      </c>
      <c r="B277" s="94"/>
      <c r="C277" s="87"/>
      <c r="D277" s="40" t="s">
        <v>701</v>
      </c>
      <c r="E277" s="64" t="s">
        <v>46</v>
      </c>
      <c r="F277" s="41" t="s">
        <v>1165</v>
      </c>
      <c r="G277" s="41" t="s">
        <v>1167</v>
      </c>
      <c r="H277" s="28" t="s">
        <v>1000</v>
      </c>
      <c r="I277" s="28" t="s">
        <v>778</v>
      </c>
      <c r="J277" s="28" t="s">
        <v>773</v>
      </c>
      <c r="K277" s="41" t="s">
        <v>1779</v>
      </c>
      <c r="L277" s="41" t="s">
        <v>889</v>
      </c>
    </row>
    <row r="278" spans="1:12" ht="409.5">
      <c r="A278" s="40">
        <v>276</v>
      </c>
      <c r="B278" s="94"/>
      <c r="C278" s="87"/>
      <c r="D278" s="40" t="s">
        <v>702</v>
      </c>
      <c r="E278" s="64" t="s">
        <v>46</v>
      </c>
      <c r="F278" s="41" t="s">
        <v>1166</v>
      </c>
      <c r="G278" s="41" t="s">
        <v>1167</v>
      </c>
      <c r="H278" s="28" t="s">
        <v>1000</v>
      </c>
      <c r="I278" s="28" t="s">
        <v>778</v>
      </c>
      <c r="J278" s="28" t="s">
        <v>773</v>
      </c>
      <c r="K278" s="41" t="s">
        <v>1779</v>
      </c>
      <c r="L278" s="41" t="s">
        <v>889</v>
      </c>
    </row>
    <row r="279" spans="1:12" ht="409.5">
      <c r="A279" s="36">
        <v>277</v>
      </c>
      <c r="B279" s="94"/>
      <c r="C279" s="87"/>
      <c r="D279" s="40" t="s">
        <v>703</v>
      </c>
      <c r="E279" s="57" t="s">
        <v>1168</v>
      </c>
      <c r="F279" s="41" t="s">
        <v>1169</v>
      </c>
      <c r="G279" s="41" t="s">
        <v>1170</v>
      </c>
      <c r="H279" s="28" t="s">
        <v>1000</v>
      </c>
      <c r="I279" s="28" t="s">
        <v>778</v>
      </c>
      <c r="J279" s="28" t="s">
        <v>773</v>
      </c>
      <c r="K279" s="41" t="s">
        <v>1779</v>
      </c>
      <c r="L279" s="41" t="s">
        <v>889</v>
      </c>
    </row>
    <row r="280" spans="1:12" ht="409.5">
      <c r="A280" s="40">
        <v>278</v>
      </c>
      <c r="B280" s="94"/>
      <c r="C280" s="87"/>
      <c r="D280" s="84" t="s">
        <v>704</v>
      </c>
      <c r="E280" s="57" t="s">
        <v>46</v>
      </c>
      <c r="F280" s="41" t="s">
        <v>1171</v>
      </c>
      <c r="G280" s="41" t="s">
        <v>1181</v>
      </c>
      <c r="H280" s="28" t="s">
        <v>1000</v>
      </c>
      <c r="I280" s="28" t="s">
        <v>778</v>
      </c>
      <c r="J280" s="28" t="s">
        <v>773</v>
      </c>
      <c r="K280" s="41" t="s">
        <v>1779</v>
      </c>
      <c r="L280" s="41" t="s">
        <v>889</v>
      </c>
    </row>
    <row r="281" spans="1:12" ht="409.5">
      <c r="A281" s="36">
        <v>279</v>
      </c>
      <c r="B281" s="94"/>
      <c r="C281" s="87"/>
      <c r="D281" s="86"/>
      <c r="E281" s="63" t="s">
        <v>46</v>
      </c>
      <c r="F281" s="41" t="s">
        <v>1172</v>
      </c>
      <c r="G281" s="41" t="s">
        <v>1182</v>
      </c>
      <c r="H281" s="28" t="s">
        <v>1000</v>
      </c>
      <c r="I281" s="28" t="s">
        <v>778</v>
      </c>
      <c r="J281" s="28" t="s">
        <v>773</v>
      </c>
      <c r="K281" s="41" t="s">
        <v>1779</v>
      </c>
      <c r="L281" s="41" t="s">
        <v>889</v>
      </c>
    </row>
    <row r="282" spans="1:12" ht="409.5">
      <c r="A282" s="40">
        <v>280</v>
      </c>
      <c r="B282" s="94"/>
      <c r="C282" s="87"/>
      <c r="D282" s="84" t="s">
        <v>705</v>
      </c>
      <c r="E282" s="63" t="s">
        <v>46</v>
      </c>
      <c r="F282" s="41" t="s">
        <v>1173</v>
      </c>
      <c r="G282" s="41" t="s">
        <v>1183</v>
      </c>
      <c r="H282" s="28" t="s">
        <v>1000</v>
      </c>
      <c r="I282" s="28" t="s">
        <v>778</v>
      </c>
      <c r="J282" s="28" t="s">
        <v>773</v>
      </c>
      <c r="K282" s="41" t="s">
        <v>1779</v>
      </c>
      <c r="L282" s="41" t="s">
        <v>889</v>
      </c>
    </row>
    <row r="283" spans="1:12" ht="128.25">
      <c r="A283" s="36">
        <v>281</v>
      </c>
      <c r="B283" s="94"/>
      <c r="C283" s="87"/>
      <c r="D283" s="86"/>
      <c r="E283" s="63" t="s">
        <v>46</v>
      </c>
      <c r="F283" s="41" t="s">
        <v>1174</v>
      </c>
      <c r="G283" s="41" t="s">
        <v>1184</v>
      </c>
      <c r="H283" s="28" t="s">
        <v>1000</v>
      </c>
      <c r="I283" s="41" t="s">
        <v>897</v>
      </c>
      <c r="J283" s="41" t="s">
        <v>713</v>
      </c>
      <c r="K283" s="41" t="s">
        <v>715</v>
      </c>
      <c r="L283" s="41" t="s">
        <v>712</v>
      </c>
    </row>
    <row r="284" spans="1:12" ht="409.5">
      <c r="A284" s="40">
        <v>282</v>
      </c>
      <c r="B284" s="94"/>
      <c r="C284" s="87"/>
      <c r="D284" s="84" t="s">
        <v>706</v>
      </c>
      <c r="E284" s="63" t="s">
        <v>46</v>
      </c>
      <c r="F284" s="41" t="s">
        <v>1175</v>
      </c>
      <c r="G284" s="41" t="s">
        <v>1185</v>
      </c>
      <c r="H284" s="28" t="s">
        <v>1000</v>
      </c>
      <c r="I284" s="28" t="s">
        <v>778</v>
      </c>
      <c r="J284" s="28" t="s">
        <v>773</v>
      </c>
      <c r="K284" s="41" t="s">
        <v>1779</v>
      </c>
      <c r="L284" s="41" t="s">
        <v>889</v>
      </c>
    </row>
    <row r="285" spans="1:12" ht="409.5">
      <c r="A285" s="36">
        <v>283</v>
      </c>
      <c r="B285" s="94"/>
      <c r="C285" s="87"/>
      <c r="D285" s="86"/>
      <c r="E285" s="63" t="s">
        <v>46</v>
      </c>
      <c r="F285" s="41" t="s">
        <v>1176</v>
      </c>
      <c r="G285" s="41" t="s">
        <v>1183</v>
      </c>
      <c r="H285" s="28" t="s">
        <v>1000</v>
      </c>
      <c r="I285" s="28" t="s">
        <v>778</v>
      </c>
      <c r="J285" s="28" t="s">
        <v>773</v>
      </c>
      <c r="K285" s="41" t="s">
        <v>1779</v>
      </c>
      <c r="L285" s="41" t="s">
        <v>889</v>
      </c>
    </row>
    <row r="286" spans="1:12" ht="71.25">
      <c r="A286" s="40">
        <v>284</v>
      </c>
      <c r="B286" s="94"/>
      <c r="C286" s="87"/>
      <c r="D286" s="40" t="s">
        <v>707</v>
      </c>
      <c r="E286" s="63" t="s">
        <v>46</v>
      </c>
      <c r="F286" s="41" t="s">
        <v>1177</v>
      </c>
      <c r="G286" s="41" t="s">
        <v>895</v>
      </c>
      <c r="H286" s="28" t="s">
        <v>896</v>
      </c>
      <c r="I286" s="41" t="s">
        <v>897</v>
      </c>
      <c r="J286" s="41" t="s">
        <v>713</v>
      </c>
      <c r="K286" s="41" t="s">
        <v>715</v>
      </c>
      <c r="L286" s="41" t="s">
        <v>712</v>
      </c>
    </row>
    <row r="287" spans="1:12" ht="128.25">
      <c r="A287" s="36">
        <v>285</v>
      </c>
      <c r="B287" s="94"/>
      <c r="C287" s="87"/>
      <c r="D287" s="40" t="s">
        <v>708</v>
      </c>
      <c r="E287" s="63" t="s">
        <v>46</v>
      </c>
      <c r="F287" s="41" t="s">
        <v>1178</v>
      </c>
      <c r="G287" s="28" t="s">
        <v>1323</v>
      </c>
      <c r="H287" s="28" t="s">
        <v>1324</v>
      </c>
      <c r="I287" s="28" t="s">
        <v>1324</v>
      </c>
      <c r="J287" s="28" t="s">
        <v>1324</v>
      </c>
      <c r="K287" s="28" t="s">
        <v>1324</v>
      </c>
      <c r="L287" s="41" t="s">
        <v>712</v>
      </c>
    </row>
    <row r="288" spans="1:12" ht="128.25">
      <c r="A288" s="40">
        <v>286</v>
      </c>
      <c r="B288" s="94"/>
      <c r="C288" s="87"/>
      <c r="D288" s="40" t="s">
        <v>709</v>
      </c>
      <c r="E288" s="63" t="s">
        <v>46</v>
      </c>
      <c r="F288" s="41" t="s">
        <v>1179</v>
      </c>
      <c r="G288" s="28" t="s">
        <v>1323</v>
      </c>
      <c r="H288" s="28" t="s">
        <v>1324</v>
      </c>
      <c r="I288" s="28" t="s">
        <v>1324</v>
      </c>
      <c r="J288" s="28" t="s">
        <v>1324</v>
      </c>
      <c r="K288" s="28" t="s">
        <v>1324</v>
      </c>
      <c r="L288" s="41" t="s">
        <v>712</v>
      </c>
    </row>
    <row r="289" spans="1:12" ht="128.25">
      <c r="A289" s="36">
        <v>287</v>
      </c>
      <c r="B289" s="94"/>
      <c r="C289" s="87"/>
      <c r="D289" s="40" t="s">
        <v>710</v>
      </c>
      <c r="E289" s="63" t="s">
        <v>46</v>
      </c>
      <c r="F289" s="41" t="s">
        <v>1180</v>
      </c>
      <c r="G289" s="28" t="s">
        <v>1323</v>
      </c>
      <c r="H289" s="28" t="s">
        <v>1324</v>
      </c>
      <c r="I289" s="28" t="s">
        <v>1324</v>
      </c>
      <c r="J289" s="28" t="s">
        <v>1324</v>
      </c>
      <c r="K289" s="28" t="s">
        <v>1324</v>
      </c>
      <c r="L289" s="41" t="s">
        <v>712</v>
      </c>
    </row>
    <row r="290" spans="1:12" ht="409.5">
      <c r="A290" s="40">
        <v>288</v>
      </c>
      <c r="B290" s="94"/>
      <c r="C290" s="87" t="s">
        <v>1186</v>
      </c>
      <c r="D290" s="40" t="s">
        <v>700</v>
      </c>
      <c r="E290" s="64" t="s">
        <v>46</v>
      </c>
      <c r="F290" s="41" t="s">
        <v>1187</v>
      </c>
      <c r="G290" s="41" t="s">
        <v>1188</v>
      </c>
      <c r="H290" s="28" t="s">
        <v>1000</v>
      </c>
      <c r="I290" s="28" t="s">
        <v>778</v>
      </c>
      <c r="J290" s="28" t="s">
        <v>773</v>
      </c>
      <c r="K290" s="41" t="s">
        <v>1781</v>
      </c>
      <c r="L290" s="41" t="s">
        <v>889</v>
      </c>
    </row>
    <row r="291" spans="1:12" ht="409.5">
      <c r="A291" s="36">
        <v>289</v>
      </c>
      <c r="B291" s="94"/>
      <c r="C291" s="87"/>
      <c r="D291" s="40" t="s">
        <v>701</v>
      </c>
      <c r="E291" s="64" t="s">
        <v>46</v>
      </c>
      <c r="F291" s="41" t="s">
        <v>1189</v>
      </c>
      <c r="G291" s="41" t="s">
        <v>1190</v>
      </c>
      <c r="H291" s="28" t="s">
        <v>1000</v>
      </c>
      <c r="I291" s="28" t="s">
        <v>778</v>
      </c>
      <c r="J291" s="28" t="s">
        <v>773</v>
      </c>
      <c r="K291" s="41" t="s">
        <v>1781</v>
      </c>
      <c r="L291" s="41" t="s">
        <v>889</v>
      </c>
    </row>
    <row r="292" spans="1:12" ht="409.5">
      <c r="A292" s="40">
        <v>290</v>
      </c>
      <c r="B292" s="94"/>
      <c r="C292" s="87"/>
      <c r="D292" s="40" t="s">
        <v>702</v>
      </c>
      <c r="E292" s="64" t="s">
        <v>46</v>
      </c>
      <c r="F292" s="41" t="s">
        <v>1191</v>
      </c>
      <c r="G292" s="41" t="s">
        <v>1190</v>
      </c>
      <c r="H292" s="28" t="s">
        <v>1000</v>
      </c>
      <c r="I292" s="28" t="s">
        <v>778</v>
      </c>
      <c r="J292" s="28" t="s">
        <v>773</v>
      </c>
      <c r="K292" s="41" t="s">
        <v>1781</v>
      </c>
      <c r="L292" s="41" t="s">
        <v>889</v>
      </c>
    </row>
    <row r="293" spans="1:12" ht="409.5">
      <c r="A293" s="36">
        <v>291</v>
      </c>
      <c r="B293" s="94"/>
      <c r="C293" s="87"/>
      <c r="D293" s="40" t="s">
        <v>703</v>
      </c>
      <c r="E293" s="63" t="s">
        <v>1168</v>
      </c>
      <c r="F293" s="41" t="s">
        <v>1192</v>
      </c>
      <c r="G293" s="41" t="s">
        <v>1193</v>
      </c>
      <c r="H293" s="28" t="s">
        <v>1000</v>
      </c>
      <c r="I293" s="28" t="s">
        <v>778</v>
      </c>
      <c r="J293" s="28" t="s">
        <v>773</v>
      </c>
      <c r="K293" s="41" t="s">
        <v>1781</v>
      </c>
      <c r="L293" s="41" t="s">
        <v>889</v>
      </c>
    </row>
    <row r="294" spans="1:12" ht="409.5">
      <c r="A294" s="40">
        <v>292</v>
      </c>
      <c r="B294" s="94"/>
      <c r="C294" s="87"/>
      <c r="D294" s="84" t="s">
        <v>704</v>
      </c>
      <c r="E294" s="63" t="s">
        <v>46</v>
      </c>
      <c r="F294" s="41" t="s">
        <v>1194</v>
      </c>
      <c r="G294" s="41" t="s">
        <v>1195</v>
      </c>
      <c r="H294" s="28" t="s">
        <v>1000</v>
      </c>
      <c r="I294" s="28" t="s">
        <v>778</v>
      </c>
      <c r="J294" s="28" t="s">
        <v>773</v>
      </c>
      <c r="K294" s="41" t="s">
        <v>1781</v>
      </c>
      <c r="L294" s="41" t="s">
        <v>889</v>
      </c>
    </row>
    <row r="295" spans="1:12" ht="409.5">
      <c r="A295" s="36">
        <v>293</v>
      </c>
      <c r="B295" s="94"/>
      <c r="C295" s="87"/>
      <c r="D295" s="86"/>
      <c r="E295" s="63" t="s">
        <v>46</v>
      </c>
      <c r="F295" s="41" t="s">
        <v>1196</v>
      </c>
      <c r="G295" s="41" t="s">
        <v>1197</v>
      </c>
      <c r="H295" s="28" t="s">
        <v>1000</v>
      </c>
      <c r="I295" s="28" t="s">
        <v>778</v>
      </c>
      <c r="J295" s="28" t="s">
        <v>773</v>
      </c>
      <c r="K295" s="41" t="s">
        <v>1781</v>
      </c>
      <c r="L295" s="41" t="s">
        <v>889</v>
      </c>
    </row>
    <row r="296" spans="1:12" ht="409.5">
      <c r="A296" s="40">
        <v>294</v>
      </c>
      <c r="B296" s="94"/>
      <c r="C296" s="87"/>
      <c r="D296" s="84" t="s">
        <v>705</v>
      </c>
      <c r="E296" s="63" t="s">
        <v>46</v>
      </c>
      <c r="F296" s="41" t="s">
        <v>1198</v>
      </c>
      <c r="G296" s="41" t="s">
        <v>1199</v>
      </c>
      <c r="H296" s="28" t="s">
        <v>1000</v>
      </c>
      <c r="I296" s="28" t="s">
        <v>778</v>
      </c>
      <c r="J296" s="28" t="s">
        <v>773</v>
      </c>
      <c r="K296" s="41" t="s">
        <v>1781</v>
      </c>
      <c r="L296" s="41" t="s">
        <v>889</v>
      </c>
    </row>
    <row r="297" spans="1:12" ht="128.25">
      <c r="A297" s="36">
        <v>295</v>
      </c>
      <c r="B297" s="94"/>
      <c r="C297" s="87"/>
      <c r="D297" s="86"/>
      <c r="E297" s="63" t="s">
        <v>46</v>
      </c>
      <c r="F297" s="41" t="s">
        <v>1200</v>
      </c>
      <c r="G297" s="41" t="s">
        <v>1201</v>
      </c>
      <c r="H297" s="28" t="s">
        <v>1000</v>
      </c>
      <c r="I297" s="41" t="s">
        <v>897</v>
      </c>
      <c r="J297" s="41" t="s">
        <v>713</v>
      </c>
      <c r="K297" s="41" t="s">
        <v>715</v>
      </c>
      <c r="L297" s="41" t="s">
        <v>712</v>
      </c>
    </row>
    <row r="298" spans="1:12" ht="409.5">
      <c r="A298" s="40">
        <v>296</v>
      </c>
      <c r="B298" s="94"/>
      <c r="C298" s="87"/>
      <c r="D298" s="84" t="s">
        <v>706</v>
      </c>
      <c r="E298" s="63" t="s">
        <v>46</v>
      </c>
      <c r="F298" s="41" t="s">
        <v>1202</v>
      </c>
      <c r="G298" s="41" t="s">
        <v>1185</v>
      </c>
      <c r="H298" s="28" t="s">
        <v>1000</v>
      </c>
      <c r="I298" s="28" t="s">
        <v>778</v>
      </c>
      <c r="J298" s="28" t="s">
        <v>773</v>
      </c>
      <c r="K298" s="41" t="s">
        <v>1781</v>
      </c>
      <c r="L298" s="41" t="s">
        <v>889</v>
      </c>
    </row>
    <row r="299" spans="1:12" ht="409.5">
      <c r="A299" s="36">
        <v>297</v>
      </c>
      <c r="B299" s="94"/>
      <c r="C299" s="87"/>
      <c r="D299" s="86"/>
      <c r="E299" s="63" t="s">
        <v>46</v>
      </c>
      <c r="F299" s="41" t="s">
        <v>1203</v>
      </c>
      <c r="G299" s="41" t="s">
        <v>1199</v>
      </c>
      <c r="H299" s="28" t="s">
        <v>1000</v>
      </c>
      <c r="I299" s="28" t="s">
        <v>778</v>
      </c>
      <c r="J299" s="28" t="s">
        <v>773</v>
      </c>
      <c r="K299" s="41" t="s">
        <v>1781</v>
      </c>
      <c r="L299" s="41" t="s">
        <v>889</v>
      </c>
    </row>
    <row r="300" spans="1:12" ht="71.25">
      <c r="A300" s="40">
        <v>298</v>
      </c>
      <c r="B300" s="94"/>
      <c r="C300" s="87"/>
      <c r="D300" s="40" t="s">
        <v>707</v>
      </c>
      <c r="E300" s="63" t="s">
        <v>46</v>
      </c>
      <c r="F300" s="41" t="s">
        <v>1204</v>
      </c>
      <c r="G300" s="41" t="s">
        <v>895</v>
      </c>
      <c r="H300" s="28" t="s">
        <v>896</v>
      </c>
      <c r="I300" s="41" t="s">
        <v>897</v>
      </c>
      <c r="J300" s="41" t="s">
        <v>713</v>
      </c>
      <c r="K300" s="41" t="s">
        <v>715</v>
      </c>
      <c r="L300" s="41" t="s">
        <v>712</v>
      </c>
    </row>
    <row r="301" spans="1:12" ht="128.25">
      <c r="A301" s="36">
        <v>299</v>
      </c>
      <c r="B301" s="94"/>
      <c r="C301" s="87"/>
      <c r="D301" s="40" t="s">
        <v>708</v>
      </c>
      <c r="E301" s="63" t="s">
        <v>46</v>
      </c>
      <c r="F301" s="41" t="s">
        <v>1205</v>
      </c>
      <c r="G301" s="28" t="s">
        <v>1325</v>
      </c>
      <c r="H301" s="28" t="s">
        <v>1324</v>
      </c>
      <c r="I301" s="28" t="s">
        <v>1324</v>
      </c>
      <c r="J301" s="28" t="s">
        <v>1324</v>
      </c>
      <c r="K301" s="28" t="s">
        <v>1324</v>
      </c>
      <c r="L301" s="41" t="s">
        <v>712</v>
      </c>
    </row>
    <row r="302" spans="1:12" ht="128.25">
      <c r="A302" s="40">
        <v>300</v>
      </c>
      <c r="B302" s="94"/>
      <c r="C302" s="87"/>
      <c r="D302" s="40" t="s">
        <v>709</v>
      </c>
      <c r="E302" s="63" t="s">
        <v>46</v>
      </c>
      <c r="F302" s="41" t="s">
        <v>1206</v>
      </c>
      <c r="G302" s="28" t="s">
        <v>1325</v>
      </c>
      <c r="H302" s="28" t="s">
        <v>1324</v>
      </c>
      <c r="I302" s="28" t="s">
        <v>1324</v>
      </c>
      <c r="J302" s="28" t="s">
        <v>1324</v>
      </c>
      <c r="K302" s="28" t="s">
        <v>1324</v>
      </c>
      <c r="L302" s="41" t="s">
        <v>712</v>
      </c>
    </row>
    <row r="303" spans="1:12" ht="128.25">
      <c r="A303" s="36">
        <v>301</v>
      </c>
      <c r="B303" s="94"/>
      <c r="C303" s="87"/>
      <c r="D303" s="40" t="s">
        <v>710</v>
      </c>
      <c r="E303" s="63" t="s">
        <v>46</v>
      </c>
      <c r="F303" s="41" t="s">
        <v>1207</v>
      </c>
      <c r="G303" s="28" t="s">
        <v>1325</v>
      </c>
      <c r="H303" s="28" t="s">
        <v>1324</v>
      </c>
      <c r="I303" s="28" t="s">
        <v>1324</v>
      </c>
      <c r="J303" s="28" t="s">
        <v>1324</v>
      </c>
      <c r="K303" s="28" t="s">
        <v>1324</v>
      </c>
      <c r="L303" s="41" t="s">
        <v>712</v>
      </c>
    </row>
    <row r="304" spans="1:12" s="65" customFormat="1" ht="313.5">
      <c r="A304" s="40">
        <v>302</v>
      </c>
      <c r="B304" s="93" t="s">
        <v>774</v>
      </c>
      <c r="C304" s="87" t="s">
        <v>768</v>
      </c>
      <c r="D304" s="40" t="s">
        <v>700</v>
      </c>
      <c r="E304" s="63" t="s">
        <v>46</v>
      </c>
      <c r="F304" s="41" t="s">
        <v>1208</v>
      </c>
      <c r="G304" s="41" t="s">
        <v>1284</v>
      </c>
      <c r="H304" s="28" t="s">
        <v>1000</v>
      </c>
      <c r="I304" s="28" t="s">
        <v>778</v>
      </c>
      <c r="J304" s="28" t="s">
        <v>773</v>
      </c>
      <c r="K304" s="41" t="s">
        <v>1287</v>
      </c>
      <c r="L304" s="41" t="s">
        <v>712</v>
      </c>
    </row>
    <row r="305" spans="1:12" s="65" customFormat="1" ht="313.5">
      <c r="A305" s="40">
        <v>303</v>
      </c>
      <c r="B305" s="93"/>
      <c r="C305" s="87"/>
      <c r="D305" s="84" t="s">
        <v>701</v>
      </c>
      <c r="E305" s="63" t="s">
        <v>46</v>
      </c>
      <c r="F305" s="41" t="s">
        <v>1209</v>
      </c>
      <c r="G305" s="41" t="s">
        <v>1284</v>
      </c>
      <c r="H305" s="28" t="s">
        <v>1000</v>
      </c>
      <c r="I305" s="28" t="s">
        <v>778</v>
      </c>
      <c r="J305" s="28" t="s">
        <v>773</v>
      </c>
      <c r="K305" s="41" t="s">
        <v>1287</v>
      </c>
      <c r="L305" s="41" t="s">
        <v>712</v>
      </c>
    </row>
    <row r="306" spans="1:12" s="65" customFormat="1" ht="313.5">
      <c r="A306" s="40">
        <v>304</v>
      </c>
      <c r="B306" s="93"/>
      <c r="C306" s="87"/>
      <c r="D306" s="86"/>
      <c r="E306" s="63" t="s">
        <v>46</v>
      </c>
      <c r="F306" s="41" t="s">
        <v>1210</v>
      </c>
      <c r="G306" s="41" t="s">
        <v>1284</v>
      </c>
      <c r="H306" s="28" t="s">
        <v>1000</v>
      </c>
      <c r="I306" s="28" t="s">
        <v>778</v>
      </c>
      <c r="J306" s="28" t="s">
        <v>773</v>
      </c>
      <c r="K306" s="41" t="s">
        <v>1287</v>
      </c>
      <c r="L306" s="41" t="s">
        <v>712</v>
      </c>
    </row>
    <row r="307" spans="1:12" s="65" customFormat="1" ht="128.25">
      <c r="A307" s="40">
        <v>305</v>
      </c>
      <c r="B307" s="93"/>
      <c r="C307" s="87"/>
      <c r="D307" s="84" t="s">
        <v>702</v>
      </c>
      <c r="E307" s="63" t="s">
        <v>46</v>
      </c>
      <c r="F307" s="41" t="s">
        <v>1211</v>
      </c>
      <c r="G307" s="41" t="s">
        <v>1285</v>
      </c>
      <c r="H307" s="28" t="s">
        <v>1000</v>
      </c>
      <c r="I307" s="41" t="s">
        <v>1286</v>
      </c>
      <c r="J307" s="41" t="s">
        <v>713</v>
      </c>
      <c r="K307" s="41" t="s">
        <v>715</v>
      </c>
      <c r="L307" s="41" t="s">
        <v>712</v>
      </c>
    </row>
    <row r="308" spans="1:12" s="65" customFormat="1" ht="128.25">
      <c r="A308" s="40">
        <v>306</v>
      </c>
      <c r="B308" s="93"/>
      <c r="C308" s="87"/>
      <c r="D308" s="86"/>
      <c r="E308" s="63" t="s">
        <v>46</v>
      </c>
      <c r="F308" s="41" t="s">
        <v>1212</v>
      </c>
      <c r="G308" s="41" t="s">
        <v>1285</v>
      </c>
      <c r="H308" s="28" t="s">
        <v>1000</v>
      </c>
      <c r="I308" s="41" t="s">
        <v>1286</v>
      </c>
      <c r="J308" s="41" t="s">
        <v>713</v>
      </c>
      <c r="K308" s="41" t="s">
        <v>715</v>
      </c>
      <c r="L308" s="41" t="s">
        <v>712</v>
      </c>
    </row>
    <row r="309" spans="1:12" s="65" customFormat="1" ht="313.5">
      <c r="A309" s="40">
        <v>307</v>
      </c>
      <c r="B309" s="93"/>
      <c r="C309" s="87"/>
      <c r="D309" s="84" t="s">
        <v>703</v>
      </c>
      <c r="E309" s="63" t="s">
        <v>1161</v>
      </c>
      <c r="F309" s="41" t="s">
        <v>1213</v>
      </c>
      <c r="G309" s="41" t="s">
        <v>1284</v>
      </c>
      <c r="H309" s="28" t="s">
        <v>1000</v>
      </c>
      <c r="I309" s="28" t="s">
        <v>778</v>
      </c>
      <c r="J309" s="28" t="s">
        <v>773</v>
      </c>
      <c r="K309" s="41" t="s">
        <v>1287</v>
      </c>
      <c r="L309" s="41" t="s">
        <v>712</v>
      </c>
    </row>
    <row r="310" spans="1:12" s="65" customFormat="1" ht="313.5">
      <c r="A310" s="40">
        <v>308</v>
      </c>
      <c r="B310" s="93"/>
      <c r="C310" s="87"/>
      <c r="D310" s="86"/>
      <c r="E310" s="63" t="s">
        <v>1162</v>
      </c>
      <c r="F310" s="41" t="s">
        <v>1214</v>
      </c>
      <c r="G310" s="41" t="s">
        <v>1284</v>
      </c>
      <c r="H310" s="28" t="s">
        <v>1000</v>
      </c>
      <c r="I310" s="28" t="s">
        <v>778</v>
      </c>
      <c r="J310" s="28" t="s">
        <v>773</v>
      </c>
      <c r="K310" s="41" t="s">
        <v>1287</v>
      </c>
      <c r="L310" s="41" t="s">
        <v>712</v>
      </c>
    </row>
    <row r="311" spans="1:12" s="65" customFormat="1" ht="313.5">
      <c r="A311" s="40">
        <v>309</v>
      </c>
      <c r="B311" s="93"/>
      <c r="C311" s="87"/>
      <c r="D311" s="84" t="s">
        <v>704</v>
      </c>
      <c r="E311" s="63" t="s">
        <v>46</v>
      </c>
      <c r="F311" s="41" t="s">
        <v>1215</v>
      </c>
      <c r="G311" s="41" t="s">
        <v>1284</v>
      </c>
      <c r="H311" s="28" t="s">
        <v>1000</v>
      </c>
      <c r="I311" s="28" t="s">
        <v>778</v>
      </c>
      <c r="J311" s="28" t="s">
        <v>773</v>
      </c>
      <c r="K311" s="41" t="s">
        <v>1287</v>
      </c>
      <c r="L311" s="41" t="s">
        <v>712</v>
      </c>
    </row>
    <row r="312" spans="1:12" s="65" customFormat="1" ht="313.5">
      <c r="A312" s="40">
        <v>310</v>
      </c>
      <c r="B312" s="93"/>
      <c r="C312" s="87"/>
      <c r="D312" s="86"/>
      <c r="E312" s="63" t="s">
        <v>46</v>
      </c>
      <c r="F312" s="41" t="s">
        <v>1216</v>
      </c>
      <c r="G312" s="41" t="s">
        <v>1284</v>
      </c>
      <c r="H312" s="28" t="s">
        <v>1000</v>
      </c>
      <c r="I312" s="28" t="s">
        <v>778</v>
      </c>
      <c r="J312" s="28" t="s">
        <v>773</v>
      </c>
      <c r="K312" s="41" t="s">
        <v>1287</v>
      </c>
      <c r="L312" s="41" t="s">
        <v>712</v>
      </c>
    </row>
    <row r="313" spans="1:12" s="65" customFormat="1" ht="313.5">
      <c r="A313" s="40">
        <v>311</v>
      </c>
      <c r="B313" s="93"/>
      <c r="C313" s="87"/>
      <c r="D313" s="84" t="s">
        <v>705</v>
      </c>
      <c r="E313" s="63" t="s">
        <v>46</v>
      </c>
      <c r="F313" s="41" t="s">
        <v>1217</v>
      </c>
      <c r="G313" s="41" t="s">
        <v>1284</v>
      </c>
      <c r="H313" s="28" t="s">
        <v>1000</v>
      </c>
      <c r="I313" s="28" t="s">
        <v>778</v>
      </c>
      <c r="J313" s="28" t="s">
        <v>773</v>
      </c>
      <c r="K313" s="41" t="s">
        <v>1287</v>
      </c>
      <c r="L313" s="41" t="s">
        <v>712</v>
      </c>
    </row>
    <row r="314" spans="1:12" s="65" customFormat="1" ht="313.5">
      <c r="A314" s="40">
        <v>312</v>
      </c>
      <c r="B314" s="93"/>
      <c r="C314" s="87"/>
      <c r="D314" s="86"/>
      <c r="E314" s="63" t="s">
        <v>46</v>
      </c>
      <c r="F314" s="41" t="s">
        <v>1251</v>
      </c>
      <c r="G314" s="41" t="s">
        <v>1284</v>
      </c>
      <c r="H314" s="28" t="s">
        <v>1000</v>
      </c>
      <c r="I314" s="28" t="s">
        <v>778</v>
      </c>
      <c r="J314" s="28" t="s">
        <v>773</v>
      </c>
      <c r="K314" s="41" t="s">
        <v>1287</v>
      </c>
      <c r="L314" s="41" t="s">
        <v>712</v>
      </c>
    </row>
    <row r="315" spans="1:12" s="65" customFormat="1" ht="313.5">
      <c r="A315" s="40">
        <v>313</v>
      </c>
      <c r="B315" s="93"/>
      <c r="C315" s="87"/>
      <c r="D315" s="40" t="s">
        <v>706</v>
      </c>
      <c r="E315" s="63" t="s">
        <v>46</v>
      </c>
      <c r="F315" s="41" t="s">
        <v>1218</v>
      </c>
      <c r="G315" s="41" t="s">
        <v>1284</v>
      </c>
      <c r="H315" s="28" t="s">
        <v>1000</v>
      </c>
      <c r="I315" s="28" t="s">
        <v>778</v>
      </c>
      <c r="J315" s="28" t="s">
        <v>773</v>
      </c>
      <c r="K315" s="41" t="s">
        <v>1287</v>
      </c>
      <c r="L315" s="41" t="s">
        <v>712</v>
      </c>
    </row>
    <row r="316" spans="1:12" s="65" customFormat="1" ht="313.5">
      <c r="A316" s="40">
        <v>314</v>
      </c>
      <c r="B316" s="93"/>
      <c r="C316" s="87"/>
      <c r="D316" s="40" t="s">
        <v>707</v>
      </c>
      <c r="E316" s="63" t="s">
        <v>46</v>
      </c>
      <c r="F316" s="41" t="s">
        <v>1219</v>
      </c>
      <c r="G316" s="41" t="s">
        <v>1291</v>
      </c>
      <c r="H316" s="28" t="s">
        <v>1000</v>
      </c>
      <c r="I316" s="28" t="s">
        <v>778</v>
      </c>
      <c r="J316" s="28" t="s">
        <v>773</v>
      </c>
      <c r="K316" s="41" t="s">
        <v>1287</v>
      </c>
      <c r="L316" s="41" t="s">
        <v>712</v>
      </c>
    </row>
    <row r="317" spans="1:12" s="65" customFormat="1" ht="71.25">
      <c r="A317" s="40">
        <v>315</v>
      </c>
      <c r="B317" s="93"/>
      <c r="C317" s="87"/>
      <c r="D317" s="40" t="s">
        <v>708</v>
      </c>
      <c r="E317" s="63" t="s">
        <v>46</v>
      </c>
      <c r="F317" s="41" t="s">
        <v>1220</v>
      </c>
      <c r="G317" s="41" t="s">
        <v>895</v>
      </c>
      <c r="H317" s="28" t="s">
        <v>896</v>
      </c>
      <c r="I317" s="41" t="s">
        <v>897</v>
      </c>
      <c r="J317" s="41" t="s">
        <v>713</v>
      </c>
      <c r="K317" s="41" t="s">
        <v>715</v>
      </c>
      <c r="L317" s="41" t="s">
        <v>712</v>
      </c>
    </row>
    <row r="318" spans="1:12" s="65" customFormat="1" ht="313.5">
      <c r="A318" s="40">
        <v>316</v>
      </c>
      <c r="B318" s="93"/>
      <c r="C318" s="87"/>
      <c r="D318" s="40" t="s">
        <v>709</v>
      </c>
      <c r="E318" s="63" t="s">
        <v>46</v>
      </c>
      <c r="F318" s="41" t="s">
        <v>1221</v>
      </c>
      <c r="G318" s="41" t="s">
        <v>1291</v>
      </c>
      <c r="H318" s="28" t="s">
        <v>1000</v>
      </c>
      <c r="I318" s="28" t="s">
        <v>778</v>
      </c>
      <c r="J318" s="28" t="s">
        <v>773</v>
      </c>
      <c r="K318" s="41" t="s">
        <v>1287</v>
      </c>
      <c r="L318" s="41" t="s">
        <v>712</v>
      </c>
    </row>
    <row r="319" spans="1:12" s="65" customFormat="1" ht="313.5">
      <c r="A319" s="40">
        <v>317</v>
      </c>
      <c r="B319" s="93"/>
      <c r="C319" s="87"/>
      <c r="D319" s="40" t="s">
        <v>710</v>
      </c>
      <c r="E319" s="63" t="s">
        <v>46</v>
      </c>
      <c r="F319" s="41" t="s">
        <v>1222</v>
      </c>
      <c r="G319" s="41" t="s">
        <v>1284</v>
      </c>
      <c r="H319" s="28" t="s">
        <v>1000</v>
      </c>
      <c r="I319" s="28" t="s">
        <v>778</v>
      </c>
      <c r="J319" s="28" t="s">
        <v>773</v>
      </c>
      <c r="K319" s="41" t="s">
        <v>1287</v>
      </c>
      <c r="L319" s="41" t="s">
        <v>712</v>
      </c>
    </row>
    <row r="320" spans="1:12" s="65" customFormat="1" ht="285">
      <c r="A320" s="40">
        <v>318</v>
      </c>
      <c r="B320" s="93"/>
      <c r="C320" s="87" t="s">
        <v>769</v>
      </c>
      <c r="D320" s="40" t="s">
        <v>700</v>
      </c>
      <c r="E320" s="63" t="s">
        <v>46</v>
      </c>
      <c r="F320" s="41" t="s">
        <v>1223</v>
      </c>
      <c r="G320" s="41" t="s">
        <v>1284</v>
      </c>
      <c r="H320" s="28" t="s">
        <v>1000</v>
      </c>
      <c r="I320" s="28" t="s">
        <v>778</v>
      </c>
      <c r="J320" s="28" t="s">
        <v>773</v>
      </c>
      <c r="K320" s="41" t="s">
        <v>1288</v>
      </c>
      <c r="L320" s="41" t="s">
        <v>712</v>
      </c>
    </row>
    <row r="321" spans="1:12" s="65" customFormat="1" ht="285">
      <c r="A321" s="40">
        <v>319</v>
      </c>
      <c r="B321" s="93"/>
      <c r="C321" s="87"/>
      <c r="D321" s="84" t="s">
        <v>701</v>
      </c>
      <c r="E321" s="63" t="s">
        <v>46</v>
      </c>
      <c r="F321" s="41" t="s">
        <v>1224</v>
      </c>
      <c r="G321" s="41" t="s">
        <v>1284</v>
      </c>
      <c r="H321" s="28" t="s">
        <v>1000</v>
      </c>
      <c r="I321" s="28" t="s">
        <v>778</v>
      </c>
      <c r="J321" s="28" t="s">
        <v>773</v>
      </c>
      <c r="K321" s="41" t="s">
        <v>1288</v>
      </c>
      <c r="L321" s="41" t="s">
        <v>712</v>
      </c>
    </row>
    <row r="322" spans="1:12" s="65" customFormat="1" ht="285">
      <c r="A322" s="40">
        <v>320</v>
      </c>
      <c r="B322" s="93"/>
      <c r="C322" s="87"/>
      <c r="D322" s="86"/>
      <c r="E322" s="63" t="s">
        <v>46</v>
      </c>
      <c r="F322" s="41" t="s">
        <v>1225</v>
      </c>
      <c r="G322" s="41" t="s">
        <v>1284</v>
      </c>
      <c r="H322" s="28" t="s">
        <v>1000</v>
      </c>
      <c r="I322" s="28" t="s">
        <v>778</v>
      </c>
      <c r="J322" s="28" t="s">
        <v>773</v>
      </c>
      <c r="K322" s="41" t="s">
        <v>1288</v>
      </c>
      <c r="L322" s="41" t="s">
        <v>712</v>
      </c>
    </row>
    <row r="323" spans="1:12" s="65" customFormat="1" ht="128.25">
      <c r="A323" s="40">
        <v>321</v>
      </c>
      <c r="B323" s="93"/>
      <c r="C323" s="87"/>
      <c r="D323" s="84" t="s">
        <v>702</v>
      </c>
      <c r="E323" s="63" t="s">
        <v>46</v>
      </c>
      <c r="F323" s="41" t="s">
        <v>1226</v>
      </c>
      <c r="G323" s="41" t="s">
        <v>1289</v>
      </c>
      <c r="H323" s="28" t="s">
        <v>1000</v>
      </c>
      <c r="I323" s="41" t="s">
        <v>1286</v>
      </c>
      <c r="J323" s="41" t="s">
        <v>713</v>
      </c>
      <c r="K323" s="41" t="s">
        <v>715</v>
      </c>
      <c r="L323" s="41" t="s">
        <v>712</v>
      </c>
    </row>
    <row r="324" spans="1:12" s="65" customFormat="1" ht="128.25">
      <c r="A324" s="40">
        <v>322</v>
      </c>
      <c r="B324" s="93"/>
      <c r="C324" s="87"/>
      <c r="D324" s="86"/>
      <c r="E324" s="63" t="s">
        <v>46</v>
      </c>
      <c r="F324" s="41" t="s">
        <v>1227</v>
      </c>
      <c r="G324" s="41" t="s">
        <v>1289</v>
      </c>
      <c r="H324" s="28" t="s">
        <v>1000</v>
      </c>
      <c r="I324" s="41" t="s">
        <v>1286</v>
      </c>
      <c r="J324" s="41" t="s">
        <v>713</v>
      </c>
      <c r="K324" s="41" t="s">
        <v>715</v>
      </c>
      <c r="L324" s="41" t="s">
        <v>712</v>
      </c>
    </row>
    <row r="325" spans="1:12" s="65" customFormat="1" ht="285">
      <c r="A325" s="40">
        <v>323</v>
      </c>
      <c r="B325" s="93"/>
      <c r="C325" s="87"/>
      <c r="D325" s="84" t="s">
        <v>703</v>
      </c>
      <c r="E325" s="63" t="s">
        <v>1161</v>
      </c>
      <c r="F325" s="41" t="s">
        <v>1228</v>
      </c>
      <c r="G325" s="41" t="s">
        <v>1284</v>
      </c>
      <c r="H325" s="28" t="s">
        <v>1000</v>
      </c>
      <c r="I325" s="28" t="s">
        <v>778</v>
      </c>
      <c r="J325" s="28" t="s">
        <v>773</v>
      </c>
      <c r="K325" s="41" t="s">
        <v>1288</v>
      </c>
      <c r="L325" s="41" t="s">
        <v>712</v>
      </c>
    </row>
    <row r="326" spans="1:12" s="65" customFormat="1" ht="285">
      <c r="A326" s="40">
        <v>324</v>
      </c>
      <c r="B326" s="93"/>
      <c r="C326" s="87"/>
      <c r="D326" s="86"/>
      <c r="E326" s="63" t="s">
        <v>1162</v>
      </c>
      <c r="F326" s="41" t="s">
        <v>1229</v>
      </c>
      <c r="G326" s="41" t="s">
        <v>1284</v>
      </c>
      <c r="H326" s="28" t="s">
        <v>1000</v>
      </c>
      <c r="I326" s="28" t="s">
        <v>778</v>
      </c>
      <c r="J326" s="28" t="s">
        <v>773</v>
      </c>
      <c r="K326" s="41" t="s">
        <v>1288</v>
      </c>
      <c r="L326" s="41" t="s">
        <v>712</v>
      </c>
    </row>
    <row r="327" spans="1:12" s="65" customFormat="1" ht="285">
      <c r="A327" s="40">
        <v>325</v>
      </c>
      <c r="B327" s="93"/>
      <c r="C327" s="87"/>
      <c r="D327" s="84" t="s">
        <v>704</v>
      </c>
      <c r="E327" s="63" t="s">
        <v>46</v>
      </c>
      <c r="F327" s="41" t="s">
        <v>1230</v>
      </c>
      <c r="G327" s="41" t="s">
        <v>1284</v>
      </c>
      <c r="H327" s="28" t="s">
        <v>1000</v>
      </c>
      <c r="I327" s="28" t="s">
        <v>778</v>
      </c>
      <c r="J327" s="28" t="s">
        <v>773</v>
      </c>
      <c r="K327" s="41" t="s">
        <v>1288</v>
      </c>
      <c r="L327" s="41" t="s">
        <v>712</v>
      </c>
    </row>
    <row r="328" spans="1:12" s="65" customFormat="1" ht="285">
      <c r="A328" s="40">
        <v>326</v>
      </c>
      <c r="B328" s="93"/>
      <c r="C328" s="87"/>
      <c r="D328" s="86"/>
      <c r="E328" s="63" t="s">
        <v>46</v>
      </c>
      <c r="F328" s="41" t="s">
        <v>1231</v>
      </c>
      <c r="G328" s="41" t="s">
        <v>1284</v>
      </c>
      <c r="H328" s="28" t="s">
        <v>1000</v>
      </c>
      <c r="I328" s="28" t="s">
        <v>778</v>
      </c>
      <c r="J328" s="28" t="s">
        <v>773</v>
      </c>
      <c r="K328" s="41" t="s">
        <v>1288</v>
      </c>
      <c r="L328" s="41" t="s">
        <v>712</v>
      </c>
    </row>
    <row r="329" spans="1:12" s="65" customFormat="1" ht="285">
      <c r="A329" s="40">
        <v>327</v>
      </c>
      <c r="B329" s="93"/>
      <c r="C329" s="87"/>
      <c r="D329" s="84" t="s">
        <v>705</v>
      </c>
      <c r="E329" s="63" t="s">
        <v>46</v>
      </c>
      <c r="F329" s="41" t="s">
        <v>1232</v>
      </c>
      <c r="G329" s="41" t="s">
        <v>1284</v>
      </c>
      <c r="H329" s="28" t="s">
        <v>1000</v>
      </c>
      <c r="I329" s="28" t="s">
        <v>778</v>
      </c>
      <c r="J329" s="28" t="s">
        <v>773</v>
      </c>
      <c r="K329" s="41" t="s">
        <v>1288</v>
      </c>
      <c r="L329" s="41" t="s">
        <v>712</v>
      </c>
    </row>
    <row r="330" spans="1:12" s="65" customFormat="1" ht="285">
      <c r="A330" s="40">
        <v>328</v>
      </c>
      <c r="B330" s="93"/>
      <c r="C330" s="87"/>
      <c r="D330" s="86"/>
      <c r="E330" s="63" t="s">
        <v>46</v>
      </c>
      <c r="F330" s="41" t="s">
        <v>1238</v>
      </c>
      <c r="G330" s="41" t="s">
        <v>1284</v>
      </c>
      <c r="H330" s="28" t="s">
        <v>1000</v>
      </c>
      <c r="I330" s="28" t="s">
        <v>778</v>
      </c>
      <c r="J330" s="28" t="s">
        <v>773</v>
      </c>
      <c r="K330" s="41" t="s">
        <v>1288</v>
      </c>
      <c r="L330" s="41" t="s">
        <v>712</v>
      </c>
    </row>
    <row r="331" spans="1:12" s="65" customFormat="1" ht="285">
      <c r="A331" s="40">
        <v>329</v>
      </c>
      <c r="B331" s="93"/>
      <c r="C331" s="87"/>
      <c r="D331" s="40" t="s">
        <v>706</v>
      </c>
      <c r="E331" s="63" t="s">
        <v>46</v>
      </c>
      <c r="F331" s="41" t="s">
        <v>1233</v>
      </c>
      <c r="G331" s="41" t="s">
        <v>1284</v>
      </c>
      <c r="H331" s="28" t="s">
        <v>1000</v>
      </c>
      <c r="I331" s="28" t="s">
        <v>778</v>
      </c>
      <c r="J331" s="28" t="s">
        <v>773</v>
      </c>
      <c r="K331" s="41" t="s">
        <v>1288</v>
      </c>
      <c r="L331" s="41" t="s">
        <v>712</v>
      </c>
    </row>
    <row r="332" spans="1:12" s="65" customFormat="1" ht="285">
      <c r="A332" s="40">
        <v>330</v>
      </c>
      <c r="B332" s="93"/>
      <c r="C332" s="87"/>
      <c r="D332" s="40" t="s">
        <v>707</v>
      </c>
      <c r="E332" s="63" t="s">
        <v>46</v>
      </c>
      <c r="F332" s="41" t="s">
        <v>1234</v>
      </c>
      <c r="G332" s="41" t="s">
        <v>1290</v>
      </c>
      <c r="H332" s="28" t="s">
        <v>1000</v>
      </c>
      <c r="I332" s="28" t="s">
        <v>778</v>
      </c>
      <c r="J332" s="28" t="s">
        <v>773</v>
      </c>
      <c r="K332" s="41" t="s">
        <v>1288</v>
      </c>
      <c r="L332" s="41" t="s">
        <v>712</v>
      </c>
    </row>
    <row r="333" spans="1:12" s="65" customFormat="1" ht="71.25">
      <c r="A333" s="40">
        <v>331</v>
      </c>
      <c r="B333" s="93"/>
      <c r="C333" s="87"/>
      <c r="D333" s="40" t="s">
        <v>708</v>
      </c>
      <c r="E333" s="63" t="s">
        <v>46</v>
      </c>
      <c r="F333" s="41" t="s">
        <v>1235</v>
      </c>
      <c r="G333" s="41" t="s">
        <v>895</v>
      </c>
      <c r="H333" s="28" t="s">
        <v>896</v>
      </c>
      <c r="I333" s="41" t="s">
        <v>897</v>
      </c>
      <c r="J333" s="41" t="s">
        <v>713</v>
      </c>
      <c r="K333" s="41" t="s">
        <v>715</v>
      </c>
      <c r="L333" s="41" t="s">
        <v>712</v>
      </c>
    </row>
    <row r="334" spans="1:12" s="65" customFormat="1" ht="285">
      <c r="A334" s="40">
        <v>332</v>
      </c>
      <c r="B334" s="93"/>
      <c r="C334" s="87"/>
      <c r="D334" s="40" t="s">
        <v>709</v>
      </c>
      <c r="E334" s="63" t="s">
        <v>46</v>
      </c>
      <c r="F334" s="41" t="s">
        <v>1236</v>
      </c>
      <c r="G334" s="41" t="s">
        <v>1290</v>
      </c>
      <c r="H334" s="28" t="s">
        <v>1000</v>
      </c>
      <c r="I334" s="28" t="s">
        <v>778</v>
      </c>
      <c r="J334" s="28" t="s">
        <v>773</v>
      </c>
      <c r="K334" s="41" t="s">
        <v>1288</v>
      </c>
      <c r="L334" s="41" t="s">
        <v>712</v>
      </c>
    </row>
    <row r="335" spans="1:12" s="65" customFormat="1" ht="285">
      <c r="A335" s="40">
        <v>333</v>
      </c>
      <c r="B335" s="93"/>
      <c r="C335" s="87"/>
      <c r="D335" s="40" t="s">
        <v>710</v>
      </c>
      <c r="E335" s="63" t="s">
        <v>46</v>
      </c>
      <c r="F335" s="41" t="s">
        <v>1237</v>
      </c>
      <c r="G335" s="41" t="s">
        <v>1284</v>
      </c>
      <c r="H335" s="28" t="s">
        <v>1000</v>
      </c>
      <c r="I335" s="28" t="s">
        <v>778</v>
      </c>
      <c r="J335" s="28" t="s">
        <v>773</v>
      </c>
      <c r="K335" s="41" t="s">
        <v>1288</v>
      </c>
      <c r="L335" s="41" t="s">
        <v>712</v>
      </c>
    </row>
    <row r="336" spans="1:12" s="65" customFormat="1" ht="285">
      <c r="A336" s="40">
        <v>334</v>
      </c>
      <c r="B336" s="93"/>
      <c r="C336" s="87" t="s">
        <v>770</v>
      </c>
      <c r="D336" s="40" t="s">
        <v>700</v>
      </c>
      <c r="E336" s="63" t="s">
        <v>46</v>
      </c>
      <c r="F336" s="41" t="s">
        <v>1252</v>
      </c>
      <c r="G336" s="41" t="s">
        <v>1284</v>
      </c>
      <c r="H336" s="28" t="s">
        <v>1000</v>
      </c>
      <c r="I336" s="28" t="s">
        <v>778</v>
      </c>
      <c r="J336" s="28" t="s">
        <v>773</v>
      </c>
      <c r="K336" s="41" t="s">
        <v>1292</v>
      </c>
      <c r="L336" s="41" t="s">
        <v>712</v>
      </c>
    </row>
    <row r="337" spans="1:12" s="65" customFormat="1" ht="285">
      <c r="A337" s="40">
        <v>335</v>
      </c>
      <c r="B337" s="93"/>
      <c r="C337" s="87"/>
      <c r="D337" s="84" t="s">
        <v>701</v>
      </c>
      <c r="E337" s="63" t="s">
        <v>46</v>
      </c>
      <c r="F337" s="41" t="s">
        <v>1253</v>
      </c>
      <c r="G337" s="41" t="s">
        <v>1284</v>
      </c>
      <c r="H337" s="28" t="s">
        <v>1000</v>
      </c>
      <c r="I337" s="28" t="s">
        <v>778</v>
      </c>
      <c r="J337" s="28" t="s">
        <v>773</v>
      </c>
      <c r="K337" s="41" t="s">
        <v>1292</v>
      </c>
      <c r="L337" s="41" t="s">
        <v>712</v>
      </c>
    </row>
    <row r="338" spans="1:12" s="65" customFormat="1" ht="285">
      <c r="A338" s="40">
        <v>336</v>
      </c>
      <c r="B338" s="93"/>
      <c r="C338" s="87"/>
      <c r="D338" s="86"/>
      <c r="E338" s="63" t="s">
        <v>46</v>
      </c>
      <c r="F338" s="41" t="s">
        <v>1254</v>
      </c>
      <c r="G338" s="41" t="s">
        <v>1284</v>
      </c>
      <c r="H338" s="28" t="s">
        <v>1000</v>
      </c>
      <c r="I338" s="28" t="s">
        <v>778</v>
      </c>
      <c r="J338" s="28" t="s">
        <v>773</v>
      </c>
      <c r="K338" s="41" t="s">
        <v>1292</v>
      </c>
      <c r="L338" s="41" t="s">
        <v>712</v>
      </c>
    </row>
    <row r="339" spans="1:12" s="65" customFormat="1" ht="128.25">
      <c r="A339" s="40">
        <v>337</v>
      </c>
      <c r="B339" s="93"/>
      <c r="C339" s="87"/>
      <c r="D339" s="84" t="s">
        <v>702</v>
      </c>
      <c r="E339" s="63" t="s">
        <v>46</v>
      </c>
      <c r="F339" s="41" t="s">
        <v>1255</v>
      </c>
      <c r="G339" s="41" t="s">
        <v>1293</v>
      </c>
      <c r="H339" s="28" t="s">
        <v>1000</v>
      </c>
      <c r="I339" s="41" t="s">
        <v>1286</v>
      </c>
      <c r="J339" s="41" t="s">
        <v>713</v>
      </c>
      <c r="K339" s="41" t="s">
        <v>715</v>
      </c>
      <c r="L339" s="41" t="s">
        <v>712</v>
      </c>
    </row>
    <row r="340" spans="1:12" s="65" customFormat="1" ht="128.25">
      <c r="A340" s="40">
        <v>338</v>
      </c>
      <c r="B340" s="93"/>
      <c r="C340" s="87"/>
      <c r="D340" s="86"/>
      <c r="E340" s="63" t="s">
        <v>46</v>
      </c>
      <c r="F340" s="41" t="s">
        <v>1256</v>
      </c>
      <c r="G340" s="41" t="s">
        <v>1293</v>
      </c>
      <c r="H340" s="28" t="s">
        <v>1000</v>
      </c>
      <c r="I340" s="41" t="s">
        <v>1286</v>
      </c>
      <c r="J340" s="41" t="s">
        <v>713</v>
      </c>
      <c r="K340" s="41" t="s">
        <v>715</v>
      </c>
      <c r="L340" s="41" t="s">
        <v>712</v>
      </c>
    </row>
    <row r="341" spans="1:12" s="65" customFormat="1" ht="285">
      <c r="A341" s="40">
        <v>339</v>
      </c>
      <c r="B341" s="93"/>
      <c r="C341" s="87"/>
      <c r="D341" s="84" t="s">
        <v>703</v>
      </c>
      <c r="E341" s="63" t="s">
        <v>1161</v>
      </c>
      <c r="F341" s="41" t="s">
        <v>1257</v>
      </c>
      <c r="G341" s="41" t="s">
        <v>1284</v>
      </c>
      <c r="H341" s="28" t="s">
        <v>1000</v>
      </c>
      <c r="I341" s="28" t="s">
        <v>778</v>
      </c>
      <c r="J341" s="28" t="s">
        <v>773</v>
      </c>
      <c r="K341" s="41" t="s">
        <v>1292</v>
      </c>
      <c r="L341" s="41" t="s">
        <v>712</v>
      </c>
    </row>
    <row r="342" spans="1:12" s="65" customFormat="1" ht="285">
      <c r="A342" s="40">
        <v>340</v>
      </c>
      <c r="B342" s="93"/>
      <c r="C342" s="87"/>
      <c r="D342" s="86"/>
      <c r="E342" s="63" t="s">
        <v>1162</v>
      </c>
      <c r="F342" s="41" t="s">
        <v>1258</v>
      </c>
      <c r="G342" s="41" t="s">
        <v>1284</v>
      </c>
      <c r="H342" s="28" t="s">
        <v>1000</v>
      </c>
      <c r="I342" s="28" t="s">
        <v>778</v>
      </c>
      <c r="J342" s="28" t="s">
        <v>773</v>
      </c>
      <c r="K342" s="41" t="s">
        <v>1292</v>
      </c>
      <c r="L342" s="41" t="s">
        <v>712</v>
      </c>
    </row>
    <row r="343" spans="1:12" s="65" customFormat="1" ht="285">
      <c r="A343" s="40">
        <v>341</v>
      </c>
      <c r="B343" s="93"/>
      <c r="C343" s="87"/>
      <c r="D343" s="84" t="s">
        <v>704</v>
      </c>
      <c r="E343" s="63" t="s">
        <v>46</v>
      </c>
      <c r="F343" s="41" t="s">
        <v>1259</v>
      </c>
      <c r="G343" s="41" t="s">
        <v>1284</v>
      </c>
      <c r="H343" s="28" t="s">
        <v>1000</v>
      </c>
      <c r="I343" s="28" t="s">
        <v>778</v>
      </c>
      <c r="J343" s="28" t="s">
        <v>773</v>
      </c>
      <c r="K343" s="41" t="s">
        <v>1292</v>
      </c>
      <c r="L343" s="41" t="s">
        <v>712</v>
      </c>
    </row>
    <row r="344" spans="1:12" s="65" customFormat="1" ht="285">
      <c r="A344" s="40">
        <v>342</v>
      </c>
      <c r="B344" s="93"/>
      <c r="C344" s="87"/>
      <c r="D344" s="86"/>
      <c r="E344" s="63" t="s">
        <v>46</v>
      </c>
      <c r="F344" s="41" t="s">
        <v>1260</v>
      </c>
      <c r="G344" s="41" t="s">
        <v>1284</v>
      </c>
      <c r="H344" s="28" t="s">
        <v>1000</v>
      </c>
      <c r="I344" s="28" t="s">
        <v>778</v>
      </c>
      <c r="J344" s="28" t="s">
        <v>773</v>
      </c>
      <c r="K344" s="41" t="s">
        <v>1292</v>
      </c>
      <c r="L344" s="41" t="s">
        <v>712</v>
      </c>
    </row>
    <row r="345" spans="1:12" s="65" customFormat="1" ht="285">
      <c r="A345" s="40">
        <v>343</v>
      </c>
      <c r="B345" s="93"/>
      <c r="C345" s="87"/>
      <c r="D345" s="84" t="s">
        <v>705</v>
      </c>
      <c r="E345" s="63" t="s">
        <v>46</v>
      </c>
      <c r="F345" s="41" t="s">
        <v>1261</v>
      </c>
      <c r="G345" s="41" t="s">
        <v>1284</v>
      </c>
      <c r="H345" s="28" t="s">
        <v>1000</v>
      </c>
      <c r="I345" s="28" t="s">
        <v>778</v>
      </c>
      <c r="J345" s="28" t="s">
        <v>773</v>
      </c>
      <c r="K345" s="41" t="s">
        <v>1292</v>
      </c>
      <c r="L345" s="41" t="s">
        <v>712</v>
      </c>
    </row>
    <row r="346" spans="1:12" s="65" customFormat="1" ht="285">
      <c r="A346" s="40">
        <v>344</v>
      </c>
      <c r="B346" s="93"/>
      <c r="C346" s="87"/>
      <c r="D346" s="86"/>
      <c r="E346" s="63" t="s">
        <v>46</v>
      </c>
      <c r="F346" s="41" t="s">
        <v>1262</v>
      </c>
      <c r="G346" s="41" t="s">
        <v>1284</v>
      </c>
      <c r="H346" s="28" t="s">
        <v>1000</v>
      </c>
      <c r="I346" s="28" t="s">
        <v>778</v>
      </c>
      <c r="J346" s="28" t="s">
        <v>773</v>
      </c>
      <c r="K346" s="41" t="s">
        <v>1292</v>
      </c>
      <c r="L346" s="41" t="s">
        <v>712</v>
      </c>
    </row>
    <row r="347" spans="1:12" s="65" customFormat="1" ht="285">
      <c r="A347" s="40">
        <v>345</v>
      </c>
      <c r="B347" s="93"/>
      <c r="C347" s="87"/>
      <c r="D347" s="40" t="s">
        <v>706</v>
      </c>
      <c r="E347" s="63" t="s">
        <v>46</v>
      </c>
      <c r="F347" s="41" t="s">
        <v>1263</v>
      </c>
      <c r="G347" s="41" t="s">
        <v>1284</v>
      </c>
      <c r="H347" s="28" t="s">
        <v>1000</v>
      </c>
      <c r="I347" s="28" t="s">
        <v>778</v>
      </c>
      <c r="J347" s="28" t="s">
        <v>773</v>
      </c>
      <c r="K347" s="41" t="s">
        <v>1292</v>
      </c>
      <c r="L347" s="41" t="s">
        <v>712</v>
      </c>
    </row>
    <row r="348" spans="1:12" s="65" customFormat="1" ht="285">
      <c r="A348" s="40">
        <v>346</v>
      </c>
      <c r="B348" s="93"/>
      <c r="C348" s="87"/>
      <c r="D348" s="40" t="s">
        <v>707</v>
      </c>
      <c r="E348" s="63" t="s">
        <v>46</v>
      </c>
      <c r="F348" s="41" t="s">
        <v>1264</v>
      </c>
      <c r="G348" s="41" t="s">
        <v>1294</v>
      </c>
      <c r="H348" s="28" t="s">
        <v>1000</v>
      </c>
      <c r="I348" s="28" t="s">
        <v>778</v>
      </c>
      <c r="J348" s="28" t="s">
        <v>773</v>
      </c>
      <c r="K348" s="41" t="s">
        <v>1292</v>
      </c>
      <c r="L348" s="41" t="s">
        <v>712</v>
      </c>
    </row>
    <row r="349" spans="1:12" s="65" customFormat="1" ht="71.25">
      <c r="A349" s="40">
        <v>347</v>
      </c>
      <c r="B349" s="93"/>
      <c r="C349" s="87"/>
      <c r="D349" s="40" t="s">
        <v>708</v>
      </c>
      <c r="E349" s="63" t="s">
        <v>46</v>
      </c>
      <c r="F349" s="41" t="s">
        <v>1265</v>
      </c>
      <c r="G349" s="41" t="s">
        <v>895</v>
      </c>
      <c r="H349" s="28" t="s">
        <v>896</v>
      </c>
      <c r="I349" s="41" t="s">
        <v>897</v>
      </c>
      <c r="J349" s="41" t="s">
        <v>713</v>
      </c>
      <c r="K349" s="41" t="s">
        <v>715</v>
      </c>
      <c r="L349" s="41" t="s">
        <v>712</v>
      </c>
    </row>
    <row r="350" spans="1:12" s="65" customFormat="1" ht="285">
      <c r="A350" s="40">
        <v>348</v>
      </c>
      <c r="B350" s="93"/>
      <c r="C350" s="87"/>
      <c r="D350" s="40" t="s">
        <v>709</v>
      </c>
      <c r="E350" s="63" t="s">
        <v>46</v>
      </c>
      <c r="F350" s="41" t="s">
        <v>1266</v>
      </c>
      <c r="G350" s="41" t="s">
        <v>1294</v>
      </c>
      <c r="H350" s="28" t="s">
        <v>1000</v>
      </c>
      <c r="I350" s="28" t="s">
        <v>778</v>
      </c>
      <c r="J350" s="28" t="s">
        <v>773</v>
      </c>
      <c r="K350" s="41" t="s">
        <v>1292</v>
      </c>
      <c r="L350" s="41" t="s">
        <v>712</v>
      </c>
    </row>
    <row r="351" spans="1:12" s="65" customFormat="1" ht="285">
      <c r="A351" s="40">
        <v>349</v>
      </c>
      <c r="B351" s="93"/>
      <c r="C351" s="87"/>
      <c r="D351" s="40" t="s">
        <v>710</v>
      </c>
      <c r="E351" s="63" t="s">
        <v>46</v>
      </c>
      <c r="F351" s="41" t="s">
        <v>1267</v>
      </c>
      <c r="G351" s="41" t="s">
        <v>1284</v>
      </c>
      <c r="H351" s="28" t="s">
        <v>1000</v>
      </c>
      <c r="I351" s="28" t="s">
        <v>778</v>
      </c>
      <c r="J351" s="28" t="s">
        <v>773</v>
      </c>
      <c r="K351" s="41" t="s">
        <v>1292</v>
      </c>
      <c r="L351" s="41" t="s">
        <v>712</v>
      </c>
    </row>
    <row r="352" spans="1:12" s="65" customFormat="1" ht="313.5">
      <c r="A352" s="40">
        <v>350</v>
      </c>
      <c r="B352" s="93"/>
      <c r="C352" s="87" t="s">
        <v>771</v>
      </c>
      <c r="D352" s="40" t="s">
        <v>700</v>
      </c>
      <c r="E352" s="63" t="s">
        <v>46</v>
      </c>
      <c r="F352" s="41" t="s">
        <v>1268</v>
      </c>
      <c r="G352" s="41" t="s">
        <v>1284</v>
      </c>
      <c r="H352" s="28" t="s">
        <v>1000</v>
      </c>
      <c r="I352" s="28" t="s">
        <v>778</v>
      </c>
      <c r="J352" s="28" t="s">
        <v>773</v>
      </c>
      <c r="K352" s="41" t="s">
        <v>1295</v>
      </c>
      <c r="L352" s="41" t="s">
        <v>712</v>
      </c>
    </row>
    <row r="353" spans="1:12" s="65" customFormat="1" ht="313.5">
      <c r="A353" s="40">
        <v>351</v>
      </c>
      <c r="B353" s="93"/>
      <c r="C353" s="87"/>
      <c r="D353" s="84" t="s">
        <v>701</v>
      </c>
      <c r="E353" s="63" t="s">
        <v>46</v>
      </c>
      <c r="F353" s="41" t="s">
        <v>1269</v>
      </c>
      <c r="G353" s="41" t="s">
        <v>1284</v>
      </c>
      <c r="H353" s="28" t="s">
        <v>1000</v>
      </c>
      <c r="I353" s="28" t="s">
        <v>778</v>
      </c>
      <c r="J353" s="28" t="s">
        <v>773</v>
      </c>
      <c r="K353" s="41" t="s">
        <v>1295</v>
      </c>
      <c r="L353" s="41" t="s">
        <v>712</v>
      </c>
    </row>
    <row r="354" spans="1:12" s="65" customFormat="1" ht="313.5">
      <c r="A354" s="40">
        <v>352</v>
      </c>
      <c r="B354" s="93"/>
      <c r="C354" s="87"/>
      <c r="D354" s="86"/>
      <c r="E354" s="63" t="s">
        <v>46</v>
      </c>
      <c r="F354" s="41" t="s">
        <v>1270</v>
      </c>
      <c r="G354" s="41" t="s">
        <v>1284</v>
      </c>
      <c r="H354" s="28" t="s">
        <v>1000</v>
      </c>
      <c r="I354" s="28" t="s">
        <v>778</v>
      </c>
      <c r="J354" s="28" t="s">
        <v>773</v>
      </c>
      <c r="K354" s="41" t="s">
        <v>1295</v>
      </c>
      <c r="L354" s="41" t="s">
        <v>712</v>
      </c>
    </row>
    <row r="355" spans="1:12" s="65" customFormat="1" ht="128.25">
      <c r="A355" s="40">
        <v>353</v>
      </c>
      <c r="B355" s="93"/>
      <c r="C355" s="87"/>
      <c r="D355" s="84" t="s">
        <v>702</v>
      </c>
      <c r="E355" s="63" t="s">
        <v>46</v>
      </c>
      <c r="F355" s="41" t="s">
        <v>1271</v>
      </c>
      <c r="G355" s="41" t="s">
        <v>1296</v>
      </c>
      <c r="H355" s="28" t="s">
        <v>1000</v>
      </c>
      <c r="I355" s="41" t="s">
        <v>1286</v>
      </c>
      <c r="J355" s="41" t="s">
        <v>713</v>
      </c>
      <c r="K355" s="41" t="s">
        <v>715</v>
      </c>
      <c r="L355" s="41" t="s">
        <v>712</v>
      </c>
    </row>
    <row r="356" spans="1:12" s="65" customFormat="1" ht="128.25">
      <c r="A356" s="40">
        <v>354</v>
      </c>
      <c r="B356" s="93"/>
      <c r="C356" s="87"/>
      <c r="D356" s="86"/>
      <c r="E356" s="63" t="s">
        <v>46</v>
      </c>
      <c r="F356" s="41" t="s">
        <v>1272</v>
      </c>
      <c r="G356" s="41" t="s">
        <v>1296</v>
      </c>
      <c r="H356" s="28" t="s">
        <v>1000</v>
      </c>
      <c r="I356" s="41" t="s">
        <v>1286</v>
      </c>
      <c r="J356" s="41" t="s">
        <v>713</v>
      </c>
      <c r="K356" s="41" t="s">
        <v>715</v>
      </c>
      <c r="L356" s="41" t="s">
        <v>712</v>
      </c>
    </row>
    <row r="357" spans="1:12" s="65" customFormat="1" ht="313.5">
      <c r="A357" s="40">
        <v>355</v>
      </c>
      <c r="B357" s="93"/>
      <c r="C357" s="87"/>
      <c r="D357" s="84" t="s">
        <v>703</v>
      </c>
      <c r="E357" s="63" t="s">
        <v>1161</v>
      </c>
      <c r="F357" s="41" t="s">
        <v>1273</v>
      </c>
      <c r="G357" s="41" t="s">
        <v>1284</v>
      </c>
      <c r="H357" s="28" t="s">
        <v>1000</v>
      </c>
      <c r="I357" s="28" t="s">
        <v>778</v>
      </c>
      <c r="J357" s="28" t="s">
        <v>773</v>
      </c>
      <c r="K357" s="41" t="s">
        <v>1295</v>
      </c>
      <c r="L357" s="41" t="s">
        <v>712</v>
      </c>
    </row>
    <row r="358" spans="1:12" s="65" customFormat="1" ht="313.5">
      <c r="A358" s="40">
        <v>356</v>
      </c>
      <c r="B358" s="93"/>
      <c r="C358" s="87"/>
      <c r="D358" s="86"/>
      <c r="E358" s="63" t="s">
        <v>1162</v>
      </c>
      <c r="F358" s="41" t="s">
        <v>1274</v>
      </c>
      <c r="G358" s="41" t="s">
        <v>1284</v>
      </c>
      <c r="H358" s="28" t="s">
        <v>1000</v>
      </c>
      <c r="I358" s="28" t="s">
        <v>778</v>
      </c>
      <c r="J358" s="28" t="s">
        <v>773</v>
      </c>
      <c r="K358" s="41" t="s">
        <v>1295</v>
      </c>
      <c r="L358" s="41" t="s">
        <v>712</v>
      </c>
    </row>
    <row r="359" spans="1:12" s="65" customFormat="1" ht="313.5">
      <c r="A359" s="40">
        <v>357</v>
      </c>
      <c r="B359" s="93"/>
      <c r="C359" s="87"/>
      <c r="D359" s="84" t="s">
        <v>704</v>
      </c>
      <c r="E359" s="63" t="s">
        <v>46</v>
      </c>
      <c r="F359" s="41" t="s">
        <v>1275</v>
      </c>
      <c r="G359" s="41" t="s">
        <v>1284</v>
      </c>
      <c r="H359" s="28" t="s">
        <v>1000</v>
      </c>
      <c r="I359" s="28" t="s">
        <v>778</v>
      </c>
      <c r="J359" s="28" t="s">
        <v>773</v>
      </c>
      <c r="K359" s="41" t="s">
        <v>1295</v>
      </c>
      <c r="L359" s="41" t="s">
        <v>712</v>
      </c>
    </row>
    <row r="360" spans="1:12" s="65" customFormat="1" ht="313.5">
      <c r="A360" s="40">
        <v>358</v>
      </c>
      <c r="B360" s="93"/>
      <c r="C360" s="87"/>
      <c r="D360" s="86"/>
      <c r="E360" s="63" t="s">
        <v>46</v>
      </c>
      <c r="F360" s="41" t="s">
        <v>1276</v>
      </c>
      <c r="G360" s="41" t="s">
        <v>1284</v>
      </c>
      <c r="H360" s="28" t="s">
        <v>1000</v>
      </c>
      <c r="I360" s="28" t="s">
        <v>778</v>
      </c>
      <c r="J360" s="28" t="s">
        <v>773</v>
      </c>
      <c r="K360" s="41" t="s">
        <v>1295</v>
      </c>
      <c r="L360" s="41" t="s">
        <v>712</v>
      </c>
    </row>
    <row r="361" spans="1:12" s="65" customFormat="1" ht="313.5">
      <c r="A361" s="40">
        <v>359</v>
      </c>
      <c r="B361" s="93"/>
      <c r="C361" s="87"/>
      <c r="D361" s="84" t="s">
        <v>705</v>
      </c>
      <c r="E361" s="63" t="s">
        <v>46</v>
      </c>
      <c r="F361" s="41" t="s">
        <v>1277</v>
      </c>
      <c r="G361" s="41" t="s">
        <v>1284</v>
      </c>
      <c r="H361" s="28" t="s">
        <v>1000</v>
      </c>
      <c r="I361" s="28" t="s">
        <v>778</v>
      </c>
      <c r="J361" s="28" t="s">
        <v>773</v>
      </c>
      <c r="K361" s="41" t="s">
        <v>1295</v>
      </c>
      <c r="L361" s="41" t="s">
        <v>712</v>
      </c>
    </row>
    <row r="362" spans="1:12" s="65" customFormat="1" ht="313.5">
      <c r="A362" s="40">
        <v>360</v>
      </c>
      <c r="B362" s="93"/>
      <c r="C362" s="87"/>
      <c r="D362" s="86"/>
      <c r="E362" s="63" t="s">
        <v>46</v>
      </c>
      <c r="F362" s="41" t="s">
        <v>1278</v>
      </c>
      <c r="G362" s="41" t="s">
        <v>1284</v>
      </c>
      <c r="H362" s="28" t="s">
        <v>1000</v>
      </c>
      <c r="I362" s="28" t="s">
        <v>778</v>
      </c>
      <c r="J362" s="28" t="s">
        <v>773</v>
      </c>
      <c r="K362" s="41" t="s">
        <v>1295</v>
      </c>
      <c r="L362" s="41" t="s">
        <v>712</v>
      </c>
    </row>
    <row r="363" spans="1:12" s="65" customFormat="1" ht="313.5">
      <c r="A363" s="40">
        <v>361</v>
      </c>
      <c r="B363" s="93"/>
      <c r="C363" s="87"/>
      <c r="D363" s="40" t="s">
        <v>706</v>
      </c>
      <c r="E363" s="63" t="s">
        <v>46</v>
      </c>
      <c r="F363" s="41" t="s">
        <v>1279</v>
      </c>
      <c r="G363" s="41" t="s">
        <v>1284</v>
      </c>
      <c r="H363" s="28" t="s">
        <v>1000</v>
      </c>
      <c r="I363" s="28" t="s">
        <v>778</v>
      </c>
      <c r="J363" s="28" t="s">
        <v>773</v>
      </c>
      <c r="K363" s="41" t="s">
        <v>1295</v>
      </c>
      <c r="L363" s="41" t="s">
        <v>712</v>
      </c>
    </row>
    <row r="364" spans="1:12" s="65" customFormat="1" ht="313.5">
      <c r="A364" s="40">
        <v>362</v>
      </c>
      <c r="B364" s="93"/>
      <c r="C364" s="87"/>
      <c r="D364" s="40" t="s">
        <v>707</v>
      </c>
      <c r="E364" s="63" t="s">
        <v>46</v>
      </c>
      <c r="F364" s="41" t="s">
        <v>1280</v>
      </c>
      <c r="G364" s="41" t="s">
        <v>1297</v>
      </c>
      <c r="H364" s="28" t="s">
        <v>1000</v>
      </c>
      <c r="I364" s="28" t="s">
        <v>778</v>
      </c>
      <c r="J364" s="28" t="s">
        <v>773</v>
      </c>
      <c r="K364" s="41" t="s">
        <v>1295</v>
      </c>
      <c r="L364" s="41" t="s">
        <v>712</v>
      </c>
    </row>
    <row r="365" spans="1:12" s="65" customFormat="1" ht="71.25">
      <c r="A365" s="40">
        <v>363</v>
      </c>
      <c r="B365" s="93"/>
      <c r="C365" s="87"/>
      <c r="D365" s="40" t="s">
        <v>708</v>
      </c>
      <c r="E365" s="63" t="s">
        <v>46</v>
      </c>
      <c r="F365" s="41" t="s">
        <v>1281</v>
      </c>
      <c r="G365" s="41" t="s">
        <v>895</v>
      </c>
      <c r="H365" s="28" t="s">
        <v>896</v>
      </c>
      <c r="I365" s="41" t="s">
        <v>897</v>
      </c>
      <c r="J365" s="41" t="s">
        <v>713</v>
      </c>
      <c r="K365" s="41" t="s">
        <v>715</v>
      </c>
      <c r="L365" s="41" t="s">
        <v>712</v>
      </c>
    </row>
    <row r="366" spans="1:12" s="65" customFormat="1" ht="313.5">
      <c r="A366" s="40">
        <v>364</v>
      </c>
      <c r="B366" s="93"/>
      <c r="C366" s="87"/>
      <c r="D366" s="40" t="s">
        <v>709</v>
      </c>
      <c r="E366" s="63" t="s">
        <v>46</v>
      </c>
      <c r="F366" s="41" t="s">
        <v>1282</v>
      </c>
      <c r="G366" s="41" t="s">
        <v>1297</v>
      </c>
      <c r="H366" s="28" t="s">
        <v>1000</v>
      </c>
      <c r="I366" s="28" t="s">
        <v>778</v>
      </c>
      <c r="J366" s="28" t="s">
        <v>773</v>
      </c>
      <c r="K366" s="41" t="s">
        <v>1295</v>
      </c>
      <c r="L366" s="41" t="s">
        <v>712</v>
      </c>
    </row>
    <row r="367" spans="1:12" s="65" customFormat="1" ht="313.5">
      <c r="A367" s="40">
        <v>365</v>
      </c>
      <c r="B367" s="93"/>
      <c r="C367" s="87"/>
      <c r="D367" s="40" t="s">
        <v>710</v>
      </c>
      <c r="E367" s="63" t="s">
        <v>46</v>
      </c>
      <c r="F367" s="41" t="s">
        <v>1283</v>
      </c>
      <c r="G367" s="41" t="s">
        <v>1284</v>
      </c>
      <c r="H367" s="28" t="s">
        <v>1000</v>
      </c>
      <c r="I367" s="28" t="s">
        <v>778</v>
      </c>
      <c r="J367" s="28" t="s">
        <v>773</v>
      </c>
      <c r="K367" s="41" t="s">
        <v>1295</v>
      </c>
      <c r="L367" s="41" t="s">
        <v>712</v>
      </c>
    </row>
    <row r="368" spans="1:12" ht="185.25">
      <c r="A368" s="40">
        <v>366</v>
      </c>
      <c r="B368" s="93"/>
      <c r="C368" s="87" t="s">
        <v>775</v>
      </c>
      <c r="D368" s="40" t="s">
        <v>700</v>
      </c>
      <c r="E368" s="63" t="s">
        <v>46</v>
      </c>
      <c r="F368" s="41" t="s">
        <v>1298</v>
      </c>
      <c r="G368" s="41" t="s">
        <v>1311</v>
      </c>
      <c r="H368" s="28" t="s">
        <v>1317</v>
      </c>
      <c r="I368" s="41" t="s">
        <v>779</v>
      </c>
      <c r="J368" s="28" t="s">
        <v>780</v>
      </c>
      <c r="K368" s="41" t="s">
        <v>1312</v>
      </c>
      <c r="L368" s="41" t="s">
        <v>1314</v>
      </c>
    </row>
    <row r="369" spans="1:12" ht="242.25">
      <c r="A369" s="40">
        <v>367</v>
      </c>
      <c r="B369" s="93"/>
      <c r="C369" s="87"/>
      <c r="D369" s="40" t="s">
        <v>701</v>
      </c>
      <c r="E369" s="63" t="s">
        <v>46</v>
      </c>
      <c r="F369" s="41" t="s">
        <v>1300</v>
      </c>
      <c r="G369" s="41" t="s">
        <v>1315</v>
      </c>
      <c r="H369" s="28" t="s">
        <v>1317</v>
      </c>
      <c r="I369" s="28" t="s">
        <v>778</v>
      </c>
      <c r="J369" s="28" t="s">
        <v>773</v>
      </c>
      <c r="K369" s="41" t="s">
        <v>1313</v>
      </c>
      <c r="L369" s="41" t="s">
        <v>1314</v>
      </c>
    </row>
    <row r="370" spans="1:12" ht="185.25">
      <c r="A370" s="40">
        <v>368</v>
      </c>
      <c r="B370" s="93"/>
      <c r="C370" s="87"/>
      <c r="D370" s="40" t="s">
        <v>702</v>
      </c>
      <c r="E370" s="63" t="s">
        <v>46</v>
      </c>
      <c r="F370" s="41" t="s">
        <v>1301</v>
      </c>
      <c r="G370" s="41" t="s">
        <v>1316</v>
      </c>
      <c r="H370" s="28" t="s">
        <v>1317</v>
      </c>
      <c r="I370" s="41" t="s">
        <v>779</v>
      </c>
      <c r="J370" s="28" t="s">
        <v>780</v>
      </c>
      <c r="K370" s="41" t="s">
        <v>1312</v>
      </c>
      <c r="L370" s="41" t="s">
        <v>1314</v>
      </c>
    </row>
    <row r="371" spans="1:12" ht="242.25">
      <c r="A371" s="40">
        <v>369</v>
      </c>
      <c r="B371" s="93"/>
      <c r="C371" s="87"/>
      <c r="D371" s="40" t="s">
        <v>703</v>
      </c>
      <c r="E371" s="63" t="s">
        <v>1299</v>
      </c>
      <c r="F371" s="41" t="s">
        <v>1302</v>
      </c>
      <c r="G371" s="41" t="s">
        <v>1318</v>
      </c>
      <c r="H371" s="28" t="s">
        <v>1317</v>
      </c>
      <c r="I371" s="28" t="s">
        <v>778</v>
      </c>
      <c r="J371" s="28" t="s">
        <v>773</v>
      </c>
      <c r="K371" s="41" t="s">
        <v>1313</v>
      </c>
      <c r="L371" s="41" t="s">
        <v>1314</v>
      </c>
    </row>
    <row r="372" spans="1:12" ht="242.25">
      <c r="A372" s="40">
        <v>370</v>
      </c>
      <c r="B372" s="93"/>
      <c r="C372" s="87"/>
      <c r="D372" s="40" t="s">
        <v>704</v>
      </c>
      <c r="E372" s="63" t="s">
        <v>46</v>
      </c>
      <c r="F372" s="41" t="s">
        <v>1303</v>
      </c>
      <c r="G372" s="41" t="s">
        <v>1319</v>
      </c>
      <c r="H372" s="28" t="s">
        <v>1317</v>
      </c>
      <c r="I372" s="28" t="s">
        <v>778</v>
      </c>
      <c r="J372" s="28" t="s">
        <v>773</v>
      </c>
      <c r="K372" s="41" t="s">
        <v>1313</v>
      </c>
      <c r="L372" s="41" t="s">
        <v>1314</v>
      </c>
    </row>
    <row r="373" spans="1:12" ht="85.5">
      <c r="A373" s="40">
        <v>371</v>
      </c>
      <c r="B373" s="93"/>
      <c r="C373" s="87"/>
      <c r="D373" s="40" t="s">
        <v>705</v>
      </c>
      <c r="E373" s="63" t="s">
        <v>46</v>
      </c>
      <c r="F373" s="41" t="s">
        <v>1304</v>
      </c>
      <c r="G373" s="41" t="s">
        <v>1320</v>
      </c>
      <c r="H373" s="28" t="s">
        <v>1317</v>
      </c>
      <c r="I373" s="41" t="s">
        <v>1321</v>
      </c>
      <c r="J373" s="41" t="s">
        <v>713</v>
      </c>
      <c r="K373" s="41" t="s">
        <v>715</v>
      </c>
      <c r="L373" s="41" t="s">
        <v>712</v>
      </c>
    </row>
    <row r="374" spans="1:12" ht="57">
      <c r="A374" s="40">
        <v>372</v>
      </c>
      <c r="B374" s="93"/>
      <c r="C374" s="87"/>
      <c r="D374" s="40" t="s">
        <v>706</v>
      </c>
      <c r="E374" s="63" t="s">
        <v>46</v>
      </c>
      <c r="F374" s="41" t="s">
        <v>1305</v>
      </c>
      <c r="G374" s="41" t="s">
        <v>1322</v>
      </c>
      <c r="H374" s="41" t="s">
        <v>1322</v>
      </c>
      <c r="I374" s="41" t="s">
        <v>1322</v>
      </c>
      <c r="J374" s="41" t="s">
        <v>1322</v>
      </c>
      <c r="K374" s="41" t="s">
        <v>1322</v>
      </c>
      <c r="L374" s="41" t="s">
        <v>712</v>
      </c>
    </row>
    <row r="375" spans="1:12" ht="85.5">
      <c r="A375" s="40">
        <v>373</v>
      </c>
      <c r="B375" s="93"/>
      <c r="C375" s="87"/>
      <c r="D375" s="40" t="s">
        <v>707</v>
      </c>
      <c r="E375" s="63" t="s">
        <v>46</v>
      </c>
      <c r="F375" s="41" t="s">
        <v>1306</v>
      </c>
      <c r="G375" s="41" t="s">
        <v>1326</v>
      </c>
      <c r="H375" s="28" t="s">
        <v>1317</v>
      </c>
      <c r="I375" s="41" t="s">
        <v>1321</v>
      </c>
      <c r="J375" s="41" t="s">
        <v>713</v>
      </c>
      <c r="K375" s="41" t="s">
        <v>715</v>
      </c>
      <c r="L375" s="41" t="s">
        <v>712</v>
      </c>
    </row>
    <row r="376" spans="1:12" ht="242.25">
      <c r="A376" s="40">
        <v>374</v>
      </c>
      <c r="B376" s="93"/>
      <c r="C376" s="87"/>
      <c r="D376" s="40" t="s">
        <v>708</v>
      </c>
      <c r="E376" s="63" t="s">
        <v>46</v>
      </c>
      <c r="F376" s="41" t="s">
        <v>1307</v>
      </c>
      <c r="G376" s="41" t="s">
        <v>1327</v>
      </c>
      <c r="H376" s="28" t="s">
        <v>1317</v>
      </c>
      <c r="I376" s="28" t="s">
        <v>778</v>
      </c>
      <c r="J376" s="28" t="s">
        <v>773</v>
      </c>
      <c r="K376" s="41" t="s">
        <v>1313</v>
      </c>
      <c r="L376" s="41" t="s">
        <v>1314</v>
      </c>
    </row>
    <row r="377" spans="1:12" ht="85.5">
      <c r="A377" s="40">
        <v>375</v>
      </c>
      <c r="B377" s="93"/>
      <c r="C377" s="87"/>
      <c r="D377" s="40" t="s">
        <v>709</v>
      </c>
      <c r="E377" s="63" t="s">
        <v>46</v>
      </c>
      <c r="F377" s="41" t="s">
        <v>1308</v>
      </c>
      <c r="G377" s="41" t="s">
        <v>1328</v>
      </c>
      <c r="H377" s="28" t="s">
        <v>1317</v>
      </c>
      <c r="I377" s="41" t="s">
        <v>1321</v>
      </c>
      <c r="J377" s="41" t="s">
        <v>713</v>
      </c>
      <c r="K377" s="41" t="s">
        <v>715</v>
      </c>
      <c r="L377" s="41" t="s">
        <v>712</v>
      </c>
    </row>
    <row r="378" spans="1:12" ht="242.25">
      <c r="A378" s="40">
        <v>376</v>
      </c>
      <c r="B378" s="93"/>
      <c r="C378" s="87"/>
      <c r="D378" s="40" t="s">
        <v>710</v>
      </c>
      <c r="E378" s="63" t="s">
        <v>46</v>
      </c>
      <c r="F378" s="41" t="s">
        <v>1309</v>
      </c>
      <c r="G378" s="41" t="s">
        <v>1327</v>
      </c>
      <c r="H378" s="28" t="s">
        <v>1317</v>
      </c>
      <c r="I378" s="28" t="s">
        <v>778</v>
      </c>
      <c r="J378" s="28" t="s">
        <v>773</v>
      </c>
      <c r="K378" s="41" t="s">
        <v>1313</v>
      </c>
      <c r="L378" s="41" t="s">
        <v>1314</v>
      </c>
    </row>
  </sheetData>
  <autoFilter ref="A2:L378"/>
  <mergeCells count="114">
    <mergeCell ref="D337:D338"/>
    <mergeCell ref="D339:D340"/>
    <mergeCell ref="D341:D342"/>
    <mergeCell ref="D343:D344"/>
    <mergeCell ref="D345:D346"/>
    <mergeCell ref="C352:C367"/>
    <mergeCell ref="D353:D354"/>
    <mergeCell ref="D355:D356"/>
    <mergeCell ref="D357:D358"/>
    <mergeCell ref="D359:D360"/>
    <mergeCell ref="D361:D362"/>
    <mergeCell ref="D294:D295"/>
    <mergeCell ref="D296:D297"/>
    <mergeCell ref="D298:D299"/>
    <mergeCell ref="D305:D306"/>
    <mergeCell ref="D307:D308"/>
    <mergeCell ref="C320:C335"/>
    <mergeCell ref="D321:D322"/>
    <mergeCell ref="D323:D324"/>
    <mergeCell ref="D325:D326"/>
    <mergeCell ref="D327:D328"/>
    <mergeCell ref="D329:D330"/>
    <mergeCell ref="D311:D312"/>
    <mergeCell ref="D309:D310"/>
    <mergeCell ref="D313:D314"/>
    <mergeCell ref="C368:C378"/>
    <mergeCell ref="B304:B378"/>
    <mergeCell ref="B276:B303"/>
    <mergeCell ref="B192:B275"/>
    <mergeCell ref="B166:B191"/>
    <mergeCell ref="C304:C319"/>
    <mergeCell ref="C53:C64"/>
    <mergeCell ref="C65:C79"/>
    <mergeCell ref="C80:C94"/>
    <mergeCell ref="C95:C109"/>
    <mergeCell ref="B140:B165"/>
    <mergeCell ref="C153:C165"/>
    <mergeCell ref="C207:C221"/>
    <mergeCell ref="C261:C275"/>
    <mergeCell ref="C336:C351"/>
    <mergeCell ref="C166:C178"/>
    <mergeCell ref="C179:C191"/>
    <mergeCell ref="E17:E18"/>
    <mergeCell ref="E19:E20"/>
    <mergeCell ref="A1:L1"/>
    <mergeCell ref="B2:C2"/>
    <mergeCell ref="C276:C289"/>
    <mergeCell ref="C290:C303"/>
    <mergeCell ref="B65:B139"/>
    <mergeCell ref="D30:D31"/>
    <mergeCell ref="D32:D33"/>
    <mergeCell ref="E30:E31"/>
    <mergeCell ref="E32:E33"/>
    <mergeCell ref="B3:B64"/>
    <mergeCell ref="C3:C15"/>
    <mergeCell ref="C16:C28"/>
    <mergeCell ref="C29:C41"/>
    <mergeCell ref="C42:C52"/>
    <mergeCell ref="E4:E5"/>
    <mergeCell ref="E6:E7"/>
    <mergeCell ref="E54:E55"/>
    <mergeCell ref="D210:D212"/>
    <mergeCell ref="D213:D214"/>
    <mergeCell ref="D215:D216"/>
    <mergeCell ref="D170:D171"/>
    <mergeCell ref="D172:D173"/>
    <mergeCell ref="D113:D114"/>
    <mergeCell ref="D115:D116"/>
    <mergeCell ref="D117:D118"/>
    <mergeCell ref="D127:D129"/>
    <mergeCell ref="D4:D5"/>
    <mergeCell ref="C248:C260"/>
    <mergeCell ref="C192:C206"/>
    <mergeCell ref="C110:C123"/>
    <mergeCell ref="C124:C139"/>
    <mergeCell ref="C140:C152"/>
    <mergeCell ref="D54:D55"/>
    <mergeCell ref="D144:D145"/>
    <mergeCell ref="D146:D147"/>
    <mergeCell ref="D157:D158"/>
    <mergeCell ref="D159:D160"/>
    <mergeCell ref="D130:D131"/>
    <mergeCell ref="D6:D7"/>
    <mergeCell ref="D17:D18"/>
    <mergeCell ref="D19:D20"/>
    <mergeCell ref="D185:D186"/>
    <mergeCell ref="D183:D184"/>
    <mergeCell ref="D195:D197"/>
    <mergeCell ref="C222:C234"/>
    <mergeCell ref="C235:C247"/>
    <mergeCell ref="D68:D70"/>
    <mergeCell ref="D71:D72"/>
    <mergeCell ref="D73:D74"/>
    <mergeCell ref="D83:D85"/>
    <mergeCell ref="D86:D87"/>
    <mergeCell ref="D88:D89"/>
    <mergeCell ref="D103:D104"/>
    <mergeCell ref="D101:D102"/>
    <mergeCell ref="D98:D100"/>
    <mergeCell ref="D264:D266"/>
    <mergeCell ref="D267:D268"/>
    <mergeCell ref="D269:D270"/>
    <mergeCell ref="D252:D253"/>
    <mergeCell ref="D254:D255"/>
    <mergeCell ref="D280:D281"/>
    <mergeCell ref="D282:D283"/>
    <mergeCell ref="D284:D285"/>
    <mergeCell ref="D132:D134"/>
    <mergeCell ref="D198:D199"/>
    <mergeCell ref="D200:D201"/>
    <mergeCell ref="D226:D227"/>
    <mergeCell ref="D228:D229"/>
    <mergeCell ref="D239:D240"/>
    <mergeCell ref="D241:D242"/>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zoomScale="90" zoomScaleNormal="90" workbookViewId="0">
      <pane ySplit="4" topLeftCell="A5" activePane="bottomLeft" state="frozen"/>
      <selection sqref="A1:Y4"/>
      <selection pane="bottomLeft" activeCell="W3" sqref="W3:W4"/>
    </sheetView>
  </sheetViews>
  <sheetFormatPr defaultRowHeight="12"/>
  <cols>
    <col min="1" max="1" width="3.42578125" style="50" bestFit="1" customWidth="1"/>
    <col min="2" max="2" width="7.5703125" style="50" bestFit="1" customWidth="1"/>
    <col min="3" max="3" width="5.5703125" style="50" bestFit="1" customWidth="1"/>
    <col min="4" max="4" width="10.7109375" style="50" bestFit="1" customWidth="1"/>
    <col min="5" max="5" width="12.140625" style="50" bestFit="1" customWidth="1"/>
    <col min="6" max="6" width="14.42578125" style="50" bestFit="1" customWidth="1"/>
    <col min="7" max="8" width="12.140625" style="50" bestFit="1" customWidth="1"/>
    <col min="9" max="9" width="14.42578125" style="50" bestFit="1" customWidth="1"/>
    <col min="10" max="11" width="12.140625" style="50" bestFit="1" customWidth="1"/>
    <col min="12" max="12" width="14.42578125" style="50" bestFit="1" customWidth="1"/>
    <col min="13" max="13" width="14.7109375" style="50" bestFit="1" customWidth="1"/>
    <col min="14" max="14" width="8.5703125" style="50" bestFit="1" customWidth="1"/>
    <col min="15" max="15" width="12.42578125" style="50" bestFit="1" customWidth="1"/>
    <col min="16" max="16" width="14.42578125" style="50" bestFit="1" customWidth="1"/>
    <col min="17" max="17" width="12.7109375" style="50" customWidth="1"/>
    <col min="18" max="18" width="12.42578125" style="50" bestFit="1" customWidth="1"/>
    <col min="19" max="19" width="14.42578125" style="50" bestFit="1" customWidth="1"/>
    <col min="20" max="20" width="12.85546875" style="50" customWidth="1"/>
    <col min="21" max="21" width="12.42578125" style="50" bestFit="1" customWidth="1"/>
    <col min="22" max="22" width="14.42578125" style="50" bestFit="1" customWidth="1"/>
    <col min="23" max="23" width="14.7109375" style="50" bestFit="1" customWidth="1"/>
    <col min="24" max="24" width="8.5703125" style="50" bestFit="1" customWidth="1"/>
    <col min="25" max="25" width="12.42578125" style="50" bestFit="1" customWidth="1"/>
    <col min="26" max="16384" width="9.140625" style="50"/>
  </cols>
  <sheetData>
    <row r="1" spans="1:25" ht="12" customHeight="1">
      <c r="A1" s="108" t="s">
        <v>743</v>
      </c>
      <c r="B1" s="109" t="s">
        <v>742</v>
      </c>
      <c r="C1" s="109"/>
      <c r="D1" s="109"/>
      <c r="E1" s="110" t="s">
        <v>1467</v>
      </c>
      <c r="F1" s="110"/>
      <c r="G1" s="110"/>
      <c r="H1" s="110"/>
      <c r="I1" s="110"/>
      <c r="J1" s="110"/>
      <c r="K1" s="110"/>
      <c r="L1" s="110"/>
      <c r="M1" s="110"/>
      <c r="N1" s="110"/>
      <c r="O1" s="109" t="s">
        <v>1468</v>
      </c>
      <c r="P1" s="109"/>
      <c r="Q1" s="109"/>
      <c r="R1" s="109"/>
      <c r="S1" s="109"/>
      <c r="T1" s="109"/>
      <c r="U1" s="109"/>
      <c r="V1" s="109"/>
      <c r="W1" s="109"/>
      <c r="X1" s="109"/>
      <c r="Y1" s="111" t="s">
        <v>741</v>
      </c>
    </row>
    <row r="2" spans="1:25">
      <c r="A2" s="108"/>
      <c r="B2" s="109"/>
      <c r="C2" s="109"/>
      <c r="D2" s="109"/>
      <c r="E2" s="110" t="s">
        <v>740</v>
      </c>
      <c r="F2" s="110"/>
      <c r="G2" s="110"/>
      <c r="H2" s="110" t="s">
        <v>739</v>
      </c>
      <c r="I2" s="110"/>
      <c r="J2" s="110"/>
      <c r="K2" s="110" t="s">
        <v>738</v>
      </c>
      <c r="L2" s="110"/>
      <c r="M2" s="110"/>
      <c r="N2" s="110"/>
      <c r="O2" s="109" t="s">
        <v>740</v>
      </c>
      <c r="P2" s="109"/>
      <c r="Q2" s="109"/>
      <c r="R2" s="109" t="s">
        <v>739</v>
      </c>
      <c r="S2" s="109"/>
      <c r="T2" s="109"/>
      <c r="U2" s="109" t="s">
        <v>738</v>
      </c>
      <c r="V2" s="109"/>
      <c r="W2" s="109"/>
      <c r="X2" s="109"/>
      <c r="Y2" s="108"/>
    </row>
    <row r="3" spans="1:25" ht="12" customHeight="1">
      <c r="A3" s="108"/>
      <c r="B3" s="109"/>
      <c r="C3" s="109"/>
      <c r="D3" s="109"/>
      <c r="E3" s="110" t="s">
        <v>737</v>
      </c>
      <c r="F3" s="110"/>
      <c r="G3" s="112" t="s">
        <v>1650</v>
      </c>
      <c r="H3" s="110" t="s">
        <v>736</v>
      </c>
      <c r="I3" s="110"/>
      <c r="J3" s="112" t="s">
        <v>1651</v>
      </c>
      <c r="K3" s="110" t="s">
        <v>735</v>
      </c>
      <c r="L3" s="110"/>
      <c r="M3" s="110" t="s">
        <v>1788</v>
      </c>
      <c r="N3" s="110" t="s">
        <v>734</v>
      </c>
      <c r="O3" s="109" t="s">
        <v>737</v>
      </c>
      <c r="P3" s="109"/>
      <c r="Q3" s="113" t="s">
        <v>1650</v>
      </c>
      <c r="R3" s="109" t="s">
        <v>736</v>
      </c>
      <c r="S3" s="109"/>
      <c r="T3" s="113" t="s">
        <v>1651</v>
      </c>
      <c r="U3" s="109" t="s">
        <v>735</v>
      </c>
      <c r="V3" s="109"/>
      <c r="W3" s="109" t="s">
        <v>1788</v>
      </c>
      <c r="X3" s="109" t="s">
        <v>734</v>
      </c>
      <c r="Y3" s="108"/>
    </row>
    <row r="4" spans="1:25">
      <c r="A4" s="108"/>
      <c r="B4" s="52" t="s">
        <v>744</v>
      </c>
      <c r="C4" s="52" t="s">
        <v>745</v>
      </c>
      <c r="D4" s="52" t="s">
        <v>746</v>
      </c>
      <c r="E4" s="53" t="s">
        <v>733</v>
      </c>
      <c r="F4" s="53" t="s">
        <v>732</v>
      </c>
      <c r="G4" s="112"/>
      <c r="H4" s="70" t="s">
        <v>733</v>
      </c>
      <c r="I4" s="70" t="s">
        <v>732</v>
      </c>
      <c r="J4" s="112"/>
      <c r="K4" s="70" t="s">
        <v>733</v>
      </c>
      <c r="L4" s="70" t="s">
        <v>732</v>
      </c>
      <c r="M4" s="110"/>
      <c r="N4" s="110"/>
      <c r="O4" s="69" t="s">
        <v>733</v>
      </c>
      <c r="P4" s="69" t="s">
        <v>732</v>
      </c>
      <c r="Q4" s="113"/>
      <c r="R4" s="69" t="s">
        <v>733</v>
      </c>
      <c r="S4" s="69" t="s">
        <v>732</v>
      </c>
      <c r="T4" s="113"/>
      <c r="U4" s="52" t="s">
        <v>733</v>
      </c>
      <c r="V4" s="52" t="s">
        <v>732</v>
      </c>
      <c r="W4" s="109"/>
      <c r="X4" s="109"/>
      <c r="Y4" s="108"/>
    </row>
    <row r="5" spans="1:25">
      <c r="A5" s="51">
        <v>61</v>
      </c>
      <c r="B5" s="51">
        <v>162376</v>
      </c>
      <c r="C5" s="51">
        <v>6045</v>
      </c>
      <c r="D5" s="51">
        <v>3809</v>
      </c>
      <c r="E5" s="51" t="b">
        <f>AND(F5/4096 &lt; 1)</f>
        <v>1</v>
      </c>
      <c r="F5" s="51">
        <v>1849</v>
      </c>
      <c r="G5" s="51" t="b">
        <v>0</v>
      </c>
      <c r="H5" s="51" t="b">
        <f>AND(I5/4096 &lt; 1)</f>
        <v>1</v>
      </c>
      <c r="I5" s="51">
        <v>2906</v>
      </c>
      <c r="J5" s="51" t="b">
        <v>1</v>
      </c>
      <c r="K5" s="51" t="b">
        <f>AND(L5/4096 &lt; 1)</f>
        <v>1</v>
      </c>
      <c r="L5" s="51">
        <v>2377</v>
      </c>
      <c r="M5" s="51">
        <v>1</v>
      </c>
      <c r="N5" s="51">
        <v>0</v>
      </c>
      <c r="O5" s="51" t="b">
        <v>1</v>
      </c>
      <c r="P5" s="51">
        <v>1849</v>
      </c>
      <c r="Q5" s="51" t="b">
        <v>0</v>
      </c>
      <c r="R5" s="51" t="b">
        <v>1</v>
      </c>
      <c r="S5" s="51">
        <v>2906</v>
      </c>
      <c r="T5" s="51" t="b">
        <v>1</v>
      </c>
      <c r="U5" s="51" t="b">
        <v>1</v>
      </c>
      <c r="V5" s="51">
        <v>2377</v>
      </c>
      <c r="W5" s="51">
        <v>1</v>
      </c>
      <c r="X5" s="51">
        <v>0</v>
      </c>
      <c r="Y5" s="51" t="b">
        <f t="shared" ref="Y5:Y20" si="0">AND(E5=O5,F5=P5,G5=Q5,H5=R5,I5=S5,J5=T5,K5=U5,L5=V5,M5=W5,N5=X5)</f>
        <v>1</v>
      </c>
    </row>
    <row r="6" spans="1:25">
      <c r="A6" s="51">
        <v>62</v>
      </c>
      <c r="B6" s="51">
        <v>160380</v>
      </c>
      <c r="C6" s="51">
        <v>6211</v>
      </c>
      <c r="D6" s="51">
        <v>3194</v>
      </c>
      <c r="E6" s="51" t="b">
        <f t="shared" ref="E6:E20" si="1">AND(F6/4096 &lt; 1)</f>
        <v>1</v>
      </c>
      <c r="F6" s="51">
        <v>1849</v>
      </c>
      <c r="G6" s="51" t="b">
        <v>0</v>
      </c>
      <c r="H6" s="51" t="b">
        <f t="shared" ref="H6:H20" si="2">AND(I6/4096 &lt; 1)</f>
        <v>1</v>
      </c>
      <c r="I6" s="51">
        <v>2906</v>
      </c>
      <c r="J6" s="51" t="b">
        <v>1</v>
      </c>
      <c r="K6" s="51" t="b">
        <f t="shared" ref="K6:K20" si="3">AND(L6/4096 &lt; 1)</f>
        <v>1</v>
      </c>
      <c r="L6" s="51">
        <v>2377</v>
      </c>
      <c r="M6" s="51">
        <v>1</v>
      </c>
      <c r="N6" s="51">
        <v>0</v>
      </c>
      <c r="O6" s="51" t="b">
        <v>1</v>
      </c>
      <c r="P6" s="51">
        <v>1849</v>
      </c>
      <c r="Q6" s="51" t="b">
        <v>0</v>
      </c>
      <c r="R6" s="51" t="b">
        <v>1</v>
      </c>
      <c r="S6" s="51">
        <v>2906</v>
      </c>
      <c r="T6" s="51" t="b">
        <v>1</v>
      </c>
      <c r="U6" s="51" t="b">
        <v>1</v>
      </c>
      <c r="V6" s="51">
        <v>2377</v>
      </c>
      <c r="W6" s="51">
        <v>1</v>
      </c>
      <c r="X6" s="51">
        <v>0</v>
      </c>
      <c r="Y6" s="51" t="b">
        <f t="shared" si="0"/>
        <v>1</v>
      </c>
    </row>
    <row r="7" spans="1:25">
      <c r="A7" s="51">
        <v>63</v>
      </c>
      <c r="B7" s="51">
        <v>177111</v>
      </c>
      <c r="C7" s="51">
        <v>25575</v>
      </c>
      <c r="D7" s="51">
        <v>3809</v>
      </c>
      <c r="E7" s="51" t="b">
        <f t="shared" si="1"/>
        <v>1</v>
      </c>
      <c r="F7" s="51">
        <v>1849</v>
      </c>
      <c r="G7" s="51" t="b">
        <v>0</v>
      </c>
      <c r="H7" s="51" t="b">
        <f t="shared" si="2"/>
        <v>1</v>
      </c>
      <c r="I7" s="51">
        <v>1427</v>
      </c>
      <c r="J7" s="51" t="b">
        <v>1</v>
      </c>
      <c r="K7" s="51" t="b">
        <f t="shared" si="3"/>
        <v>1</v>
      </c>
      <c r="L7" s="51">
        <v>1638</v>
      </c>
      <c r="M7" s="51">
        <v>1</v>
      </c>
      <c r="N7" s="51">
        <v>1</v>
      </c>
      <c r="O7" s="51" t="b">
        <v>1</v>
      </c>
      <c r="P7" s="51">
        <v>1849</v>
      </c>
      <c r="Q7" s="51" t="b">
        <v>0</v>
      </c>
      <c r="R7" s="51" t="b">
        <v>1</v>
      </c>
      <c r="S7" s="51">
        <v>1427</v>
      </c>
      <c r="T7" s="51" t="b">
        <v>1</v>
      </c>
      <c r="U7" s="51" t="b">
        <v>1</v>
      </c>
      <c r="V7" s="51">
        <v>1638</v>
      </c>
      <c r="W7" s="51">
        <v>1</v>
      </c>
      <c r="X7" s="51">
        <v>1</v>
      </c>
      <c r="Y7" s="51" t="b">
        <f t="shared" si="0"/>
        <v>1</v>
      </c>
    </row>
    <row r="8" spans="1:25">
      <c r="A8" s="51">
        <v>64</v>
      </c>
      <c r="B8" s="51">
        <v>163079</v>
      </c>
      <c r="C8" s="51">
        <v>20593</v>
      </c>
      <c r="D8" s="51">
        <v>3809</v>
      </c>
      <c r="E8" s="51" t="b">
        <f t="shared" si="1"/>
        <v>1</v>
      </c>
      <c r="F8" s="51">
        <v>474</v>
      </c>
      <c r="G8" s="51" t="b">
        <v>1</v>
      </c>
      <c r="H8" s="51" t="b">
        <f t="shared" si="2"/>
        <v>1</v>
      </c>
      <c r="I8" s="51">
        <v>2696</v>
      </c>
      <c r="J8" s="51" t="b">
        <v>1</v>
      </c>
      <c r="K8" s="51" t="b">
        <f t="shared" si="3"/>
        <v>1</v>
      </c>
      <c r="L8" s="51">
        <v>1585</v>
      </c>
      <c r="M8" s="51">
        <v>1</v>
      </c>
      <c r="N8" s="51">
        <v>1</v>
      </c>
      <c r="O8" s="51" t="b">
        <v>1</v>
      </c>
      <c r="P8" s="51">
        <v>474</v>
      </c>
      <c r="Q8" s="51" t="b">
        <v>1</v>
      </c>
      <c r="R8" s="51" t="b">
        <v>1</v>
      </c>
      <c r="S8" s="51">
        <v>2696</v>
      </c>
      <c r="T8" s="51" t="b">
        <v>1</v>
      </c>
      <c r="U8" s="51" t="b">
        <v>1</v>
      </c>
      <c r="V8" s="51">
        <v>1585</v>
      </c>
      <c r="W8" s="51">
        <v>1</v>
      </c>
      <c r="X8" s="51">
        <v>1</v>
      </c>
      <c r="Y8" s="51" t="b">
        <f t="shared" si="0"/>
        <v>1</v>
      </c>
    </row>
    <row r="9" spans="1:25">
      <c r="A9" s="51">
        <v>65</v>
      </c>
      <c r="B9" s="51">
        <v>159321</v>
      </c>
      <c r="C9" s="51">
        <v>5941</v>
      </c>
      <c r="D9" s="51">
        <v>4761</v>
      </c>
      <c r="E9" s="51" t="b">
        <f t="shared" si="1"/>
        <v>1</v>
      </c>
      <c r="F9" s="51">
        <v>474</v>
      </c>
      <c r="G9" s="51" t="b">
        <v>0</v>
      </c>
      <c r="H9" s="51" t="b">
        <f t="shared" si="2"/>
        <v>1</v>
      </c>
      <c r="I9" s="51">
        <v>2906</v>
      </c>
      <c r="J9" s="51" t="b">
        <v>1</v>
      </c>
      <c r="K9" s="51" t="b">
        <f t="shared" si="3"/>
        <v>1</v>
      </c>
      <c r="L9" s="51">
        <v>1690</v>
      </c>
      <c r="M9" s="51">
        <v>1</v>
      </c>
      <c r="N9" s="51">
        <v>1</v>
      </c>
      <c r="O9" s="51" t="b">
        <v>1</v>
      </c>
      <c r="P9" s="51">
        <v>474</v>
      </c>
      <c r="Q9" s="51" t="b">
        <v>0</v>
      </c>
      <c r="R9" s="51" t="b">
        <v>1</v>
      </c>
      <c r="S9" s="51">
        <v>2906</v>
      </c>
      <c r="T9" s="51" t="b">
        <v>1</v>
      </c>
      <c r="U9" s="51" t="b">
        <v>1</v>
      </c>
      <c r="V9" s="51">
        <v>1690</v>
      </c>
      <c r="W9" s="51">
        <v>1</v>
      </c>
      <c r="X9" s="51">
        <v>1</v>
      </c>
      <c r="Y9" s="51" t="b">
        <f t="shared" si="0"/>
        <v>1</v>
      </c>
    </row>
    <row r="10" spans="1:25">
      <c r="A10" s="51">
        <v>66</v>
      </c>
      <c r="B10" s="51">
        <v>174039</v>
      </c>
      <c r="C10" s="51">
        <v>30207</v>
      </c>
      <c r="D10" s="51">
        <v>2662</v>
      </c>
      <c r="E10" s="51" t="b">
        <f t="shared" si="1"/>
        <v>1</v>
      </c>
      <c r="F10" s="51">
        <v>474</v>
      </c>
      <c r="G10" s="51" t="b">
        <v>0</v>
      </c>
      <c r="H10" s="51" t="b">
        <f t="shared" si="2"/>
        <v>1</v>
      </c>
      <c r="I10" s="51">
        <v>176</v>
      </c>
      <c r="J10" s="51" t="b">
        <v>1</v>
      </c>
      <c r="K10" s="51" t="b">
        <f t="shared" si="3"/>
        <v>1</v>
      </c>
      <c r="L10" s="51">
        <v>325</v>
      </c>
      <c r="M10" s="51">
        <v>1</v>
      </c>
      <c r="N10" s="51">
        <v>1</v>
      </c>
      <c r="O10" s="51" t="b">
        <v>1</v>
      </c>
      <c r="P10" s="51">
        <v>474</v>
      </c>
      <c r="Q10" s="51" t="b">
        <v>0</v>
      </c>
      <c r="R10" s="51" t="b">
        <v>1</v>
      </c>
      <c r="S10" s="51">
        <v>176</v>
      </c>
      <c r="T10" s="51" t="b">
        <v>1</v>
      </c>
      <c r="U10" s="51" t="b">
        <v>1</v>
      </c>
      <c r="V10" s="51">
        <v>325</v>
      </c>
      <c r="W10" s="51">
        <v>1</v>
      </c>
      <c r="X10" s="51">
        <v>1</v>
      </c>
      <c r="Y10" s="51" t="b">
        <f t="shared" si="0"/>
        <v>1</v>
      </c>
    </row>
    <row r="11" spans="1:25">
      <c r="A11" s="51">
        <v>67</v>
      </c>
      <c r="B11" s="51">
        <v>167758</v>
      </c>
      <c r="C11" s="51">
        <v>18266</v>
      </c>
      <c r="D11" s="51">
        <v>2662</v>
      </c>
      <c r="E11" s="51" t="b">
        <f t="shared" si="1"/>
        <v>1</v>
      </c>
      <c r="F11" s="51">
        <v>474</v>
      </c>
      <c r="G11" s="51" t="b">
        <v>0</v>
      </c>
      <c r="H11" s="51" t="b">
        <f t="shared" si="2"/>
        <v>1</v>
      </c>
      <c r="I11" s="51">
        <v>1541</v>
      </c>
      <c r="J11" s="51" t="b">
        <v>1</v>
      </c>
      <c r="K11" s="51" t="b">
        <f t="shared" si="3"/>
        <v>1</v>
      </c>
      <c r="L11" s="51">
        <v>1007</v>
      </c>
      <c r="M11" s="51">
        <v>1</v>
      </c>
      <c r="N11" s="51">
        <v>1</v>
      </c>
      <c r="O11" s="51" t="b">
        <v>1</v>
      </c>
      <c r="P11" s="51">
        <v>474</v>
      </c>
      <c r="Q11" s="51" t="b">
        <v>0</v>
      </c>
      <c r="R11" s="51" t="b">
        <v>1</v>
      </c>
      <c r="S11" s="51">
        <v>1541</v>
      </c>
      <c r="T11" s="51" t="b">
        <v>1</v>
      </c>
      <c r="U11" s="51" t="b">
        <v>1</v>
      </c>
      <c r="V11" s="51">
        <v>1007</v>
      </c>
      <c r="W11" s="51">
        <v>1</v>
      </c>
      <c r="X11" s="51">
        <v>1</v>
      </c>
      <c r="Y11" s="51" t="b">
        <f t="shared" si="0"/>
        <v>1</v>
      </c>
    </row>
    <row r="12" spans="1:25">
      <c r="A12" s="51">
        <v>68</v>
      </c>
      <c r="B12" s="51">
        <v>170874</v>
      </c>
      <c r="C12" s="51">
        <v>16280</v>
      </c>
      <c r="D12" s="51">
        <v>5713</v>
      </c>
      <c r="E12" s="51" t="b">
        <f t="shared" si="1"/>
        <v>1</v>
      </c>
      <c r="F12" s="51">
        <v>2781</v>
      </c>
      <c r="G12" s="51" t="b">
        <v>1</v>
      </c>
      <c r="H12" s="51" t="b">
        <f t="shared" si="2"/>
        <v>1</v>
      </c>
      <c r="I12" s="51">
        <v>2906</v>
      </c>
      <c r="J12" s="51" t="b">
        <v>1</v>
      </c>
      <c r="K12" s="51" t="b">
        <f t="shared" si="3"/>
        <v>1</v>
      </c>
      <c r="L12" s="51">
        <v>2843</v>
      </c>
      <c r="M12" s="51">
        <v>1</v>
      </c>
      <c r="N12" s="51">
        <v>0</v>
      </c>
      <c r="O12" s="51" t="b">
        <v>1</v>
      </c>
      <c r="P12" s="51">
        <v>2781</v>
      </c>
      <c r="Q12" s="51" t="b">
        <v>1</v>
      </c>
      <c r="R12" s="51" t="b">
        <v>1</v>
      </c>
      <c r="S12" s="51">
        <v>2906</v>
      </c>
      <c r="T12" s="51" t="b">
        <v>1</v>
      </c>
      <c r="U12" s="51" t="b">
        <v>1</v>
      </c>
      <c r="V12" s="51">
        <v>2843</v>
      </c>
      <c r="W12" s="51">
        <v>1</v>
      </c>
      <c r="X12" s="51">
        <v>0</v>
      </c>
      <c r="Y12" s="51" t="b">
        <f t="shared" si="0"/>
        <v>1</v>
      </c>
    </row>
    <row r="13" spans="1:25">
      <c r="A13" s="51">
        <v>69</v>
      </c>
      <c r="B13" s="51">
        <v>165033</v>
      </c>
      <c r="C13" s="51">
        <v>22035</v>
      </c>
      <c r="D13" s="51">
        <v>3809</v>
      </c>
      <c r="E13" s="51" t="b">
        <f t="shared" si="1"/>
        <v>1</v>
      </c>
      <c r="F13" s="51">
        <v>2781</v>
      </c>
      <c r="G13" s="51" t="b">
        <v>0</v>
      </c>
      <c r="H13" s="51" t="b">
        <f t="shared" si="2"/>
        <v>1</v>
      </c>
      <c r="I13" s="51">
        <v>2696</v>
      </c>
      <c r="J13" s="51" t="b">
        <v>1</v>
      </c>
      <c r="K13" s="51" t="b">
        <f t="shared" si="3"/>
        <v>1</v>
      </c>
      <c r="L13" s="51">
        <v>2738</v>
      </c>
      <c r="M13" s="51">
        <v>1</v>
      </c>
      <c r="N13" s="51">
        <v>0</v>
      </c>
      <c r="O13" s="51" t="b">
        <v>1</v>
      </c>
      <c r="P13" s="51">
        <v>2781</v>
      </c>
      <c r="Q13" s="51" t="b">
        <v>0</v>
      </c>
      <c r="R13" s="51" t="b">
        <v>1</v>
      </c>
      <c r="S13" s="51">
        <v>2696</v>
      </c>
      <c r="T13" s="51" t="b">
        <v>1</v>
      </c>
      <c r="U13" s="51" t="b">
        <v>1</v>
      </c>
      <c r="V13" s="51">
        <v>2738</v>
      </c>
      <c r="W13" s="51">
        <v>1</v>
      </c>
      <c r="X13" s="51">
        <v>0</v>
      </c>
      <c r="Y13" s="51" t="b">
        <f t="shared" si="0"/>
        <v>1</v>
      </c>
    </row>
    <row r="14" spans="1:25">
      <c r="A14" s="51">
        <v>70</v>
      </c>
      <c r="B14" s="51">
        <v>164903</v>
      </c>
      <c r="C14" s="51">
        <v>8391</v>
      </c>
      <c r="D14" s="51">
        <v>3194</v>
      </c>
      <c r="E14" s="51" t="b">
        <f t="shared" si="1"/>
        <v>1</v>
      </c>
      <c r="F14" s="51">
        <v>2781</v>
      </c>
      <c r="G14" s="51" t="b">
        <v>0</v>
      </c>
      <c r="H14" s="51" t="b">
        <f t="shared" si="2"/>
        <v>1</v>
      </c>
      <c r="I14" s="51">
        <v>2906</v>
      </c>
      <c r="J14" s="51" t="b">
        <v>1</v>
      </c>
      <c r="K14" s="51" t="b">
        <f t="shared" si="3"/>
        <v>1</v>
      </c>
      <c r="L14" s="51">
        <v>2843</v>
      </c>
      <c r="M14" s="51">
        <v>1</v>
      </c>
      <c r="N14" s="51">
        <v>0</v>
      </c>
      <c r="O14" s="51" t="b">
        <v>1</v>
      </c>
      <c r="P14" s="51">
        <v>2781</v>
      </c>
      <c r="Q14" s="51" t="b">
        <v>0</v>
      </c>
      <c r="R14" s="51" t="b">
        <v>1</v>
      </c>
      <c r="S14" s="51">
        <v>2906</v>
      </c>
      <c r="T14" s="51" t="b">
        <v>1</v>
      </c>
      <c r="U14" s="51" t="b">
        <v>1</v>
      </c>
      <c r="V14" s="51">
        <v>2843</v>
      </c>
      <c r="W14" s="51">
        <v>1</v>
      </c>
      <c r="X14" s="51">
        <v>0</v>
      </c>
      <c r="Y14" s="51" t="b">
        <f t="shared" si="0"/>
        <v>1</v>
      </c>
    </row>
    <row r="15" spans="1:25">
      <c r="A15" s="51">
        <v>71</v>
      </c>
      <c r="B15" s="51">
        <v>162851</v>
      </c>
      <c r="C15" s="51">
        <v>27436</v>
      </c>
      <c r="D15" s="51">
        <v>3194</v>
      </c>
      <c r="E15" s="51" t="b">
        <f t="shared" si="1"/>
        <v>1</v>
      </c>
      <c r="F15" s="51">
        <v>2781</v>
      </c>
      <c r="G15" s="51" t="b">
        <v>0</v>
      </c>
      <c r="H15" s="51" t="b">
        <f t="shared" si="2"/>
        <v>1</v>
      </c>
      <c r="I15" s="51">
        <v>517</v>
      </c>
      <c r="J15" s="51" t="b">
        <v>1</v>
      </c>
      <c r="K15" s="51" t="b">
        <f t="shared" si="3"/>
        <v>1</v>
      </c>
      <c r="L15" s="51">
        <v>1649</v>
      </c>
      <c r="M15" s="51">
        <v>1</v>
      </c>
      <c r="N15" s="51">
        <v>1</v>
      </c>
      <c r="O15" s="51" t="b">
        <v>1</v>
      </c>
      <c r="P15" s="51">
        <v>2781</v>
      </c>
      <c r="Q15" s="51" t="b">
        <v>0</v>
      </c>
      <c r="R15" s="51" t="b">
        <v>1</v>
      </c>
      <c r="S15" s="51">
        <v>517</v>
      </c>
      <c r="T15" s="51" t="b">
        <v>1</v>
      </c>
      <c r="U15" s="51" t="b">
        <v>1</v>
      </c>
      <c r="V15" s="51">
        <v>1649</v>
      </c>
      <c r="W15" s="51">
        <v>1</v>
      </c>
      <c r="X15" s="51">
        <v>1</v>
      </c>
      <c r="Y15" s="51" t="b">
        <f t="shared" si="0"/>
        <v>1</v>
      </c>
    </row>
    <row r="16" spans="1:25">
      <c r="A16" s="51">
        <v>72</v>
      </c>
      <c r="B16" s="51">
        <v>163315</v>
      </c>
      <c r="C16" s="51">
        <v>15928</v>
      </c>
      <c r="D16" s="51">
        <v>3809</v>
      </c>
      <c r="E16" s="51" t="b">
        <f t="shared" si="1"/>
        <v>1</v>
      </c>
      <c r="F16" s="51">
        <v>1849</v>
      </c>
      <c r="G16" s="51" t="b">
        <v>1</v>
      </c>
      <c r="H16" s="51" t="b">
        <f t="shared" si="2"/>
        <v>1</v>
      </c>
      <c r="I16" s="51">
        <v>2906</v>
      </c>
      <c r="J16" s="51" t="b">
        <v>1</v>
      </c>
      <c r="K16" s="51" t="b">
        <f t="shared" si="3"/>
        <v>1</v>
      </c>
      <c r="L16" s="51">
        <v>2377</v>
      </c>
      <c r="M16" s="51">
        <v>1</v>
      </c>
      <c r="N16" s="51">
        <v>0</v>
      </c>
      <c r="O16" s="51" t="b">
        <v>1</v>
      </c>
      <c r="P16" s="51">
        <v>1849</v>
      </c>
      <c r="Q16" s="51" t="b">
        <v>1</v>
      </c>
      <c r="R16" s="51" t="b">
        <v>1</v>
      </c>
      <c r="S16" s="51">
        <v>2906</v>
      </c>
      <c r="T16" s="51" t="b">
        <v>1</v>
      </c>
      <c r="U16" s="51" t="b">
        <v>1</v>
      </c>
      <c r="V16" s="51">
        <v>2377</v>
      </c>
      <c r="W16" s="51">
        <v>1</v>
      </c>
      <c r="X16" s="51">
        <v>0</v>
      </c>
      <c r="Y16" s="51" t="b">
        <f t="shared" si="0"/>
        <v>1</v>
      </c>
    </row>
    <row r="17" spans="1:25">
      <c r="A17" s="51">
        <v>73</v>
      </c>
      <c r="B17" s="51">
        <v>169349</v>
      </c>
      <c r="C17" s="51">
        <v>22218</v>
      </c>
      <c r="D17" s="51">
        <v>3194</v>
      </c>
      <c r="E17" s="51" t="b">
        <f t="shared" si="1"/>
        <v>1</v>
      </c>
      <c r="F17" s="51">
        <v>1849</v>
      </c>
      <c r="G17" s="51" t="b">
        <v>0</v>
      </c>
      <c r="H17" s="51" t="b">
        <f t="shared" si="2"/>
        <v>1</v>
      </c>
      <c r="I17" s="51">
        <v>1604</v>
      </c>
      <c r="J17" s="51" t="b">
        <v>1</v>
      </c>
      <c r="K17" s="51" t="b">
        <f t="shared" si="3"/>
        <v>1</v>
      </c>
      <c r="L17" s="51">
        <v>1726</v>
      </c>
      <c r="M17" s="51">
        <v>1</v>
      </c>
      <c r="N17" s="51">
        <v>1</v>
      </c>
      <c r="O17" s="51" t="b">
        <v>1</v>
      </c>
      <c r="P17" s="51">
        <v>1849</v>
      </c>
      <c r="Q17" s="51" t="b">
        <v>0</v>
      </c>
      <c r="R17" s="51" t="b">
        <v>1</v>
      </c>
      <c r="S17" s="51">
        <v>1604</v>
      </c>
      <c r="T17" s="51" t="b">
        <v>1</v>
      </c>
      <c r="U17" s="51" t="b">
        <v>1</v>
      </c>
      <c r="V17" s="51">
        <v>1726</v>
      </c>
      <c r="W17" s="51">
        <v>1</v>
      </c>
      <c r="X17" s="51">
        <v>1</v>
      </c>
      <c r="Y17" s="51" t="b">
        <f t="shared" si="0"/>
        <v>1</v>
      </c>
    </row>
    <row r="18" spans="1:25">
      <c r="A18" s="51">
        <v>74</v>
      </c>
      <c r="B18" s="51">
        <v>169616</v>
      </c>
      <c r="C18" s="51">
        <v>25365</v>
      </c>
      <c r="D18" s="51">
        <v>4761</v>
      </c>
      <c r="E18" s="51" t="b">
        <f t="shared" si="1"/>
        <v>1</v>
      </c>
      <c r="F18" s="51">
        <v>1849</v>
      </c>
      <c r="G18" s="51" t="b">
        <v>0</v>
      </c>
      <c r="H18" s="51" t="b">
        <f t="shared" si="2"/>
        <v>1</v>
      </c>
      <c r="I18" s="51">
        <v>790</v>
      </c>
      <c r="J18" s="51" t="b">
        <v>1</v>
      </c>
      <c r="K18" s="51" t="b">
        <f t="shared" si="3"/>
        <v>1</v>
      </c>
      <c r="L18" s="51">
        <v>1319</v>
      </c>
      <c r="M18" s="51">
        <v>1</v>
      </c>
      <c r="N18" s="51">
        <v>1</v>
      </c>
      <c r="O18" s="51" t="b">
        <v>1</v>
      </c>
      <c r="P18" s="51">
        <v>1849</v>
      </c>
      <c r="Q18" s="51" t="b">
        <v>0</v>
      </c>
      <c r="R18" s="51" t="b">
        <v>1</v>
      </c>
      <c r="S18" s="51">
        <v>790</v>
      </c>
      <c r="T18" s="51" t="b">
        <v>1</v>
      </c>
      <c r="U18" s="51" t="b">
        <v>1</v>
      </c>
      <c r="V18" s="51">
        <v>1319</v>
      </c>
      <c r="W18" s="51">
        <v>1</v>
      </c>
      <c r="X18" s="51">
        <v>1</v>
      </c>
      <c r="Y18" s="51" t="b">
        <f t="shared" si="0"/>
        <v>1</v>
      </c>
    </row>
    <row r="19" spans="1:25">
      <c r="A19" s="51">
        <v>75</v>
      </c>
      <c r="B19" s="51">
        <v>153988</v>
      </c>
      <c r="C19" s="51">
        <v>15400</v>
      </c>
      <c r="D19" s="51">
        <v>2662</v>
      </c>
      <c r="E19" s="51" t="b">
        <f t="shared" si="1"/>
        <v>1</v>
      </c>
      <c r="F19" s="51">
        <v>1849</v>
      </c>
      <c r="G19" s="51" t="b">
        <v>0</v>
      </c>
      <c r="H19" s="51" t="b">
        <f t="shared" si="2"/>
        <v>1</v>
      </c>
      <c r="I19" s="51">
        <v>2906</v>
      </c>
      <c r="J19" s="51" t="b">
        <v>1</v>
      </c>
      <c r="K19" s="51" t="b">
        <f t="shared" si="3"/>
        <v>1</v>
      </c>
      <c r="L19" s="51">
        <v>2377</v>
      </c>
      <c r="M19" s="51">
        <v>1</v>
      </c>
      <c r="N19" s="51">
        <v>0</v>
      </c>
      <c r="O19" s="51" t="b">
        <v>1</v>
      </c>
      <c r="P19" s="51">
        <v>1849</v>
      </c>
      <c r="Q19" s="51" t="b">
        <v>0</v>
      </c>
      <c r="R19" s="51" t="b">
        <v>1</v>
      </c>
      <c r="S19" s="51">
        <v>2906</v>
      </c>
      <c r="T19" s="51" t="b">
        <v>1</v>
      </c>
      <c r="U19" s="51" t="b">
        <v>1</v>
      </c>
      <c r="V19" s="51">
        <v>2377</v>
      </c>
      <c r="W19" s="51">
        <v>1</v>
      </c>
      <c r="X19" s="51">
        <v>0</v>
      </c>
      <c r="Y19" s="51" t="b">
        <f t="shared" si="0"/>
        <v>1</v>
      </c>
    </row>
    <row r="20" spans="1:25">
      <c r="A20" s="51">
        <v>76</v>
      </c>
      <c r="B20" s="51">
        <v>1426280</v>
      </c>
      <c r="C20" s="51">
        <v>83351</v>
      </c>
      <c r="D20" s="51">
        <v>3184</v>
      </c>
      <c r="E20" s="51" t="b">
        <f t="shared" si="1"/>
        <v>1</v>
      </c>
      <c r="F20" s="51">
        <v>738</v>
      </c>
      <c r="G20" s="51" t="b">
        <v>1</v>
      </c>
      <c r="H20" s="51" t="b">
        <f t="shared" si="2"/>
        <v>1</v>
      </c>
      <c r="I20" s="51">
        <v>1897</v>
      </c>
      <c r="J20" s="51" t="b">
        <v>1</v>
      </c>
      <c r="K20" s="51" t="b">
        <f t="shared" si="3"/>
        <v>1</v>
      </c>
      <c r="L20" s="51">
        <v>1317</v>
      </c>
      <c r="M20" s="51">
        <v>1</v>
      </c>
      <c r="N20" s="51">
        <v>1</v>
      </c>
      <c r="O20" s="51" t="b">
        <v>1</v>
      </c>
      <c r="P20" s="51">
        <v>738</v>
      </c>
      <c r="Q20" s="51" t="b">
        <v>1</v>
      </c>
      <c r="R20" s="51" t="b">
        <v>1</v>
      </c>
      <c r="S20" s="51">
        <v>1897</v>
      </c>
      <c r="T20" s="51" t="b">
        <v>1</v>
      </c>
      <c r="U20" s="51" t="b">
        <v>1</v>
      </c>
      <c r="V20" s="51">
        <v>1317</v>
      </c>
      <c r="W20" s="51">
        <v>1</v>
      </c>
      <c r="X20" s="51">
        <v>1</v>
      </c>
      <c r="Y20" s="51" t="b">
        <f t="shared" si="0"/>
        <v>1</v>
      </c>
    </row>
  </sheetData>
  <mergeCells count="25">
    <mergeCell ref="T3:T4"/>
    <mergeCell ref="U3:V3"/>
    <mergeCell ref="W3:W4"/>
    <mergeCell ref="X3:X4"/>
    <mergeCell ref="M3:M4"/>
    <mergeCell ref="N3:N4"/>
    <mergeCell ref="O3:P3"/>
    <mergeCell ref="Q3:Q4"/>
    <mergeCell ref="R3:S3"/>
    <mergeCell ref="A1:A4"/>
    <mergeCell ref="B1:D3"/>
    <mergeCell ref="E1:N1"/>
    <mergeCell ref="O1:X1"/>
    <mergeCell ref="Y1:Y4"/>
    <mergeCell ref="E2:G2"/>
    <mergeCell ref="H2:J2"/>
    <mergeCell ref="K2:N2"/>
    <mergeCell ref="O2:Q2"/>
    <mergeCell ref="R2:T2"/>
    <mergeCell ref="U2:X2"/>
    <mergeCell ref="E3:F3"/>
    <mergeCell ref="G3:G4"/>
    <mergeCell ref="H3:I3"/>
    <mergeCell ref="J3:J4"/>
    <mergeCell ref="K3:L3"/>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zoomScale="90" zoomScaleNormal="90" workbookViewId="0">
      <pane ySplit="4" topLeftCell="A5" activePane="bottomLeft" state="frozen"/>
      <selection sqref="A1:Y4"/>
      <selection pane="bottomLeft" activeCell="W3" sqref="W3:W4"/>
    </sheetView>
  </sheetViews>
  <sheetFormatPr defaultRowHeight="12"/>
  <cols>
    <col min="1" max="1" width="3.42578125" style="50" bestFit="1" customWidth="1"/>
    <col min="2" max="2" width="7.5703125" style="50" bestFit="1" customWidth="1"/>
    <col min="3" max="3" width="6.140625" style="50" bestFit="1" customWidth="1"/>
    <col min="4" max="4" width="10.7109375" style="50" bestFit="1" customWidth="1"/>
    <col min="5" max="5" width="12.140625" style="50" bestFit="1" customWidth="1"/>
    <col min="6" max="6" width="14.42578125" style="50" bestFit="1" customWidth="1"/>
    <col min="7" max="7" width="12.140625" style="50" customWidth="1"/>
    <col min="8" max="8" width="12.140625" style="50" bestFit="1" customWidth="1"/>
    <col min="9" max="9" width="14.42578125" style="50" bestFit="1" customWidth="1"/>
    <col min="10" max="10" width="12.140625" style="50" customWidth="1"/>
    <col min="11" max="11" width="12.140625" style="50" bestFit="1" customWidth="1"/>
    <col min="12" max="12" width="14.42578125" style="50" bestFit="1" customWidth="1"/>
    <col min="13" max="13" width="14.7109375" style="50" bestFit="1" customWidth="1"/>
    <col min="14" max="14" width="8.5703125" style="50" bestFit="1" customWidth="1"/>
    <col min="15" max="15" width="12.42578125" style="50" bestFit="1" customWidth="1"/>
    <col min="16" max="16" width="14.42578125" style="50" bestFit="1" customWidth="1"/>
    <col min="17" max="17" width="13.5703125" style="50" customWidth="1"/>
    <col min="18" max="18" width="12.42578125" style="50" bestFit="1" customWidth="1"/>
    <col min="19" max="19" width="14.42578125" style="50" bestFit="1" customWidth="1"/>
    <col min="20" max="20" width="12.85546875" style="50" customWidth="1"/>
    <col min="21" max="21" width="12.42578125" style="50" bestFit="1" customWidth="1"/>
    <col min="22" max="22" width="14.42578125" style="50" bestFit="1" customWidth="1"/>
    <col min="23" max="23" width="14.7109375" style="50" bestFit="1" customWidth="1"/>
    <col min="24" max="24" width="8.5703125" style="50" bestFit="1" customWidth="1"/>
    <col min="25" max="25" width="12.28515625" style="50" customWidth="1"/>
    <col min="26" max="16384" width="9.140625" style="50"/>
  </cols>
  <sheetData>
    <row r="1" spans="1:25" ht="12" customHeight="1">
      <c r="A1" s="108" t="s">
        <v>743</v>
      </c>
      <c r="B1" s="109" t="s">
        <v>742</v>
      </c>
      <c r="C1" s="109"/>
      <c r="D1" s="109"/>
      <c r="E1" s="110" t="s">
        <v>1467</v>
      </c>
      <c r="F1" s="110"/>
      <c r="G1" s="110"/>
      <c r="H1" s="110"/>
      <c r="I1" s="110"/>
      <c r="J1" s="110"/>
      <c r="K1" s="110"/>
      <c r="L1" s="110"/>
      <c r="M1" s="110"/>
      <c r="N1" s="110"/>
      <c r="O1" s="109" t="s">
        <v>1468</v>
      </c>
      <c r="P1" s="109"/>
      <c r="Q1" s="109"/>
      <c r="R1" s="109"/>
      <c r="S1" s="109"/>
      <c r="T1" s="109"/>
      <c r="U1" s="109"/>
      <c r="V1" s="109"/>
      <c r="W1" s="109"/>
      <c r="X1" s="109"/>
      <c r="Y1" s="111" t="s">
        <v>741</v>
      </c>
    </row>
    <row r="2" spans="1:25">
      <c r="A2" s="108"/>
      <c r="B2" s="109"/>
      <c r="C2" s="109"/>
      <c r="D2" s="109"/>
      <c r="E2" s="110" t="s">
        <v>740</v>
      </c>
      <c r="F2" s="110"/>
      <c r="G2" s="110"/>
      <c r="H2" s="110" t="s">
        <v>739</v>
      </c>
      <c r="I2" s="110"/>
      <c r="J2" s="110"/>
      <c r="K2" s="110" t="s">
        <v>738</v>
      </c>
      <c r="L2" s="110"/>
      <c r="M2" s="110"/>
      <c r="N2" s="110"/>
      <c r="O2" s="109" t="s">
        <v>740</v>
      </c>
      <c r="P2" s="109"/>
      <c r="Q2" s="109"/>
      <c r="R2" s="109" t="s">
        <v>739</v>
      </c>
      <c r="S2" s="109"/>
      <c r="T2" s="109"/>
      <c r="U2" s="109" t="s">
        <v>738</v>
      </c>
      <c r="V2" s="109"/>
      <c r="W2" s="109"/>
      <c r="X2" s="109"/>
      <c r="Y2" s="108"/>
    </row>
    <row r="3" spans="1:25">
      <c r="A3" s="108"/>
      <c r="B3" s="109"/>
      <c r="C3" s="109"/>
      <c r="D3" s="109"/>
      <c r="E3" s="110" t="s">
        <v>737</v>
      </c>
      <c r="F3" s="110"/>
      <c r="G3" s="112" t="s">
        <v>1650</v>
      </c>
      <c r="H3" s="110" t="s">
        <v>736</v>
      </c>
      <c r="I3" s="110"/>
      <c r="J3" s="112" t="s">
        <v>1651</v>
      </c>
      <c r="K3" s="110" t="s">
        <v>735</v>
      </c>
      <c r="L3" s="110"/>
      <c r="M3" s="110" t="s">
        <v>1788</v>
      </c>
      <c r="N3" s="110" t="s">
        <v>734</v>
      </c>
      <c r="O3" s="109" t="s">
        <v>737</v>
      </c>
      <c r="P3" s="109"/>
      <c r="Q3" s="113" t="s">
        <v>1650</v>
      </c>
      <c r="R3" s="109" t="s">
        <v>736</v>
      </c>
      <c r="S3" s="109"/>
      <c r="T3" s="113" t="s">
        <v>1651</v>
      </c>
      <c r="U3" s="109" t="s">
        <v>735</v>
      </c>
      <c r="V3" s="109"/>
      <c r="W3" s="109" t="s">
        <v>1788</v>
      </c>
      <c r="X3" s="109" t="s">
        <v>734</v>
      </c>
      <c r="Y3" s="108"/>
    </row>
    <row r="4" spans="1:25">
      <c r="A4" s="108"/>
      <c r="B4" s="52" t="s">
        <v>744</v>
      </c>
      <c r="C4" s="52" t="s">
        <v>745</v>
      </c>
      <c r="D4" s="52" t="s">
        <v>746</v>
      </c>
      <c r="E4" s="53" t="s">
        <v>733</v>
      </c>
      <c r="F4" s="53" t="s">
        <v>732</v>
      </c>
      <c r="G4" s="112"/>
      <c r="H4" s="70" t="s">
        <v>733</v>
      </c>
      <c r="I4" s="70" t="s">
        <v>732</v>
      </c>
      <c r="J4" s="112"/>
      <c r="K4" s="70" t="s">
        <v>733</v>
      </c>
      <c r="L4" s="70" t="s">
        <v>732</v>
      </c>
      <c r="M4" s="110"/>
      <c r="N4" s="110"/>
      <c r="O4" s="69" t="s">
        <v>733</v>
      </c>
      <c r="P4" s="69" t="s">
        <v>732</v>
      </c>
      <c r="Q4" s="113"/>
      <c r="R4" s="69" t="s">
        <v>733</v>
      </c>
      <c r="S4" s="69" t="s">
        <v>732</v>
      </c>
      <c r="T4" s="113"/>
      <c r="U4" s="52" t="s">
        <v>733</v>
      </c>
      <c r="V4" s="52" t="s">
        <v>732</v>
      </c>
      <c r="W4" s="109"/>
      <c r="X4" s="109"/>
      <c r="Y4" s="108"/>
    </row>
    <row r="5" spans="1:25">
      <c r="A5" s="51">
        <v>77</v>
      </c>
      <c r="B5" s="51">
        <v>1482827</v>
      </c>
      <c r="C5" s="51">
        <v>101485</v>
      </c>
      <c r="D5" s="51">
        <v>4761</v>
      </c>
      <c r="E5" s="51" t="b">
        <f>AND(F5/4096 &lt; 1)</f>
        <v>1</v>
      </c>
      <c r="F5" s="51">
        <v>1600</v>
      </c>
      <c r="G5" s="51" t="b">
        <v>1</v>
      </c>
      <c r="H5" s="51" t="b">
        <f>AND(I5/4096 &lt; 1)</f>
        <v>1</v>
      </c>
      <c r="I5" s="51">
        <v>1897</v>
      </c>
      <c r="J5" s="51" t="b">
        <v>0</v>
      </c>
      <c r="K5" s="51" t="b">
        <f>AND(L5/4096 &lt; 1)</f>
        <v>1</v>
      </c>
      <c r="L5" s="51">
        <v>1748</v>
      </c>
      <c r="M5" s="51">
        <v>1</v>
      </c>
      <c r="N5" s="51">
        <v>1</v>
      </c>
      <c r="O5" s="51" t="b">
        <v>1</v>
      </c>
      <c r="P5" s="51">
        <v>1600</v>
      </c>
      <c r="Q5" s="51" t="b">
        <v>1</v>
      </c>
      <c r="R5" s="51" t="b">
        <v>1</v>
      </c>
      <c r="S5" s="51">
        <v>1897</v>
      </c>
      <c r="T5" s="51" t="b">
        <v>0</v>
      </c>
      <c r="U5" s="51" t="b">
        <v>1</v>
      </c>
      <c r="V5" s="51">
        <v>1748</v>
      </c>
      <c r="W5" s="51">
        <v>1</v>
      </c>
      <c r="X5" s="51">
        <v>1</v>
      </c>
      <c r="Y5" s="51" t="b">
        <f t="shared" ref="Y5:Y20" si="0">AND(E5=O5,F5=P5,G5=Q5,H5=R5,I5=S5,J5=T5,K5=U5,L5=V5,M5=W5,N5=X5)</f>
        <v>1</v>
      </c>
    </row>
    <row r="6" spans="1:25">
      <c r="A6" s="51">
        <v>78</v>
      </c>
      <c r="B6" s="51">
        <v>1760060</v>
      </c>
      <c r="C6" s="51">
        <v>103260</v>
      </c>
      <c r="D6" s="51">
        <v>3809</v>
      </c>
      <c r="E6" s="51" t="b">
        <f t="shared" ref="E6:E20" si="1">AND(F6/4096 &lt; 1)</f>
        <v>1</v>
      </c>
      <c r="F6" s="51">
        <v>33</v>
      </c>
      <c r="G6" s="51" t="b">
        <v>1</v>
      </c>
      <c r="H6" s="51" t="b">
        <f t="shared" ref="H6:H20" si="2">AND(I6/4096 &lt; 1)</f>
        <v>1</v>
      </c>
      <c r="I6" s="51">
        <v>1897</v>
      </c>
      <c r="J6" s="51" t="b">
        <v>0</v>
      </c>
      <c r="K6" s="51" t="b">
        <f t="shared" ref="K6:K20" si="3">AND(L6/4096 &lt; 1)</f>
        <v>1</v>
      </c>
      <c r="L6" s="51">
        <v>965</v>
      </c>
      <c r="M6" s="51">
        <v>1</v>
      </c>
      <c r="N6" s="51">
        <v>1</v>
      </c>
      <c r="O6" s="51" t="b">
        <v>1</v>
      </c>
      <c r="P6" s="51">
        <v>33</v>
      </c>
      <c r="Q6" s="51" t="b">
        <v>1</v>
      </c>
      <c r="R6" s="51" t="b">
        <v>1</v>
      </c>
      <c r="S6" s="51">
        <v>1897</v>
      </c>
      <c r="T6" s="51" t="b">
        <v>0</v>
      </c>
      <c r="U6" s="51" t="b">
        <v>1</v>
      </c>
      <c r="V6" s="51">
        <v>965</v>
      </c>
      <c r="W6" s="51">
        <v>1</v>
      </c>
      <c r="X6" s="51">
        <v>1</v>
      </c>
      <c r="Y6" s="51" t="b">
        <f t="shared" si="0"/>
        <v>1</v>
      </c>
    </row>
    <row r="7" spans="1:25">
      <c r="A7" s="51">
        <v>79</v>
      </c>
      <c r="B7" s="51">
        <v>1815511</v>
      </c>
      <c r="C7" s="51">
        <v>89006</v>
      </c>
      <c r="D7" s="51">
        <v>2662</v>
      </c>
      <c r="E7" s="51" t="b">
        <f t="shared" si="1"/>
        <v>1</v>
      </c>
      <c r="F7" s="51">
        <v>348</v>
      </c>
      <c r="G7" s="51" t="b">
        <v>1</v>
      </c>
      <c r="H7" s="51" t="b">
        <f t="shared" si="2"/>
        <v>1</v>
      </c>
      <c r="I7" s="51">
        <v>1897</v>
      </c>
      <c r="J7" s="51" t="b">
        <v>0</v>
      </c>
      <c r="K7" s="51" t="b">
        <f t="shared" si="3"/>
        <v>1</v>
      </c>
      <c r="L7" s="51">
        <v>1122</v>
      </c>
      <c r="M7" s="51">
        <v>1</v>
      </c>
      <c r="N7" s="51">
        <v>1</v>
      </c>
      <c r="O7" s="51" t="b">
        <v>1</v>
      </c>
      <c r="P7" s="51">
        <v>348</v>
      </c>
      <c r="Q7" s="51" t="b">
        <v>1</v>
      </c>
      <c r="R7" s="51" t="b">
        <v>1</v>
      </c>
      <c r="S7" s="51">
        <v>1897</v>
      </c>
      <c r="T7" s="51" t="b">
        <v>0</v>
      </c>
      <c r="U7" s="51" t="b">
        <v>1</v>
      </c>
      <c r="V7" s="51">
        <v>1122</v>
      </c>
      <c r="W7" s="51">
        <v>1</v>
      </c>
      <c r="X7" s="51">
        <v>1</v>
      </c>
      <c r="Y7" s="51" t="b">
        <f t="shared" si="0"/>
        <v>1</v>
      </c>
    </row>
    <row r="8" spans="1:25">
      <c r="A8" s="51">
        <v>80</v>
      </c>
      <c r="B8" s="51">
        <v>2003176</v>
      </c>
      <c r="C8" s="51">
        <v>102651</v>
      </c>
      <c r="D8" s="51">
        <v>3194</v>
      </c>
      <c r="E8" s="51" t="b">
        <f t="shared" si="1"/>
        <v>1</v>
      </c>
      <c r="F8" s="51">
        <v>662</v>
      </c>
      <c r="G8" s="51" t="b">
        <v>1</v>
      </c>
      <c r="H8" s="51" t="b">
        <f t="shared" si="2"/>
        <v>1</v>
      </c>
      <c r="I8" s="51">
        <v>304</v>
      </c>
      <c r="J8" s="51" t="b">
        <v>1</v>
      </c>
      <c r="K8" s="51" t="b">
        <f t="shared" si="3"/>
        <v>1</v>
      </c>
      <c r="L8" s="51">
        <v>483</v>
      </c>
      <c r="M8" s="51">
        <v>1</v>
      </c>
      <c r="N8" s="51">
        <v>1</v>
      </c>
      <c r="O8" s="51" t="b">
        <v>1</v>
      </c>
      <c r="P8" s="51">
        <v>662</v>
      </c>
      <c r="Q8" s="51" t="b">
        <v>1</v>
      </c>
      <c r="R8" s="51" t="b">
        <v>1</v>
      </c>
      <c r="S8" s="51">
        <v>304</v>
      </c>
      <c r="T8" s="51" t="b">
        <v>1</v>
      </c>
      <c r="U8" s="51" t="b">
        <v>1</v>
      </c>
      <c r="V8" s="51">
        <v>483</v>
      </c>
      <c r="W8" s="51">
        <v>1</v>
      </c>
      <c r="X8" s="51">
        <v>1</v>
      </c>
      <c r="Y8" s="51" t="b">
        <f t="shared" si="0"/>
        <v>1</v>
      </c>
    </row>
    <row r="9" spans="1:25">
      <c r="A9" s="51">
        <v>81</v>
      </c>
      <c r="B9" s="51">
        <v>1887895</v>
      </c>
      <c r="C9" s="51">
        <v>99701</v>
      </c>
      <c r="D9" s="51">
        <v>3194</v>
      </c>
      <c r="E9" s="51" t="b">
        <f t="shared" si="1"/>
        <v>1</v>
      </c>
      <c r="F9" s="51">
        <v>1276</v>
      </c>
      <c r="G9" s="51" t="b">
        <v>1</v>
      </c>
      <c r="H9" s="51" t="b">
        <f t="shared" si="2"/>
        <v>1</v>
      </c>
      <c r="I9" s="51">
        <v>304</v>
      </c>
      <c r="J9" s="51" t="b">
        <v>0</v>
      </c>
      <c r="K9" s="51" t="b">
        <f t="shared" si="3"/>
        <v>1</v>
      </c>
      <c r="L9" s="51">
        <v>790</v>
      </c>
      <c r="M9" s="51">
        <v>1</v>
      </c>
      <c r="N9" s="51">
        <v>1</v>
      </c>
      <c r="O9" s="51" t="b">
        <v>1</v>
      </c>
      <c r="P9" s="51">
        <v>1276</v>
      </c>
      <c r="Q9" s="51" t="b">
        <v>1</v>
      </c>
      <c r="R9" s="51" t="b">
        <v>1</v>
      </c>
      <c r="S9" s="51">
        <v>304</v>
      </c>
      <c r="T9" s="51" t="b">
        <v>0</v>
      </c>
      <c r="U9" s="51" t="b">
        <v>1</v>
      </c>
      <c r="V9" s="51">
        <v>790</v>
      </c>
      <c r="W9" s="51">
        <v>1</v>
      </c>
      <c r="X9" s="51">
        <v>1</v>
      </c>
      <c r="Y9" s="51" t="b">
        <f t="shared" si="0"/>
        <v>1</v>
      </c>
    </row>
    <row r="10" spans="1:25">
      <c r="A10" s="51">
        <v>82</v>
      </c>
      <c r="B10" s="51">
        <v>1710129</v>
      </c>
      <c r="C10" s="51">
        <v>114337</v>
      </c>
      <c r="D10" s="51">
        <v>4761</v>
      </c>
      <c r="E10" s="51" t="b">
        <f t="shared" si="1"/>
        <v>1</v>
      </c>
      <c r="F10" s="51">
        <v>1534</v>
      </c>
      <c r="G10" s="51" t="b">
        <v>1</v>
      </c>
      <c r="H10" s="51" t="b">
        <f t="shared" si="2"/>
        <v>1</v>
      </c>
      <c r="I10" s="51">
        <v>304</v>
      </c>
      <c r="J10" s="51" t="b">
        <v>0</v>
      </c>
      <c r="K10" s="51" t="b">
        <f t="shared" si="3"/>
        <v>1</v>
      </c>
      <c r="L10" s="51">
        <v>919</v>
      </c>
      <c r="M10" s="51">
        <v>1</v>
      </c>
      <c r="N10" s="51">
        <v>1</v>
      </c>
      <c r="O10" s="51" t="b">
        <v>1</v>
      </c>
      <c r="P10" s="51">
        <v>1534</v>
      </c>
      <c r="Q10" s="51" t="b">
        <v>1</v>
      </c>
      <c r="R10" s="51" t="b">
        <v>1</v>
      </c>
      <c r="S10" s="51">
        <v>304</v>
      </c>
      <c r="T10" s="51" t="b">
        <v>0</v>
      </c>
      <c r="U10" s="51" t="b">
        <v>1</v>
      </c>
      <c r="V10" s="51">
        <v>919</v>
      </c>
      <c r="W10" s="51">
        <v>1</v>
      </c>
      <c r="X10" s="51">
        <v>1</v>
      </c>
      <c r="Y10" s="51" t="b">
        <f t="shared" si="0"/>
        <v>1</v>
      </c>
    </row>
    <row r="11" spans="1:25">
      <c r="A11" s="51">
        <v>83</v>
      </c>
      <c r="B11" s="51">
        <v>1469751</v>
      </c>
      <c r="C11" s="51">
        <v>81965</v>
      </c>
      <c r="D11" s="51">
        <v>3194</v>
      </c>
      <c r="E11" s="51" t="b">
        <f t="shared" si="1"/>
        <v>1</v>
      </c>
      <c r="F11" s="51">
        <v>1093</v>
      </c>
      <c r="G11" s="51" t="b">
        <v>1</v>
      </c>
      <c r="H11" s="51" t="b">
        <f t="shared" si="2"/>
        <v>1</v>
      </c>
      <c r="I11" s="51">
        <v>304</v>
      </c>
      <c r="J11" s="51" t="b">
        <v>0</v>
      </c>
      <c r="K11" s="51" t="b">
        <f t="shared" si="3"/>
        <v>1</v>
      </c>
      <c r="L11" s="51">
        <v>698</v>
      </c>
      <c r="M11" s="51">
        <v>1</v>
      </c>
      <c r="N11" s="51">
        <v>1</v>
      </c>
      <c r="O11" s="51" t="b">
        <v>1</v>
      </c>
      <c r="P11" s="51">
        <v>1093</v>
      </c>
      <c r="Q11" s="51" t="b">
        <v>1</v>
      </c>
      <c r="R11" s="51" t="b">
        <v>1</v>
      </c>
      <c r="S11" s="51">
        <v>304</v>
      </c>
      <c r="T11" s="51" t="b">
        <v>0</v>
      </c>
      <c r="U11" s="51" t="b">
        <v>1</v>
      </c>
      <c r="V11" s="51">
        <v>698</v>
      </c>
      <c r="W11" s="51">
        <v>1</v>
      </c>
      <c r="X11" s="51">
        <v>1</v>
      </c>
      <c r="Y11" s="51" t="b">
        <f t="shared" si="0"/>
        <v>1</v>
      </c>
    </row>
    <row r="12" spans="1:25">
      <c r="A12" s="51">
        <v>84</v>
      </c>
      <c r="B12" s="51">
        <v>1142451</v>
      </c>
      <c r="C12" s="51">
        <v>75179</v>
      </c>
      <c r="D12" s="51">
        <v>3194</v>
      </c>
      <c r="E12" s="51" t="b">
        <f t="shared" si="1"/>
        <v>1</v>
      </c>
      <c r="F12" s="51">
        <v>1526</v>
      </c>
      <c r="G12" s="51" t="b">
        <v>1</v>
      </c>
      <c r="H12" s="51" t="b">
        <f t="shared" si="2"/>
        <v>1</v>
      </c>
      <c r="I12" s="51">
        <v>122</v>
      </c>
      <c r="J12" s="51" t="b">
        <v>1</v>
      </c>
      <c r="K12" s="51" t="b">
        <f t="shared" si="3"/>
        <v>1</v>
      </c>
      <c r="L12" s="51">
        <v>824</v>
      </c>
      <c r="M12" s="51">
        <v>1</v>
      </c>
      <c r="N12" s="51">
        <v>1</v>
      </c>
      <c r="O12" s="51" t="b">
        <v>1</v>
      </c>
      <c r="P12" s="51">
        <v>1526</v>
      </c>
      <c r="Q12" s="51" t="b">
        <v>1</v>
      </c>
      <c r="R12" s="51" t="b">
        <v>1</v>
      </c>
      <c r="S12" s="51">
        <v>122</v>
      </c>
      <c r="T12" s="51" t="b">
        <v>1</v>
      </c>
      <c r="U12" s="51" t="b">
        <v>1</v>
      </c>
      <c r="V12" s="51">
        <v>824</v>
      </c>
      <c r="W12" s="51">
        <v>1</v>
      </c>
      <c r="X12" s="51">
        <v>1</v>
      </c>
      <c r="Y12" s="51" t="b">
        <f t="shared" si="0"/>
        <v>1</v>
      </c>
    </row>
    <row r="13" spans="1:25">
      <c r="A13" s="51">
        <v>85</v>
      </c>
      <c r="B13" s="51">
        <v>561222</v>
      </c>
      <c r="C13" s="51">
        <v>59053</v>
      </c>
      <c r="D13" s="51">
        <v>4761</v>
      </c>
      <c r="E13" s="51" t="b">
        <f t="shared" si="1"/>
        <v>1</v>
      </c>
      <c r="F13" s="51">
        <v>687</v>
      </c>
      <c r="G13" s="51" t="b">
        <v>1</v>
      </c>
      <c r="H13" s="51" t="b">
        <f t="shared" si="2"/>
        <v>1</v>
      </c>
      <c r="I13" s="51">
        <v>122</v>
      </c>
      <c r="J13" s="51" t="b">
        <v>0</v>
      </c>
      <c r="K13" s="51" t="b">
        <f t="shared" si="3"/>
        <v>1</v>
      </c>
      <c r="L13" s="51">
        <v>404</v>
      </c>
      <c r="M13" s="51">
        <v>1</v>
      </c>
      <c r="N13" s="51">
        <v>1</v>
      </c>
      <c r="O13" s="51" t="b">
        <v>1</v>
      </c>
      <c r="P13" s="51">
        <v>687</v>
      </c>
      <c r="Q13" s="51" t="b">
        <v>1</v>
      </c>
      <c r="R13" s="51" t="b">
        <v>1</v>
      </c>
      <c r="S13" s="51">
        <v>122</v>
      </c>
      <c r="T13" s="51" t="b">
        <v>0</v>
      </c>
      <c r="U13" s="51" t="b">
        <v>1</v>
      </c>
      <c r="V13" s="51">
        <v>404</v>
      </c>
      <c r="W13" s="51">
        <v>1</v>
      </c>
      <c r="X13" s="51">
        <v>1</v>
      </c>
      <c r="Y13" s="51" t="b">
        <f t="shared" si="0"/>
        <v>1</v>
      </c>
    </row>
    <row r="14" spans="1:25">
      <c r="A14" s="51">
        <v>86</v>
      </c>
      <c r="B14" s="51">
        <v>519208</v>
      </c>
      <c r="C14" s="51">
        <v>43825</v>
      </c>
      <c r="D14" s="51">
        <v>2662</v>
      </c>
      <c r="E14" s="51" t="b">
        <f t="shared" si="1"/>
        <v>1</v>
      </c>
      <c r="F14" s="51">
        <v>1670</v>
      </c>
      <c r="G14" s="51" t="b">
        <v>1</v>
      </c>
      <c r="H14" s="51" t="b">
        <f t="shared" si="2"/>
        <v>1</v>
      </c>
      <c r="I14" s="51">
        <v>122</v>
      </c>
      <c r="J14" s="51" t="b">
        <v>0</v>
      </c>
      <c r="K14" s="51" t="b">
        <f t="shared" si="3"/>
        <v>1</v>
      </c>
      <c r="L14" s="51">
        <v>896</v>
      </c>
      <c r="M14" s="51">
        <v>1</v>
      </c>
      <c r="N14" s="51">
        <v>1</v>
      </c>
      <c r="O14" s="51" t="b">
        <v>1</v>
      </c>
      <c r="P14" s="51">
        <v>1670</v>
      </c>
      <c r="Q14" s="51" t="b">
        <v>1</v>
      </c>
      <c r="R14" s="51" t="b">
        <v>1</v>
      </c>
      <c r="S14" s="51">
        <v>122</v>
      </c>
      <c r="T14" s="51" t="b">
        <v>0</v>
      </c>
      <c r="U14" s="51" t="b">
        <v>1</v>
      </c>
      <c r="V14" s="51">
        <v>896</v>
      </c>
      <c r="W14" s="51">
        <v>1</v>
      </c>
      <c r="X14" s="51">
        <v>1</v>
      </c>
      <c r="Y14" s="51" t="b">
        <f t="shared" si="0"/>
        <v>1</v>
      </c>
    </row>
    <row r="15" spans="1:25">
      <c r="A15" s="51">
        <v>87</v>
      </c>
      <c r="B15" s="51">
        <v>1364706</v>
      </c>
      <c r="C15" s="51">
        <v>87616</v>
      </c>
      <c r="D15" s="51">
        <v>3809</v>
      </c>
      <c r="E15" s="51" t="b">
        <f t="shared" si="1"/>
        <v>1</v>
      </c>
      <c r="F15" s="51">
        <v>1433</v>
      </c>
      <c r="G15" s="51" t="b">
        <v>1</v>
      </c>
      <c r="H15" s="51" t="b">
        <f t="shared" si="2"/>
        <v>1</v>
      </c>
      <c r="I15" s="51">
        <v>122</v>
      </c>
      <c r="J15" s="51" t="b">
        <v>0</v>
      </c>
      <c r="K15" s="51" t="b">
        <f t="shared" si="3"/>
        <v>1</v>
      </c>
      <c r="L15" s="51">
        <v>777</v>
      </c>
      <c r="M15" s="51">
        <v>1</v>
      </c>
      <c r="N15" s="51">
        <v>1</v>
      </c>
      <c r="O15" s="51" t="b">
        <v>1</v>
      </c>
      <c r="P15" s="51">
        <v>1433</v>
      </c>
      <c r="Q15" s="51" t="b">
        <v>1</v>
      </c>
      <c r="R15" s="51" t="b">
        <v>1</v>
      </c>
      <c r="S15" s="51">
        <v>122</v>
      </c>
      <c r="T15" s="51" t="b">
        <v>0</v>
      </c>
      <c r="U15" s="51" t="b">
        <v>1</v>
      </c>
      <c r="V15" s="51">
        <v>777</v>
      </c>
      <c r="W15" s="51">
        <v>1</v>
      </c>
      <c r="X15" s="51">
        <v>1</v>
      </c>
      <c r="Y15" s="51" t="b">
        <f t="shared" si="0"/>
        <v>1</v>
      </c>
    </row>
    <row r="16" spans="1:25">
      <c r="A16" s="51">
        <v>88</v>
      </c>
      <c r="B16" s="51">
        <v>1511216</v>
      </c>
      <c r="C16" s="51">
        <v>97689</v>
      </c>
      <c r="D16" s="51">
        <v>3809</v>
      </c>
      <c r="E16" s="51" t="b">
        <f t="shared" si="1"/>
        <v>1</v>
      </c>
      <c r="F16" s="51">
        <v>33</v>
      </c>
      <c r="G16" s="51" t="b">
        <v>1</v>
      </c>
      <c r="H16" s="51" t="b">
        <f t="shared" si="2"/>
        <v>1</v>
      </c>
      <c r="I16" s="51">
        <v>304</v>
      </c>
      <c r="J16" s="51" t="b">
        <v>1</v>
      </c>
      <c r="K16" s="51" t="b">
        <f t="shared" si="3"/>
        <v>1</v>
      </c>
      <c r="L16" s="51">
        <v>168</v>
      </c>
      <c r="M16" s="51">
        <v>1</v>
      </c>
      <c r="N16" s="51">
        <v>1</v>
      </c>
      <c r="O16" s="51" t="b">
        <v>1</v>
      </c>
      <c r="P16" s="51">
        <v>33</v>
      </c>
      <c r="Q16" s="51" t="b">
        <v>1</v>
      </c>
      <c r="R16" s="51" t="b">
        <v>1</v>
      </c>
      <c r="S16" s="51">
        <v>304</v>
      </c>
      <c r="T16" s="51" t="b">
        <v>1</v>
      </c>
      <c r="U16" s="51" t="b">
        <v>1</v>
      </c>
      <c r="V16" s="51">
        <v>168</v>
      </c>
      <c r="W16" s="51">
        <v>1</v>
      </c>
      <c r="X16" s="51">
        <v>1</v>
      </c>
      <c r="Y16" s="51" t="b">
        <f t="shared" si="0"/>
        <v>1</v>
      </c>
    </row>
    <row r="17" spans="1:25">
      <c r="A17" s="51">
        <v>89</v>
      </c>
      <c r="B17" s="51">
        <v>2215883</v>
      </c>
      <c r="C17" s="51">
        <v>119018</v>
      </c>
      <c r="D17" s="51">
        <v>3809</v>
      </c>
      <c r="E17" s="51" t="b">
        <f t="shared" si="1"/>
        <v>1</v>
      </c>
      <c r="F17" s="51">
        <v>2579</v>
      </c>
      <c r="G17" s="51" t="b">
        <v>1</v>
      </c>
      <c r="H17" s="51" t="b">
        <f t="shared" si="2"/>
        <v>1</v>
      </c>
      <c r="I17" s="51">
        <v>304</v>
      </c>
      <c r="J17" s="51" t="b">
        <v>0</v>
      </c>
      <c r="K17" s="51" t="b">
        <f t="shared" si="3"/>
        <v>1</v>
      </c>
      <c r="L17" s="51">
        <v>1441</v>
      </c>
      <c r="M17" s="51">
        <v>1</v>
      </c>
      <c r="N17" s="51">
        <v>1</v>
      </c>
      <c r="O17" s="51" t="b">
        <v>1</v>
      </c>
      <c r="P17" s="51">
        <v>2579</v>
      </c>
      <c r="Q17" s="51" t="b">
        <v>1</v>
      </c>
      <c r="R17" s="51" t="b">
        <v>1</v>
      </c>
      <c r="S17" s="51">
        <v>304</v>
      </c>
      <c r="T17" s="51" t="b">
        <v>0</v>
      </c>
      <c r="U17" s="51" t="b">
        <v>1</v>
      </c>
      <c r="V17" s="51">
        <v>1441</v>
      </c>
      <c r="W17" s="51">
        <v>1</v>
      </c>
      <c r="X17" s="51">
        <v>1</v>
      </c>
      <c r="Y17" s="51" t="b">
        <f t="shared" si="0"/>
        <v>1</v>
      </c>
    </row>
    <row r="18" spans="1:25">
      <c r="A18" s="51">
        <v>90</v>
      </c>
      <c r="B18" s="51">
        <v>1236724</v>
      </c>
      <c r="C18" s="51">
        <v>71639</v>
      </c>
      <c r="D18" s="51">
        <v>2662</v>
      </c>
      <c r="E18" s="51" t="b">
        <f t="shared" si="1"/>
        <v>1</v>
      </c>
      <c r="F18" s="51">
        <v>897</v>
      </c>
      <c r="G18" s="51" t="b">
        <v>1</v>
      </c>
      <c r="H18" s="51" t="b">
        <f t="shared" si="2"/>
        <v>1</v>
      </c>
      <c r="I18" s="51">
        <v>304</v>
      </c>
      <c r="J18" s="51" t="b">
        <v>0</v>
      </c>
      <c r="K18" s="51" t="b">
        <f t="shared" si="3"/>
        <v>1</v>
      </c>
      <c r="L18" s="51">
        <v>600</v>
      </c>
      <c r="M18" s="51">
        <v>1</v>
      </c>
      <c r="N18" s="51">
        <v>1</v>
      </c>
      <c r="O18" s="51" t="b">
        <v>1</v>
      </c>
      <c r="P18" s="51">
        <v>897</v>
      </c>
      <c r="Q18" s="51" t="b">
        <v>1</v>
      </c>
      <c r="R18" s="51" t="b">
        <v>1</v>
      </c>
      <c r="S18" s="51">
        <v>304</v>
      </c>
      <c r="T18" s="51" t="b">
        <v>0</v>
      </c>
      <c r="U18" s="51" t="b">
        <v>1</v>
      </c>
      <c r="V18" s="51">
        <v>600</v>
      </c>
      <c r="W18" s="51">
        <v>1</v>
      </c>
      <c r="X18" s="51">
        <v>1</v>
      </c>
      <c r="Y18" s="51" t="b">
        <f t="shared" si="0"/>
        <v>1</v>
      </c>
    </row>
    <row r="19" spans="1:25">
      <c r="A19" s="51">
        <v>91</v>
      </c>
      <c r="B19" s="51">
        <v>1236724</v>
      </c>
      <c r="C19" s="51">
        <v>71639</v>
      </c>
      <c r="D19" s="51">
        <v>2662</v>
      </c>
      <c r="E19" s="51" t="b">
        <f t="shared" si="1"/>
        <v>1</v>
      </c>
      <c r="F19" s="51">
        <v>897</v>
      </c>
      <c r="G19" s="51" t="b">
        <v>1</v>
      </c>
      <c r="H19" s="51" t="b">
        <f t="shared" si="2"/>
        <v>1</v>
      </c>
      <c r="I19" s="51">
        <v>304</v>
      </c>
      <c r="J19" s="51" t="b">
        <v>0</v>
      </c>
      <c r="K19" s="51" t="b">
        <f t="shared" si="3"/>
        <v>1</v>
      </c>
      <c r="L19" s="51">
        <v>600</v>
      </c>
      <c r="M19" s="51">
        <v>1</v>
      </c>
      <c r="N19" s="51">
        <v>1</v>
      </c>
      <c r="O19" s="51" t="b">
        <v>1</v>
      </c>
      <c r="P19" s="51">
        <v>897</v>
      </c>
      <c r="Q19" s="51" t="b">
        <v>1</v>
      </c>
      <c r="R19" s="51" t="b">
        <v>1</v>
      </c>
      <c r="S19" s="51">
        <v>304</v>
      </c>
      <c r="T19" s="51" t="b">
        <v>0</v>
      </c>
      <c r="U19" s="51" t="b">
        <v>1</v>
      </c>
      <c r="V19" s="51">
        <v>600</v>
      </c>
      <c r="W19" s="51">
        <v>1</v>
      </c>
      <c r="X19" s="51">
        <v>1</v>
      </c>
      <c r="Y19" s="51" t="b">
        <f t="shared" si="0"/>
        <v>1</v>
      </c>
    </row>
    <row r="20" spans="1:25">
      <c r="A20" s="51">
        <v>92</v>
      </c>
      <c r="B20" s="51">
        <v>1236724</v>
      </c>
      <c r="C20" s="51">
        <v>71639</v>
      </c>
      <c r="D20" s="51">
        <v>2662</v>
      </c>
      <c r="E20" s="51" t="b">
        <f t="shared" si="1"/>
        <v>1</v>
      </c>
      <c r="F20" s="51">
        <v>897</v>
      </c>
      <c r="G20" s="51" t="b">
        <v>1</v>
      </c>
      <c r="H20" s="51" t="b">
        <f t="shared" si="2"/>
        <v>1</v>
      </c>
      <c r="I20" s="51">
        <v>1224</v>
      </c>
      <c r="J20" s="51" t="b">
        <v>1</v>
      </c>
      <c r="K20" s="51" t="b">
        <f t="shared" si="3"/>
        <v>1</v>
      </c>
      <c r="L20" s="51">
        <v>1060</v>
      </c>
      <c r="M20" s="51">
        <v>1</v>
      </c>
      <c r="N20" s="51">
        <v>1</v>
      </c>
      <c r="O20" s="51" t="b">
        <v>1</v>
      </c>
      <c r="P20" s="51">
        <v>897</v>
      </c>
      <c r="Q20" s="51" t="b">
        <v>1</v>
      </c>
      <c r="R20" s="51" t="b">
        <v>1</v>
      </c>
      <c r="S20" s="51">
        <v>1224</v>
      </c>
      <c r="T20" s="51" t="b">
        <v>1</v>
      </c>
      <c r="U20" s="51" t="b">
        <v>1</v>
      </c>
      <c r="V20" s="51">
        <v>1060</v>
      </c>
      <c r="W20" s="51">
        <v>1</v>
      </c>
      <c r="X20" s="51">
        <v>1</v>
      </c>
      <c r="Y20" s="51" t="b">
        <f t="shared" si="0"/>
        <v>1</v>
      </c>
    </row>
  </sheetData>
  <mergeCells count="25">
    <mergeCell ref="T3:T4"/>
    <mergeCell ref="U3:V3"/>
    <mergeCell ref="W3:W4"/>
    <mergeCell ref="X3:X4"/>
    <mergeCell ref="M3:M4"/>
    <mergeCell ref="N3:N4"/>
    <mergeCell ref="O3:P3"/>
    <mergeCell ref="Q3:Q4"/>
    <mergeCell ref="R3:S3"/>
    <mergeCell ref="A1:A4"/>
    <mergeCell ref="B1:D3"/>
    <mergeCell ref="E1:N1"/>
    <mergeCell ref="O1:X1"/>
    <mergeCell ref="Y1:Y4"/>
    <mergeCell ref="E2:G2"/>
    <mergeCell ref="H2:J2"/>
    <mergeCell ref="K2:N2"/>
    <mergeCell ref="O2:Q2"/>
    <mergeCell ref="R2:T2"/>
    <mergeCell ref="U2:X2"/>
    <mergeCell ref="E3:F3"/>
    <mergeCell ref="G3:G4"/>
    <mergeCell ref="H3:I3"/>
    <mergeCell ref="J3:J4"/>
    <mergeCell ref="K3:L3"/>
  </mergeCells>
  <pageMargins left="0.511811024" right="0.511811024" top="0.78740157499999996" bottom="0.78740157499999996" header="0.31496062000000002" footer="0.31496062000000002"/>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zoomScale="90" zoomScaleNormal="90" workbookViewId="0">
      <pane ySplit="4" topLeftCell="A5" activePane="bottomLeft" state="frozen"/>
      <selection sqref="A1:Y4"/>
      <selection pane="bottomLeft" activeCell="W3" sqref="W3:W4"/>
    </sheetView>
  </sheetViews>
  <sheetFormatPr defaultRowHeight="12"/>
  <cols>
    <col min="1" max="1" width="3.42578125" style="50" bestFit="1" customWidth="1"/>
    <col min="2" max="2" width="8.140625" style="50" bestFit="1" customWidth="1"/>
    <col min="3" max="3" width="9.140625" style="50" bestFit="1" customWidth="1"/>
    <col min="4" max="4" width="12.7109375" style="50" bestFit="1" customWidth="1"/>
    <col min="5" max="5" width="12.140625" style="50" bestFit="1" customWidth="1"/>
    <col min="6" max="6" width="14.85546875" style="50" bestFit="1" customWidth="1"/>
    <col min="7" max="7" width="13.5703125" style="50" customWidth="1"/>
    <col min="8" max="8" width="12.140625" style="50" bestFit="1" customWidth="1"/>
    <col min="9" max="9" width="14.85546875" style="50" bestFit="1" customWidth="1"/>
    <col min="10" max="10" width="13.140625" style="50" customWidth="1"/>
    <col min="11" max="11" width="12.140625" style="50" bestFit="1" customWidth="1"/>
    <col min="12" max="12" width="14.85546875" style="50" bestFit="1" customWidth="1"/>
    <col min="13" max="13" width="14.7109375" style="50" bestFit="1" customWidth="1"/>
    <col min="14" max="14" width="8.5703125" style="50" bestFit="1" customWidth="1"/>
    <col min="15" max="15" width="12.42578125" style="50" bestFit="1" customWidth="1"/>
    <col min="16" max="16" width="14.85546875" style="50" bestFit="1" customWidth="1"/>
    <col min="17" max="17" width="13.5703125" style="50" customWidth="1"/>
    <col min="18" max="18" width="13.42578125" style="50" customWidth="1"/>
    <col min="19" max="19" width="14.85546875" style="50" bestFit="1" customWidth="1"/>
    <col min="20" max="20" width="13.28515625" style="50" customWidth="1"/>
    <col min="21" max="21" width="6.140625" style="50" bestFit="1" customWidth="1"/>
    <col min="22" max="22" width="14.85546875" style="50" bestFit="1" customWidth="1"/>
    <col min="23" max="23" width="14.7109375" style="50" bestFit="1" customWidth="1"/>
    <col min="24" max="24" width="8.5703125" style="50" bestFit="1" customWidth="1"/>
    <col min="25" max="25" width="15.140625" style="50" customWidth="1"/>
    <col min="26" max="16384" width="9.140625" style="50"/>
  </cols>
  <sheetData>
    <row r="1" spans="1:25" ht="12" customHeight="1">
      <c r="A1" s="108" t="s">
        <v>743</v>
      </c>
      <c r="B1" s="109" t="s">
        <v>742</v>
      </c>
      <c r="C1" s="109"/>
      <c r="D1" s="109"/>
      <c r="E1" s="110" t="s">
        <v>1467</v>
      </c>
      <c r="F1" s="110"/>
      <c r="G1" s="110"/>
      <c r="H1" s="110"/>
      <c r="I1" s="110"/>
      <c r="J1" s="110"/>
      <c r="K1" s="110"/>
      <c r="L1" s="110"/>
      <c r="M1" s="110"/>
      <c r="N1" s="110"/>
      <c r="O1" s="109" t="s">
        <v>1468</v>
      </c>
      <c r="P1" s="109"/>
      <c r="Q1" s="109"/>
      <c r="R1" s="109"/>
      <c r="S1" s="109"/>
      <c r="T1" s="109"/>
      <c r="U1" s="109"/>
      <c r="V1" s="109"/>
      <c r="W1" s="109"/>
      <c r="X1" s="109"/>
      <c r="Y1" s="111" t="s">
        <v>741</v>
      </c>
    </row>
    <row r="2" spans="1:25">
      <c r="A2" s="108"/>
      <c r="B2" s="109"/>
      <c r="C2" s="109"/>
      <c r="D2" s="109"/>
      <c r="E2" s="110" t="s">
        <v>740</v>
      </c>
      <c r="F2" s="110"/>
      <c r="G2" s="110"/>
      <c r="H2" s="110" t="s">
        <v>739</v>
      </c>
      <c r="I2" s="110"/>
      <c r="J2" s="110"/>
      <c r="K2" s="110" t="s">
        <v>738</v>
      </c>
      <c r="L2" s="110"/>
      <c r="M2" s="110"/>
      <c r="N2" s="110"/>
      <c r="O2" s="109" t="s">
        <v>740</v>
      </c>
      <c r="P2" s="109"/>
      <c r="Q2" s="109"/>
      <c r="R2" s="109" t="s">
        <v>739</v>
      </c>
      <c r="S2" s="109"/>
      <c r="T2" s="109"/>
      <c r="U2" s="109" t="s">
        <v>738</v>
      </c>
      <c r="V2" s="109"/>
      <c r="W2" s="109"/>
      <c r="X2" s="109"/>
      <c r="Y2" s="108"/>
    </row>
    <row r="3" spans="1:25">
      <c r="A3" s="108"/>
      <c r="B3" s="109"/>
      <c r="C3" s="109"/>
      <c r="D3" s="109"/>
      <c r="E3" s="110" t="s">
        <v>737</v>
      </c>
      <c r="F3" s="110"/>
      <c r="G3" s="112" t="s">
        <v>1650</v>
      </c>
      <c r="H3" s="110" t="s">
        <v>736</v>
      </c>
      <c r="I3" s="110"/>
      <c r="J3" s="112" t="s">
        <v>1651</v>
      </c>
      <c r="K3" s="110" t="s">
        <v>735</v>
      </c>
      <c r="L3" s="110"/>
      <c r="M3" s="110" t="s">
        <v>1788</v>
      </c>
      <c r="N3" s="110" t="s">
        <v>734</v>
      </c>
      <c r="O3" s="109" t="s">
        <v>737</v>
      </c>
      <c r="P3" s="109"/>
      <c r="Q3" s="113" t="s">
        <v>1650</v>
      </c>
      <c r="R3" s="109" t="s">
        <v>736</v>
      </c>
      <c r="S3" s="109"/>
      <c r="T3" s="113" t="s">
        <v>1651</v>
      </c>
      <c r="U3" s="109" t="s">
        <v>735</v>
      </c>
      <c r="V3" s="109"/>
      <c r="W3" s="109" t="s">
        <v>1788</v>
      </c>
      <c r="X3" s="109" t="s">
        <v>734</v>
      </c>
      <c r="Y3" s="108"/>
    </row>
    <row r="4" spans="1:25">
      <c r="A4" s="108"/>
      <c r="B4" s="52" t="s">
        <v>744</v>
      </c>
      <c r="C4" s="52" t="s">
        <v>745</v>
      </c>
      <c r="D4" s="52" t="s">
        <v>746</v>
      </c>
      <c r="E4" s="53" t="s">
        <v>733</v>
      </c>
      <c r="F4" s="53" t="s">
        <v>732</v>
      </c>
      <c r="G4" s="112"/>
      <c r="H4" s="70" t="s">
        <v>733</v>
      </c>
      <c r="I4" s="70" t="s">
        <v>732</v>
      </c>
      <c r="J4" s="112"/>
      <c r="K4" s="70" t="s">
        <v>733</v>
      </c>
      <c r="L4" s="70" t="s">
        <v>732</v>
      </c>
      <c r="M4" s="110"/>
      <c r="N4" s="110"/>
      <c r="O4" s="69" t="s">
        <v>733</v>
      </c>
      <c r="P4" s="69" t="s">
        <v>732</v>
      </c>
      <c r="Q4" s="113"/>
      <c r="R4" s="69" t="s">
        <v>733</v>
      </c>
      <c r="S4" s="69" t="s">
        <v>732</v>
      </c>
      <c r="T4" s="113"/>
      <c r="U4" s="52" t="s">
        <v>733</v>
      </c>
      <c r="V4" s="52" t="s">
        <v>732</v>
      </c>
      <c r="W4" s="109"/>
      <c r="X4" s="109"/>
      <c r="Y4" s="108"/>
    </row>
    <row r="5" spans="1:25">
      <c r="A5" s="51">
        <v>93</v>
      </c>
      <c r="B5" s="51" t="s">
        <v>731</v>
      </c>
      <c r="C5" s="51" t="s">
        <v>731</v>
      </c>
      <c r="D5" s="51" t="s">
        <v>731</v>
      </c>
      <c r="E5" s="51" t="b">
        <f t="shared" ref="E5" si="0">AND(F5/4096 &lt; 1)</f>
        <v>1</v>
      </c>
      <c r="F5" s="51">
        <v>897</v>
      </c>
      <c r="G5" s="51" t="b">
        <v>0</v>
      </c>
      <c r="H5" s="51" t="b">
        <f t="shared" ref="H5" si="1">AND(I5/4096 &lt; 1)</f>
        <v>1</v>
      </c>
      <c r="I5" s="51">
        <v>1224</v>
      </c>
      <c r="J5" s="51" t="b">
        <v>0</v>
      </c>
      <c r="K5" s="51" t="b">
        <v>1</v>
      </c>
      <c r="L5" s="51">
        <v>0</v>
      </c>
      <c r="M5" s="51">
        <v>0</v>
      </c>
      <c r="N5" s="51">
        <v>1</v>
      </c>
      <c r="O5" s="51" t="b">
        <v>1</v>
      </c>
      <c r="P5" s="51">
        <v>897</v>
      </c>
      <c r="Q5" s="51" t="b">
        <v>0</v>
      </c>
      <c r="R5" s="51" t="b">
        <v>1</v>
      </c>
      <c r="S5" s="51">
        <v>1224</v>
      </c>
      <c r="T5" s="51" t="b">
        <v>0</v>
      </c>
      <c r="U5" s="51" t="b">
        <v>1</v>
      </c>
      <c r="V5" s="51">
        <v>0</v>
      </c>
      <c r="W5" s="51">
        <v>0</v>
      </c>
      <c r="X5" s="51">
        <v>1</v>
      </c>
      <c r="Y5" s="51" t="b">
        <f>AND(E5=O5,F5=P5,G5=Q5,H5=R5,I5=S5,J5=T5,K5=U5,L5=V5,M5=W5,N5=X5)</f>
        <v>1</v>
      </c>
    </row>
  </sheetData>
  <mergeCells count="25">
    <mergeCell ref="T3:T4"/>
    <mergeCell ref="U3:V3"/>
    <mergeCell ref="W3:W4"/>
    <mergeCell ref="X3:X4"/>
    <mergeCell ref="M3:M4"/>
    <mergeCell ref="N3:N4"/>
    <mergeCell ref="O3:P3"/>
    <mergeCell ref="Q3:Q4"/>
    <mergeCell ref="R3:S3"/>
    <mergeCell ref="A1:A4"/>
    <mergeCell ref="B1:D3"/>
    <mergeCell ref="E1:N1"/>
    <mergeCell ref="O1:X1"/>
    <mergeCell ref="Y1:Y4"/>
    <mergeCell ref="E2:G2"/>
    <mergeCell ref="H2:J2"/>
    <mergeCell ref="K2:N2"/>
    <mergeCell ref="O2:Q2"/>
    <mergeCell ref="R2:T2"/>
    <mergeCell ref="U2:X2"/>
    <mergeCell ref="E3:F3"/>
    <mergeCell ref="G3:G4"/>
    <mergeCell ref="H3:I3"/>
    <mergeCell ref="J3:J4"/>
    <mergeCell ref="K3:L3"/>
  </mergeCells>
  <pageMargins left="0.511811024" right="0.511811024" top="0.78740157499999996" bottom="0.78740157499999996" header="0.31496062000000002" footer="0.31496062000000002"/>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2" sqref="C2:C3"/>
    </sheetView>
  </sheetViews>
  <sheetFormatPr defaultRowHeight="15"/>
  <cols>
    <col min="1" max="1" width="29.85546875" customWidth="1"/>
    <col min="2" max="2" width="37.140625" bestFit="1" customWidth="1"/>
    <col min="3" max="3" width="105.5703125" bestFit="1" customWidth="1"/>
    <col min="4" max="4" width="36.42578125" customWidth="1"/>
    <col min="5" max="5" width="76" customWidth="1"/>
  </cols>
  <sheetData>
    <row r="1" spans="1:3">
      <c r="A1" s="1" t="s">
        <v>9</v>
      </c>
      <c r="B1" s="1" t="s">
        <v>0</v>
      </c>
      <c r="C1" s="2" t="s">
        <v>7</v>
      </c>
    </row>
    <row r="2" spans="1:3">
      <c r="A2" s="1" t="s">
        <v>8</v>
      </c>
      <c r="B2" s="1" t="s">
        <v>47</v>
      </c>
      <c r="C2" s="114" t="s">
        <v>48</v>
      </c>
    </row>
    <row r="3" spans="1:3">
      <c r="A3" s="1" t="s">
        <v>2</v>
      </c>
      <c r="B3" s="1">
        <v>2017</v>
      </c>
      <c r="C3" s="114"/>
    </row>
    <row r="4" spans="1:3">
      <c r="A4" s="1" t="s">
        <v>3</v>
      </c>
      <c r="B4" s="1">
        <v>0.47899999999999998</v>
      </c>
      <c r="C4" s="2" t="s">
        <v>10</v>
      </c>
    </row>
    <row r="5" spans="1:3">
      <c r="A5" s="1" t="s">
        <v>1</v>
      </c>
      <c r="B5" s="1">
        <f>EXP(-B4*(B3-1993))</f>
        <v>1.0170695121936509E-5</v>
      </c>
      <c r="C5" s="2" t="s">
        <v>11</v>
      </c>
    </row>
    <row r="6" spans="1:3">
      <c r="A6" s="1" t="s">
        <v>4</v>
      </c>
      <c r="B6" s="1">
        <v>7.9999999999999996E-6</v>
      </c>
      <c r="C6" s="2" t="s">
        <v>10</v>
      </c>
    </row>
    <row r="7" spans="1:3">
      <c r="A7" s="1" t="s">
        <v>6</v>
      </c>
      <c r="B7" s="1">
        <f>24/24</f>
        <v>1</v>
      </c>
      <c r="C7" s="2" t="s">
        <v>50</v>
      </c>
    </row>
    <row r="8" spans="1:3">
      <c r="A8" s="1" t="s">
        <v>13</v>
      </c>
      <c r="B8" s="1">
        <v>0.28000000000000003</v>
      </c>
      <c r="C8" s="2" t="s">
        <v>10</v>
      </c>
    </row>
    <row r="9" spans="1:3">
      <c r="A9" s="1" t="s">
        <v>5</v>
      </c>
      <c r="B9" s="1">
        <f>B7/B8</f>
        <v>3.5714285714285712</v>
      </c>
      <c r="C9" s="2" t="s">
        <v>11</v>
      </c>
    </row>
    <row r="10" spans="1:3">
      <c r="A10" s="1" t="s">
        <v>12</v>
      </c>
      <c r="B10" s="1">
        <v>0.8</v>
      </c>
      <c r="C10" s="2" t="s">
        <v>10</v>
      </c>
    </row>
    <row r="11" spans="1:3">
      <c r="A11" s="1" t="s">
        <v>14</v>
      </c>
      <c r="B11" s="1">
        <v>71</v>
      </c>
      <c r="C11" s="2" t="s">
        <v>51</v>
      </c>
    </row>
    <row r="12" spans="1:3">
      <c r="A12" s="1" t="s">
        <v>15</v>
      </c>
      <c r="B12" s="1">
        <v>20</v>
      </c>
      <c r="C12" s="2" t="s">
        <v>16</v>
      </c>
    </row>
    <row r="13" spans="1:3">
      <c r="A13" s="1" t="s">
        <v>17</v>
      </c>
      <c r="B13" s="1">
        <f>EXP((-B10/0.00008617)*((1/(B11+B12+273))-(1/298)))</f>
        <v>283.96523292387161</v>
      </c>
      <c r="C13" s="2" t="s">
        <v>11</v>
      </c>
    </row>
    <row r="14" spans="1:3">
      <c r="A14" s="1" t="s">
        <v>18</v>
      </c>
      <c r="B14" s="1">
        <v>6.3400000000000001E-4</v>
      </c>
      <c r="C14" s="2" t="s">
        <v>10</v>
      </c>
    </row>
    <row r="15" spans="1:3">
      <c r="A15" s="1" t="s">
        <v>19</v>
      </c>
      <c r="B15" s="1">
        <v>0.72</v>
      </c>
      <c r="C15" s="2" t="s">
        <v>10</v>
      </c>
    </row>
    <row r="16" spans="1:3">
      <c r="A16" s="1" t="s">
        <v>20</v>
      </c>
      <c r="B16" s="1">
        <f>(1-B7)/B15</f>
        <v>0</v>
      </c>
      <c r="C16" s="2" t="s">
        <v>11</v>
      </c>
    </row>
    <row r="17" spans="1:3">
      <c r="A17" s="1" t="s">
        <v>21</v>
      </c>
      <c r="B17" s="1">
        <v>0.9</v>
      </c>
      <c r="C17" s="2" t="s">
        <v>52</v>
      </c>
    </row>
    <row r="18" spans="1:3">
      <c r="A18" s="1" t="s">
        <v>23</v>
      </c>
      <c r="B18" s="1">
        <v>0.3</v>
      </c>
      <c r="C18" s="2" t="s">
        <v>10</v>
      </c>
    </row>
    <row r="19" spans="1:3">
      <c r="A19" s="1" t="s">
        <v>24</v>
      </c>
      <c r="B19" s="1">
        <v>14</v>
      </c>
      <c r="C19" s="2" t="s">
        <v>53</v>
      </c>
    </row>
    <row r="20" spans="1:3">
      <c r="A20" s="1" t="s">
        <v>22</v>
      </c>
      <c r="B20" s="3">
        <f>EXP((-B18/0.00008617)*((1/(B19+273))-(1/298)))*POWER((B17/0.5), 3)</f>
        <v>3.7269311834508061</v>
      </c>
      <c r="C20" s="2" t="s">
        <v>11</v>
      </c>
    </row>
    <row r="21" spans="1:3">
      <c r="A21" s="1" t="s">
        <v>25</v>
      </c>
      <c r="B21" s="1">
        <v>2.5000000000000001E-5</v>
      </c>
      <c r="C21" s="2" t="s">
        <v>10</v>
      </c>
    </row>
    <row r="22" spans="1:3">
      <c r="A22" s="1" t="s">
        <v>26</v>
      </c>
      <c r="B22" s="1">
        <v>365</v>
      </c>
      <c r="C22" s="2" t="s">
        <v>54</v>
      </c>
    </row>
    <row r="23" spans="1:3">
      <c r="A23" s="1" t="s">
        <v>28</v>
      </c>
      <c r="B23" s="3">
        <v>482.46</v>
      </c>
      <c r="C23" s="2" t="s">
        <v>10</v>
      </c>
    </row>
    <row r="24" spans="1:3">
      <c r="A24" s="1" t="s">
        <v>27</v>
      </c>
      <c r="B24" s="3">
        <f>B22/B23</f>
        <v>0.75653940223023675</v>
      </c>
      <c r="C24" s="2" t="s">
        <v>11</v>
      </c>
    </row>
    <row r="25" spans="1:3">
      <c r="A25" s="1" t="s">
        <v>30</v>
      </c>
      <c r="B25" s="3">
        <v>26.5</v>
      </c>
      <c r="C25" s="2" t="s">
        <v>10</v>
      </c>
    </row>
    <row r="26" spans="1:3">
      <c r="A26" s="1" t="s">
        <v>29</v>
      </c>
      <c r="B26" s="3">
        <f>POWER((B11+B12-B19)/B25,4)</f>
        <v>71.2819226102946</v>
      </c>
      <c r="C26" s="2" t="s">
        <v>11</v>
      </c>
    </row>
    <row r="27" spans="1:3">
      <c r="A27" s="1" t="s">
        <v>31</v>
      </c>
      <c r="B27" s="3">
        <v>4.8500000000000001E-3</v>
      </c>
      <c r="C27" s="2" t="s">
        <v>10</v>
      </c>
    </row>
    <row r="28" spans="1:3">
      <c r="A28" s="1" t="s">
        <v>32</v>
      </c>
      <c r="B28" s="3">
        <f>POWER((B11+B12-B19)/44,2.26)</f>
        <v>3.5421421835983335</v>
      </c>
      <c r="C28" s="2" t="s">
        <v>11</v>
      </c>
    </row>
    <row r="29" spans="1:3">
      <c r="A29" s="1" t="s">
        <v>33</v>
      </c>
      <c r="B29" s="3">
        <v>5.5199999999999997E-4</v>
      </c>
      <c r="C29" s="2" t="s">
        <v>10</v>
      </c>
    </row>
    <row r="30" spans="1:3">
      <c r="A30" s="1" t="s">
        <v>34</v>
      </c>
      <c r="B30" s="3">
        <f>(B5*((B6*B9*B13)+(B14*B16*B20)+(B21*B24*B26)))+B27*B28+B29</f>
        <v>1.7731485820300208E-2</v>
      </c>
      <c r="C30" s="2" t="s">
        <v>11</v>
      </c>
    </row>
    <row r="31" spans="1:3">
      <c r="A31" s="1" t="s">
        <v>35</v>
      </c>
      <c r="B31" s="3">
        <f>B30/1000000</f>
        <v>1.7731485820300208E-8</v>
      </c>
      <c r="C31" s="2" t="s">
        <v>36</v>
      </c>
    </row>
    <row r="33" spans="1:5">
      <c r="A33" s="1" t="s">
        <v>61</v>
      </c>
      <c r="B33" s="1" t="s">
        <v>58</v>
      </c>
      <c r="C33" s="1" t="s">
        <v>38</v>
      </c>
      <c r="D33" s="5" t="s">
        <v>59</v>
      </c>
      <c r="E33" s="5" t="s">
        <v>63</v>
      </c>
    </row>
    <row r="34" spans="1:5">
      <c r="A34" s="1" t="s">
        <v>60</v>
      </c>
      <c r="B34" s="1" t="s">
        <v>37</v>
      </c>
      <c r="C34" s="16">
        <v>0.12</v>
      </c>
      <c r="D34" s="5">
        <f>C34*$B$31</f>
        <v>2.1277782984360249E-9</v>
      </c>
      <c r="E34" s="4" t="s">
        <v>64</v>
      </c>
    </row>
    <row r="35" spans="1:5">
      <c r="A35" s="1" t="s">
        <v>66</v>
      </c>
      <c r="B35" s="1" t="s">
        <v>68</v>
      </c>
      <c r="C35" s="16">
        <v>0.12</v>
      </c>
      <c r="D35" s="5">
        <f>C35*$B$31</f>
        <v>2.1277782984360249E-9</v>
      </c>
      <c r="E35" s="4" t="s">
        <v>65</v>
      </c>
    </row>
    <row r="36" spans="1:5">
      <c r="A36" s="1" t="s">
        <v>67</v>
      </c>
      <c r="B36" s="1" t="s">
        <v>69</v>
      </c>
      <c r="C36" s="16">
        <v>0.12</v>
      </c>
      <c r="D36" s="5">
        <f t="shared" ref="D36:D41" si="0">C36*$B$31</f>
        <v>2.1277782984360249E-9</v>
      </c>
      <c r="E36" s="4" t="s">
        <v>65</v>
      </c>
    </row>
    <row r="37" spans="1:5">
      <c r="A37" s="1" t="s">
        <v>354</v>
      </c>
      <c r="B37" s="1" t="s">
        <v>350</v>
      </c>
      <c r="C37" s="16">
        <v>0.24</v>
      </c>
      <c r="D37" s="5">
        <f t="shared" si="0"/>
        <v>4.2555565968720499E-9</v>
      </c>
      <c r="E37" s="4" t="s">
        <v>353</v>
      </c>
    </row>
    <row r="38" spans="1:5">
      <c r="A38" s="1" t="s">
        <v>71</v>
      </c>
      <c r="B38" s="1" t="s">
        <v>75</v>
      </c>
      <c r="C38" s="16">
        <v>0.03</v>
      </c>
      <c r="D38" s="5">
        <f t="shared" si="0"/>
        <v>5.3194457460900624E-10</v>
      </c>
      <c r="E38" s="4" t="s">
        <v>70</v>
      </c>
    </row>
    <row r="39" spans="1:5">
      <c r="A39" s="1" t="s">
        <v>73</v>
      </c>
      <c r="B39" s="1" t="s">
        <v>76</v>
      </c>
      <c r="C39" s="16">
        <v>0.03</v>
      </c>
      <c r="D39" s="5">
        <f>C39*$B$31</f>
        <v>5.3194457460900624E-10</v>
      </c>
      <c r="E39" s="4" t="s">
        <v>70</v>
      </c>
    </row>
    <row r="40" spans="1:5">
      <c r="A40" s="1" t="s">
        <v>355</v>
      </c>
      <c r="B40" s="1" t="s">
        <v>351</v>
      </c>
      <c r="C40" s="16">
        <v>0.03</v>
      </c>
      <c r="D40" s="5">
        <f>C40*$B$31</f>
        <v>5.3194457460900624E-10</v>
      </c>
      <c r="E40" s="4" t="s">
        <v>70</v>
      </c>
    </row>
    <row r="41" spans="1:5">
      <c r="A41" s="1" t="s">
        <v>72</v>
      </c>
      <c r="B41" s="1" t="s">
        <v>77</v>
      </c>
      <c r="C41" s="16">
        <f>0.08/3</f>
        <v>2.6666666666666668E-2</v>
      </c>
      <c r="D41" s="5">
        <f t="shared" si="0"/>
        <v>4.7283962187467226E-10</v>
      </c>
      <c r="E41" s="4" t="s">
        <v>79</v>
      </c>
    </row>
    <row r="42" spans="1:5">
      <c r="A42" s="1" t="s">
        <v>74</v>
      </c>
      <c r="B42" s="1" t="s">
        <v>78</v>
      </c>
      <c r="C42" s="16">
        <f>0.08/3</f>
        <v>2.6666666666666668E-2</v>
      </c>
      <c r="D42" s="5">
        <f>C42*$B$31</f>
        <v>4.7283962187467226E-10</v>
      </c>
      <c r="E42" s="4" t="s">
        <v>79</v>
      </c>
    </row>
    <row r="43" spans="1:5">
      <c r="A43" s="1" t="s">
        <v>356</v>
      </c>
      <c r="B43" s="1" t="s">
        <v>352</v>
      </c>
      <c r="C43" s="16">
        <f>0.08/3</f>
        <v>2.6666666666666668E-2</v>
      </c>
      <c r="D43" s="5">
        <f>C43*$B$31</f>
        <v>4.7283962187467226E-10</v>
      </c>
      <c r="E43" s="4" t="s">
        <v>79</v>
      </c>
    </row>
    <row r="44" spans="1:5">
      <c r="A44" s="1" t="s">
        <v>80</v>
      </c>
      <c r="B44" s="1" t="s">
        <v>81</v>
      </c>
      <c r="C44" s="16">
        <v>0.12</v>
      </c>
      <c r="D44" s="5">
        <f>C44*$B$31</f>
        <v>2.1277782984360249E-9</v>
      </c>
      <c r="E44" s="4" t="s">
        <v>82</v>
      </c>
    </row>
    <row r="45" spans="1:5">
      <c r="A45" s="30" t="s">
        <v>437</v>
      </c>
      <c r="B45" s="30" t="s">
        <v>438</v>
      </c>
      <c r="C45" s="16">
        <v>0.12</v>
      </c>
      <c r="D45" s="5">
        <f>C45*$B$31</f>
        <v>2.1277782984360249E-9</v>
      </c>
      <c r="E45" s="4" t="s">
        <v>82</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C2" sqref="C2:C3"/>
    </sheetView>
  </sheetViews>
  <sheetFormatPr defaultRowHeight="15"/>
  <cols>
    <col min="1" max="1" width="29.42578125" bestFit="1" customWidth="1"/>
    <col min="2" max="2" width="37.140625" bestFit="1" customWidth="1"/>
    <col min="3" max="3" width="104.140625" customWidth="1"/>
    <col min="4" max="4" width="34.42578125" customWidth="1"/>
    <col min="5" max="5" width="72.42578125" customWidth="1"/>
  </cols>
  <sheetData>
    <row r="1" spans="1:3">
      <c r="A1" s="1" t="s">
        <v>9</v>
      </c>
      <c r="B1" s="1" t="s">
        <v>0</v>
      </c>
      <c r="C1" s="4" t="s">
        <v>7</v>
      </c>
    </row>
    <row r="2" spans="1:3">
      <c r="A2" s="1" t="s">
        <v>8</v>
      </c>
      <c r="B2" s="1" t="s">
        <v>47</v>
      </c>
      <c r="C2" s="114" t="s">
        <v>48</v>
      </c>
    </row>
    <row r="3" spans="1:3">
      <c r="A3" s="1" t="s">
        <v>2</v>
      </c>
      <c r="B3" s="1">
        <v>2017</v>
      </c>
      <c r="C3" s="114"/>
    </row>
    <row r="4" spans="1:3">
      <c r="A4" s="1" t="s">
        <v>3</v>
      </c>
      <c r="B4" s="1">
        <v>0.47899999999999998</v>
      </c>
      <c r="C4" s="4" t="s">
        <v>10</v>
      </c>
    </row>
    <row r="5" spans="1:3">
      <c r="A5" s="1" t="s">
        <v>1</v>
      </c>
      <c r="B5" s="1">
        <f>EXP(-B4*(B3-1993))</f>
        <v>1.0170695121936509E-5</v>
      </c>
      <c r="C5" s="4" t="s">
        <v>11</v>
      </c>
    </row>
    <row r="6" spans="1:3">
      <c r="A6" s="1" t="s">
        <v>4</v>
      </c>
      <c r="B6" s="1">
        <v>7.9999999999999996E-6</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51</v>
      </c>
    </row>
    <row r="12" spans="1:3">
      <c r="A12" s="1" t="s">
        <v>15</v>
      </c>
      <c r="B12" s="1">
        <v>20</v>
      </c>
      <c r="C12" s="4" t="s">
        <v>16</v>
      </c>
    </row>
    <row r="13" spans="1:3">
      <c r="A13" s="1" t="s">
        <v>17</v>
      </c>
      <c r="B13" s="1">
        <f>EXP((-B10/0.00008617)*((1/(B11+B12+273))-(1/298)))</f>
        <v>283.96523292387161</v>
      </c>
      <c r="C13" s="4" t="s">
        <v>11</v>
      </c>
    </row>
    <row r="14" spans="1:3">
      <c r="A14" s="1" t="s">
        <v>18</v>
      </c>
      <c r="B14" s="1">
        <v>6.3400000000000001E-4</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ht="30">
      <c r="A19" s="1" t="s">
        <v>24</v>
      </c>
      <c r="B19" s="1">
        <v>14</v>
      </c>
      <c r="C19" s="4" t="s">
        <v>53</v>
      </c>
    </row>
    <row r="20" spans="1:3">
      <c r="A20" s="1" t="s">
        <v>22</v>
      </c>
      <c r="B20" s="3">
        <f>EXP((-B18/0.00008617)*((1/(B19+273))-(1/298)))*POWER((B17/0.5), 3)</f>
        <v>3.7269311834508061</v>
      </c>
      <c r="C20" s="4" t="s">
        <v>11</v>
      </c>
    </row>
    <row r="21" spans="1:3">
      <c r="A21" s="1" t="s">
        <v>25</v>
      </c>
      <c r="B21" s="1">
        <v>2.5000000000000001E-5</v>
      </c>
      <c r="C21" s="4" t="s">
        <v>10</v>
      </c>
    </row>
    <row r="22" spans="1:3">
      <c r="A22" s="1" t="s">
        <v>26</v>
      </c>
      <c r="B22" s="1">
        <v>365</v>
      </c>
      <c r="C22" s="4" t="s">
        <v>54</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71.2819226102946</v>
      </c>
      <c r="C26" s="4" t="s">
        <v>11</v>
      </c>
    </row>
    <row r="27" spans="1:3">
      <c r="A27" s="1" t="s">
        <v>31</v>
      </c>
      <c r="B27" s="3">
        <v>4.8500000000000001E-3</v>
      </c>
      <c r="C27" s="4" t="s">
        <v>10</v>
      </c>
    </row>
    <row r="28" spans="1:3">
      <c r="A28" s="1" t="s">
        <v>32</v>
      </c>
      <c r="B28" s="3">
        <f>POWER((B11+B12-B19)/44,2.26)</f>
        <v>3.5421421835983335</v>
      </c>
      <c r="C28" s="4" t="s">
        <v>11</v>
      </c>
    </row>
    <row r="29" spans="1:3">
      <c r="A29" s="1" t="s">
        <v>33</v>
      </c>
      <c r="B29" s="3">
        <v>5.5199999999999997E-4</v>
      </c>
      <c r="C29" s="4" t="s">
        <v>10</v>
      </c>
    </row>
    <row r="30" spans="1:3">
      <c r="A30" s="1" t="s">
        <v>34</v>
      </c>
      <c r="B30" s="3">
        <f>(B5*((B6*B9*B13)+(B14*B16*B20)+(B21*B24*B26)))+B27*B28+B29</f>
        <v>1.7731485820300208E-2</v>
      </c>
      <c r="C30" s="4" t="s">
        <v>11</v>
      </c>
    </row>
    <row r="31" spans="1:3">
      <c r="A31" s="1" t="s">
        <v>35</v>
      </c>
      <c r="B31" s="3">
        <f>B30/1000000</f>
        <v>1.7731485820300208E-8</v>
      </c>
      <c r="C31" s="4" t="s">
        <v>36</v>
      </c>
    </row>
    <row r="33" spans="1:5" s="6" customFormat="1">
      <c r="A33" s="1" t="s">
        <v>61</v>
      </c>
      <c r="B33" s="1" t="s">
        <v>58</v>
      </c>
      <c r="C33" s="1" t="s">
        <v>38</v>
      </c>
      <c r="D33" s="5" t="s">
        <v>59</v>
      </c>
      <c r="E33" s="5" t="s">
        <v>63</v>
      </c>
    </row>
    <row r="34" spans="1:5" s="6" customFormat="1">
      <c r="A34" s="1" t="s">
        <v>60</v>
      </c>
      <c r="B34" s="1" t="s">
        <v>37</v>
      </c>
      <c r="C34" s="16">
        <v>0.12</v>
      </c>
      <c r="D34" s="5">
        <f t="shared" ref="D34:D44" si="0">C34*$B$31</f>
        <v>2.1277782984360249E-9</v>
      </c>
      <c r="E34" s="4" t="s">
        <v>64</v>
      </c>
    </row>
    <row r="35" spans="1:5" s="6" customFormat="1">
      <c r="A35" s="1" t="s">
        <v>66</v>
      </c>
      <c r="B35" s="1" t="s">
        <v>68</v>
      </c>
      <c r="C35" s="16">
        <v>0.12</v>
      </c>
      <c r="D35" s="5">
        <f t="shared" si="0"/>
        <v>2.1277782984360249E-9</v>
      </c>
      <c r="E35" s="4" t="s">
        <v>65</v>
      </c>
    </row>
    <row r="36" spans="1:5" s="6" customFormat="1">
      <c r="A36" s="1" t="s">
        <v>67</v>
      </c>
      <c r="B36" s="1" t="s">
        <v>69</v>
      </c>
      <c r="C36" s="16">
        <v>0.12</v>
      </c>
      <c r="D36" s="5">
        <f t="shared" si="0"/>
        <v>2.1277782984360249E-9</v>
      </c>
      <c r="E36" s="4" t="s">
        <v>65</v>
      </c>
    </row>
    <row r="37" spans="1:5" s="6" customFormat="1" ht="30">
      <c r="A37" s="1" t="s">
        <v>354</v>
      </c>
      <c r="B37" s="1" t="s">
        <v>350</v>
      </c>
      <c r="C37" s="16">
        <v>0.3</v>
      </c>
      <c r="D37" s="5">
        <f t="shared" si="0"/>
        <v>5.3194457460900622E-9</v>
      </c>
      <c r="E37" s="4" t="s">
        <v>353</v>
      </c>
    </row>
    <row r="38" spans="1:5" s="6" customFormat="1">
      <c r="A38" s="1" t="s">
        <v>71</v>
      </c>
      <c r="B38" s="1" t="s">
        <v>75</v>
      </c>
      <c r="C38" s="16">
        <v>0.03</v>
      </c>
      <c r="D38" s="5">
        <f t="shared" si="0"/>
        <v>5.3194457460900624E-10</v>
      </c>
      <c r="E38" s="4" t="s">
        <v>70</v>
      </c>
    </row>
    <row r="39" spans="1:5" s="6" customFormat="1">
      <c r="A39" s="1" t="s">
        <v>73</v>
      </c>
      <c r="B39" s="1" t="s">
        <v>76</v>
      </c>
      <c r="C39" s="16">
        <v>0.03</v>
      </c>
      <c r="D39" s="5">
        <f t="shared" si="0"/>
        <v>5.3194457460900624E-10</v>
      </c>
      <c r="E39" s="4" t="s">
        <v>70</v>
      </c>
    </row>
    <row r="40" spans="1:5" s="6" customFormat="1">
      <c r="A40" s="1" t="s">
        <v>355</v>
      </c>
      <c r="B40" s="1" t="s">
        <v>351</v>
      </c>
      <c r="C40" s="16">
        <v>0.03</v>
      </c>
      <c r="D40" s="5">
        <f t="shared" si="0"/>
        <v>5.3194457460900624E-10</v>
      </c>
      <c r="E40" s="4" t="s">
        <v>70</v>
      </c>
    </row>
    <row r="41" spans="1:5" s="6" customFormat="1">
      <c r="A41" s="1" t="s">
        <v>72</v>
      </c>
      <c r="B41" s="1" t="s">
        <v>77</v>
      </c>
      <c r="C41" s="16">
        <f>0.08/3</f>
        <v>2.6666666666666668E-2</v>
      </c>
      <c r="D41" s="5">
        <f t="shared" si="0"/>
        <v>4.7283962187467226E-10</v>
      </c>
      <c r="E41" s="4" t="s">
        <v>79</v>
      </c>
    </row>
    <row r="42" spans="1:5">
      <c r="A42" s="1" t="s">
        <v>74</v>
      </c>
      <c r="B42" s="1" t="s">
        <v>78</v>
      </c>
      <c r="C42" s="16">
        <f>0.08/3</f>
        <v>2.6666666666666668E-2</v>
      </c>
      <c r="D42" s="5">
        <f t="shared" si="0"/>
        <v>4.7283962187467226E-10</v>
      </c>
      <c r="E42" s="4" t="s">
        <v>79</v>
      </c>
    </row>
    <row r="43" spans="1:5">
      <c r="A43" s="1" t="s">
        <v>356</v>
      </c>
      <c r="B43" s="1" t="s">
        <v>352</v>
      </c>
      <c r="C43" s="16">
        <f>0.08/3</f>
        <v>2.6666666666666668E-2</v>
      </c>
      <c r="D43" s="5">
        <f t="shared" si="0"/>
        <v>4.7283962187467226E-10</v>
      </c>
      <c r="E43" s="4" t="s">
        <v>79</v>
      </c>
    </row>
    <row r="44" spans="1:5">
      <c r="A44" s="1" t="s">
        <v>62</v>
      </c>
      <c r="B44" s="1" t="s">
        <v>171</v>
      </c>
      <c r="C44" s="16">
        <v>0.18</v>
      </c>
      <c r="D44" s="5">
        <f t="shared" si="0"/>
        <v>3.1916674476540372E-9</v>
      </c>
      <c r="E44" s="4" t="s">
        <v>82</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1.140625" customWidth="1"/>
    <col min="5" max="5" width="82" customWidth="1"/>
  </cols>
  <sheetData>
    <row r="1" spans="1:3">
      <c r="A1" s="1" t="s">
        <v>9</v>
      </c>
      <c r="B1" s="1" t="s">
        <v>0</v>
      </c>
      <c r="C1" s="4" t="s">
        <v>7</v>
      </c>
    </row>
    <row r="2" spans="1:3">
      <c r="A2" s="1" t="s">
        <v>8</v>
      </c>
      <c r="B2" s="1" t="s">
        <v>49</v>
      </c>
      <c r="C2" s="114" t="s">
        <v>562</v>
      </c>
    </row>
    <row r="3" spans="1:3">
      <c r="A3" s="1" t="s">
        <v>2</v>
      </c>
      <c r="B3" s="1">
        <v>2013</v>
      </c>
      <c r="C3" s="114"/>
    </row>
    <row r="4" spans="1:3">
      <c r="A4" s="1" t="s">
        <v>3</v>
      </c>
      <c r="B4" s="1">
        <v>0.47899999999999998</v>
      </c>
      <c r="C4" s="4" t="s">
        <v>10</v>
      </c>
    </row>
    <row r="5" spans="1:3">
      <c r="A5" s="1" t="s">
        <v>1</v>
      </c>
      <c r="B5" s="1">
        <f>EXP(-B4*(B3-1993))</f>
        <v>6.9096947726288158E-5</v>
      </c>
      <c r="C5" s="4" t="s">
        <v>11</v>
      </c>
    </row>
    <row r="6" spans="1:3">
      <c r="A6" s="1" t="s">
        <v>4</v>
      </c>
      <c r="B6" s="1">
        <v>7.9999999999999996E-6</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55</v>
      </c>
    </row>
    <row r="12" spans="1:3">
      <c r="A12" s="1" t="s">
        <v>15</v>
      </c>
      <c r="B12" s="1">
        <v>20</v>
      </c>
      <c r="C12" s="4" t="s">
        <v>16</v>
      </c>
    </row>
    <row r="13" spans="1:3">
      <c r="A13" s="1" t="s">
        <v>17</v>
      </c>
      <c r="B13" s="1">
        <f>EXP((-B10/0.00008617)*((1/(B11+B12+273))-(1/298)))</f>
        <v>283.96523292387161</v>
      </c>
      <c r="C13" s="4" t="s">
        <v>11</v>
      </c>
    </row>
    <row r="14" spans="1:3">
      <c r="A14" s="1" t="s">
        <v>18</v>
      </c>
      <c r="B14" s="1">
        <v>6.3400000000000001E-4</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ht="30">
      <c r="A19" s="1" t="s">
        <v>24</v>
      </c>
      <c r="B19" s="1">
        <v>14</v>
      </c>
      <c r="C19" s="4" t="s">
        <v>56</v>
      </c>
    </row>
    <row r="20" spans="1:3">
      <c r="A20" s="1" t="s">
        <v>22</v>
      </c>
      <c r="B20" s="3">
        <f>EXP((-B18/0.00008617)*((1/(B19+273))-(1/298)))*POWER((B17/0.5), 3)</f>
        <v>3.7269311834508061</v>
      </c>
      <c r="C20" s="4" t="s">
        <v>11</v>
      </c>
    </row>
    <row r="21" spans="1:3">
      <c r="A21" s="1" t="s">
        <v>25</v>
      </c>
      <c r="B21" s="1">
        <v>2.5000000000000001E-5</v>
      </c>
      <c r="C21" s="4" t="s">
        <v>10</v>
      </c>
    </row>
    <row r="22" spans="1:3">
      <c r="A22" s="1" t="s">
        <v>26</v>
      </c>
      <c r="B22" s="1">
        <v>365</v>
      </c>
      <c r="C22" s="4" t="s">
        <v>57</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71.2819226102946</v>
      </c>
      <c r="C26" s="4" t="s">
        <v>11</v>
      </c>
    </row>
    <row r="27" spans="1:3">
      <c r="A27" s="1" t="s">
        <v>31</v>
      </c>
      <c r="B27" s="3">
        <v>4.8500000000000001E-3</v>
      </c>
      <c r="C27" s="4" t="s">
        <v>10</v>
      </c>
    </row>
    <row r="28" spans="1:3">
      <c r="A28" s="1" t="s">
        <v>32</v>
      </c>
      <c r="B28" s="3">
        <f>POWER((B11+B12-B19)/44,2.26)</f>
        <v>3.5421421835983335</v>
      </c>
      <c r="C28" s="4" t="s">
        <v>11</v>
      </c>
    </row>
    <row r="29" spans="1:3">
      <c r="A29" s="1" t="s">
        <v>33</v>
      </c>
      <c r="B29" s="3">
        <v>5.5199999999999997E-4</v>
      </c>
      <c r="C29" s="4" t="s">
        <v>10</v>
      </c>
    </row>
    <row r="30" spans="1:3">
      <c r="A30" s="1" t="s">
        <v>34</v>
      </c>
      <c r="B30" s="3">
        <f>(B5*((B6*B9*B13)+(B14*B16*B20)+(B21*B24*B26)))+B27*B28+B29</f>
        <v>1.7732043349975444E-2</v>
      </c>
      <c r="C30" s="4" t="s">
        <v>11</v>
      </c>
    </row>
    <row r="31" spans="1:3">
      <c r="A31" s="1" t="s">
        <v>35</v>
      </c>
      <c r="B31" s="14">
        <f>B30/1000000</f>
        <v>1.7732043349975445E-8</v>
      </c>
      <c r="C31" s="4" t="s">
        <v>36</v>
      </c>
    </row>
    <row r="33" spans="1:5" s="6" customFormat="1">
      <c r="A33" s="1" t="s">
        <v>61</v>
      </c>
      <c r="B33" s="1" t="s">
        <v>58</v>
      </c>
      <c r="C33" s="1" t="s">
        <v>38</v>
      </c>
      <c r="D33" s="5" t="s">
        <v>59</v>
      </c>
      <c r="E33" s="4" t="s">
        <v>63</v>
      </c>
    </row>
    <row r="34" spans="1:5" s="6" customFormat="1">
      <c r="A34" s="1" t="s">
        <v>83</v>
      </c>
      <c r="B34" s="1" t="s">
        <v>39</v>
      </c>
      <c r="C34" s="16">
        <v>0.34</v>
      </c>
      <c r="D34" s="1">
        <f>C34*$B$31</f>
        <v>6.0288947389916522E-9</v>
      </c>
      <c r="E34" s="4" t="s">
        <v>64</v>
      </c>
    </row>
    <row r="35" spans="1:5" s="6" customFormat="1">
      <c r="A35" s="1" t="s">
        <v>84</v>
      </c>
      <c r="B35" s="1" t="s">
        <v>40</v>
      </c>
      <c r="C35" s="16">
        <v>0.17</v>
      </c>
      <c r="D35" s="1">
        <f>C35*$B$31</f>
        <v>3.0144473694958261E-9</v>
      </c>
      <c r="E35" s="4" t="s">
        <v>64</v>
      </c>
    </row>
    <row r="36" spans="1:5">
      <c r="A36" s="1" t="s">
        <v>85</v>
      </c>
      <c r="B36" s="1" t="s">
        <v>41</v>
      </c>
      <c r="C36" s="16">
        <v>0.23</v>
      </c>
      <c r="D36" s="1">
        <f>C36*$B$31</f>
        <v>4.0783699704943524E-9</v>
      </c>
      <c r="E36" s="4" t="s">
        <v>64</v>
      </c>
    </row>
    <row r="37" spans="1:5">
      <c r="A37" s="1" t="s">
        <v>86</v>
      </c>
      <c r="B37" s="1" t="s">
        <v>42</v>
      </c>
      <c r="C37" s="16">
        <v>0.26</v>
      </c>
      <c r="D37" s="1">
        <f>C37*$B$31</f>
        <v>4.6103312709936158E-9</v>
      </c>
      <c r="E37" s="4" t="s">
        <v>64</v>
      </c>
    </row>
  </sheetData>
  <mergeCells count="1">
    <mergeCell ref="C2:C3"/>
  </mergeCells>
  <hyperlinks>
    <hyperlink ref="C2" r:id="rId1"/>
  </hyperlink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70" zoomScaleNormal="70" workbookViewId="0">
      <selection activeCell="C2" sqref="C2:C3"/>
    </sheetView>
  </sheetViews>
  <sheetFormatPr defaultRowHeight="15"/>
  <cols>
    <col min="1" max="1" width="30.28515625" bestFit="1" customWidth="1"/>
    <col min="2" max="2" width="32.140625" bestFit="1" customWidth="1"/>
    <col min="3" max="3" width="111.140625" bestFit="1" customWidth="1"/>
    <col min="4" max="4" width="36.42578125" customWidth="1"/>
    <col min="5" max="5" width="72.7109375" customWidth="1"/>
  </cols>
  <sheetData>
    <row r="1" spans="1:3">
      <c r="A1" s="1" t="s">
        <v>9</v>
      </c>
      <c r="B1" s="1" t="s">
        <v>0</v>
      </c>
      <c r="C1" s="4" t="s">
        <v>7</v>
      </c>
    </row>
    <row r="2" spans="1:3">
      <c r="A2" s="1" t="s">
        <v>8</v>
      </c>
      <c r="B2" s="1" t="s">
        <v>120</v>
      </c>
      <c r="C2" s="114" t="s">
        <v>119</v>
      </c>
    </row>
    <row r="3" spans="1:3">
      <c r="A3" s="1" t="s">
        <v>2</v>
      </c>
      <c r="B3" s="1">
        <v>2021</v>
      </c>
      <c r="C3" s="114"/>
    </row>
    <row r="4" spans="1:3">
      <c r="A4" s="1" t="s">
        <v>3</v>
      </c>
      <c r="B4" s="1">
        <v>0</v>
      </c>
      <c r="C4" s="4" t="s">
        <v>121</v>
      </c>
    </row>
    <row r="5" spans="1:3">
      <c r="A5" s="1" t="s">
        <v>1</v>
      </c>
      <c r="B5" s="1">
        <f>EXP(-B4*(B3-1993))</f>
        <v>1</v>
      </c>
      <c r="C5" s="4" t="s">
        <v>122</v>
      </c>
    </row>
    <row r="6" spans="1:3">
      <c r="A6" s="7" t="s">
        <v>4</v>
      </c>
      <c r="B6" s="7">
        <v>1.9999999999999999E-7</v>
      </c>
      <c r="C6" s="9" t="s">
        <v>121</v>
      </c>
    </row>
    <row r="7" spans="1:3">
      <c r="A7" s="7" t="s">
        <v>6</v>
      </c>
      <c r="B7" s="7">
        <f>24/24</f>
        <v>1</v>
      </c>
      <c r="C7" s="9" t="s">
        <v>50</v>
      </c>
    </row>
    <row r="8" spans="1:3">
      <c r="A8" s="7" t="s">
        <v>13</v>
      </c>
      <c r="B8" s="7">
        <v>0.23</v>
      </c>
      <c r="C8" s="9" t="s">
        <v>121</v>
      </c>
    </row>
    <row r="9" spans="1:3">
      <c r="A9" s="7" t="s">
        <v>5</v>
      </c>
      <c r="B9" s="7">
        <f>B7/B8</f>
        <v>4.3478260869565215</v>
      </c>
      <c r="C9" s="9" t="s">
        <v>122</v>
      </c>
    </row>
    <row r="10" spans="1:3">
      <c r="A10" s="7" t="s">
        <v>12</v>
      </c>
      <c r="B10" s="7">
        <v>0.2</v>
      </c>
      <c r="C10" s="9" t="s">
        <v>121</v>
      </c>
    </row>
    <row r="11" spans="1:3">
      <c r="A11" s="7" t="s">
        <v>14</v>
      </c>
      <c r="B11" s="7">
        <v>71</v>
      </c>
      <c r="C11" s="9" t="s">
        <v>51</v>
      </c>
    </row>
    <row r="12" spans="1:3">
      <c r="A12" s="7" t="s">
        <v>15</v>
      </c>
      <c r="B12" s="7">
        <v>30</v>
      </c>
      <c r="C12" s="9" t="s">
        <v>123</v>
      </c>
    </row>
    <row r="13" spans="1:3">
      <c r="A13" s="7" t="s">
        <v>17</v>
      </c>
      <c r="B13" s="7">
        <f>EXP((-B10/0.00008617)*((1/(B11+B12+273))-(1/298)))</f>
        <v>4.8681001126894374</v>
      </c>
      <c r="C13" s="9" t="s">
        <v>122</v>
      </c>
    </row>
    <row r="14" spans="1:3">
      <c r="A14" s="7" t="s">
        <v>124</v>
      </c>
      <c r="B14" s="7">
        <v>1</v>
      </c>
      <c r="C14" s="9" t="s">
        <v>126</v>
      </c>
    </row>
    <row r="15" spans="1:3">
      <c r="A15" s="7" t="s">
        <v>125</v>
      </c>
      <c r="B15" s="7">
        <f>POWER(B14/0.29, 0.39)</f>
        <v>1.6205587526833491</v>
      </c>
      <c r="C15" s="9" t="s">
        <v>122</v>
      </c>
    </row>
    <row r="16" spans="1:3">
      <c r="A16" s="7" t="s">
        <v>18</v>
      </c>
      <c r="B16" s="7">
        <v>2.3699999999999999E-7</v>
      </c>
      <c r="C16" s="9" t="s">
        <v>121</v>
      </c>
    </row>
    <row r="17" spans="1:3">
      <c r="A17" s="7" t="s">
        <v>19</v>
      </c>
      <c r="B17" s="7">
        <v>0.77</v>
      </c>
      <c r="C17" s="9" t="s">
        <v>121</v>
      </c>
    </row>
    <row r="18" spans="1:3">
      <c r="A18" s="7" t="s">
        <v>20</v>
      </c>
      <c r="B18" s="7">
        <f>(1-B7)/B17</f>
        <v>0</v>
      </c>
      <c r="C18" s="9" t="s">
        <v>122</v>
      </c>
    </row>
    <row r="19" spans="1:3">
      <c r="A19" s="7" t="s">
        <v>23</v>
      </c>
      <c r="B19" s="7">
        <v>0.2</v>
      </c>
      <c r="C19" s="9" t="s">
        <v>121</v>
      </c>
    </row>
    <row r="20" spans="1:3">
      <c r="A20" s="7" t="s">
        <v>24</v>
      </c>
      <c r="B20" s="7">
        <v>14</v>
      </c>
      <c r="C20" s="9" t="s">
        <v>53</v>
      </c>
    </row>
    <row r="21" spans="1:3">
      <c r="A21" s="7" t="s">
        <v>99</v>
      </c>
      <c r="B21" s="8">
        <f>EXP((-B19/0.00008617)*((1/(B20+273))-(1/298)))</f>
        <v>0.7419179962257213</v>
      </c>
      <c r="C21" s="9" t="s">
        <v>122</v>
      </c>
    </row>
    <row r="22" spans="1:3">
      <c r="A22" s="7" t="s">
        <v>25</v>
      </c>
      <c r="B22" s="10">
        <v>1.4300000000000001E-8</v>
      </c>
      <c r="C22" s="9" t="s">
        <v>121</v>
      </c>
    </row>
    <row r="23" spans="1:3">
      <c r="A23" s="7" t="s">
        <v>26</v>
      </c>
      <c r="B23" s="7">
        <v>365</v>
      </c>
      <c r="C23" s="9" t="s">
        <v>54</v>
      </c>
    </row>
    <row r="24" spans="1:3">
      <c r="A24" s="7" t="s">
        <v>28</v>
      </c>
      <c r="B24" s="8">
        <v>1140.3499999999999</v>
      </c>
      <c r="C24" s="9" t="s">
        <v>121</v>
      </c>
    </row>
    <row r="25" spans="1:3">
      <c r="A25" s="7" t="s">
        <v>27</v>
      </c>
      <c r="B25" s="8">
        <f>B23/B24</f>
        <v>0.32007716929013025</v>
      </c>
      <c r="C25" s="9" t="s">
        <v>122</v>
      </c>
    </row>
    <row r="26" spans="1:3">
      <c r="A26" s="7" t="s">
        <v>30</v>
      </c>
      <c r="B26" s="8">
        <v>86</v>
      </c>
      <c r="C26" s="9" t="s">
        <v>121</v>
      </c>
    </row>
    <row r="27" spans="1:3">
      <c r="A27" s="7" t="s">
        <v>29</v>
      </c>
      <c r="B27" s="8">
        <f>POWER((B11+B12-B20)/B26,2)</f>
        <v>1.0233910221741482</v>
      </c>
      <c r="C27" s="9" t="s">
        <v>122</v>
      </c>
    </row>
    <row r="28" spans="1:3">
      <c r="A28" s="7" t="s">
        <v>31</v>
      </c>
      <c r="B28" s="8">
        <v>8.8999999999999995E-4</v>
      </c>
      <c r="C28" s="9" t="s">
        <v>121</v>
      </c>
    </row>
    <row r="29" spans="1:3">
      <c r="A29" s="7" t="s">
        <v>32</v>
      </c>
      <c r="B29" s="8">
        <f>POWER((B11+B12-B20)/44,2.26)</f>
        <v>4.6677808942627443</v>
      </c>
      <c r="C29" s="9" t="s">
        <v>122</v>
      </c>
    </row>
    <row r="30" spans="1:3">
      <c r="A30" s="7" t="s">
        <v>33</v>
      </c>
      <c r="B30" s="11">
        <v>1.07E-8</v>
      </c>
      <c r="C30" s="9" t="s">
        <v>121</v>
      </c>
    </row>
    <row r="31" spans="1:3">
      <c r="A31" s="7" t="s">
        <v>34</v>
      </c>
      <c r="B31" s="12">
        <f>(B5*((B6*B9*B13*B15)+(B16*B18*B21)+(B22*B25*B27)))+B28*B29+B30</f>
        <v>4.1612004167966296E-3</v>
      </c>
      <c r="C31" s="9" t="s">
        <v>122</v>
      </c>
    </row>
    <row r="32" spans="1:3">
      <c r="A32" s="7" t="s">
        <v>35</v>
      </c>
      <c r="B32" s="15">
        <f>B31/1000000</f>
        <v>4.1612004167966296E-9</v>
      </c>
      <c r="C32" s="9" t="s">
        <v>36</v>
      </c>
    </row>
    <row r="34" spans="1:5">
      <c r="A34" s="1" t="s">
        <v>61</v>
      </c>
      <c r="B34" s="1" t="s">
        <v>58</v>
      </c>
      <c r="C34" s="1" t="s">
        <v>38</v>
      </c>
      <c r="D34" s="5" t="s">
        <v>59</v>
      </c>
      <c r="E34" s="5" t="s">
        <v>63</v>
      </c>
    </row>
    <row r="35" spans="1:5">
      <c r="A35" s="7" t="s">
        <v>85</v>
      </c>
      <c r="B35" s="1" t="s">
        <v>89</v>
      </c>
      <c r="C35" s="16">
        <v>0.59</v>
      </c>
      <c r="D35" s="5">
        <f>C35*$B$32</f>
        <v>2.4551082459100113E-9</v>
      </c>
      <c r="E35" s="4" t="s">
        <v>107</v>
      </c>
    </row>
    <row r="36" spans="1:5">
      <c r="A36" s="7" t="s">
        <v>87</v>
      </c>
      <c r="B36" s="1" t="s">
        <v>129</v>
      </c>
      <c r="C36" s="16">
        <v>0.05</v>
      </c>
      <c r="D36" s="5">
        <f>C36*$B$32</f>
        <v>2.080600208398315E-10</v>
      </c>
      <c r="E36" s="4" t="s">
        <v>107</v>
      </c>
    </row>
    <row r="37" spans="1:5">
      <c r="A37" s="7" t="s">
        <v>127</v>
      </c>
      <c r="B37" s="1" t="s">
        <v>130</v>
      </c>
      <c r="C37" s="16">
        <v>0.18</v>
      </c>
      <c r="D37" s="5">
        <f>C37*$B$32</f>
        <v>7.4901607502339334E-10</v>
      </c>
      <c r="E37" s="4" t="s">
        <v>107</v>
      </c>
    </row>
    <row r="38" spans="1:5">
      <c r="A38" s="7" t="s">
        <v>128</v>
      </c>
      <c r="B38" s="1" t="s">
        <v>131</v>
      </c>
      <c r="C38" s="16">
        <v>0.18</v>
      </c>
      <c r="D38" s="5">
        <f>C38*$B$32</f>
        <v>7.4901607502339334E-10</v>
      </c>
      <c r="E38" s="4" t="s">
        <v>107</v>
      </c>
    </row>
    <row r="39" spans="1:5">
      <c r="A39" s="7" t="s">
        <v>88</v>
      </c>
      <c r="B39" s="1" t="s">
        <v>90</v>
      </c>
      <c r="C39" s="16">
        <v>0</v>
      </c>
      <c r="D39" s="5">
        <f>C39*$B$32</f>
        <v>0</v>
      </c>
      <c r="E39" s="4" t="s">
        <v>238</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60" zoomScaleNormal="60" workbookViewId="0">
      <selection activeCell="C2" sqref="C2:C3"/>
    </sheetView>
  </sheetViews>
  <sheetFormatPr defaultRowHeight="15"/>
  <cols>
    <col min="1" max="1" width="45" bestFit="1" customWidth="1"/>
    <col min="2" max="2" width="62.42578125" bestFit="1" customWidth="1"/>
    <col min="3" max="3" width="105.5703125" customWidth="1"/>
    <col min="4" max="4" width="36.42578125" customWidth="1"/>
    <col min="5" max="5" width="72.7109375" customWidth="1"/>
  </cols>
  <sheetData>
    <row r="1" spans="1:3">
      <c r="A1" s="1" t="s">
        <v>9</v>
      </c>
      <c r="B1" s="1" t="s">
        <v>0</v>
      </c>
      <c r="C1" s="4" t="s">
        <v>7</v>
      </c>
    </row>
    <row r="2" spans="1:3">
      <c r="A2" s="1" t="s">
        <v>8</v>
      </c>
      <c r="B2" s="1" t="s">
        <v>156</v>
      </c>
      <c r="C2" s="114" t="s">
        <v>155</v>
      </c>
    </row>
    <row r="3" spans="1:3">
      <c r="A3" s="1" t="s">
        <v>2</v>
      </c>
      <c r="B3" s="1">
        <v>2010</v>
      </c>
      <c r="C3" s="114"/>
    </row>
    <row r="4" spans="1:3">
      <c r="A4" s="1" t="s">
        <v>3</v>
      </c>
      <c r="B4" s="1">
        <v>8.6999999999999994E-2</v>
      </c>
      <c r="C4" s="4" t="s">
        <v>157</v>
      </c>
    </row>
    <row r="5" spans="1:3">
      <c r="A5" s="1" t="s">
        <v>1</v>
      </c>
      <c r="B5" s="1">
        <f>EXP(-B4*(B3-1993))</f>
        <v>0.22786543992898989</v>
      </c>
      <c r="C5" s="4" t="s">
        <v>158</v>
      </c>
    </row>
    <row r="6" spans="1:3">
      <c r="A6" s="7" t="s">
        <v>4</v>
      </c>
      <c r="B6" s="7">
        <v>3.2244000000000001E-3</v>
      </c>
      <c r="C6" s="9" t="s">
        <v>157</v>
      </c>
    </row>
    <row r="7" spans="1:3">
      <c r="A7" s="7" t="s">
        <v>6</v>
      </c>
      <c r="B7" s="7">
        <v>1</v>
      </c>
      <c r="C7" s="9" t="s">
        <v>50</v>
      </c>
    </row>
    <row r="8" spans="1:3">
      <c r="A8" s="7" t="s">
        <v>13</v>
      </c>
      <c r="B8" s="7">
        <v>0.32</v>
      </c>
      <c r="C8" s="9" t="s">
        <v>157</v>
      </c>
    </row>
    <row r="9" spans="1:3">
      <c r="A9" s="7" t="s">
        <v>5</v>
      </c>
      <c r="B9" s="7">
        <f>B7/B8</f>
        <v>3.125</v>
      </c>
      <c r="C9" s="9" t="s">
        <v>158</v>
      </c>
    </row>
    <row r="10" spans="1:3">
      <c r="A10" s="7" t="s">
        <v>12</v>
      </c>
      <c r="B10" s="7">
        <v>0.6</v>
      </c>
      <c r="C10" s="9" t="s">
        <v>157</v>
      </c>
    </row>
    <row r="11" spans="1:3">
      <c r="A11" s="7" t="s">
        <v>14</v>
      </c>
      <c r="B11" s="7">
        <v>71</v>
      </c>
      <c r="C11" s="9" t="s">
        <v>51</v>
      </c>
    </row>
    <row r="12" spans="1:3">
      <c r="A12" s="7" t="s">
        <v>15</v>
      </c>
      <c r="B12" s="7">
        <v>7</v>
      </c>
      <c r="C12" s="9" t="s">
        <v>159</v>
      </c>
    </row>
    <row r="13" spans="1:3">
      <c r="A13" s="7" t="s">
        <v>17</v>
      </c>
      <c r="B13" s="7">
        <f>EXP((-B10/0.00008617)*((1/(B11+B12+273))-(1/298)))</f>
        <v>34.061064187184122</v>
      </c>
      <c r="C13" s="9" t="s">
        <v>158</v>
      </c>
    </row>
    <row r="14" spans="1:3">
      <c r="A14" s="7" t="s">
        <v>18</v>
      </c>
      <c r="B14" s="7">
        <v>9.5466000000000006E-3</v>
      </c>
      <c r="C14" s="9" t="s">
        <v>157</v>
      </c>
    </row>
    <row r="15" spans="1:3">
      <c r="A15" s="7" t="s">
        <v>19</v>
      </c>
      <c r="B15" s="7">
        <v>0.68</v>
      </c>
      <c r="C15" s="9" t="s">
        <v>157</v>
      </c>
    </row>
    <row r="16" spans="1:3">
      <c r="A16" s="7" t="s">
        <v>20</v>
      </c>
      <c r="B16" s="7">
        <f>(1-B7)/B15</f>
        <v>0</v>
      </c>
      <c r="C16" s="9" t="s">
        <v>158</v>
      </c>
    </row>
    <row r="17" spans="1:5">
      <c r="A17" s="7" t="s">
        <v>23</v>
      </c>
      <c r="B17" s="7">
        <v>0.4</v>
      </c>
      <c r="C17" s="9" t="s">
        <v>157</v>
      </c>
    </row>
    <row r="18" spans="1:5">
      <c r="A18" s="7" t="s">
        <v>24</v>
      </c>
      <c r="B18" s="7">
        <v>14</v>
      </c>
      <c r="C18" s="9" t="s">
        <v>53</v>
      </c>
    </row>
    <row r="19" spans="1:5">
      <c r="A19" s="7" t="s">
        <v>99</v>
      </c>
      <c r="B19" s="8">
        <f>EXP((-B17/0.00008617)*((1/(B18+273))-(1/298)))</f>
        <v>0.55044231312358938</v>
      </c>
      <c r="C19" s="9" t="s">
        <v>158</v>
      </c>
    </row>
    <row r="20" spans="1:5">
      <c r="A20" s="7" t="s">
        <v>25</v>
      </c>
      <c r="B20" s="7">
        <v>9.1600000000000004E-4</v>
      </c>
      <c r="C20" s="9" t="s">
        <v>157</v>
      </c>
    </row>
    <row r="21" spans="1:5">
      <c r="A21" s="7" t="s">
        <v>26</v>
      </c>
      <c r="B21" s="7">
        <v>365</v>
      </c>
      <c r="C21" s="9" t="s">
        <v>54</v>
      </c>
    </row>
    <row r="22" spans="1:5">
      <c r="A22" s="7" t="s">
        <v>28</v>
      </c>
      <c r="B22" s="8">
        <v>388</v>
      </c>
      <c r="C22" s="9" t="s">
        <v>157</v>
      </c>
    </row>
    <row r="23" spans="1:5">
      <c r="A23" s="7" t="s">
        <v>27</v>
      </c>
      <c r="B23" s="8">
        <f>B21/B22</f>
        <v>0.94072164948453607</v>
      </c>
      <c r="C23" s="9" t="s">
        <v>158</v>
      </c>
    </row>
    <row r="24" spans="1:5">
      <c r="A24" s="7" t="s">
        <v>30</v>
      </c>
      <c r="B24" s="8">
        <v>14.27</v>
      </c>
      <c r="C24" s="9" t="s">
        <v>157</v>
      </c>
    </row>
    <row r="25" spans="1:5">
      <c r="A25" s="7" t="s">
        <v>29</v>
      </c>
      <c r="B25" s="8">
        <f>POWER((B11+B12-B18)/B24,2)</f>
        <v>20.114627842553929</v>
      </c>
      <c r="C25" s="9" t="s">
        <v>158</v>
      </c>
    </row>
    <row r="26" spans="1:5">
      <c r="A26" s="7" t="s">
        <v>33</v>
      </c>
      <c r="B26" s="8">
        <v>2.4039E-3</v>
      </c>
      <c r="C26" s="9" t="s">
        <v>157</v>
      </c>
    </row>
    <row r="27" spans="1:5">
      <c r="A27" s="7" t="s">
        <v>34</v>
      </c>
      <c r="B27" s="8">
        <f>(B5*((B6*B9*B13)+(B14*B16*B19)+(B20*B23*B25)))+B26</f>
        <v>8.4558640964896015E-2</v>
      </c>
      <c r="C27" s="9" t="s">
        <v>158</v>
      </c>
    </row>
    <row r="28" spans="1:5">
      <c r="A28" s="1" t="s">
        <v>35</v>
      </c>
      <c r="B28" s="3">
        <f>B27/1000000</f>
        <v>8.4558640964896021E-8</v>
      </c>
      <c r="C28" s="4" t="s">
        <v>36</v>
      </c>
    </row>
    <row r="30" spans="1:5">
      <c r="A30" s="1" t="s">
        <v>61</v>
      </c>
      <c r="B30" s="1" t="s">
        <v>58</v>
      </c>
      <c r="C30" s="1" t="s">
        <v>38</v>
      </c>
      <c r="D30" s="5" t="s">
        <v>59</v>
      </c>
      <c r="E30" s="5" t="s">
        <v>63</v>
      </c>
    </row>
    <row r="31" spans="1:5">
      <c r="A31" s="1" t="s">
        <v>144</v>
      </c>
      <c r="B31" s="1" t="s">
        <v>132</v>
      </c>
      <c r="C31" s="16">
        <v>8.3333329999999997E-2</v>
      </c>
      <c r="D31" s="5">
        <f>C31*$B$28</f>
        <v>7.0465531318791983E-9</v>
      </c>
      <c r="E31" s="4" t="s">
        <v>143</v>
      </c>
    </row>
    <row r="32" spans="1:5">
      <c r="A32" s="1" t="s">
        <v>145</v>
      </c>
      <c r="B32" s="1" t="s">
        <v>133</v>
      </c>
      <c r="C32" s="16">
        <v>8.3333329999999997E-2</v>
      </c>
      <c r="D32" s="5">
        <f t="shared" ref="D32:D41" si="0">C32*$B$28</f>
        <v>7.0465531318791983E-9</v>
      </c>
      <c r="E32" s="4" t="s">
        <v>143</v>
      </c>
    </row>
    <row r="33" spans="1:5">
      <c r="A33" s="1" t="s">
        <v>146</v>
      </c>
      <c r="B33" s="1" t="s">
        <v>142</v>
      </c>
      <c r="C33" s="16">
        <v>8.3333329999999997E-2</v>
      </c>
      <c r="D33" s="5">
        <f t="shared" si="0"/>
        <v>7.0465531318791983E-9</v>
      </c>
      <c r="E33" s="4" t="s">
        <v>143</v>
      </c>
    </row>
    <row r="34" spans="1:5">
      <c r="A34" s="1" t="s">
        <v>147</v>
      </c>
      <c r="B34" s="1" t="s">
        <v>134</v>
      </c>
      <c r="C34" s="16">
        <v>8.3333329999999997E-2</v>
      </c>
      <c r="D34" s="5">
        <f t="shared" si="0"/>
        <v>7.0465531318791983E-9</v>
      </c>
      <c r="E34" s="4" t="s">
        <v>143</v>
      </c>
    </row>
    <row r="35" spans="1:5">
      <c r="A35" s="1" t="s">
        <v>148</v>
      </c>
      <c r="B35" s="1" t="s">
        <v>135</v>
      </c>
      <c r="C35" s="16">
        <v>8.3333329999999997E-2</v>
      </c>
      <c r="D35" s="5">
        <f t="shared" si="0"/>
        <v>7.0465531318791983E-9</v>
      </c>
      <c r="E35" s="4" t="s">
        <v>143</v>
      </c>
    </row>
    <row r="36" spans="1:5">
      <c r="A36" s="1" t="s">
        <v>149</v>
      </c>
      <c r="B36" s="1" t="s">
        <v>136</v>
      </c>
      <c r="C36" s="16">
        <v>8.3333329999999997E-2</v>
      </c>
      <c r="D36" s="5">
        <f t="shared" si="0"/>
        <v>7.0465531318791983E-9</v>
      </c>
      <c r="E36" s="4" t="s">
        <v>143</v>
      </c>
    </row>
    <row r="37" spans="1:5">
      <c r="A37" s="1" t="s">
        <v>150</v>
      </c>
      <c r="B37" s="1" t="s">
        <v>140</v>
      </c>
      <c r="C37" s="16">
        <v>0.125</v>
      </c>
      <c r="D37" s="5">
        <f t="shared" si="0"/>
        <v>1.0569830120612003E-8</v>
      </c>
      <c r="E37" s="4" t="s">
        <v>143</v>
      </c>
    </row>
    <row r="38" spans="1:5">
      <c r="A38" s="1" t="s">
        <v>151</v>
      </c>
      <c r="B38" s="1" t="s">
        <v>141</v>
      </c>
      <c r="C38" s="16">
        <v>0.125</v>
      </c>
      <c r="D38" s="5">
        <f t="shared" si="0"/>
        <v>1.0569830120612003E-8</v>
      </c>
      <c r="E38" s="4" t="s">
        <v>143</v>
      </c>
    </row>
    <row r="39" spans="1:5">
      <c r="A39" s="1" t="s">
        <v>152</v>
      </c>
      <c r="B39" s="1" t="s">
        <v>137</v>
      </c>
      <c r="C39" s="16">
        <v>8.3333329999999997E-2</v>
      </c>
      <c r="D39" s="5">
        <f t="shared" si="0"/>
        <v>7.0465531318791983E-9</v>
      </c>
      <c r="E39" s="4" t="s">
        <v>143</v>
      </c>
    </row>
    <row r="40" spans="1:5">
      <c r="A40" s="1" t="s">
        <v>153</v>
      </c>
      <c r="B40" s="1" t="s">
        <v>138</v>
      </c>
      <c r="C40" s="16">
        <v>8.3333329999999997E-2</v>
      </c>
      <c r="D40" s="5">
        <f t="shared" si="0"/>
        <v>7.0465531318791983E-9</v>
      </c>
      <c r="E40" s="4" t="s">
        <v>143</v>
      </c>
    </row>
    <row r="41" spans="1:5">
      <c r="A41" s="1" t="s">
        <v>154</v>
      </c>
      <c r="B41" s="1" t="s">
        <v>139</v>
      </c>
      <c r="C41" s="16">
        <v>8.3333329999999997E-2</v>
      </c>
      <c r="D41" s="5">
        <f t="shared" si="0"/>
        <v>7.0465531318791983E-9</v>
      </c>
      <c r="E41" s="4" t="s">
        <v>143</v>
      </c>
    </row>
    <row r="42" spans="1:5">
      <c r="B42" s="13"/>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0"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 t="s">
        <v>9</v>
      </c>
      <c r="B1" s="1" t="s">
        <v>0</v>
      </c>
      <c r="C1" s="4" t="s">
        <v>7</v>
      </c>
    </row>
    <row r="2" spans="1:3">
      <c r="A2" s="1" t="s">
        <v>8</v>
      </c>
      <c r="B2" s="1" t="s">
        <v>160</v>
      </c>
      <c r="C2" s="114" t="s">
        <v>161</v>
      </c>
    </row>
    <row r="3" spans="1:3">
      <c r="A3" s="1" t="s">
        <v>2</v>
      </c>
      <c r="B3" s="1">
        <v>2022</v>
      </c>
      <c r="C3" s="114"/>
    </row>
    <row r="4" spans="1:3">
      <c r="A4" s="1" t="s">
        <v>3</v>
      </c>
      <c r="B4" s="1">
        <v>0.47299999999999998</v>
      </c>
      <c r="C4" s="4" t="s">
        <v>10</v>
      </c>
    </row>
    <row r="5" spans="1:3">
      <c r="A5" s="1" t="s">
        <v>1</v>
      </c>
      <c r="B5" s="1">
        <f>EXP(-B4*(B3-1993))</f>
        <v>1.1035260553215552E-6</v>
      </c>
      <c r="C5" s="4" t="s">
        <v>11</v>
      </c>
    </row>
    <row r="6" spans="1:3">
      <c r="A6" s="1" t="s">
        <v>4</v>
      </c>
      <c r="B6" s="1">
        <v>6.9999999999999999E-6</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51</v>
      </c>
    </row>
    <row r="12" spans="1:3">
      <c r="A12" s="1" t="s">
        <v>15</v>
      </c>
      <c r="B12" s="1">
        <v>13</v>
      </c>
      <c r="C12" s="4" t="s">
        <v>16</v>
      </c>
    </row>
    <row r="13" spans="1:3">
      <c r="A13" s="1" t="s">
        <v>17</v>
      </c>
      <c r="B13" s="1">
        <f>EXP((-B10/0.00008617)*((1/(B11+B12+273))-(1/298)))</f>
        <v>172.21531086083422</v>
      </c>
      <c r="C13" s="4" t="s">
        <v>11</v>
      </c>
    </row>
    <row r="14" spans="1:3">
      <c r="A14" s="1" t="s">
        <v>18</v>
      </c>
      <c r="B14" s="1">
        <v>3.8499999999999998E-4</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c r="A19" s="1" t="s">
        <v>24</v>
      </c>
      <c r="B19" s="1">
        <v>14</v>
      </c>
      <c r="C19" s="4" t="s">
        <v>53</v>
      </c>
    </row>
    <row r="20" spans="1:3">
      <c r="A20" s="1" t="s">
        <v>22</v>
      </c>
      <c r="B20" s="3">
        <f>EXP((-B18/0.00008617)*((1/(B19+273))-(1/298)))*POWER((B17/0.5), 3)</f>
        <v>3.7269311834508061</v>
      </c>
      <c r="C20" s="4" t="s">
        <v>11</v>
      </c>
    </row>
    <row r="21" spans="1:3">
      <c r="A21" s="1" t="s">
        <v>25</v>
      </c>
      <c r="B21" s="1">
        <v>2.4899999999999998E-4</v>
      </c>
      <c r="C21" s="4" t="s">
        <v>10</v>
      </c>
    </row>
    <row r="22" spans="1:3">
      <c r="A22" s="1" t="s">
        <v>26</v>
      </c>
      <c r="B22" s="1">
        <v>365</v>
      </c>
      <c r="C22" s="4" t="s">
        <v>54</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48.686512267122865</v>
      </c>
      <c r="C26" s="4" t="s">
        <v>11</v>
      </c>
    </row>
    <row r="27" spans="1:3">
      <c r="A27" s="1" t="s">
        <v>31</v>
      </c>
      <c r="B27" s="3">
        <v>4.8500000000000001E-3</v>
      </c>
      <c r="C27" s="4" t="s">
        <v>10</v>
      </c>
    </row>
    <row r="28" spans="1:3">
      <c r="A28" s="1" t="s">
        <v>32</v>
      </c>
      <c r="B28" s="3">
        <f>POWER((B11+B12-B19)/44,2.26)</f>
        <v>2.8557390589126692</v>
      </c>
      <c r="C28" s="4" t="s">
        <v>11</v>
      </c>
    </row>
    <row r="29" spans="1:3">
      <c r="A29" s="1" t="s">
        <v>33</v>
      </c>
      <c r="B29" s="3">
        <v>2.63E-4</v>
      </c>
      <c r="C29" s="4" t="s">
        <v>10</v>
      </c>
    </row>
    <row r="30" spans="1:3">
      <c r="A30" s="1" t="s">
        <v>34</v>
      </c>
      <c r="B30" s="3">
        <f>(B5*((B6*B9*B13)+(B14*B16*B20)+(B21*B24*B26)))+B27*B28+B29</f>
        <v>1.4113349307798921E-2</v>
      </c>
      <c r="C30" s="4" t="s">
        <v>11</v>
      </c>
    </row>
    <row r="31" spans="1:3">
      <c r="A31" s="1" t="s">
        <v>35</v>
      </c>
      <c r="B31" s="3">
        <f>B30/1000000</f>
        <v>1.4113349307798921E-8</v>
      </c>
      <c r="C31" s="4" t="s">
        <v>36</v>
      </c>
    </row>
    <row r="33" spans="1:5">
      <c r="A33" s="1" t="s">
        <v>61</v>
      </c>
      <c r="B33" s="1" t="s">
        <v>58</v>
      </c>
      <c r="C33" s="1" t="s">
        <v>38</v>
      </c>
      <c r="D33" s="5" t="s">
        <v>59</v>
      </c>
      <c r="E33" s="5" t="s">
        <v>63</v>
      </c>
    </row>
    <row r="34" spans="1:5">
      <c r="A34" s="7" t="s">
        <v>563</v>
      </c>
      <c r="B34" s="7" t="s">
        <v>565</v>
      </c>
      <c r="C34" s="16">
        <f>0.12/2</f>
        <v>0.06</v>
      </c>
      <c r="D34" s="5">
        <f t="shared" ref="D34:D41" si="0">C34*$B$31</f>
        <v>8.468009584679352E-10</v>
      </c>
      <c r="E34" s="4" t="s">
        <v>64</v>
      </c>
    </row>
    <row r="35" spans="1:5">
      <c r="A35" s="29" t="s">
        <v>564</v>
      </c>
      <c r="B35" s="29" t="s">
        <v>566</v>
      </c>
      <c r="C35" s="16">
        <f>0.12/2</f>
        <v>0.06</v>
      </c>
      <c r="D35" s="5">
        <f>C35*$B$31</f>
        <v>8.468009584679352E-10</v>
      </c>
      <c r="E35" s="4" t="s">
        <v>64</v>
      </c>
    </row>
    <row r="36" spans="1:5">
      <c r="A36" s="7" t="s">
        <v>166</v>
      </c>
      <c r="B36" s="7" t="s">
        <v>165</v>
      </c>
      <c r="C36" s="16">
        <v>0.36</v>
      </c>
      <c r="D36" s="5">
        <f t="shared" si="0"/>
        <v>5.0808057508076114E-9</v>
      </c>
      <c r="E36" s="4" t="s">
        <v>64</v>
      </c>
    </row>
    <row r="37" spans="1:5">
      <c r="A37" s="7" t="s">
        <v>167</v>
      </c>
      <c r="B37" s="7" t="s">
        <v>169</v>
      </c>
      <c r="C37" s="16">
        <v>0.09</v>
      </c>
      <c r="D37" s="5">
        <f t="shared" si="0"/>
        <v>1.2702014377019029E-9</v>
      </c>
      <c r="E37" s="4" t="s">
        <v>64</v>
      </c>
    </row>
    <row r="38" spans="1:5">
      <c r="A38" s="7" t="s">
        <v>168</v>
      </c>
      <c r="B38" s="7" t="s">
        <v>170</v>
      </c>
      <c r="C38" s="16">
        <v>0.08</v>
      </c>
      <c r="D38" s="5">
        <f t="shared" si="0"/>
        <v>1.1290679446239138E-9</v>
      </c>
      <c r="E38" s="4" t="s">
        <v>64</v>
      </c>
    </row>
    <row r="39" spans="1:5">
      <c r="A39" s="7" t="s">
        <v>172</v>
      </c>
      <c r="B39" s="7" t="s">
        <v>174</v>
      </c>
      <c r="C39" s="16">
        <v>0.12</v>
      </c>
      <c r="D39" s="5">
        <f t="shared" si="0"/>
        <v>1.6936019169358704E-9</v>
      </c>
      <c r="E39" s="4" t="s">
        <v>82</v>
      </c>
    </row>
    <row r="40" spans="1:5">
      <c r="A40" s="7" t="s">
        <v>173</v>
      </c>
      <c r="B40" s="7" t="s">
        <v>175</v>
      </c>
      <c r="C40" s="16">
        <v>0.12</v>
      </c>
      <c r="D40" s="5">
        <f t="shared" si="0"/>
        <v>1.6936019169358704E-9</v>
      </c>
      <c r="E40" s="4" t="s">
        <v>82</v>
      </c>
    </row>
    <row r="41" spans="1:5">
      <c r="A41" s="7" t="s">
        <v>176</v>
      </c>
      <c r="B41" s="7" t="s">
        <v>177</v>
      </c>
      <c r="C41" s="16">
        <v>0.12</v>
      </c>
      <c r="D41" s="5">
        <f t="shared" si="0"/>
        <v>1.6936019169358704E-9</v>
      </c>
      <c r="E41" s="4" t="s">
        <v>82</v>
      </c>
    </row>
    <row r="43" spans="1:5" ht="45">
      <c r="A43" s="29" t="s">
        <v>559</v>
      </c>
      <c r="B43" s="31" t="s">
        <v>561</v>
      </c>
      <c r="C43" s="32" t="s">
        <v>560</v>
      </c>
    </row>
  </sheetData>
  <mergeCells count="1">
    <mergeCell ref="C2:C3"/>
  </mergeCells>
  <hyperlinks>
    <hyperlink ref="C2" r:id="rId1"/>
    <hyperlink ref="C43" r:id="rId2"/>
  </hyperlinks>
  <pageMargins left="0.511811024" right="0.511811024" top="0.78740157499999996" bottom="0.78740157499999996" header="0.31496062000000002" footer="0.31496062000000002"/>
  <pageSetup paperSize="9" orientation="portrait" horizontalDpi="0" verticalDpi="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B1" workbookViewId="0">
      <selection activeCell="C2" sqref="C2:C3"/>
    </sheetView>
  </sheetViews>
  <sheetFormatPr defaultRowHeight="15"/>
  <cols>
    <col min="1" max="1" width="59.28515625" bestFit="1" customWidth="1"/>
    <col min="2" max="2" width="60.140625" bestFit="1" customWidth="1"/>
    <col min="3" max="3" width="105.5703125" bestFit="1" customWidth="1"/>
    <col min="4" max="4" width="36.42578125" customWidth="1"/>
    <col min="5" max="5" width="92.7109375" bestFit="1" customWidth="1"/>
  </cols>
  <sheetData>
    <row r="1" spans="1:3">
      <c r="A1" s="1" t="s">
        <v>9</v>
      </c>
      <c r="B1" s="1" t="s">
        <v>0</v>
      </c>
      <c r="C1" s="4" t="s">
        <v>7</v>
      </c>
    </row>
    <row r="2" spans="1:3">
      <c r="A2" s="1" t="s">
        <v>8</v>
      </c>
      <c r="B2" s="1" t="s">
        <v>385</v>
      </c>
      <c r="C2" s="114" t="s">
        <v>386</v>
      </c>
    </row>
    <row r="3" spans="1:3">
      <c r="A3" s="1" t="s">
        <v>2</v>
      </c>
      <c r="B3" s="1">
        <v>2021</v>
      </c>
      <c r="C3" s="114"/>
    </row>
    <row r="4" spans="1:3">
      <c r="A4" s="7" t="s">
        <v>3</v>
      </c>
      <c r="B4" s="7">
        <v>0.39700000000000002</v>
      </c>
      <c r="C4" s="9" t="s">
        <v>162</v>
      </c>
    </row>
    <row r="5" spans="1:3">
      <c r="A5" s="7" t="s">
        <v>1</v>
      </c>
      <c r="B5" s="7">
        <f>EXP(-B4*(B3-1993))</f>
        <v>1.4872450740641583E-5</v>
      </c>
      <c r="C5" s="9" t="s">
        <v>163</v>
      </c>
    </row>
    <row r="6" spans="1:3">
      <c r="A6" s="7" t="s">
        <v>4</v>
      </c>
      <c r="B6" s="7">
        <v>1.95E-4</v>
      </c>
      <c r="C6" s="9" t="s">
        <v>162</v>
      </c>
    </row>
    <row r="7" spans="1:3">
      <c r="A7" s="7" t="s">
        <v>6</v>
      </c>
      <c r="B7" s="7">
        <f>24/24</f>
        <v>1</v>
      </c>
      <c r="C7" s="9" t="s">
        <v>50</v>
      </c>
    </row>
    <row r="8" spans="1:3">
      <c r="A8" s="7" t="s">
        <v>13</v>
      </c>
      <c r="B8" s="7">
        <v>0.23</v>
      </c>
      <c r="C8" s="9" t="s">
        <v>162</v>
      </c>
    </row>
    <row r="9" spans="1:3">
      <c r="A9" s="7" t="s">
        <v>5</v>
      </c>
      <c r="B9" s="7">
        <f>B7/B8</f>
        <v>4.3478260869565215</v>
      </c>
      <c r="C9" s="9" t="s">
        <v>163</v>
      </c>
    </row>
    <row r="10" spans="1:3">
      <c r="A10" s="7" t="s">
        <v>12</v>
      </c>
      <c r="B10" s="7">
        <v>0.2</v>
      </c>
      <c r="C10" s="9" t="s">
        <v>162</v>
      </c>
    </row>
    <row r="11" spans="1:3">
      <c r="A11" s="7" t="s">
        <v>14</v>
      </c>
      <c r="B11" s="7">
        <v>71</v>
      </c>
      <c r="C11" s="9" t="s">
        <v>51</v>
      </c>
    </row>
    <row r="12" spans="1:3">
      <c r="A12" s="7" t="s">
        <v>15</v>
      </c>
      <c r="B12" s="7">
        <v>60</v>
      </c>
      <c r="C12" s="9" t="s">
        <v>164</v>
      </c>
    </row>
    <row r="13" spans="1:3">
      <c r="A13" s="7" t="s">
        <v>17</v>
      </c>
      <c r="B13" s="7">
        <f>EXP((-B10/0.00008617)*((1/(B11+B12+273))-(1/298)))</f>
        <v>7.7178457332731929</v>
      </c>
      <c r="C13" s="9" t="s">
        <v>163</v>
      </c>
    </row>
    <row r="14" spans="1:3">
      <c r="A14" s="7" t="s">
        <v>18</v>
      </c>
      <c r="B14" s="7">
        <v>3.3300000000000002E-4</v>
      </c>
      <c r="C14" s="9" t="s">
        <v>162</v>
      </c>
    </row>
    <row r="15" spans="1:3">
      <c r="A15" s="7" t="s">
        <v>19</v>
      </c>
      <c r="B15" s="7">
        <v>0.77</v>
      </c>
      <c r="C15" s="9" t="s">
        <v>162</v>
      </c>
    </row>
    <row r="16" spans="1:3">
      <c r="A16" s="7" t="s">
        <v>20</v>
      </c>
      <c r="B16" s="7">
        <f>(1-B7)/B15</f>
        <v>0</v>
      </c>
      <c r="C16" s="9" t="s">
        <v>163</v>
      </c>
    </row>
    <row r="17" spans="1:5">
      <c r="A17" s="7" t="s">
        <v>23</v>
      </c>
      <c r="B17" s="7">
        <v>0.3</v>
      </c>
      <c r="C17" s="9" t="s">
        <v>162</v>
      </c>
    </row>
    <row r="18" spans="1:5">
      <c r="A18" s="7" t="s">
        <v>24</v>
      </c>
      <c r="B18" s="7">
        <v>14</v>
      </c>
      <c r="C18" s="9" t="s">
        <v>53</v>
      </c>
    </row>
    <row r="19" spans="1:5">
      <c r="A19" s="7" t="s">
        <v>99</v>
      </c>
      <c r="B19" s="8">
        <f>EXP((-B17/0.00008617)*((1/(B18+273))-(1/298)))</f>
        <v>0.63904855683312856</v>
      </c>
      <c r="C19" s="9" t="s">
        <v>163</v>
      </c>
    </row>
    <row r="20" spans="1:5">
      <c r="A20" s="7" t="s">
        <v>25</v>
      </c>
      <c r="B20" s="7">
        <v>2.5500000000000002E-4</v>
      </c>
      <c r="C20" s="9" t="s">
        <v>162</v>
      </c>
    </row>
    <row r="21" spans="1:5">
      <c r="A21" s="7" t="s">
        <v>26</v>
      </c>
      <c r="B21" s="7">
        <v>365</v>
      </c>
      <c r="C21" s="9" t="s">
        <v>54</v>
      </c>
    </row>
    <row r="22" spans="1:5">
      <c r="A22" s="7" t="s">
        <v>28</v>
      </c>
      <c r="B22" s="8">
        <v>754.38</v>
      </c>
      <c r="C22" s="9" t="s">
        <v>162</v>
      </c>
    </row>
    <row r="23" spans="1:5">
      <c r="A23" s="7" t="s">
        <v>27</v>
      </c>
      <c r="B23" s="8">
        <f>B21/B22</f>
        <v>0.48384103502213738</v>
      </c>
      <c r="C23" s="9" t="s">
        <v>163</v>
      </c>
    </row>
    <row r="24" spans="1:5">
      <c r="A24" s="7" t="s">
        <v>30</v>
      </c>
      <c r="B24" s="8">
        <v>80</v>
      </c>
      <c r="C24" s="9" t="s">
        <v>162</v>
      </c>
    </row>
    <row r="25" spans="1:5">
      <c r="A25" s="7" t="s">
        <v>29</v>
      </c>
      <c r="B25" s="8">
        <f>POWER((B11+B12-B18)/B24,2)</f>
        <v>2.1389062499999998</v>
      </c>
      <c r="C25" s="9" t="s">
        <v>163</v>
      </c>
    </row>
    <row r="26" spans="1:5">
      <c r="A26" s="7" t="s">
        <v>31</v>
      </c>
      <c r="B26" s="8">
        <v>1.5E-3</v>
      </c>
      <c r="C26" s="9" t="s">
        <v>162</v>
      </c>
    </row>
    <row r="27" spans="1:5">
      <c r="A27" s="7" t="s">
        <v>32</v>
      </c>
      <c r="B27" s="8">
        <f>POWER((B11+B12-B18)/44,2.26)</f>
        <v>9.117945640436897</v>
      </c>
      <c r="C27" s="9" t="s">
        <v>163</v>
      </c>
    </row>
    <row r="28" spans="1:5">
      <c r="A28" s="7" t="s">
        <v>33</v>
      </c>
      <c r="B28" s="8">
        <v>1.099E-2</v>
      </c>
      <c r="C28" s="9" t="s">
        <v>162</v>
      </c>
    </row>
    <row r="29" spans="1:5">
      <c r="A29" s="7" t="s">
        <v>34</v>
      </c>
      <c r="B29" s="8">
        <f>(B5*((B6*B9*B13)+(B14*B16*B19)+(B20*B23*B25)))+B26*B27+B28</f>
        <v>2.4667019701711611E-2</v>
      </c>
      <c r="C29" s="9" t="s">
        <v>163</v>
      </c>
    </row>
    <row r="30" spans="1:5">
      <c r="A30" s="1" t="s">
        <v>35</v>
      </c>
      <c r="B30" s="14">
        <f>B29/1000000</f>
        <v>2.4667019701711612E-8</v>
      </c>
      <c r="C30" s="4" t="s">
        <v>36</v>
      </c>
    </row>
    <row r="32" spans="1:5">
      <c r="A32" s="1" t="s">
        <v>61</v>
      </c>
      <c r="B32" s="1" t="s">
        <v>58</v>
      </c>
      <c r="C32" s="1" t="s">
        <v>38</v>
      </c>
      <c r="D32" s="5" t="s">
        <v>59</v>
      </c>
      <c r="E32" s="5" t="s">
        <v>63</v>
      </c>
    </row>
    <row r="33" spans="1:5">
      <c r="A33" s="1" t="s">
        <v>178</v>
      </c>
      <c r="B33" s="1" t="s">
        <v>208</v>
      </c>
      <c r="C33" s="17">
        <f>(0.05+0.135)/7</f>
        <v>2.642857142857143E-2</v>
      </c>
      <c r="D33" s="5">
        <f>C33*$B$30</f>
        <v>6.5191409211666409E-10</v>
      </c>
      <c r="E33" s="4" t="s">
        <v>239</v>
      </c>
    </row>
    <row r="34" spans="1:5">
      <c r="A34" s="1" t="s">
        <v>179</v>
      </c>
      <c r="B34" s="1" t="s">
        <v>209</v>
      </c>
      <c r="C34" s="17">
        <f t="shared" ref="C34:C39" si="0">(0.05+0.135)/7</f>
        <v>2.642857142857143E-2</v>
      </c>
      <c r="D34" s="5">
        <f t="shared" ref="D34:D41" si="1">C34*$B$30</f>
        <v>6.5191409211666409E-10</v>
      </c>
      <c r="E34" s="4" t="s">
        <v>239</v>
      </c>
    </row>
    <row r="35" spans="1:5">
      <c r="A35" s="1" t="s">
        <v>180</v>
      </c>
      <c r="B35" s="1" t="s">
        <v>210</v>
      </c>
      <c r="C35" s="17">
        <f t="shared" si="0"/>
        <v>2.642857142857143E-2</v>
      </c>
      <c r="D35" s="5">
        <f t="shared" si="1"/>
        <v>6.5191409211666409E-10</v>
      </c>
      <c r="E35" s="4" t="s">
        <v>239</v>
      </c>
    </row>
    <row r="36" spans="1:5">
      <c r="A36" s="1" t="s">
        <v>181</v>
      </c>
      <c r="B36" s="1" t="s">
        <v>211</v>
      </c>
      <c r="C36" s="17">
        <f t="shared" si="0"/>
        <v>2.642857142857143E-2</v>
      </c>
      <c r="D36" s="5">
        <f t="shared" si="1"/>
        <v>6.5191409211666409E-10</v>
      </c>
      <c r="E36" s="4" t="s">
        <v>239</v>
      </c>
    </row>
    <row r="37" spans="1:5">
      <c r="A37" s="1" t="s">
        <v>182</v>
      </c>
      <c r="B37" s="1" t="s">
        <v>212</v>
      </c>
      <c r="C37" s="17">
        <f t="shared" si="0"/>
        <v>2.642857142857143E-2</v>
      </c>
      <c r="D37" s="5">
        <f t="shared" si="1"/>
        <v>6.5191409211666409E-10</v>
      </c>
      <c r="E37" s="4" t="s">
        <v>239</v>
      </c>
    </row>
    <row r="38" spans="1:5">
      <c r="A38" s="1" t="s">
        <v>183</v>
      </c>
      <c r="B38" s="1" t="s">
        <v>213</v>
      </c>
      <c r="C38" s="17">
        <f t="shared" si="0"/>
        <v>2.642857142857143E-2</v>
      </c>
      <c r="D38" s="5">
        <f t="shared" si="1"/>
        <v>6.5191409211666409E-10</v>
      </c>
      <c r="E38" s="4" t="s">
        <v>239</v>
      </c>
    </row>
    <row r="39" spans="1:5">
      <c r="A39" s="1" t="s">
        <v>184</v>
      </c>
      <c r="B39" s="1" t="s">
        <v>214</v>
      </c>
      <c r="C39" s="17">
        <f t="shared" si="0"/>
        <v>2.642857142857143E-2</v>
      </c>
      <c r="D39" s="5">
        <f t="shared" si="1"/>
        <v>6.5191409211666409E-10</v>
      </c>
      <c r="E39" s="4" t="s">
        <v>239</v>
      </c>
    </row>
    <row r="40" spans="1:5">
      <c r="A40" s="1" t="s">
        <v>185</v>
      </c>
      <c r="B40" s="1" t="s">
        <v>215</v>
      </c>
      <c r="C40" s="17">
        <f t="shared" ref="C40:C46" si="2">(0.135+0.51)/7</f>
        <v>9.2142857142857151E-2</v>
      </c>
      <c r="D40" s="5">
        <f t="shared" si="1"/>
        <v>2.2728896725148557E-9</v>
      </c>
      <c r="E40" s="4" t="s">
        <v>240</v>
      </c>
    </row>
    <row r="41" spans="1:5">
      <c r="A41" s="1" t="s">
        <v>186</v>
      </c>
      <c r="B41" s="1" t="s">
        <v>216</v>
      </c>
      <c r="C41" s="17">
        <f t="shared" si="2"/>
        <v>9.2142857142857151E-2</v>
      </c>
      <c r="D41" s="5">
        <f t="shared" si="1"/>
        <v>2.2728896725148557E-9</v>
      </c>
      <c r="E41" s="4" t="s">
        <v>240</v>
      </c>
    </row>
    <row r="42" spans="1:5">
      <c r="A42" s="1" t="s">
        <v>187</v>
      </c>
      <c r="B42" s="1" t="s">
        <v>217</v>
      </c>
      <c r="C42" s="17">
        <f t="shared" si="2"/>
        <v>9.2142857142857151E-2</v>
      </c>
      <c r="D42" s="5">
        <f t="shared" ref="D42:D62" si="3">C42*$B$30</f>
        <v>2.2728896725148557E-9</v>
      </c>
      <c r="E42" s="4" t="s">
        <v>240</v>
      </c>
    </row>
    <row r="43" spans="1:5">
      <c r="A43" s="1" t="s">
        <v>188</v>
      </c>
      <c r="B43" s="1" t="s">
        <v>218</v>
      </c>
      <c r="C43" s="17">
        <f t="shared" si="2"/>
        <v>9.2142857142857151E-2</v>
      </c>
      <c r="D43" s="5">
        <f t="shared" si="3"/>
        <v>2.2728896725148557E-9</v>
      </c>
      <c r="E43" s="4" t="s">
        <v>240</v>
      </c>
    </row>
    <row r="44" spans="1:5">
      <c r="A44" s="1" t="s">
        <v>189</v>
      </c>
      <c r="B44" s="1" t="s">
        <v>219</v>
      </c>
      <c r="C44" s="17">
        <f t="shared" si="2"/>
        <v>9.2142857142857151E-2</v>
      </c>
      <c r="D44" s="5">
        <f t="shared" si="3"/>
        <v>2.2728896725148557E-9</v>
      </c>
      <c r="E44" s="4" t="s">
        <v>240</v>
      </c>
    </row>
    <row r="45" spans="1:5">
      <c r="A45" s="1" t="s">
        <v>190</v>
      </c>
      <c r="B45" s="1" t="s">
        <v>220</v>
      </c>
      <c r="C45" s="17">
        <f t="shared" si="2"/>
        <v>9.2142857142857151E-2</v>
      </c>
      <c r="D45" s="5">
        <f t="shared" si="3"/>
        <v>2.2728896725148557E-9</v>
      </c>
      <c r="E45" s="4" t="s">
        <v>240</v>
      </c>
    </row>
    <row r="46" spans="1:5">
      <c r="A46" s="1" t="s">
        <v>191</v>
      </c>
      <c r="B46" s="1" t="s">
        <v>221</v>
      </c>
      <c r="C46" s="17">
        <f t="shared" si="2"/>
        <v>9.2142857142857151E-2</v>
      </c>
      <c r="D46" s="5">
        <f t="shared" si="3"/>
        <v>2.2728896725148557E-9</v>
      </c>
      <c r="E46" s="4" t="s">
        <v>240</v>
      </c>
    </row>
    <row r="47" spans="1:5">
      <c r="A47" s="1" t="s">
        <v>192</v>
      </c>
      <c r="B47" s="1" t="s">
        <v>222</v>
      </c>
      <c r="C47" s="17">
        <v>0</v>
      </c>
      <c r="D47" s="5">
        <f t="shared" si="3"/>
        <v>0</v>
      </c>
      <c r="E47" s="4" t="s">
        <v>238</v>
      </c>
    </row>
    <row r="48" spans="1:5">
      <c r="A48" s="1" t="s">
        <v>193</v>
      </c>
      <c r="B48" s="1" t="s">
        <v>223</v>
      </c>
      <c r="C48" s="17">
        <v>0</v>
      </c>
      <c r="D48" s="5">
        <f t="shared" si="3"/>
        <v>0</v>
      </c>
      <c r="E48" s="4" t="s">
        <v>238</v>
      </c>
    </row>
    <row r="49" spans="1:5">
      <c r="A49" s="1" t="s">
        <v>194</v>
      </c>
      <c r="B49" s="1" t="s">
        <v>224</v>
      </c>
      <c r="C49" s="17">
        <v>0</v>
      </c>
      <c r="D49" s="5">
        <f t="shared" si="3"/>
        <v>0</v>
      </c>
      <c r="E49" s="4" t="s">
        <v>238</v>
      </c>
    </row>
    <row r="50" spans="1:5">
      <c r="A50" s="1" t="s">
        <v>195</v>
      </c>
      <c r="B50" s="1" t="s">
        <v>225</v>
      </c>
      <c r="C50" s="17">
        <f>0.17/13</f>
        <v>1.3076923076923078E-2</v>
      </c>
      <c r="D50" s="5">
        <f t="shared" si="3"/>
        <v>3.2256871917622881E-10</v>
      </c>
      <c r="E50" s="4" t="s">
        <v>241</v>
      </c>
    </row>
    <row r="51" spans="1:5">
      <c r="A51" s="1" t="s">
        <v>196</v>
      </c>
      <c r="B51" s="1" t="s">
        <v>226</v>
      </c>
      <c r="C51" s="17">
        <f t="shared" ref="C51:C62" si="4">0.17/13</f>
        <v>1.3076923076923078E-2</v>
      </c>
      <c r="D51" s="5">
        <f t="shared" si="3"/>
        <v>3.2256871917622881E-10</v>
      </c>
      <c r="E51" s="4" t="s">
        <v>241</v>
      </c>
    </row>
    <row r="52" spans="1:5">
      <c r="A52" s="1" t="s">
        <v>197</v>
      </c>
      <c r="B52" s="1" t="s">
        <v>227</v>
      </c>
      <c r="C52" s="17">
        <f t="shared" si="4"/>
        <v>1.3076923076923078E-2</v>
      </c>
      <c r="D52" s="5">
        <f t="shared" si="3"/>
        <v>3.2256871917622881E-10</v>
      </c>
      <c r="E52" s="4" t="s">
        <v>241</v>
      </c>
    </row>
    <row r="53" spans="1:5">
      <c r="A53" s="1" t="s">
        <v>198</v>
      </c>
      <c r="B53" s="1" t="s">
        <v>228</v>
      </c>
      <c r="C53" s="17">
        <f t="shared" si="4"/>
        <v>1.3076923076923078E-2</v>
      </c>
      <c r="D53" s="5">
        <f t="shared" si="3"/>
        <v>3.2256871917622881E-10</v>
      </c>
      <c r="E53" s="4" t="s">
        <v>241</v>
      </c>
    </row>
    <row r="54" spans="1:5">
      <c r="A54" s="1" t="s">
        <v>199</v>
      </c>
      <c r="B54" s="1" t="s">
        <v>229</v>
      </c>
      <c r="C54" s="17">
        <f t="shared" si="4"/>
        <v>1.3076923076923078E-2</v>
      </c>
      <c r="D54" s="5">
        <f t="shared" si="3"/>
        <v>3.2256871917622881E-10</v>
      </c>
      <c r="E54" s="4" t="s">
        <v>241</v>
      </c>
    </row>
    <row r="55" spans="1:5">
      <c r="A55" s="1" t="s">
        <v>200</v>
      </c>
      <c r="B55" s="1" t="s">
        <v>230</v>
      </c>
      <c r="C55" s="17">
        <f t="shared" si="4"/>
        <v>1.3076923076923078E-2</v>
      </c>
      <c r="D55" s="5">
        <f t="shared" si="3"/>
        <v>3.2256871917622881E-10</v>
      </c>
      <c r="E55" s="4" t="s">
        <v>241</v>
      </c>
    </row>
    <row r="56" spans="1:5">
      <c r="A56" s="1" t="s">
        <v>201</v>
      </c>
      <c r="B56" s="1" t="s">
        <v>231</v>
      </c>
      <c r="C56" s="17">
        <f t="shared" si="4"/>
        <v>1.3076923076923078E-2</v>
      </c>
      <c r="D56" s="5">
        <f t="shared" si="3"/>
        <v>3.2256871917622881E-10</v>
      </c>
      <c r="E56" s="4" t="s">
        <v>241</v>
      </c>
    </row>
    <row r="57" spans="1:5">
      <c r="A57" s="1" t="s">
        <v>202</v>
      </c>
      <c r="B57" s="1" t="s">
        <v>233</v>
      </c>
      <c r="C57" s="17">
        <f t="shared" si="4"/>
        <v>1.3076923076923078E-2</v>
      </c>
      <c r="D57" s="5">
        <f t="shared" si="3"/>
        <v>3.2256871917622881E-10</v>
      </c>
      <c r="E57" s="4" t="s">
        <v>241</v>
      </c>
    </row>
    <row r="58" spans="1:5">
      <c r="A58" s="1" t="s">
        <v>203</v>
      </c>
      <c r="B58" s="1" t="s">
        <v>232</v>
      </c>
      <c r="C58" s="17">
        <f t="shared" si="4"/>
        <v>1.3076923076923078E-2</v>
      </c>
      <c r="D58" s="5">
        <f t="shared" si="3"/>
        <v>3.2256871917622881E-10</v>
      </c>
      <c r="E58" s="4" t="s">
        <v>241</v>
      </c>
    </row>
    <row r="59" spans="1:5">
      <c r="A59" s="1" t="s">
        <v>204</v>
      </c>
      <c r="B59" s="1" t="s">
        <v>234</v>
      </c>
      <c r="C59" s="17">
        <f t="shared" si="4"/>
        <v>1.3076923076923078E-2</v>
      </c>
      <c r="D59" s="5">
        <f t="shared" si="3"/>
        <v>3.2256871917622881E-10</v>
      </c>
      <c r="E59" s="4" t="s">
        <v>241</v>
      </c>
    </row>
    <row r="60" spans="1:5">
      <c r="A60" s="1" t="s">
        <v>205</v>
      </c>
      <c r="B60" s="1" t="s">
        <v>235</v>
      </c>
      <c r="C60" s="17">
        <f t="shared" si="4"/>
        <v>1.3076923076923078E-2</v>
      </c>
      <c r="D60" s="5">
        <f t="shared" si="3"/>
        <v>3.2256871917622881E-10</v>
      </c>
      <c r="E60" s="4" t="s">
        <v>241</v>
      </c>
    </row>
    <row r="61" spans="1:5">
      <c r="A61" s="1" t="s">
        <v>206</v>
      </c>
      <c r="B61" s="1" t="s">
        <v>236</v>
      </c>
      <c r="C61" s="17">
        <f t="shared" si="4"/>
        <v>1.3076923076923078E-2</v>
      </c>
      <c r="D61" s="5">
        <f t="shared" si="3"/>
        <v>3.2256871917622881E-10</v>
      </c>
      <c r="E61" s="4" t="s">
        <v>241</v>
      </c>
    </row>
    <row r="62" spans="1:5">
      <c r="A62" s="1" t="s">
        <v>207</v>
      </c>
      <c r="B62" s="1" t="s">
        <v>237</v>
      </c>
      <c r="C62" s="17">
        <f t="shared" si="4"/>
        <v>1.3076923076923078E-2</v>
      </c>
      <c r="D62" s="5">
        <f t="shared" si="3"/>
        <v>3.2256871917622881E-10</v>
      </c>
      <c r="E62" s="4" t="s">
        <v>241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pane ySplit="1" topLeftCell="A46" activePane="bottomLeft" state="frozen"/>
      <selection pane="bottomLeft" activeCell="B46" sqref="B46"/>
    </sheetView>
  </sheetViews>
  <sheetFormatPr defaultRowHeight="15"/>
  <cols>
    <col min="1" max="1" width="23.7109375" style="66" bestFit="1" customWidth="1"/>
    <col min="2" max="2" width="186.28515625" style="66" customWidth="1"/>
    <col min="3" max="3" width="23.7109375" style="66" bestFit="1" customWidth="1"/>
    <col min="4" max="16384" width="9.140625" style="66"/>
  </cols>
  <sheetData>
    <row r="1" spans="1:5" ht="15.75">
      <c r="A1" s="67" t="s">
        <v>716</v>
      </c>
      <c r="B1" s="44" t="s">
        <v>717</v>
      </c>
      <c r="C1" s="67" t="s">
        <v>1450</v>
      </c>
    </row>
    <row r="2" spans="1:5" ht="15.75" customHeight="1">
      <c r="A2" s="68" t="s">
        <v>1329</v>
      </c>
      <c r="B2" s="43" t="s">
        <v>1356</v>
      </c>
      <c r="C2" s="68" t="s">
        <v>1451</v>
      </c>
    </row>
    <row r="3" spans="1:5" ht="15.75" customHeight="1">
      <c r="A3" s="68" t="s">
        <v>1330</v>
      </c>
      <c r="B3" s="43" t="s">
        <v>1357</v>
      </c>
      <c r="C3" s="68" t="s">
        <v>1451</v>
      </c>
    </row>
    <row r="4" spans="1:5" ht="15.75" customHeight="1">
      <c r="A4" s="68" t="s">
        <v>1331</v>
      </c>
      <c r="B4" s="43" t="s">
        <v>1358</v>
      </c>
      <c r="C4" s="68" t="s">
        <v>1451</v>
      </c>
    </row>
    <row r="5" spans="1:5" ht="15.75" customHeight="1">
      <c r="A5" s="68" t="s">
        <v>1332</v>
      </c>
      <c r="B5" s="43" t="s">
        <v>1408</v>
      </c>
      <c r="C5" s="68" t="s">
        <v>1451</v>
      </c>
    </row>
    <row r="6" spans="1:5" ht="15.75" customHeight="1">
      <c r="A6" s="68" t="s">
        <v>1333</v>
      </c>
      <c r="B6" s="43" t="s">
        <v>1359</v>
      </c>
      <c r="C6" s="68" t="s">
        <v>1451</v>
      </c>
    </row>
    <row r="7" spans="1:5" ht="15.75" customHeight="1">
      <c r="A7" s="68" t="s">
        <v>1334</v>
      </c>
      <c r="B7" s="43" t="s">
        <v>1360</v>
      </c>
      <c r="C7" s="68" t="s">
        <v>1451</v>
      </c>
    </row>
    <row r="8" spans="1:5" ht="15.75" customHeight="1">
      <c r="A8" s="68" t="s">
        <v>1335</v>
      </c>
      <c r="B8" s="43" t="s">
        <v>1361</v>
      </c>
      <c r="C8" s="68" t="s">
        <v>1451</v>
      </c>
    </row>
    <row r="9" spans="1:5" ht="15.75" customHeight="1">
      <c r="A9" s="68" t="s">
        <v>1336</v>
      </c>
      <c r="B9" s="43" t="s">
        <v>1362</v>
      </c>
      <c r="C9" s="68" t="s">
        <v>1451</v>
      </c>
    </row>
    <row r="10" spans="1:5" ht="15.75" customHeight="1">
      <c r="A10" s="68" t="s">
        <v>1337</v>
      </c>
      <c r="B10" s="43" t="s">
        <v>1363</v>
      </c>
      <c r="C10" s="68" t="s">
        <v>1451</v>
      </c>
    </row>
    <row r="11" spans="1:5" ht="15.75" customHeight="1">
      <c r="A11" s="68" t="s">
        <v>1338</v>
      </c>
      <c r="B11" s="43" t="s">
        <v>1364</v>
      </c>
      <c r="C11" s="68" t="s">
        <v>1451</v>
      </c>
    </row>
    <row r="12" spans="1:5" ht="15.75" customHeight="1">
      <c r="A12" s="68" t="s">
        <v>1339</v>
      </c>
      <c r="B12" s="43" t="s">
        <v>1409</v>
      </c>
      <c r="C12" s="68" t="s">
        <v>1451</v>
      </c>
    </row>
    <row r="13" spans="1:5" ht="31.5" customHeight="1">
      <c r="A13" s="68" t="s">
        <v>1340</v>
      </c>
      <c r="B13" s="43" t="s">
        <v>1462</v>
      </c>
      <c r="C13" s="68" t="s">
        <v>1451</v>
      </c>
    </row>
    <row r="14" spans="1:5" ht="31.5" customHeight="1">
      <c r="A14" s="68" t="s">
        <v>1341</v>
      </c>
      <c r="B14" s="43" t="s">
        <v>1365</v>
      </c>
      <c r="C14" s="68" t="s">
        <v>1451</v>
      </c>
    </row>
    <row r="15" spans="1:5" ht="15.75" customHeight="1">
      <c r="A15" s="68" t="s">
        <v>1342</v>
      </c>
      <c r="B15" s="43" t="s">
        <v>1366</v>
      </c>
      <c r="C15" s="68" t="s">
        <v>1451</v>
      </c>
    </row>
    <row r="16" spans="1:5" ht="31.5" customHeight="1">
      <c r="A16" s="68" t="s">
        <v>1343</v>
      </c>
      <c r="B16" s="43" t="s">
        <v>1367</v>
      </c>
      <c r="C16" s="68" t="s">
        <v>1451</v>
      </c>
      <c r="E16"/>
    </row>
    <row r="17" spans="1:5" ht="15.75" customHeight="1">
      <c r="A17" s="68" t="s">
        <v>1344</v>
      </c>
      <c r="B17" s="43" t="s">
        <v>1368</v>
      </c>
      <c r="C17" s="68" t="s">
        <v>1451</v>
      </c>
      <c r="E17"/>
    </row>
    <row r="18" spans="1:5" ht="15.75" customHeight="1">
      <c r="A18" s="68" t="s">
        <v>1345</v>
      </c>
      <c r="B18" s="43" t="s">
        <v>1369</v>
      </c>
      <c r="C18" s="68" t="s">
        <v>1451</v>
      </c>
      <c r="E18"/>
    </row>
    <row r="19" spans="1:5" ht="31.5">
      <c r="A19" s="68" t="s">
        <v>1346</v>
      </c>
      <c r="B19" s="43" t="s">
        <v>1370</v>
      </c>
      <c r="C19" s="68" t="s">
        <v>1452</v>
      </c>
      <c r="E19"/>
    </row>
    <row r="20" spans="1:5" ht="31.5" customHeight="1">
      <c r="A20" s="68" t="s">
        <v>1347</v>
      </c>
      <c r="B20" s="43" t="s">
        <v>1371</v>
      </c>
      <c r="C20" s="68" t="s">
        <v>1451</v>
      </c>
      <c r="E20"/>
    </row>
    <row r="21" spans="1:5" ht="15.75">
      <c r="A21" s="68" t="s">
        <v>1348</v>
      </c>
      <c r="B21" s="43" t="s">
        <v>1372</v>
      </c>
      <c r="C21" s="68" t="s">
        <v>1452</v>
      </c>
      <c r="E21"/>
    </row>
    <row r="22" spans="1:5" ht="31.5">
      <c r="A22" s="68" t="s">
        <v>1349</v>
      </c>
      <c r="B22" s="43" t="s">
        <v>1373</v>
      </c>
      <c r="C22" s="68" t="s">
        <v>1452</v>
      </c>
      <c r="E22"/>
    </row>
    <row r="23" spans="1:5" ht="47.25">
      <c r="A23" s="68" t="s">
        <v>1350</v>
      </c>
      <c r="B23" s="43" t="s">
        <v>1374</v>
      </c>
      <c r="C23" s="68" t="s">
        <v>1452</v>
      </c>
      <c r="E23"/>
    </row>
    <row r="24" spans="1:5" ht="31.5">
      <c r="A24" s="68" t="s">
        <v>1351</v>
      </c>
      <c r="B24" s="43" t="s">
        <v>1375</v>
      </c>
      <c r="C24" s="68" t="s">
        <v>1452</v>
      </c>
      <c r="E24"/>
    </row>
    <row r="25" spans="1:5" ht="31.5">
      <c r="A25" s="68" t="s">
        <v>1352</v>
      </c>
      <c r="B25" s="43" t="s">
        <v>1376</v>
      </c>
      <c r="C25" s="68" t="s">
        <v>1452</v>
      </c>
      <c r="E25"/>
    </row>
    <row r="26" spans="1:5" ht="31.5">
      <c r="A26" s="68" t="s">
        <v>1353</v>
      </c>
      <c r="B26" s="43" t="s">
        <v>1377</v>
      </c>
      <c r="C26" s="68" t="s">
        <v>1453</v>
      </c>
      <c r="E26"/>
    </row>
    <row r="27" spans="1:5" ht="15.75">
      <c r="A27" s="68" t="s">
        <v>1354</v>
      </c>
      <c r="B27" s="43" t="s">
        <v>1378</v>
      </c>
      <c r="C27" s="68" t="s">
        <v>1453</v>
      </c>
      <c r="E27"/>
    </row>
    <row r="28" spans="1:5" ht="63">
      <c r="A28" s="68" t="s">
        <v>1355</v>
      </c>
      <c r="B28" s="43" t="s">
        <v>1379</v>
      </c>
      <c r="C28" s="68" t="s">
        <v>1453</v>
      </c>
      <c r="E28"/>
    </row>
    <row r="29" spans="1:5" ht="15.75" customHeight="1">
      <c r="A29" s="68" t="s">
        <v>1415</v>
      </c>
      <c r="B29" s="43" t="s">
        <v>1380</v>
      </c>
      <c r="C29" s="68" t="s">
        <v>1453</v>
      </c>
      <c r="E29"/>
    </row>
    <row r="30" spans="1:5" ht="31.5" customHeight="1">
      <c r="A30" s="68" t="s">
        <v>1416</v>
      </c>
      <c r="B30" s="43" t="s">
        <v>1464</v>
      </c>
      <c r="C30" s="68" t="s">
        <v>1454</v>
      </c>
      <c r="E30"/>
    </row>
    <row r="31" spans="1:5" ht="15.75">
      <c r="A31" s="68" t="s">
        <v>1417</v>
      </c>
      <c r="B31" s="43" t="s">
        <v>1381</v>
      </c>
      <c r="C31" s="68" t="s">
        <v>1454</v>
      </c>
      <c r="E31"/>
    </row>
    <row r="32" spans="1:5" ht="31.5" customHeight="1">
      <c r="A32" s="68" t="s">
        <v>1418</v>
      </c>
      <c r="B32" s="43" t="s">
        <v>1382</v>
      </c>
      <c r="C32" s="68" t="s">
        <v>1454</v>
      </c>
      <c r="E32"/>
    </row>
    <row r="33" spans="1:5" ht="47.25">
      <c r="A33" s="68" t="s">
        <v>1419</v>
      </c>
      <c r="B33" s="43" t="s">
        <v>1383</v>
      </c>
      <c r="C33" s="68" t="s">
        <v>1454</v>
      </c>
      <c r="E33"/>
    </row>
    <row r="34" spans="1:5" ht="15.75" customHeight="1">
      <c r="A34" s="68" t="s">
        <v>1420</v>
      </c>
      <c r="B34" s="43" t="s">
        <v>1384</v>
      </c>
      <c r="C34" s="68" t="s">
        <v>1454</v>
      </c>
      <c r="E34"/>
    </row>
    <row r="35" spans="1:5" ht="31.5">
      <c r="A35" s="68" t="s">
        <v>1421</v>
      </c>
      <c r="B35" s="43" t="s">
        <v>1385</v>
      </c>
      <c r="C35" s="68" t="s">
        <v>1455</v>
      </c>
    </row>
    <row r="36" spans="1:5" ht="15.75">
      <c r="A36" s="68" t="s">
        <v>1422</v>
      </c>
      <c r="B36" s="43" t="s">
        <v>1386</v>
      </c>
      <c r="C36" s="68" t="s">
        <v>1455</v>
      </c>
    </row>
    <row r="37" spans="1:5" ht="31.5">
      <c r="A37" s="68" t="s">
        <v>1423</v>
      </c>
      <c r="B37" s="43" t="s">
        <v>1387</v>
      </c>
      <c r="C37" s="68" t="s">
        <v>1455</v>
      </c>
    </row>
    <row r="38" spans="1:5" ht="31.5">
      <c r="A38" s="68" t="s">
        <v>1424</v>
      </c>
      <c r="B38" s="43" t="s">
        <v>1388</v>
      </c>
      <c r="C38" s="68" t="s">
        <v>1455</v>
      </c>
    </row>
    <row r="39" spans="1:5" ht="47.25">
      <c r="A39" s="68" t="s">
        <v>1425</v>
      </c>
      <c r="B39" s="43" t="s">
        <v>1389</v>
      </c>
      <c r="C39" s="68" t="s">
        <v>1455</v>
      </c>
    </row>
    <row r="40" spans="1:5" ht="15.75" customHeight="1">
      <c r="A40" s="68" t="s">
        <v>1426</v>
      </c>
      <c r="B40" s="43" t="s">
        <v>1390</v>
      </c>
      <c r="C40" s="68" t="s">
        <v>1455</v>
      </c>
    </row>
    <row r="41" spans="1:5" ht="31.5">
      <c r="A41" s="68" t="s">
        <v>1427</v>
      </c>
      <c r="B41" s="43" t="s">
        <v>1391</v>
      </c>
      <c r="C41" s="68" t="s">
        <v>1455</v>
      </c>
    </row>
    <row r="42" spans="1:5" ht="31.5">
      <c r="A42" s="68" t="s">
        <v>1428</v>
      </c>
      <c r="B42" s="43" t="s">
        <v>1392</v>
      </c>
      <c r="C42" s="68" t="s">
        <v>1455</v>
      </c>
    </row>
    <row r="43" spans="1:5" ht="31.5">
      <c r="A43" s="68" t="s">
        <v>1429</v>
      </c>
      <c r="B43" s="43" t="s">
        <v>1393</v>
      </c>
      <c r="C43" s="68" t="s">
        <v>1456</v>
      </c>
    </row>
    <row r="44" spans="1:5" ht="15.75">
      <c r="A44" s="68" t="s">
        <v>1430</v>
      </c>
      <c r="B44" s="43" t="s">
        <v>1394</v>
      </c>
      <c r="C44" s="68" t="s">
        <v>1456</v>
      </c>
    </row>
    <row r="45" spans="1:5" ht="31.5" customHeight="1">
      <c r="A45" s="68" t="s">
        <v>1431</v>
      </c>
      <c r="B45" s="43" t="s">
        <v>1459</v>
      </c>
      <c r="C45" s="68" t="s">
        <v>1456</v>
      </c>
    </row>
    <row r="46" spans="1:5" ht="15.75" customHeight="1">
      <c r="A46" s="68" t="s">
        <v>1432</v>
      </c>
      <c r="B46" s="43" t="s">
        <v>1778</v>
      </c>
      <c r="C46" s="68" t="s">
        <v>1456</v>
      </c>
    </row>
    <row r="47" spans="1:5" ht="15.75" customHeight="1">
      <c r="A47" s="68" t="s">
        <v>1433</v>
      </c>
      <c r="B47" s="43" t="s">
        <v>1395</v>
      </c>
      <c r="C47" s="68" t="s">
        <v>1456</v>
      </c>
    </row>
    <row r="48" spans="1:5" ht="47.25" customHeight="1">
      <c r="A48" s="68" t="s">
        <v>1434</v>
      </c>
      <c r="B48" s="43" t="s">
        <v>1460</v>
      </c>
      <c r="C48" s="68" t="s">
        <v>1457</v>
      </c>
    </row>
    <row r="49" spans="1:3" ht="31.5" customHeight="1">
      <c r="A49" s="68" t="s">
        <v>1435</v>
      </c>
      <c r="B49" s="43" t="s">
        <v>1396</v>
      </c>
      <c r="C49" s="68" t="s">
        <v>1457</v>
      </c>
    </row>
    <row r="50" spans="1:3" ht="31.5" customHeight="1">
      <c r="A50" s="68" t="s">
        <v>1436</v>
      </c>
      <c r="B50" s="43" t="s">
        <v>1397</v>
      </c>
      <c r="C50" s="68" t="s">
        <v>1451</v>
      </c>
    </row>
    <row r="51" spans="1:3" ht="31.5">
      <c r="A51" s="68" t="s">
        <v>1437</v>
      </c>
      <c r="B51" s="43" t="s">
        <v>1398</v>
      </c>
      <c r="C51" s="68" t="s">
        <v>1458</v>
      </c>
    </row>
    <row r="52" spans="1:3" ht="15.75">
      <c r="A52" s="68" t="s">
        <v>1438</v>
      </c>
      <c r="B52" s="43" t="s">
        <v>1399</v>
      </c>
      <c r="C52" s="68" t="s">
        <v>1458</v>
      </c>
    </row>
    <row r="53" spans="1:3" ht="47.25" customHeight="1">
      <c r="A53" s="68" t="s">
        <v>1439</v>
      </c>
      <c r="B53" s="43" t="s">
        <v>1461</v>
      </c>
      <c r="C53" s="68" t="s">
        <v>1458</v>
      </c>
    </row>
    <row r="54" spans="1:3" ht="15.75" customHeight="1">
      <c r="A54" s="68" t="s">
        <v>1440</v>
      </c>
      <c r="B54" s="43" t="s">
        <v>1780</v>
      </c>
      <c r="C54" s="68" t="s">
        <v>1458</v>
      </c>
    </row>
    <row r="55" spans="1:3" ht="15.75" customHeight="1">
      <c r="A55" s="68" t="s">
        <v>1441</v>
      </c>
      <c r="B55" s="43" t="s">
        <v>1400</v>
      </c>
      <c r="C55" s="68" t="s">
        <v>1458</v>
      </c>
    </row>
    <row r="56" spans="1:3" ht="31.5" customHeight="1">
      <c r="A56" s="68" t="s">
        <v>1442</v>
      </c>
      <c r="B56" s="43" t="s">
        <v>1401</v>
      </c>
      <c r="C56" s="68" t="s">
        <v>1451</v>
      </c>
    </row>
    <row r="57" spans="1:3" ht="15.75" customHeight="1">
      <c r="A57" s="68" t="s">
        <v>1443</v>
      </c>
      <c r="B57" s="43" t="s">
        <v>1402</v>
      </c>
      <c r="C57" s="68" t="s">
        <v>1451</v>
      </c>
    </row>
    <row r="58" spans="1:3" ht="31.5" customHeight="1">
      <c r="A58" s="68" t="s">
        <v>1444</v>
      </c>
      <c r="B58" s="43" t="s">
        <v>1403</v>
      </c>
      <c r="C58" s="68" t="s">
        <v>1451</v>
      </c>
    </row>
    <row r="59" spans="1:3" ht="31.5" customHeight="1">
      <c r="A59" s="68" t="s">
        <v>1445</v>
      </c>
      <c r="B59" s="43" t="s">
        <v>1404</v>
      </c>
      <c r="C59" s="68" t="s">
        <v>1451</v>
      </c>
    </row>
    <row r="60" spans="1:3" ht="31.5" customHeight="1">
      <c r="A60" s="68" t="s">
        <v>1446</v>
      </c>
      <c r="B60" s="43" t="s">
        <v>1405</v>
      </c>
      <c r="C60" s="68" t="s">
        <v>1451</v>
      </c>
    </row>
    <row r="61" spans="1:3" ht="31.5" customHeight="1">
      <c r="A61" s="68" t="s">
        <v>1447</v>
      </c>
      <c r="B61" s="43" t="s">
        <v>1406</v>
      </c>
      <c r="C61" s="68" t="s">
        <v>1451</v>
      </c>
    </row>
    <row r="62" spans="1:3" ht="31.5" customHeight="1">
      <c r="A62" s="68" t="s">
        <v>1448</v>
      </c>
      <c r="B62" s="43" t="s">
        <v>1407</v>
      </c>
      <c r="C62" s="68" t="s">
        <v>1451</v>
      </c>
    </row>
    <row r="63" spans="1:3" ht="15.75" customHeight="1">
      <c r="A63" s="68" t="s">
        <v>1449</v>
      </c>
      <c r="B63" s="43" t="s">
        <v>1466</v>
      </c>
      <c r="C63" s="68" t="s">
        <v>1451</v>
      </c>
    </row>
  </sheetData>
  <autoFilter ref="A1:C63"/>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5">
      <c r="A1" s="1" t="s">
        <v>9</v>
      </c>
      <c r="B1" s="1" t="s">
        <v>243</v>
      </c>
      <c r="C1" s="4" t="s">
        <v>7</v>
      </c>
    </row>
    <row r="2" spans="1:5">
      <c r="A2" s="1" t="s">
        <v>8</v>
      </c>
      <c r="B2" s="1" t="s">
        <v>242</v>
      </c>
      <c r="C2" s="114" t="s">
        <v>261</v>
      </c>
    </row>
    <row r="3" spans="1:5">
      <c r="A3" s="1" t="s">
        <v>2</v>
      </c>
      <c r="B3" s="1">
        <v>2019</v>
      </c>
      <c r="C3" s="114"/>
    </row>
    <row r="4" spans="1:5">
      <c r="A4" s="1" t="s">
        <v>244</v>
      </c>
      <c r="B4" s="1">
        <v>10</v>
      </c>
      <c r="C4" s="4" t="s">
        <v>245</v>
      </c>
    </row>
    <row r="5" spans="1:5">
      <c r="A5" s="1" t="s">
        <v>246</v>
      </c>
      <c r="B5" s="1">
        <v>0</v>
      </c>
      <c r="C5" s="4" t="s">
        <v>245</v>
      </c>
    </row>
    <row r="6" spans="1:5">
      <c r="A6" s="1" t="s">
        <v>247</v>
      </c>
      <c r="B6" s="1">
        <v>100</v>
      </c>
      <c r="C6" s="4" t="s">
        <v>245</v>
      </c>
    </row>
    <row r="7" spans="1:5">
      <c r="A7" s="1" t="s">
        <v>248</v>
      </c>
      <c r="B7" s="14">
        <f>(B4+(B5*B6))/1000000000</f>
        <v>1E-8</v>
      </c>
      <c r="C7" s="4" t="s">
        <v>245</v>
      </c>
    </row>
    <row r="9" spans="1:5">
      <c r="A9" s="1" t="s">
        <v>61</v>
      </c>
      <c r="B9" s="1" t="s">
        <v>58</v>
      </c>
      <c r="C9" s="1" t="s">
        <v>38</v>
      </c>
      <c r="D9" s="5" t="s">
        <v>59</v>
      </c>
      <c r="E9" s="5" t="s">
        <v>63</v>
      </c>
    </row>
    <row r="10" spans="1:5">
      <c r="A10" s="1" t="s">
        <v>254</v>
      </c>
      <c r="B10" s="1" t="s">
        <v>249</v>
      </c>
      <c r="C10" s="16">
        <v>0.08</v>
      </c>
      <c r="D10" s="5">
        <f>C10*$B$7</f>
        <v>8.0000000000000003E-10</v>
      </c>
      <c r="E10" s="4" t="s">
        <v>259</v>
      </c>
    </row>
    <row r="11" spans="1:5" ht="30">
      <c r="A11" s="1" t="s">
        <v>255</v>
      </c>
      <c r="B11" s="1" t="s">
        <v>250</v>
      </c>
      <c r="C11" s="16">
        <f>(0.49/3)</f>
        <v>0.16333333333333333</v>
      </c>
      <c r="D11" s="5">
        <f>C11*$B$7</f>
        <v>1.6333333333333333E-9</v>
      </c>
      <c r="E11" s="4" t="s">
        <v>260</v>
      </c>
    </row>
    <row r="12" spans="1:5">
      <c r="A12" s="1" t="s">
        <v>256</v>
      </c>
      <c r="B12" s="1" t="s">
        <v>251</v>
      </c>
      <c r="C12" s="16">
        <f>(0.49/3)</f>
        <v>0.16333333333333333</v>
      </c>
      <c r="D12" s="5">
        <f>C12*$B$7</f>
        <v>1.6333333333333333E-9</v>
      </c>
      <c r="E12" s="4" t="s">
        <v>259</v>
      </c>
    </row>
    <row r="13" spans="1:5" ht="30">
      <c r="A13" s="1" t="s">
        <v>257</v>
      </c>
      <c r="B13" s="1" t="s">
        <v>252</v>
      </c>
      <c r="C13" s="16">
        <v>0.43</v>
      </c>
      <c r="D13" s="5">
        <f>C13*$B$7</f>
        <v>4.2999999999999996E-9</v>
      </c>
      <c r="E13" s="4" t="s">
        <v>260</v>
      </c>
    </row>
    <row r="14" spans="1:5" ht="30">
      <c r="A14" s="1" t="s">
        <v>258</v>
      </c>
      <c r="B14" s="1" t="s">
        <v>253</v>
      </c>
      <c r="C14" s="16">
        <f>(0.49/3)</f>
        <v>0.16333333333333333</v>
      </c>
      <c r="D14" s="5">
        <f>C14*$B$7</f>
        <v>1.6333333333333333E-9</v>
      </c>
      <c r="E14" s="4" t="s">
        <v>260</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70" zoomScaleNormal="70" workbookViewId="0">
      <selection activeCell="C2" sqref="C2:C3"/>
    </sheetView>
  </sheetViews>
  <sheetFormatPr defaultRowHeight="15"/>
  <cols>
    <col min="1" max="1" width="69.7109375" customWidth="1"/>
    <col min="2" max="2" width="73.5703125" customWidth="1"/>
    <col min="3" max="3" width="105.5703125" bestFit="1" customWidth="1"/>
    <col min="4" max="4" width="36.42578125" customWidth="1"/>
    <col min="5" max="5" width="72.7109375" customWidth="1"/>
  </cols>
  <sheetData>
    <row r="1" spans="1:3">
      <c r="A1" s="1" t="s">
        <v>9</v>
      </c>
      <c r="B1" s="1" t="s">
        <v>0</v>
      </c>
      <c r="C1" s="4" t="s">
        <v>7</v>
      </c>
    </row>
    <row r="2" spans="1:3">
      <c r="A2" s="1" t="s">
        <v>8</v>
      </c>
      <c r="B2" s="1" t="s">
        <v>388</v>
      </c>
      <c r="C2" s="114" t="s">
        <v>387</v>
      </c>
    </row>
    <row r="3" spans="1:3">
      <c r="A3" s="1" t="s">
        <v>2</v>
      </c>
      <c r="B3" s="1">
        <v>2016</v>
      </c>
      <c r="C3" s="114"/>
    </row>
    <row r="4" spans="1:3">
      <c r="A4" s="1" t="s">
        <v>3</v>
      </c>
      <c r="B4" s="1">
        <v>0</v>
      </c>
      <c r="C4" s="4" t="s">
        <v>262</v>
      </c>
    </row>
    <row r="5" spans="1:3">
      <c r="A5" s="1" t="s">
        <v>1</v>
      </c>
      <c r="B5" s="1">
        <f>EXP(-B4*(B3-1993))</f>
        <v>1</v>
      </c>
      <c r="C5" s="4" t="s">
        <v>263</v>
      </c>
    </row>
    <row r="6" spans="1:3">
      <c r="A6" s="1" t="s">
        <v>4</v>
      </c>
      <c r="B6" s="1">
        <v>6.3445999999999997E-3</v>
      </c>
      <c r="C6" s="4" t="s">
        <v>262</v>
      </c>
    </row>
    <row r="7" spans="1:3">
      <c r="A7" s="1" t="s">
        <v>6</v>
      </c>
      <c r="B7" s="1">
        <f>24/24</f>
        <v>1</v>
      </c>
      <c r="C7" s="4" t="s">
        <v>50</v>
      </c>
    </row>
    <row r="8" spans="1:3">
      <c r="A8" s="1" t="s">
        <v>13</v>
      </c>
      <c r="B8" s="1">
        <v>0.51</v>
      </c>
      <c r="C8" s="4" t="s">
        <v>262</v>
      </c>
    </row>
    <row r="9" spans="1:3">
      <c r="A9" s="1" t="s">
        <v>5</v>
      </c>
      <c r="B9" s="1">
        <f>B7/B8</f>
        <v>1.9607843137254901</v>
      </c>
      <c r="C9" s="4" t="s">
        <v>263</v>
      </c>
    </row>
    <row r="10" spans="1:3">
      <c r="A10" s="1" t="s">
        <v>12</v>
      </c>
      <c r="B10" s="1">
        <v>1.1000000000000001</v>
      </c>
      <c r="C10" s="4" t="s">
        <v>262</v>
      </c>
    </row>
    <row r="11" spans="1:3">
      <c r="A11" s="1" t="s">
        <v>14</v>
      </c>
      <c r="B11" s="1">
        <v>71</v>
      </c>
      <c r="C11" s="4" t="s">
        <v>51</v>
      </c>
    </row>
    <row r="12" spans="1:3">
      <c r="A12" s="1" t="s">
        <v>15</v>
      </c>
      <c r="B12" s="1">
        <v>0</v>
      </c>
      <c r="C12" s="4" t="s">
        <v>264</v>
      </c>
    </row>
    <row r="13" spans="1:3">
      <c r="A13" s="1" t="s">
        <v>17</v>
      </c>
      <c r="B13" s="1">
        <f>EXP((-B10/0.00008617)*((1/(B11+B12+273))-(1/298)))</f>
        <v>307.42168405624136</v>
      </c>
      <c r="C13" s="4" t="s">
        <v>263</v>
      </c>
    </row>
    <row r="14" spans="1:3">
      <c r="A14" s="1" t="s">
        <v>18</v>
      </c>
      <c r="B14" s="1">
        <v>0.14323849999999999</v>
      </c>
      <c r="C14" s="4" t="s">
        <v>262</v>
      </c>
    </row>
    <row r="15" spans="1:3">
      <c r="A15" s="1" t="s">
        <v>19</v>
      </c>
      <c r="B15" s="1">
        <v>0.49</v>
      </c>
      <c r="C15" s="4" t="s">
        <v>262</v>
      </c>
    </row>
    <row r="16" spans="1:3">
      <c r="A16" s="1" t="s">
        <v>20</v>
      </c>
      <c r="B16" s="1">
        <f>(1-B7)/B15</f>
        <v>0</v>
      </c>
      <c r="C16" s="4" t="s">
        <v>263</v>
      </c>
    </row>
    <row r="17" spans="1:5">
      <c r="A17" s="1" t="s">
        <v>23</v>
      </c>
      <c r="B17" s="1">
        <v>1.1000000000000001</v>
      </c>
      <c r="C17" s="4" t="s">
        <v>262</v>
      </c>
    </row>
    <row r="18" spans="1:5">
      <c r="A18" s="1" t="s">
        <v>24</v>
      </c>
      <c r="B18" s="1">
        <v>14</v>
      </c>
      <c r="C18" s="4" t="s">
        <v>53</v>
      </c>
    </row>
    <row r="19" spans="1:5">
      <c r="A19" s="1" t="s">
        <v>99</v>
      </c>
      <c r="B19" s="3">
        <f>EXP((-B17/0.00008617)*((1/(B18+273))-(1/298)))</f>
        <v>0.19362323898568365</v>
      </c>
      <c r="C19" s="4" t="s">
        <v>263</v>
      </c>
    </row>
    <row r="20" spans="1:5">
      <c r="A20" s="1" t="s">
        <v>25</v>
      </c>
      <c r="B20" s="1">
        <v>1.09744E-2</v>
      </c>
      <c r="C20" s="4" t="s">
        <v>262</v>
      </c>
    </row>
    <row r="21" spans="1:5">
      <c r="A21" s="1" t="s">
        <v>26</v>
      </c>
      <c r="B21" s="1">
        <v>365</v>
      </c>
      <c r="C21" s="4" t="s">
        <v>54</v>
      </c>
    </row>
    <row r="22" spans="1:5">
      <c r="A22" s="1" t="s">
        <v>28</v>
      </c>
      <c r="B22" s="3">
        <v>500</v>
      </c>
      <c r="C22" s="4" t="s">
        <v>262</v>
      </c>
    </row>
    <row r="23" spans="1:5">
      <c r="A23" s="1" t="s">
        <v>27</v>
      </c>
      <c r="B23" s="3">
        <f>B21/B22</f>
        <v>0.73</v>
      </c>
      <c r="C23" s="4" t="s">
        <v>263</v>
      </c>
    </row>
    <row r="24" spans="1:5">
      <c r="A24" s="1" t="s">
        <v>30</v>
      </c>
      <c r="B24" s="3">
        <v>12.78</v>
      </c>
      <c r="C24" s="4" t="s">
        <v>262</v>
      </c>
    </row>
    <row r="25" spans="1:5">
      <c r="A25" s="1" t="s">
        <v>29</v>
      </c>
      <c r="B25" s="3">
        <f>POWER((B11+B12-B18)/B24,2)</f>
        <v>19.892437567502039</v>
      </c>
      <c r="C25" s="4" t="s">
        <v>263</v>
      </c>
    </row>
    <row r="26" spans="1:5">
      <c r="A26" s="1" t="s">
        <v>33</v>
      </c>
      <c r="B26" s="3">
        <v>2.47443E-2</v>
      </c>
      <c r="C26" s="4" t="s">
        <v>262</v>
      </c>
    </row>
    <row r="27" spans="1:5">
      <c r="A27" s="1" t="s">
        <v>34</v>
      </c>
      <c r="B27" s="3">
        <f>(B5*((B6*B9*B13)+(B14*B16*B19)+(B20*B23*B25)))+B26</f>
        <v>4.0085551309765819</v>
      </c>
      <c r="C27" s="4" t="s">
        <v>263</v>
      </c>
    </row>
    <row r="28" spans="1:5">
      <c r="A28" s="1" t="s">
        <v>35</v>
      </c>
      <c r="B28" s="3">
        <f>B27/1000000</f>
        <v>4.0085551309765821E-6</v>
      </c>
      <c r="C28" s="4" t="s">
        <v>36</v>
      </c>
    </row>
    <row r="30" spans="1:5">
      <c r="A30" s="7" t="s">
        <v>61</v>
      </c>
      <c r="B30" s="7" t="s">
        <v>58</v>
      </c>
      <c r="C30" s="7" t="s">
        <v>38</v>
      </c>
      <c r="D30" s="5" t="s">
        <v>59</v>
      </c>
      <c r="E30" s="5" t="s">
        <v>63</v>
      </c>
    </row>
    <row r="31" spans="1:5">
      <c r="A31" s="7" t="s">
        <v>284</v>
      </c>
      <c r="B31" s="7" t="s">
        <v>265</v>
      </c>
      <c r="C31" s="18">
        <f>0.55/7</f>
        <v>7.8571428571428584E-2</v>
      </c>
      <c r="D31" s="5">
        <f>C31*$B$28</f>
        <v>3.1495790314816006E-7</v>
      </c>
      <c r="E31" s="4" t="s">
        <v>310</v>
      </c>
    </row>
    <row r="32" spans="1:5">
      <c r="A32" s="7" t="s">
        <v>521</v>
      </c>
      <c r="B32" s="7" t="s">
        <v>523</v>
      </c>
      <c r="C32" s="18">
        <f>(0.26/9)/2</f>
        <v>1.4444444444444446E-2</v>
      </c>
      <c r="D32" s="5">
        <f t="shared" ref="D32:D40" si="0">C32*$B$28</f>
        <v>5.790135189188397E-8</v>
      </c>
      <c r="E32" s="4" t="s">
        <v>311</v>
      </c>
    </row>
    <row r="33" spans="1:5">
      <c r="A33" s="29" t="s">
        <v>522</v>
      </c>
      <c r="B33" s="29" t="s">
        <v>524</v>
      </c>
      <c r="C33" s="18">
        <f>(0.26/9)/2</f>
        <v>1.4444444444444446E-2</v>
      </c>
      <c r="D33" s="5">
        <f>C33*$B$28</f>
        <v>5.790135189188397E-8</v>
      </c>
      <c r="E33" s="4" t="s">
        <v>311</v>
      </c>
    </row>
    <row r="34" spans="1:5">
      <c r="A34" s="7" t="s">
        <v>526</v>
      </c>
      <c r="B34" s="7" t="s">
        <v>283</v>
      </c>
      <c r="C34" s="18">
        <f>0.19/3</f>
        <v>6.3333333333333339E-2</v>
      </c>
      <c r="D34" s="5">
        <f t="shared" si="0"/>
        <v>2.5387515829518358E-7</v>
      </c>
      <c r="E34" s="4" t="s">
        <v>312</v>
      </c>
    </row>
    <row r="35" spans="1:5" ht="30">
      <c r="A35" s="7" t="s">
        <v>285</v>
      </c>
      <c r="B35" s="7" t="s">
        <v>278</v>
      </c>
      <c r="C35" s="18">
        <v>0</v>
      </c>
      <c r="D35" s="5">
        <f t="shared" si="0"/>
        <v>0</v>
      </c>
      <c r="E35" s="4" t="s">
        <v>309</v>
      </c>
    </row>
    <row r="36" spans="1:5">
      <c r="A36" s="7" t="s">
        <v>286</v>
      </c>
      <c r="B36" s="7" t="s">
        <v>279</v>
      </c>
      <c r="C36" s="18">
        <f>0.19/3</f>
        <v>6.3333333333333339E-2</v>
      </c>
      <c r="D36" s="5">
        <f t="shared" si="0"/>
        <v>2.5387515829518358E-7</v>
      </c>
      <c r="E36" s="4" t="s">
        <v>312</v>
      </c>
    </row>
    <row r="37" spans="1:5" ht="30">
      <c r="A37" s="7" t="s">
        <v>287</v>
      </c>
      <c r="B37" s="7" t="s">
        <v>280</v>
      </c>
      <c r="C37" s="18">
        <v>0</v>
      </c>
      <c r="D37" s="5">
        <f t="shared" si="0"/>
        <v>0</v>
      </c>
      <c r="E37" s="4" t="s">
        <v>308</v>
      </c>
    </row>
    <row r="38" spans="1:5">
      <c r="A38" s="7" t="s">
        <v>288</v>
      </c>
      <c r="B38" s="7" t="s">
        <v>281</v>
      </c>
      <c r="C38" s="18">
        <f>0.19/3</f>
        <v>6.3333333333333339E-2</v>
      </c>
      <c r="D38" s="5">
        <f t="shared" si="0"/>
        <v>2.5387515829518358E-7</v>
      </c>
      <c r="E38" s="4" t="s">
        <v>312</v>
      </c>
    </row>
    <row r="39" spans="1:5" ht="30">
      <c r="A39" s="7" t="s">
        <v>289</v>
      </c>
      <c r="B39" s="7" t="s">
        <v>282</v>
      </c>
      <c r="C39" s="18">
        <v>0</v>
      </c>
      <c r="D39" s="5">
        <f t="shared" si="0"/>
        <v>0</v>
      </c>
      <c r="E39" s="4" t="s">
        <v>308</v>
      </c>
    </row>
    <row r="40" spans="1:5">
      <c r="A40" s="7" t="s">
        <v>532</v>
      </c>
      <c r="B40" s="7" t="s">
        <v>534</v>
      </c>
      <c r="C40" s="18">
        <f>(0.26/9)/2</f>
        <v>1.4444444444444446E-2</v>
      </c>
      <c r="D40" s="5">
        <f t="shared" si="0"/>
        <v>5.790135189188397E-8</v>
      </c>
      <c r="E40" s="4" t="s">
        <v>311</v>
      </c>
    </row>
    <row r="41" spans="1:5">
      <c r="A41" s="29" t="s">
        <v>533</v>
      </c>
      <c r="B41" s="29" t="s">
        <v>535</v>
      </c>
      <c r="C41" s="18">
        <f>(0.26/9)/2</f>
        <v>1.4444444444444446E-2</v>
      </c>
      <c r="D41" s="5">
        <f>C41*$B$28</f>
        <v>5.790135189188397E-8</v>
      </c>
      <c r="E41" s="4" t="s">
        <v>311</v>
      </c>
    </row>
    <row r="42" spans="1:5">
      <c r="A42" s="7" t="s">
        <v>536</v>
      </c>
      <c r="B42" s="7" t="s">
        <v>538</v>
      </c>
      <c r="C42" s="18">
        <f>(0.26/9)/2</f>
        <v>1.4444444444444446E-2</v>
      </c>
      <c r="D42" s="5">
        <f t="shared" ref="D42:D58" si="1">C42*$B$28</f>
        <v>5.790135189188397E-8</v>
      </c>
      <c r="E42" s="4" t="s">
        <v>311</v>
      </c>
    </row>
    <row r="43" spans="1:5">
      <c r="A43" s="29" t="s">
        <v>537</v>
      </c>
      <c r="B43" s="29" t="s">
        <v>539</v>
      </c>
      <c r="C43" s="18">
        <f>(0.26/9)/2</f>
        <v>1.4444444444444446E-2</v>
      </c>
      <c r="D43" s="5">
        <f>C43*$B$28</f>
        <v>5.790135189188397E-8</v>
      </c>
      <c r="E43" s="4" t="s">
        <v>311</v>
      </c>
    </row>
    <row r="44" spans="1:5">
      <c r="A44" s="7" t="s">
        <v>290</v>
      </c>
      <c r="B44" s="7" t="s">
        <v>266</v>
      </c>
      <c r="C44" s="18">
        <f>0.26/9</f>
        <v>2.8888888888888891E-2</v>
      </c>
      <c r="D44" s="5">
        <f t="shared" si="1"/>
        <v>1.1580270378376794E-7</v>
      </c>
      <c r="E44" s="4" t="s">
        <v>311</v>
      </c>
    </row>
    <row r="45" spans="1:5">
      <c r="A45" s="7" t="s">
        <v>291</v>
      </c>
      <c r="B45" s="7" t="s">
        <v>267</v>
      </c>
      <c r="C45" s="18">
        <f>0.55/7</f>
        <v>7.8571428571428584E-2</v>
      </c>
      <c r="D45" s="5">
        <f t="shared" si="1"/>
        <v>3.1495790314816006E-7</v>
      </c>
      <c r="E45" s="4" t="s">
        <v>310</v>
      </c>
    </row>
    <row r="46" spans="1:5">
      <c r="A46" s="7" t="s">
        <v>292</v>
      </c>
      <c r="B46" s="7" t="s">
        <v>268</v>
      </c>
      <c r="C46" s="18">
        <f>0.26/9</f>
        <v>2.8888888888888891E-2</v>
      </c>
      <c r="D46" s="5">
        <f t="shared" si="1"/>
        <v>1.1580270378376794E-7</v>
      </c>
      <c r="E46" s="4" t="s">
        <v>311</v>
      </c>
    </row>
    <row r="47" spans="1:5">
      <c r="A47" s="7" t="s">
        <v>293</v>
      </c>
      <c r="B47" s="7" t="s">
        <v>269</v>
      </c>
      <c r="C47" s="18">
        <f>0.55/7</f>
        <v>7.8571428571428584E-2</v>
      </c>
      <c r="D47" s="5">
        <f t="shared" si="1"/>
        <v>3.1495790314816006E-7</v>
      </c>
      <c r="E47" s="4" t="s">
        <v>310</v>
      </c>
    </row>
    <row r="48" spans="1:5">
      <c r="A48" s="7" t="s">
        <v>294</v>
      </c>
      <c r="B48" s="7" t="s">
        <v>270</v>
      </c>
      <c r="C48" s="18">
        <f>0.26/9</f>
        <v>2.8888888888888891E-2</v>
      </c>
      <c r="D48" s="5">
        <f t="shared" si="1"/>
        <v>1.1580270378376794E-7</v>
      </c>
      <c r="E48" s="4" t="s">
        <v>311</v>
      </c>
    </row>
    <row r="49" spans="1:5">
      <c r="A49" s="7" t="s">
        <v>349</v>
      </c>
      <c r="B49" s="7" t="s">
        <v>271</v>
      </c>
      <c r="C49" s="18">
        <f>0.26/9</f>
        <v>2.8888888888888891E-2</v>
      </c>
      <c r="D49" s="5">
        <f t="shared" si="1"/>
        <v>1.1580270378376794E-7</v>
      </c>
      <c r="E49" s="4" t="s">
        <v>311</v>
      </c>
    </row>
    <row r="50" spans="1:5">
      <c r="A50" s="7" t="s">
        <v>295</v>
      </c>
      <c r="B50" s="7" t="s">
        <v>297</v>
      </c>
      <c r="C50" s="18">
        <f>0.55/7</f>
        <v>7.8571428571428584E-2</v>
      </c>
      <c r="D50" s="5">
        <f t="shared" si="1"/>
        <v>3.1495790314816006E-7</v>
      </c>
      <c r="E50" s="4" t="s">
        <v>310</v>
      </c>
    </row>
    <row r="51" spans="1:5">
      <c r="A51" s="7" t="s">
        <v>296</v>
      </c>
      <c r="B51" s="7" t="s">
        <v>298</v>
      </c>
      <c r="C51" s="18">
        <f>0.26/9</f>
        <v>2.8888888888888891E-2</v>
      </c>
      <c r="D51" s="5">
        <f t="shared" si="1"/>
        <v>1.1580270378376794E-7</v>
      </c>
      <c r="E51" s="4" t="s">
        <v>311</v>
      </c>
    </row>
    <row r="52" spans="1:5">
      <c r="A52" s="7" t="s">
        <v>299</v>
      </c>
      <c r="B52" s="7" t="s">
        <v>272</v>
      </c>
      <c r="C52" s="18">
        <f>0.55/7</f>
        <v>7.8571428571428584E-2</v>
      </c>
      <c r="D52" s="5">
        <f t="shared" si="1"/>
        <v>3.1495790314816006E-7</v>
      </c>
      <c r="E52" s="4" t="s">
        <v>310</v>
      </c>
    </row>
    <row r="53" spans="1:5">
      <c r="A53" s="7" t="s">
        <v>300</v>
      </c>
      <c r="B53" s="7" t="s">
        <v>273</v>
      </c>
      <c r="C53" s="18">
        <f>0.26/9</f>
        <v>2.8888888888888891E-2</v>
      </c>
      <c r="D53" s="5">
        <f t="shared" si="1"/>
        <v>1.1580270378376794E-7</v>
      </c>
      <c r="E53" s="4" t="s">
        <v>311</v>
      </c>
    </row>
    <row r="54" spans="1:5">
      <c r="A54" s="7" t="s">
        <v>301</v>
      </c>
      <c r="B54" s="7" t="s">
        <v>274</v>
      </c>
      <c r="C54" s="18">
        <f>0.55/7</f>
        <v>7.8571428571428584E-2</v>
      </c>
      <c r="D54" s="5">
        <f t="shared" si="1"/>
        <v>3.1495790314816006E-7</v>
      </c>
      <c r="E54" s="4" t="s">
        <v>310</v>
      </c>
    </row>
    <row r="55" spans="1:5">
      <c r="A55" s="7" t="s">
        <v>302</v>
      </c>
      <c r="B55" s="7" t="s">
        <v>275</v>
      </c>
      <c r="C55" s="18">
        <f>0.55/7</f>
        <v>7.8571428571428584E-2</v>
      </c>
      <c r="D55" s="5">
        <f t="shared" si="1"/>
        <v>3.1495790314816006E-7</v>
      </c>
      <c r="E55" s="4" t="s">
        <v>310</v>
      </c>
    </row>
    <row r="56" spans="1:5" ht="30">
      <c r="A56" s="7" t="s">
        <v>303</v>
      </c>
      <c r="B56" s="7" t="s">
        <v>306</v>
      </c>
      <c r="C56" s="18">
        <v>0</v>
      </c>
      <c r="D56" s="5">
        <f t="shared" si="1"/>
        <v>0</v>
      </c>
      <c r="E56" s="4" t="s">
        <v>307</v>
      </c>
    </row>
    <row r="57" spans="1:5" ht="30">
      <c r="A57" s="7" t="s">
        <v>304</v>
      </c>
      <c r="B57" s="7" t="s">
        <v>277</v>
      </c>
      <c r="C57" s="18">
        <v>0</v>
      </c>
      <c r="D57" s="5">
        <f t="shared" si="1"/>
        <v>0</v>
      </c>
      <c r="E57" s="4" t="s">
        <v>307</v>
      </c>
    </row>
    <row r="58" spans="1:5" ht="30">
      <c r="A58" s="7" t="s">
        <v>305</v>
      </c>
      <c r="B58" s="7" t="s">
        <v>276</v>
      </c>
      <c r="C58" s="18">
        <v>0</v>
      </c>
      <c r="D58" s="5">
        <f t="shared" si="1"/>
        <v>0</v>
      </c>
      <c r="E58" s="4" t="s">
        <v>307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 t="s">
        <v>9</v>
      </c>
      <c r="B1" s="1" t="s">
        <v>0</v>
      </c>
      <c r="C1" s="4" t="s">
        <v>7</v>
      </c>
    </row>
    <row r="2" spans="1:3">
      <c r="A2" s="1" t="s">
        <v>8</v>
      </c>
      <c r="B2" s="1" t="s">
        <v>337</v>
      </c>
      <c r="C2" s="114" t="s">
        <v>338</v>
      </c>
    </row>
    <row r="3" spans="1:3">
      <c r="A3" s="1" t="s">
        <v>2</v>
      </c>
      <c r="B3" s="1">
        <v>2020</v>
      </c>
      <c r="C3" s="114"/>
    </row>
    <row r="4" spans="1:3">
      <c r="A4" s="1" t="s">
        <v>3</v>
      </c>
      <c r="B4" s="1">
        <v>0.223</v>
      </c>
      <c r="C4" s="4" t="s">
        <v>93</v>
      </c>
    </row>
    <row r="5" spans="1:3">
      <c r="A5" s="1" t="s">
        <v>1</v>
      </c>
      <c r="B5" s="1">
        <f>EXP(-B4*(B3-1993))</f>
        <v>2.427241139859526E-3</v>
      </c>
      <c r="C5" s="4" t="s">
        <v>94</v>
      </c>
    </row>
    <row r="6" spans="1:3">
      <c r="A6" s="1" t="s">
        <v>4</v>
      </c>
      <c r="B6" s="1">
        <v>6.1600000000000007E-5</v>
      </c>
      <c r="C6" s="4" t="s">
        <v>93</v>
      </c>
    </row>
    <row r="7" spans="1:3">
      <c r="A7" s="1" t="s">
        <v>6</v>
      </c>
      <c r="B7" s="1">
        <f>24/24</f>
        <v>1</v>
      </c>
      <c r="C7" s="4" t="s">
        <v>50</v>
      </c>
    </row>
    <row r="8" spans="1:3">
      <c r="A8" s="1" t="s">
        <v>13</v>
      </c>
      <c r="B8" s="1">
        <v>0.23</v>
      </c>
      <c r="C8" s="4" t="s">
        <v>93</v>
      </c>
    </row>
    <row r="9" spans="1:3">
      <c r="A9" s="1" t="s">
        <v>5</v>
      </c>
      <c r="B9" s="1">
        <f>B7/B8</f>
        <v>4.3478260869565215</v>
      </c>
      <c r="C9" s="4" t="s">
        <v>94</v>
      </c>
    </row>
    <row r="10" spans="1:3">
      <c r="A10" s="1" t="s">
        <v>12</v>
      </c>
      <c r="B10" s="1">
        <v>0.3</v>
      </c>
      <c r="C10" s="4" t="s">
        <v>93</v>
      </c>
    </row>
    <row r="11" spans="1:3">
      <c r="A11" s="1" t="s">
        <v>14</v>
      </c>
      <c r="B11" s="1">
        <v>71</v>
      </c>
      <c r="C11" s="4" t="s">
        <v>51</v>
      </c>
    </row>
    <row r="12" spans="1:3">
      <c r="A12" s="1" t="s">
        <v>15</v>
      </c>
      <c r="B12" s="1">
        <v>60</v>
      </c>
      <c r="C12" s="4" t="s">
        <v>95</v>
      </c>
    </row>
    <row r="13" spans="1:3">
      <c r="A13" s="1" t="s">
        <v>17</v>
      </c>
      <c r="B13" s="1">
        <f>EXP((-B10/0.00008617)*((1/(B11+B12+273))-(1/298)))</f>
        <v>21.440955737143941</v>
      </c>
      <c r="C13" s="4" t="s">
        <v>94</v>
      </c>
    </row>
    <row r="14" spans="1:3">
      <c r="A14" s="1" t="s">
        <v>97</v>
      </c>
      <c r="B14" s="1">
        <v>29</v>
      </c>
      <c r="C14" s="4" t="s">
        <v>98</v>
      </c>
    </row>
    <row r="15" spans="1:3">
      <c r="A15" s="1" t="s">
        <v>96</v>
      </c>
      <c r="B15" s="1">
        <f>POWER(B14, 2.43)/0.185</f>
        <v>19339.952651167132</v>
      </c>
      <c r="C15" s="4" t="s">
        <v>94</v>
      </c>
    </row>
    <row r="16" spans="1:3">
      <c r="A16" s="1" t="s">
        <v>18</v>
      </c>
      <c r="B16" s="1">
        <v>3.0800000000000003E-5</v>
      </c>
      <c r="C16" s="4" t="s">
        <v>93</v>
      </c>
    </row>
    <row r="17" spans="1:3">
      <c r="A17" s="1" t="s">
        <v>19</v>
      </c>
      <c r="B17" s="1">
        <v>0.77</v>
      </c>
      <c r="C17" s="4" t="s">
        <v>93</v>
      </c>
    </row>
    <row r="18" spans="1:3">
      <c r="A18" s="1" t="s">
        <v>20</v>
      </c>
      <c r="B18" s="1">
        <f>(1-B7)/B17</f>
        <v>0</v>
      </c>
      <c r="C18" s="4" t="s">
        <v>94</v>
      </c>
    </row>
    <row r="19" spans="1:3">
      <c r="A19" s="1" t="s">
        <v>23</v>
      </c>
      <c r="B19" s="1">
        <v>0.4</v>
      </c>
      <c r="C19" s="4" t="s">
        <v>93</v>
      </c>
    </row>
    <row r="20" spans="1:3">
      <c r="A20" s="1" t="s">
        <v>24</v>
      </c>
      <c r="B20" s="1">
        <v>14</v>
      </c>
      <c r="C20" s="4" t="s">
        <v>53</v>
      </c>
    </row>
    <row r="21" spans="1:3">
      <c r="A21" s="1" t="s">
        <v>99</v>
      </c>
      <c r="B21" s="3">
        <f>EXP((-B19/0.00008617)*((1/(B20+273))-(1/298)))</f>
        <v>0.55044231312358938</v>
      </c>
      <c r="C21" s="4" t="s">
        <v>94</v>
      </c>
    </row>
    <row r="22" spans="1:3">
      <c r="A22" s="1" t="s">
        <v>25</v>
      </c>
      <c r="B22" s="1">
        <v>9.7999999999999997E-5</v>
      </c>
      <c r="C22" s="4" t="s">
        <v>93</v>
      </c>
    </row>
    <row r="23" spans="1:3">
      <c r="A23" s="1" t="s">
        <v>26</v>
      </c>
      <c r="B23" s="1">
        <v>365</v>
      </c>
      <c r="C23" s="4" t="s">
        <v>54</v>
      </c>
    </row>
    <row r="24" spans="1:3">
      <c r="A24" s="1" t="s">
        <v>28</v>
      </c>
      <c r="B24" s="3">
        <v>736.84</v>
      </c>
      <c r="C24" s="4" t="s">
        <v>93</v>
      </c>
    </row>
    <row r="25" spans="1:3">
      <c r="A25" s="7" t="s">
        <v>27</v>
      </c>
      <c r="B25" s="8">
        <f>B23/B24</f>
        <v>0.495358558167309</v>
      </c>
      <c r="C25" s="9" t="s">
        <v>94</v>
      </c>
    </row>
    <row r="26" spans="1:3">
      <c r="A26" s="7" t="s">
        <v>30</v>
      </c>
      <c r="B26" s="8">
        <v>80</v>
      </c>
      <c r="C26" s="9" t="s">
        <v>93</v>
      </c>
    </row>
    <row r="27" spans="1:3">
      <c r="A27" s="7" t="s">
        <v>29</v>
      </c>
      <c r="B27" s="8">
        <f>POWER((B11+B12-B20)/B26,2)</f>
        <v>2.1389062499999998</v>
      </c>
      <c r="C27" s="9" t="s">
        <v>94</v>
      </c>
    </row>
    <row r="28" spans="1:3">
      <c r="A28" s="1" t="s">
        <v>31</v>
      </c>
      <c r="B28" s="3">
        <v>2.0999999999999999E-3</v>
      </c>
      <c r="C28" s="4" t="s">
        <v>93</v>
      </c>
    </row>
    <row r="29" spans="1:3">
      <c r="A29" s="1" t="s">
        <v>32</v>
      </c>
      <c r="B29" s="3">
        <f>POWER((B11+B12-B20)/44,2.26)</f>
        <v>9.117945640436897</v>
      </c>
      <c r="C29" s="4" t="s">
        <v>94</v>
      </c>
    </row>
    <row r="30" spans="1:3">
      <c r="A30" s="1" t="s">
        <v>33</v>
      </c>
      <c r="B30" s="3">
        <v>3.6000000000000002E-4</v>
      </c>
      <c r="C30" s="4" t="s">
        <v>93</v>
      </c>
    </row>
    <row r="31" spans="1:3">
      <c r="A31" s="1" t="s">
        <v>34</v>
      </c>
      <c r="B31" s="3">
        <f>(B5*((B6*B9*B13*B15)+(B16*B18*B21)+(B22*B25*B27)))+B28*B29+B30</f>
        <v>0.2890740825129946</v>
      </c>
      <c r="C31" s="4" t="s">
        <v>94</v>
      </c>
    </row>
    <row r="32" spans="1:3">
      <c r="A32" s="1" t="s">
        <v>35</v>
      </c>
      <c r="B32" s="3">
        <f>B31/1000000</f>
        <v>2.8907408251299462E-7</v>
      </c>
      <c r="C32" s="4" t="s">
        <v>36</v>
      </c>
    </row>
    <row r="34" spans="1:5">
      <c r="A34" s="1" t="s">
        <v>61</v>
      </c>
      <c r="B34" s="1" t="s">
        <v>58</v>
      </c>
      <c r="C34" s="1" t="s">
        <v>38</v>
      </c>
      <c r="D34" s="5" t="s">
        <v>59</v>
      </c>
      <c r="E34" s="5" t="s">
        <v>63</v>
      </c>
    </row>
    <row r="35" spans="1:5">
      <c r="A35" s="1" t="s">
        <v>85</v>
      </c>
      <c r="B35" s="1" t="s">
        <v>89</v>
      </c>
      <c r="C35" s="16">
        <v>0.28999999999999998</v>
      </c>
      <c r="D35" s="5">
        <f>C35*$B$32</f>
        <v>8.3831483928768434E-8</v>
      </c>
      <c r="E35" s="4" t="s">
        <v>107</v>
      </c>
    </row>
    <row r="36" spans="1:5">
      <c r="A36" s="1" t="s">
        <v>87</v>
      </c>
      <c r="B36" s="1" t="s">
        <v>129</v>
      </c>
      <c r="C36" s="16">
        <v>0.51</v>
      </c>
      <c r="D36" s="5">
        <f t="shared" ref="D36:D43" si="0">C36*$B$32</f>
        <v>1.4742778208162726E-7</v>
      </c>
      <c r="E36" s="4" t="s">
        <v>107</v>
      </c>
    </row>
    <row r="37" spans="1:5">
      <c r="A37" s="1" t="s">
        <v>325</v>
      </c>
      <c r="B37" s="1" t="s">
        <v>112</v>
      </c>
      <c r="C37" s="16">
        <v>3.3333333333333333E-2</v>
      </c>
      <c r="D37" s="5">
        <f t="shared" si="0"/>
        <v>9.6358027504331533E-9</v>
      </c>
      <c r="E37" s="4" t="s">
        <v>107</v>
      </c>
    </row>
    <row r="38" spans="1:5">
      <c r="A38" s="1" t="s">
        <v>326</v>
      </c>
      <c r="B38" s="1" t="s">
        <v>331</v>
      </c>
      <c r="C38" s="16">
        <v>3.3333333333333333E-2</v>
      </c>
      <c r="D38" s="5">
        <f t="shared" si="0"/>
        <v>9.6358027504331533E-9</v>
      </c>
      <c r="E38" s="4" t="s">
        <v>107</v>
      </c>
    </row>
    <row r="39" spans="1:5">
      <c r="A39" s="1" t="s">
        <v>327</v>
      </c>
      <c r="B39" s="1" t="s">
        <v>332</v>
      </c>
      <c r="C39" s="16">
        <v>3.3333333333333333E-2</v>
      </c>
      <c r="D39" s="5">
        <f t="shared" si="0"/>
        <v>9.6358027504331533E-9</v>
      </c>
      <c r="E39" s="4" t="s">
        <v>107</v>
      </c>
    </row>
    <row r="40" spans="1:5">
      <c r="A40" s="1" t="s">
        <v>328</v>
      </c>
      <c r="B40" s="1" t="s">
        <v>333</v>
      </c>
      <c r="C40" s="16">
        <v>3.3333333333333333E-2</v>
      </c>
      <c r="D40" s="5">
        <f t="shared" si="0"/>
        <v>9.6358027504331533E-9</v>
      </c>
      <c r="E40" s="4" t="s">
        <v>107</v>
      </c>
    </row>
    <row r="41" spans="1:5">
      <c r="A41" s="1" t="s">
        <v>329</v>
      </c>
      <c r="B41" s="1" t="s">
        <v>334</v>
      </c>
      <c r="C41" s="16">
        <v>3.3333333333333333E-2</v>
      </c>
      <c r="D41" s="5">
        <f t="shared" si="0"/>
        <v>9.6358027504331533E-9</v>
      </c>
      <c r="E41" s="4" t="s">
        <v>107</v>
      </c>
    </row>
    <row r="42" spans="1:5">
      <c r="A42" s="1" t="s">
        <v>330</v>
      </c>
      <c r="B42" s="1" t="s">
        <v>335</v>
      </c>
      <c r="C42" s="16">
        <v>3.3333333333333333E-2</v>
      </c>
      <c r="D42" s="5">
        <f t="shared" si="0"/>
        <v>9.6358027504331533E-9</v>
      </c>
      <c r="E42" s="4" t="s">
        <v>107</v>
      </c>
    </row>
    <row r="43" spans="1:5">
      <c r="A43" s="1" t="s">
        <v>106</v>
      </c>
      <c r="B43" s="1" t="s">
        <v>336</v>
      </c>
      <c r="C43" s="16">
        <v>0</v>
      </c>
      <c r="D43" s="5">
        <f t="shared" si="0"/>
        <v>0</v>
      </c>
      <c r="E43" s="4" t="s">
        <v>107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 t="s">
        <v>9</v>
      </c>
      <c r="B1" s="1" t="s">
        <v>0</v>
      </c>
      <c r="C1" s="4" t="s">
        <v>7</v>
      </c>
    </row>
    <row r="2" spans="1:3">
      <c r="A2" s="1" t="s">
        <v>8</v>
      </c>
      <c r="B2" s="1" t="s">
        <v>91</v>
      </c>
      <c r="C2" s="114" t="s">
        <v>92</v>
      </c>
    </row>
    <row r="3" spans="1:3">
      <c r="A3" s="1" t="s">
        <v>2</v>
      </c>
      <c r="B3" s="1">
        <v>2021</v>
      </c>
      <c r="C3" s="114"/>
    </row>
    <row r="4" spans="1:3">
      <c r="A4" s="1" t="s">
        <v>3</v>
      </c>
      <c r="B4" s="1">
        <v>0.15</v>
      </c>
      <c r="C4" s="4" t="s">
        <v>93</v>
      </c>
    </row>
    <row r="5" spans="1:3">
      <c r="A5" s="1" t="s">
        <v>1</v>
      </c>
      <c r="B5" s="1">
        <f>EXP(-B4*(B3-1993))</f>
        <v>1.4995576820477703E-2</v>
      </c>
      <c r="C5" s="4" t="s">
        <v>94</v>
      </c>
    </row>
    <row r="6" spans="1:3">
      <c r="A6" s="1" t="s">
        <v>4</v>
      </c>
      <c r="B6" s="1">
        <v>4.102E-4</v>
      </c>
      <c r="C6" s="4" t="s">
        <v>93</v>
      </c>
    </row>
    <row r="7" spans="1:3">
      <c r="A7" s="1" t="s">
        <v>6</v>
      </c>
      <c r="B7" s="1">
        <f>24/24</f>
        <v>1</v>
      </c>
      <c r="C7" s="4" t="s">
        <v>50</v>
      </c>
    </row>
    <row r="8" spans="1:3">
      <c r="A8" s="1" t="s">
        <v>13</v>
      </c>
      <c r="B8" s="1">
        <v>0.23</v>
      </c>
      <c r="C8" s="4" t="s">
        <v>93</v>
      </c>
    </row>
    <row r="9" spans="1:3">
      <c r="A9" s="1" t="s">
        <v>5</v>
      </c>
      <c r="B9" s="1">
        <f>B7/B8</f>
        <v>4.3478260869565215</v>
      </c>
      <c r="C9" s="4" t="s">
        <v>94</v>
      </c>
    </row>
    <row r="10" spans="1:3">
      <c r="A10" s="1" t="s">
        <v>12</v>
      </c>
      <c r="B10" s="1">
        <v>0.2</v>
      </c>
      <c r="C10" s="4" t="s">
        <v>93</v>
      </c>
    </row>
    <row r="11" spans="1:3">
      <c r="A11" s="1" t="s">
        <v>14</v>
      </c>
      <c r="B11" s="1">
        <v>71</v>
      </c>
      <c r="C11" s="4" t="s">
        <v>51</v>
      </c>
    </row>
    <row r="12" spans="1:3">
      <c r="A12" s="1" t="s">
        <v>15</v>
      </c>
      <c r="B12" s="1">
        <v>60</v>
      </c>
      <c r="C12" s="4" t="s">
        <v>95</v>
      </c>
    </row>
    <row r="13" spans="1:3">
      <c r="A13" s="1" t="s">
        <v>17</v>
      </c>
      <c r="B13" s="1">
        <f>EXP((-B10/0.00008617)*((1/(B11+B12+273))-(1/298)))</f>
        <v>7.7178457332731929</v>
      </c>
      <c r="C13" s="4" t="s">
        <v>94</v>
      </c>
    </row>
    <row r="14" spans="1:3">
      <c r="A14" s="1" t="s">
        <v>97</v>
      </c>
      <c r="B14" s="1">
        <v>29</v>
      </c>
      <c r="C14" s="4" t="s">
        <v>98</v>
      </c>
    </row>
    <row r="15" spans="1:3">
      <c r="A15" s="1" t="s">
        <v>96</v>
      </c>
      <c r="B15" s="1">
        <f>POWER(B14, 2.43)/0.185</f>
        <v>19339.952651167132</v>
      </c>
      <c r="C15" s="4" t="s">
        <v>94</v>
      </c>
    </row>
    <row r="16" spans="1:3">
      <c r="A16" s="1" t="s">
        <v>18</v>
      </c>
      <c r="B16" s="1">
        <v>9.859999999999999E-4</v>
      </c>
      <c r="C16" s="4" t="s">
        <v>93</v>
      </c>
    </row>
    <row r="17" spans="1:3">
      <c r="A17" s="1" t="s">
        <v>19</v>
      </c>
      <c r="B17" s="1">
        <v>0.77</v>
      </c>
      <c r="C17" s="4" t="s">
        <v>93</v>
      </c>
    </row>
    <row r="18" spans="1:3">
      <c r="A18" s="1" t="s">
        <v>20</v>
      </c>
      <c r="B18" s="1">
        <f>(1-B7)/B17</f>
        <v>0</v>
      </c>
      <c r="C18" s="4" t="s">
        <v>94</v>
      </c>
    </row>
    <row r="19" spans="1:3">
      <c r="A19" s="1" t="s">
        <v>23</v>
      </c>
      <c r="B19" s="1">
        <v>0.3</v>
      </c>
      <c r="C19" s="4" t="s">
        <v>93</v>
      </c>
    </row>
    <row r="20" spans="1:3">
      <c r="A20" s="1" t="s">
        <v>24</v>
      </c>
      <c r="B20" s="1">
        <v>14</v>
      </c>
      <c r="C20" s="4" t="s">
        <v>53</v>
      </c>
    </row>
    <row r="21" spans="1:3">
      <c r="A21" s="1" t="s">
        <v>99</v>
      </c>
      <c r="B21" s="3">
        <f>EXP((-B19/0.00008617)*((1/(B20+273))-(1/298)))</f>
        <v>0.63904855683312856</v>
      </c>
      <c r="C21" s="4" t="s">
        <v>94</v>
      </c>
    </row>
    <row r="22" spans="1:3">
      <c r="A22" s="1" t="s">
        <v>25</v>
      </c>
      <c r="B22" s="1">
        <v>3.1999999999999999E-5</v>
      </c>
      <c r="C22" s="4" t="s">
        <v>93</v>
      </c>
    </row>
    <row r="23" spans="1:3">
      <c r="A23" s="1" t="s">
        <v>26</v>
      </c>
      <c r="B23" s="1">
        <v>365</v>
      </c>
      <c r="C23" s="4" t="s">
        <v>54</v>
      </c>
    </row>
    <row r="24" spans="1:3">
      <c r="A24" s="1" t="s">
        <v>28</v>
      </c>
      <c r="B24" s="3">
        <v>736.84</v>
      </c>
      <c r="C24" s="4" t="s">
        <v>93</v>
      </c>
    </row>
    <row r="25" spans="1:3">
      <c r="A25" s="7" t="s">
        <v>27</v>
      </c>
      <c r="B25" s="8">
        <f>B23/B24</f>
        <v>0.495358558167309</v>
      </c>
      <c r="C25" s="9" t="s">
        <v>94</v>
      </c>
    </row>
    <row r="26" spans="1:3">
      <c r="A26" s="7" t="s">
        <v>30</v>
      </c>
      <c r="B26" s="8">
        <v>80</v>
      </c>
      <c r="C26" s="9" t="s">
        <v>93</v>
      </c>
    </row>
    <row r="27" spans="1:3">
      <c r="A27" s="7" t="s">
        <v>29</v>
      </c>
      <c r="B27" s="8">
        <f>POWER((B11+B12-B20)/B26,2)</f>
        <v>2.1389062499999998</v>
      </c>
      <c r="C27" s="9" t="s">
        <v>94</v>
      </c>
    </row>
    <row r="28" spans="1:3">
      <c r="A28" s="1" t="s">
        <v>31</v>
      </c>
      <c r="B28" s="3">
        <v>2.0999999999999999E-3</v>
      </c>
      <c r="C28" s="4" t="s">
        <v>93</v>
      </c>
    </row>
    <row r="29" spans="1:3">
      <c r="A29" s="1" t="s">
        <v>32</v>
      </c>
      <c r="B29" s="3">
        <f>POWER((B11+B12-B20)/44,2.26)</f>
        <v>9.117945640436897</v>
      </c>
      <c r="C29" s="4" t="s">
        <v>94</v>
      </c>
    </row>
    <row r="30" spans="1:3">
      <c r="A30" s="1" t="s">
        <v>33</v>
      </c>
      <c r="B30" s="3">
        <v>2.2599999999999999E-3</v>
      </c>
      <c r="C30" s="4" t="s">
        <v>93</v>
      </c>
    </row>
    <row r="31" spans="1:3">
      <c r="A31" s="1" t="s">
        <v>34</v>
      </c>
      <c r="B31" s="3">
        <f>(B5*((B6*B9*B13*B15)+(B16*B18*B21)+(B22*B25*B27)))+B28*B29+B30</f>
        <v>4.0133343232122112</v>
      </c>
      <c r="C31" s="4" t="s">
        <v>94</v>
      </c>
    </row>
    <row r="32" spans="1:3">
      <c r="A32" s="1" t="s">
        <v>35</v>
      </c>
      <c r="B32" s="3">
        <f>B31/1000000</f>
        <v>4.0133343232122108E-6</v>
      </c>
      <c r="C32" s="4" t="s">
        <v>36</v>
      </c>
    </row>
    <row r="34" spans="1:5">
      <c r="A34" s="1" t="s">
        <v>61</v>
      </c>
      <c r="B34" s="1" t="s">
        <v>58</v>
      </c>
      <c r="C34" s="1" t="s">
        <v>38</v>
      </c>
      <c r="D34" s="5" t="s">
        <v>59</v>
      </c>
      <c r="E34" s="5" t="s">
        <v>63</v>
      </c>
    </row>
    <row r="35" spans="1:5">
      <c r="A35" s="1" t="s">
        <v>85</v>
      </c>
      <c r="B35" s="1" t="s">
        <v>89</v>
      </c>
      <c r="C35" s="16">
        <v>0.45</v>
      </c>
      <c r="D35" s="5">
        <f>C35*$B$32</f>
        <v>1.8060004454454948E-6</v>
      </c>
      <c r="E35" s="4" t="s">
        <v>107</v>
      </c>
    </row>
    <row r="36" spans="1:5">
      <c r="A36" s="1" t="s">
        <v>87</v>
      </c>
      <c r="B36" s="1" t="s">
        <v>129</v>
      </c>
      <c r="C36" s="16">
        <v>0.2</v>
      </c>
      <c r="D36" s="5">
        <f t="shared" ref="D36:D45" si="0">C36*$B$32</f>
        <v>8.0266686464244223E-7</v>
      </c>
      <c r="E36" s="4" t="s">
        <v>107</v>
      </c>
    </row>
    <row r="37" spans="1:5">
      <c r="A37" s="1" t="s">
        <v>108</v>
      </c>
      <c r="B37" s="1" t="s">
        <v>110</v>
      </c>
      <c r="C37" s="16">
        <v>4.3749999999999997E-2</v>
      </c>
      <c r="D37" s="5">
        <f t="shared" si="0"/>
        <v>1.7558337664053421E-7</v>
      </c>
      <c r="E37" s="4" t="s">
        <v>107</v>
      </c>
    </row>
    <row r="38" spans="1:5">
      <c r="A38" s="1" t="s">
        <v>109</v>
      </c>
      <c r="B38" s="1" t="s">
        <v>111</v>
      </c>
      <c r="C38" s="16">
        <v>4.3749999999999997E-2</v>
      </c>
      <c r="D38" s="5">
        <f t="shared" si="0"/>
        <v>1.7558337664053421E-7</v>
      </c>
      <c r="E38" s="4" t="s">
        <v>107</v>
      </c>
    </row>
    <row r="39" spans="1:5">
      <c r="A39" s="1" t="s">
        <v>100</v>
      </c>
      <c r="B39" s="1" t="s">
        <v>112</v>
      </c>
      <c r="C39" s="16">
        <v>4.3749999999999997E-2</v>
      </c>
      <c r="D39" s="5">
        <f t="shared" si="0"/>
        <v>1.7558337664053421E-7</v>
      </c>
      <c r="E39" s="4" t="s">
        <v>107</v>
      </c>
    </row>
    <row r="40" spans="1:5">
      <c r="A40" s="1" t="s">
        <v>101</v>
      </c>
      <c r="B40" s="1" t="s">
        <v>113</v>
      </c>
      <c r="C40" s="16">
        <v>4.3749999999999997E-2</v>
      </c>
      <c r="D40" s="5">
        <f t="shared" si="0"/>
        <v>1.7558337664053421E-7</v>
      </c>
      <c r="E40" s="4" t="s">
        <v>107</v>
      </c>
    </row>
    <row r="41" spans="1:5">
      <c r="A41" s="1" t="s">
        <v>102</v>
      </c>
      <c r="B41" s="1" t="s">
        <v>114</v>
      </c>
      <c r="C41" s="16">
        <v>4.3749999999999997E-2</v>
      </c>
      <c r="D41" s="5">
        <f t="shared" si="0"/>
        <v>1.7558337664053421E-7</v>
      </c>
      <c r="E41" s="4" t="s">
        <v>107</v>
      </c>
    </row>
    <row r="42" spans="1:5">
      <c r="A42" s="1" t="s">
        <v>103</v>
      </c>
      <c r="B42" s="1" t="s">
        <v>115</v>
      </c>
      <c r="C42" s="16">
        <v>4.3749999999999997E-2</v>
      </c>
      <c r="D42" s="5">
        <f t="shared" si="0"/>
        <v>1.7558337664053421E-7</v>
      </c>
      <c r="E42" s="4" t="s">
        <v>107</v>
      </c>
    </row>
    <row r="43" spans="1:5">
      <c r="A43" s="1" t="s">
        <v>104</v>
      </c>
      <c r="B43" s="1" t="s">
        <v>116</v>
      </c>
      <c r="C43" s="16">
        <v>4.3749999999999997E-2</v>
      </c>
      <c r="D43" s="5">
        <f t="shared" si="0"/>
        <v>1.7558337664053421E-7</v>
      </c>
      <c r="E43" s="4" t="s">
        <v>107</v>
      </c>
    </row>
    <row r="44" spans="1:5">
      <c r="A44" s="1" t="s">
        <v>105</v>
      </c>
      <c r="B44" s="1" t="s">
        <v>117</v>
      </c>
      <c r="C44" s="16">
        <v>4.3749999999999997E-2</v>
      </c>
      <c r="D44" s="5">
        <f t="shared" si="0"/>
        <v>1.7558337664053421E-7</v>
      </c>
      <c r="E44" s="4" t="s">
        <v>107</v>
      </c>
    </row>
    <row r="45" spans="1:5">
      <c r="A45" s="1" t="s">
        <v>106</v>
      </c>
      <c r="B45" s="1" t="s">
        <v>118</v>
      </c>
      <c r="C45" s="16">
        <v>0</v>
      </c>
      <c r="D45" s="5">
        <f t="shared" si="0"/>
        <v>0</v>
      </c>
      <c r="E45" s="4" t="s">
        <v>107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 t="s">
        <v>9</v>
      </c>
      <c r="B1" s="1" t="s">
        <v>0</v>
      </c>
      <c r="C1" s="4" t="s">
        <v>7</v>
      </c>
    </row>
    <row r="2" spans="1:3">
      <c r="A2" s="1" t="s">
        <v>8</v>
      </c>
      <c r="B2" s="1" t="s">
        <v>313</v>
      </c>
      <c r="C2" s="114" t="s">
        <v>314</v>
      </c>
    </row>
    <row r="3" spans="1:3">
      <c r="A3" s="1" t="s">
        <v>2</v>
      </c>
      <c r="B3" s="1">
        <v>2017</v>
      </c>
      <c r="C3" s="114"/>
    </row>
    <row r="4" spans="1:3">
      <c r="A4" s="1" t="s">
        <v>3</v>
      </c>
      <c r="B4" s="1">
        <v>0.29299999999999998</v>
      </c>
      <c r="C4" s="4" t="s">
        <v>10</v>
      </c>
    </row>
    <row r="5" spans="1:3">
      <c r="A5" s="1" t="s">
        <v>1</v>
      </c>
      <c r="B5" s="1">
        <f>EXP(-B4*(B3-1993))</f>
        <v>8.8316368571886501E-4</v>
      </c>
      <c r="C5" s="4" t="s">
        <v>11</v>
      </c>
    </row>
    <row r="6" spans="1:3">
      <c r="A6" s="1" t="s">
        <v>4</v>
      </c>
      <c r="B6" s="1">
        <v>1.2999999999999999E-5</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51</v>
      </c>
    </row>
    <row r="12" spans="1:3">
      <c r="A12" s="1" t="s">
        <v>15</v>
      </c>
      <c r="B12" s="1">
        <v>25</v>
      </c>
      <c r="C12" s="4" t="s">
        <v>16</v>
      </c>
    </row>
    <row r="13" spans="1:3">
      <c r="A13" s="1" t="s">
        <v>17</v>
      </c>
      <c r="B13" s="1">
        <f>EXP((-B10/0.00008617)*((1/(B11+B12+273))-(1/298)))</f>
        <v>401.19746318450228</v>
      </c>
      <c r="C13" s="4" t="s">
        <v>11</v>
      </c>
    </row>
    <row r="14" spans="1:3">
      <c r="A14" s="1" t="s">
        <v>18</v>
      </c>
      <c r="B14" s="1">
        <v>1.9970000000000001E-3</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c r="A19" s="1" t="s">
        <v>24</v>
      </c>
      <c r="B19" s="1">
        <v>14</v>
      </c>
      <c r="C19" s="4" t="s">
        <v>53</v>
      </c>
    </row>
    <row r="20" spans="1:3">
      <c r="A20" s="1" t="s">
        <v>22</v>
      </c>
      <c r="B20" s="3">
        <f>EXP((-B18/0.00008617)*((1/(B19+273))-(1/298)))*POWER((B17/0.5), 3)</f>
        <v>3.7269311834508061</v>
      </c>
      <c r="C20" s="4" t="s">
        <v>11</v>
      </c>
    </row>
    <row r="21" spans="1:3">
      <c r="A21" s="1" t="s">
        <v>25</v>
      </c>
      <c r="B21" s="1">
        <v>8.8999999999999995E-5</v>
      </c>
      <c r="C21" s="4" t="s">
        <v>10</v>
      </c>
    </row>
    <row r="22" spans="1:3">
      <c r="A22" s="1" t="s">
        <v>26</v>
      </c>
      <c r="B22" s="1">
        <v>365</v>
      </c>
      <c r="C22" s="4" t="s">
        <v>54</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91.679431963653457</v>
      </c>
      <c r="C26" s="4" t="s">
        <v>11</v>
      </c>
    </row>
    <row r="27" spans="1:3">
      <c r="A27" s="1" t="s">
        <v>31</v>
      </c>
      <c r="B27" s="3">
        <v>4.8500000000000001E-3</v>
      </c>
      <c r="C27" s="4" t="s">
        <v>10</v>
      </c>
    </row>
    <row r="28" spans="1:3">
      <c r="A28" s="1" t="s">
        <v>32</v>
      </c>
      <c r="B28" s="3">
        <f>POWER((B11+B12-B19)/44,2.26)</f>
        <v>4.0833467178658065</v>
      </c>
      <c r="C28" s="4" t="s">
        <v>11</v>
      </c>
    </row>
    <row r="29" spans="1:3">
      <c r="A29" s="1" t="s">
        <v>33</v>
      </c>
      <c r="B29" s="3">
        <v>1.562E-3</v>
      </c>
      <c r="C29" s="4" t="s">
        <v>10</v>
      </c>
    </row>
    <row r="30" spans="1:3">
      <c r="A30" s="1" t="s">
        <v>34</v>
      </c>
      <c r="B30" s="3">
        <f>(B5*((B6*B9*B13)+(B14*B16*B20)+(B21*B24*B26)))+B27*B28+B29</f>
        <v>2.1388134027995366E-2</v>
      </c>
      <c r="C30" s="4" t="s">
        <v>11</v>
      </c>
    </row>
    <row r="31" spans="1:3">
      <c r="A31" s="1" t="s">
        <v>35</v>
      </c>
      <c r="B31" s="3">
        <f>B30/1000000</f>
        <v>2.1388134027995368E-8</v>
      </c>
      <c r="C31" s="4" t="s">
        <v>36</v>
      </c>
    </row>
    <row r="33" spans="1:5">
      <c r="A33" s="1" t="s">
        <v>61</v>
      </c>
      <c r="B33" s="1" t="s">
        <v>58</v>
      </c>
      <c r="C33" s="1" t="s">
        <v>38</v>
      </c>
      <c r="D33" s="5" t="s">
        <v>59</v>
      </c>
      <c r="E33" s="5" t="s">
        <v>63</v>
      </c>
    </row>
    <row r="34" spans="1:5">
      <c r="A34" s="1" t="s">
        <v>318</v>
      </c>
      <c r="B34" s="1" t="s">
        <v>315</v>
      </c>
      <c r="C34" s="16">
        <v>0.23</v>
      </c>
      <c r="D34" s="5">
        <f>C34*$B$31</f>
        <v>4.9192708264389344E-9</v>
      </c>
      <c r="E34" s="4" t="s">
        <v>323</v>
      </c>
    </row>
    <row r="35" spans="1:5">
      <c r="A35" s="1" t="s">
        <v>319</v>
      </c>
      <c r="B35" s="1" t="s">
        <v>316</v>
      </c>
      <c r="C35" s="16">
        <f>0.77/3</f>
        <v>0.25666666666666665</v>
      </c>
      <c r="D35" s="5">
        <f>C35*$B$31</f>
        <v>5.4896210671854778E-9</v>
      </c>
      <c r="E35" s="4" t="s">
        <v>324</v>
      </c>
    </row>
    <row r="36" spans="1:5">
      <c r="A36" s="1" t="s">
        <v>320</v>
      </c>
      <c r="B36" s="1" t="s">
        <v>317</v>
      </c>
      <c r="C36" s="16">
        <f>0.77/3</f>
        <v>0.25666666666666665</v>
      </c>
      <c r="D36" s="5">
        <f>C36*$B$31</f>
        <v>5.4896210671854778E-9</v>
      </c>
      <c r="E36" s="4" t="s">
        <v>324</v>
      </c>
    </row>
    <row r="37" spans="1:5">
      <c r="A37" s="1" t="s">
        <v>322</v>
      </c>
      <c r="B37" s="1" t="s">
        <v>321</v>
      </c>
      <c r="C37" s="16">
        <f>0.77/3</f>
        <v>0.25666666666666665</v>
      </c>
      <c r="D37" s="5">
        <f>C37*$B$31</f>
        <v>5.4896210671854778E-9</v>
      </c>
      <c r="E37" s="4" t="s">
        <v>324</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30" t="s">
        <v>9</v>
      </c>
      <c r="B1" s="30" t="s">
        <v>0</v>
      </c>
      <c r="C1" s="4" t="s">
        <v>7</v>
      </c>
    </row>
    <row r="2" spans="1:3">
      <c r="A2" s="30" t="s">
        <v>8</v>
      </c>
      <c r="B2" s="30" t="s">
        <v>414</v>
      </c>
      <c r="C2" s="114" t="s">
        <v>413</v>
      </c>
    </row>
    <row r="3" spans="1:3">
      <c r="A3" s="30" t="s">
        <v>2</v>
      </c>
      <c r="B3" s="30">
        <v>2019</v>
      </c>
      <c r="C3" s="114"/>
    </row>
    <row r="4" spans="1:3">
      <c r="A4" s="29" t="s">
        <v>3</v>
      </c>
      <c r="B4" s="29">
        <v>0.22900000000000001</v>
      </c>
      <c r="C4" s="4" t="s">
        <v>427</v>
      </c>
    </row>
    <row r="5" spans="1:3">
      <c r="A5" s="29" t="s">
        <v>1</v>
      </c>
      <c r="B5" s="29">
        <f>EXP(-B4*(B3-1993))</f>
        <v>2.5954379752911516E-3</v>
      </c>
      <c r="C5" s="4" t="s">
        <v>428</v>
      </c>
    </row>
    <row r="6" spans="1:3">
      <c r="A6" s="29" t="s">
        <v>429</v>
      </c>
      <c r="B6" s="29">
        <v>47000</v>
      </c>
      <c r="C6" s="4" t="s">
        <v>432</v>
      </c>
    </row>
    <row r="7" spans="1:3">
      <c r="A7" s="29" t="s">
        <v>397</v>
      </c>
      <c r="B7" s="29">
        <v>7.6</v>
      </c>
      <c r="C7" s="4" t="s">
        <v>427</v>
      </c>
    </row>
    <row r="8" spans="1:3">
      <c r="A8" s="29" t="s">
        <v>430</v>
      </c>
      <c r="B8" s="29">
        <v>0.23</v>
      </c>
      <c r="C8" s="4" t="s">
        <v>427</v>
      </c>
    </row>
    <row r="9" spans="1:3">
      <c r="A9" s="29" t="s">
        <v>431</v>
      </c>
      <c r="B9" s="29">
        <f>POWER((B6/B7), B8)</f>
        <v>7.4472405341909775</v>
      </c>
      <c r="C9" s="4" t="s">
        <v>428</v>
      </c>
    </row>
    <row r="10" spans="1:3">
      <c r="A10" s="29" t="s">
        <v>4</v>
      </c>
      <c r="B10" s="29">
        <v>4.6500000000000003E-4</v>
      </c>
      <c r="C10" s="4" t="s">
        <v>427</v>
      </c>
    </row>
    <row r="11" spans="1:3">
      <c r="A11" s="29" t="s">
        <v>6</v>
      </c>
      <c r="B11" s="29">
        <f>24/24</f>
        <v>1</v>
      </c>
      <c r="C11" s="4" t="s">
        <v>50</v>
      </c>
    </row>
    <row r="12" spans="1:3">
      <c r="A12" s="29" t="s">
        <v>13</v>
      </c>
      <c r="B12" s="29">
        <v>0.17</v>
      </c>
      <c r="C12" s="4" t="s">
        <v>427</v>
      </c>
    </row>
    <row r="13" spans="1:3">
      <c r="A13" s="29" t="s">
        <v>5</v>
      </c>
      <c r="B13" s="29">
        <f>B11/B12</f>
        <v>5.8823529411764701</v>
      </c>
      <c r="C13" s="4" t="s">
        <v>428</v>
      </c>
    </row>
    <row r="14" spans="1:3">
      <c r="A14" s="29" t="s">
        <v>12</v>
      </c>
      <c r="B14" s="29">
        <v>0.5</v>
      </c>
      <c r="C14" s="4" t="s">
        <v>427</v>
      </c>
    </row>
    <row r="15" spans="1:3">
      <c r="A15" s="29" t="s">
        <v>14</v>
      </c>
      <c r="B15" s="29">
        <v>71</v>
      </c>
      <c r="C15" s="4" t="s">
        <v>51</v>
      </c>
    </row>
    <row r="16" spans="1:3">
      <c r="A16" s="29" t="s">
        <v>17</v>
      </c>
      <c r="B16" s="29">
        <f>EXP((-B14/0.00008617)*((1/(B15+273))-(1/298)))</f>
        <v>13.514139818573875</v>
      </c>
      <c r="C16" s="4" t="s">
        <v>428</v>
      </c>
    </row>
    <row r="17" spans="1:3">
      <c r="A17" s="29" t="s">
        <v>435</v>
      </c>
      <c r="B17" s="29">
        <f>3.3/16</f>
        <v>0.20624999999999999</v>
      </c>
      <c r="C17" s="4" t="s">
        <v>436</v>
      </c>
    </row>
    <row r="18" spans="1:3">
      <c r="A18" s="29" t="s">
        <v>433</v>
      </c>
      <c r="B18" s="29">
        <v>0.6</v>
      </c>
      <c r="C18" s="4" t="s">
        <v>427</v>
      </c>
    </row>
    <row r="19" spans="1:3">
      <c r="A19" s="29" t="s">
        <v>434</v>
      </c>
      <c r="B19" s="29">
        <v>5</v>
      </c>
      <c r="C19" s="4" t="s">
        <v>427</v>
      </c>
    </row>
    <row r="20" spans="1:3">
      <c r="A20" s="29" t="s">
        <v>96</v>
      </c>
      <c r="B20" s="29">
        <f>POWER((B17/B18), B19)</f>
        <v>4.7996938228607178E-3</v>
      </c>
      <c r="C20" s="4" t="s">
        <v>428</v>
      </c>
    </row>
    <row r="21" spans="1:3">
      <c r="A21" s="29" t="s">
        <v>18</v>
      </c>
      <c r="B21" s="29">
        <v>2.2000000000000001E-4</v>
      </c>
      <c r="C21" s="4" t="s">
        <v>427</v>
      </c>
    </row>
    <row r="22" spans="1:3">
      <c r="A22" s="29" t="s">
        <v>19</v>
      </c>
      <c r="B22" s="29">
        <v>0.83</v>
      </c>
      <c r="C22" s="4" t="s">
        <v>427</v>
      </c>
    </row>
    <row r="23" spans="1:3">
      <c r="A23" s="29" t="s">
        <v>20</v>
      </c>
      <c r="B23" s="29">
        <f>(1-B11)/B22</f>
        <v>0</v>
      </c>
      <c r="C23" s="4" t="s">
        <v>428</v>
      </c>
    </row>
    <row r="24" spans="1:3">
      <c r="A24" s="29" t="s">
        <v>23</v>
      </c>
      <c r="B24" s="29">
        <v>0.4</v>
      </c>
      <c r="C24" s="9" t="s">
        <v>427</v>
      </c>
    </row>
    <row r="25" spans="1:3">
      <c r="A25" s="29" t="s">
        <v>24</v>
      </c>
      <c r="B25" s="29">
        <v>14</v>
      </c>
      <c r="C25" s="9" t="s">
        <v>53</v>
      </c>
    </row>
    <row r="26" spans="1:3">
      <c r="A26" s="29" t="s">
        <v>99</v>
      </c>
      <c r="B26" s="8">
        <f>EXP((-B24/0.00008617)*((1/(B25+273))-(1/298)))</f>
        <v>0.55044231312358938</v>
      </c>
      <c r="C26" s="9" t="s">
        <v>428</v>
      </c>
    </row>
    <row r="27" spans="1:3">
      <c r="A27" s="29" t="s">
        <v>25</v>
      </c>
      <c r="B27" s="29">
        <v>2.14E-4</v>
      </c>
      <c r="C27" s="9" t="s">
        <v>427</v>
      </c>
    </row>
    <row r="28" spans="1:3">
      <c r="A28" s="29" t="s">
        <v>26</v>
      </c>
      <c r="B28" s="29">
        <v>365</v>
      </c>
      <c r="C28" s="9" t="s">
        <v>54</v>
      </c>
    </row>
    <row r="29" spans="1:3">
      <c r="A29" s="29" t="s">
        <v>28</v>
      </c>
      <c r="B29" s="8">
        <v>1140.3499999999999</v>
      </c>
      <c r="C29" s="9" t="s">
        <v>427</v>
      </c>
    </row>
    <row r="30" spans="1:3">
      <c r="A30" s="29" t="s">
        <v>27</v>
      </c>
      <c r="B30" s="8">
        <f>B28/B29</f>
        <v>0.32007716929013025</v>
      </c>
      <c r="C30" s="9" t="s">
        <v>428</v>
      </c>
    </row>
    <row r="31" spans="1:3">
      <c r="A31" s="29" t="s">
        <v>30</v>
      </c>
      <c r="B31" s="8">
        <v>21</v>
      </c>
      <c r="C31" s="9" t="s">
        <v>427</v>
      </c>
    </row>
    <row r="32" spans="1:3">
      <c r="A32" s="29" t="s">
        <v>29</v>
      </c>
      <c r="B32" s="8">
        <f>POWER((B15-B25)/B31,2)</f>
        <v>7.3673469387755111</v>
      </c>
      <c r="C32" s="9" t="s">
        <v>428</v>
      </c>
    </row>
    <row r="33" spans="1:5">
      <c r="A33" s="29" t="s">
        <v>31</v>
      </c>
      <c r="B33" s="8">
        <v>9.5E-4</v>
      </c>
      <c r="C33" s="9" t="s">
        <v>427</v>
      </c>
    </row>
    <row r="34" spans="1:5">
      <c r="A34" s="29" t="s">
        <v>32</v>
      </c>
      <c r="B34" s="8">
        <f>POWER((B15-B25)/44,2.26)</f>
        <v>1.795039976370624</v>
      </c>
      <c r="C34" s="9" t="s">
        <v>428</v>
      </c>
    </row>
    <row r="35" spans="1:5">
      <c r="A35" s="29" t="s">
        <v>33</v>
      </c>
      <c r="B35" s="8">
        <v>7.6800000000000002E-4</v>
      </c>
      <c r="C35" s="9" t="s">
        <v>427</v>
      </c>
    </row>
    <row r="36" spans="1:5">
      <c r="A36" s="29" t="s">
        <v>34</v>
      </c>
      <c r="B36" s="8">
        <f>(B5*B9*((B10*B13*B16*B20)+(B21*B23*B26)+(B27*B30*B32)))+B33*B34+B35</f>
        <v>2.4864713937390445E-3</v>
      </c>
      <c r="C36" s="4" t="s">
        <v>428</v>
      </c>
    </row>
    <row r="37" spans="1:5">
      <c r="A37" s="30" t="s">
        <v>35</v>
      </c>
      <c r="B37" s="3">
        <f>B36/1000000</f>
        <v>2.4864713937390443E-9</v>
      </c>
      <c r="C37" s="4" t="s">
        <v>36</v>
      </c>
    </row>
    <row r="39" spans="1:5">
      <c r="A39" s="30" t="s">
        <v>61</v>
      </c>
      <c r="B39" s="30" t="s">
        <v>58</v>
      </c>
      <c r="C39" s="30" t="s">
        <v>38</v>
      </c>
      <c r="D39" s="5" t="s">
        <v>59</v>
      </c>
      <c r="E39" s="5" t="s">
        <v>63</v>
      </c>
    </row>
    <row r="40" spans="1:5">
      <c r="A40" s="30" t="s">
        <v>85</v>
      </c>
      <c r="B40" s="30" t="s">
        <v>89</v>
      </c>
      <c r="C40" s="16">
        <v>0.35</v>
      </c>
      <c r="D40" s="5">
        <f t="shared" ref="D40:D47" si="0">C40*$B$37</f>
        <v>8.7026498780866543E-10</v>
      </c>
      <c r="E40" s="4" t="s">
        <v>107</v>
      </c>
    </row>
    <row r="41" spans="1:5">
      <c r="A41" s="30" t="s">
        <v>87</v>
      </c>
      <c r="B41" s="30" t="s">
        <v>129</v>
      </c>
      <c r="C41" s="16">
        <v>0.53</v>
      </c>
      <c r="D41" s="5">
        <f t="shared" si="0"/>
        <v>1.3178298386816936E-9</v>
      </c>
      <c r="E41" s="4" t="s">
        <v>107</v>
      </c>
    </row>
    <row r="42" spans="1:5">
      <c r="A42" s="30" t="s">
        <v>415</v>
      </c>
      <c r="B42" s="30" t="s">
        <v>420</v>
      </c>
      <c r="C42" s="16">
        <v>0</v>
      </c>
      <c r="D42" s="5">
        <f t="shared" si="0"/>
        <v>0</v>
      </c>
      <c r="E42" s="4" t="s">
        <v>107</v>
      </c>
    </row>
    <row r="43" spans="1:5" ht="45">
      <c r="A43" s="30" t="s">
        <v>416</v>
      </c>
      <c r="B43" s="30" t="s">
        <v>421</v>
      </c>
      <c r="C43" s="16">
        <f>0.1/3</f>
        <v>3.3333333333333333E-2</v>
      </c>
      <c r="D43" s="5">
        <f t="shared" si="0"/>
        <v>8.2882379791301472E-11</v>
      </c>
      <c r="E43" s="4" t="s">
        <v>426</v>
      </c>
    </row>
    <row r="44" spans="1:5">
      <c r="A44" s="30" t="s">
        <v>417</v>
      </c>
      <c r="B44" s="30" t="s">
        <v>422</v>
      </c>
      <c r="C44" s="16">
        <v>0</v>
      </c>
      <c r="D44" s="5">
        <f t="shared" si="0"/>
        <v>0</v>
      </c>
      <c r="E44" s="4" t="s">
        <v>107</v>
      </c>
    </row>
    <row r="45" spans="1:5" ht="45">
      <c r="A45" s="30" t="s">
        <v>418</v>
      </c>
      <c r="B45" s="30" t="s">
        <v>423</v>
      </c>
      <c r="C45" s="16">
        <f>0.02+(0.1/3)</f>
        <v>5.333333333333333E-2</v>
      </c>
      <c r="D45" s="5">
        <f t="shared" si="0"/>
        <v>1.3261180766608236E-10</v>
      </c>
      <c r="E45" s="4" t="s">
        <v>426</v>
      </c>
    </row>
    <row r="46" spans="1:5" ht="45">
      <c r="A46" s="30" t="s">
        <v>419</v>
      </c>
      <c r="B46" s="30" t="s">
        <v>424</v>
      </c>
      <c r="C46" s="16">
        <f>0.1/3</f>
        <v>3.3333333333333333E-2</v>
      </c>
      <c r="D46" s="5">
        <f t="shared" si="0"/>
        <v>8.2882379791301472E-11</v>
      </c>
      <c r="E46" s="4" t="s">
        <v>426</v>
      </c>
    </row>
    <row r="47" spans="1:5">
      <c r="A47" s="30" t="s">
        <v>88</v>
      </c>
      <c r="B47" s="30" t="s">
        <v>425</v>
      </c>
      <c r="C47" s="16">
        <v>0</v>
      </c>
      <c r="D47" s="5">
        <f t="shared" si="0"/>
        <v>0</v>
      </c>
      <c r="E47" s="4" t="s">
        <v>107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zoomScale="80" zoomScaleNormal="80" workbookViewId="0">
      <pane ySplit="2" topLeftCell="A3" activePane="bottomLeft" state="frozen"/>
      <selection pane="bottomLeft" activeCell="Y1" sqref="Y1:Y1048576"/>
    </sheetView>
  </sheetViews>
  <sheetFormatPr defaultColWidth="9.140625" defaultRowHeight="12.75"/>
  <cols>
    <col min="1" max="1" width="14.42578125" style="21" bestFit="1" customWidth="1"/>
    <col min="2" max="2" width="41.140625" style="21" customWidth="1"/>
    <col min="3" max="4" width="31" style="21" customWidth="1"/>
    <col min="5" max="5" width="24.85546875" style="21" customWidth="1"/>
    <col min="6" max="6" width="48.7109375" style="21" customWidth="1"/>
    <col min="7" max="7" width="52.28515625" style="21" customWidth="1"/>
    <col min="8" max="8" width="19.5703125" style="20" bestFit="1" customWidth="1"/>
    <col min="9" max="9" width="20" style="20" bestFit="1" customWidth="1"/>
    <col min="10" max="10" width="26.5703125" style="20" customWidth="1"/>
    <col min="11" max="11" width="28.140625" style="20" customWidth="1"/>
    <col min="12" max="12" width="28.7109375" style="20" customWidth="1"/>
    <col min="13" max="24" width="33.85546875" style="21" customWidth="1"/>
    <col min="25" max="25" width="41.28515625" style="20" customWidth="1"/>
    <col min="26" max="26" width="35.7109375" style="21" customWidth="1"/>
    <col min="27" max="27" width="33.85546875" style="21" customWidth="1"/>
    <col min="28" max="29" width="41.28515625" style="20" customWidth="1"/>
    <col min="30" max="16384" width="9.140625" style="19"/>
  </cols>
  <sheetData>
    <row r="1" spans="1:29">
      <c r="A1" s="116" t="s">
        <v>361</v>
      </c>
      <c r="B1" s="116" t="s">
        <v>357</v>
      </c>
      <c r="C1" s="116" t="s">
        <v>362</v>
      </c>
      <c r="D1" s="116" t="s">
        <v>371</v>
      </c>
      <c r="E1" s="116" t="s">
        <v>363</v>
      </c>
      <c r="F1" s="116" t="s">
        <v>358</v>
      </c>
      <c r="G1" s="116" t="s">
        <v>359</v>
      </c>
      <c r="H1" s="116" t="s">
        <v>364</v>
      </c>
      <c r="I1" s="116" t="s">
        <v>360</v>
      </c>
      <c r="J1" s="116" t="s">
        <v>502</v>
      </c>
      <c r="K1" s="116" t="s">
        <v>668</v>
      </c>
      <c r="L1" s="116" t="s">
        <v>669</v>
      </c>
      <c r="M1" s="115" t="s">
        <v>718</v>
      </c>
      <c r="N1" s="115"/>
      <c r="O1" s="115"/>
      <c r="P1" s="115"/>
      <c r="Q1" s="115"/>
      <c r="R1" s="115"/>
      <c r="S1" s="115" t="s">
        <v>719</v>
      </c>
      <c r="T1" s="115"/>
      <c r="U1" s="115"/>
      <c r="V1" s="115"/>
      <c r="W1" s="115"/>
      <c r="X1" s="115"/>
      <c r="Y1" s="116" t="s">
        <v>449</v>
      </c>
      <c r="Z1" s="115" t="s">
        <v>448</v>
      </c>
      <c r="AA1" s="115"/>
      <c r="AB1" s="116" t="s">
        <v>450</v>
      </c>
      <c r="AC1" s="116" t="s">
        <v>679</v>
      </c>
    </row>
    <row r="2" spans="1:29">
      <c r="A2" s="117"/>
      <c r="B2" s="117"/>
      <c r="C2" s="117"/>
      <c r="D2" s="117"/>
      <c r="E2" s="117"/>
      <c r="F2" s="117"/>
      <c r="G2" s="117"/>
      <c r="H2" s="117"/>
      <c r="I2" s="117"/>
      <c r="J2" s="117"/>
      <c r="K2" s="117"/>
      <c r="L2" s="117"/>
      <c r="M2" s="33" t="s">
        <v>365</v>
      </c>
      <c r="N2" s="33" t="s">
        <v>366</v>
      </c>
      <c r="O2" s="33" t="s">
        <v>367</v>
      </c>
      <c r="P2" s="33" t="s">
        <v>368</v>
      </c>
      <c r="Q2" s="33" t="s">
        <v>369</v>
      </c>
      <c r="R2" s="33" t="s">
        <v>370</v>
      </c>
      <c r="S2" s="33" t="s">
        <v>365</v>
      </c>
      <c r="T2" s="33" t="s">
        <v>366</v>
      </c>
      <c r="U2" s="33" t="s">
        <v>367</v>
      </c>
      <c r="V2" s="33" t="s">
        <v>368</v>
      </c>
      <c r="W2" s="33" t="s">
        <v>369</v>
      </c>
      <c r="X2" s="33" t="s">
        <v>370</v>
      </c>
      <c r="Y2" s="117"/>
      <c r="Z2" s="33" t="s">
        <v>446</v>
      </c>
      <c r="AA2" s="33" t="s">
        <v>447</v>
      </c>
      <c r="AB2" s="117"/>
      <c r="AC2" s="117"/>
    </row>
    <row r="3" spans="1:29" ht="38.25">
      <c r="A3" s="20" t="s">
        <v>46</v>
      </c>
      <c r="B3" s="21" t="s">
        <v>389</v>
      </c>
      <c r="C3" s="22" t="s">
        <v>46</v>
      </c>
      <c r="D3" s="23" t="s">
        <v>46</v>
      </c>
      <c r="E3" s="20" t="s">
        <v>46</v>
      </c>
      <c r="F3" s="21" t="s">
        <v>390</v>
      </c>
      <c r="G3" s="21" t="s">
        <v>390</v>
      </c>
      <c r="H3" s="20" t="s">
        <v>43</v>
      </c>
      <c r="I3" s="20" t="s">
        <v>393</v>
      </c>
      <c r="J3" s="20" t="s">
        <v>656</v>
      </c>
      <c r="K3" s="20" t="s">
        <v>677</v>
      </c>
      <c r="L3" s="20" t="s">
        <v>677</v>
      </c>
      <c r="M3" s="20">
        <v>3.2724899999999999</v>
      </c>
      <c r="N3" s="20">
        <v>3.2719999999999998</v>
      </c>
      <c r="O3" s="20">
        <v>3.2749999999999999</v>
      </c>
      <c r="P3" s="20">
        <v>4.3130000000000002E-2</v>
      </c>
      <c r="Q3" s="20">
        <v>4.095E-2</v>
      </c>
      <c r="R3" s="20">
        <v>4.53E-2</v>
      </c>
      <c r="S3" s="20">
        <f t="shared" ref="S3:S14" si="0">ROUND(((M3-MIN($M$3:$R$212))/(MAX($M$3:$R$212)-MIN($M$3:$R$212)))*((2^12)-1), 0)</f>
        <v>4092</v>
      </c>
      <c r="T3" s="20">
        <f t="shared" ref="T3:T14" si="1">ROUND(((N3-MIN($M$3:$R$212))/(MAX($M$3:$R$212)-MIN($M$3:$R$212)))*((2^12)-1), 0)</f>
        <v>4091</v>
      </c>
      <c r="U3" s="20">
        <f t="shared" ref="U3:U14" si="2">ROUND(((O3-MIN($M$3:$R$212))/(MAX($M$3:$R$212)-MIN($M$3:$R$212)))*((2^12)-1), 0)</f>
        <v>4095</v>
      </c>
      <c r="V3" s="20">
        <f t="shared" ref="V3:V14" si="3">ROUND(((P3-MIN($M$3:$R$212))/(MAX($M$3:$R$212)-MIN($M$3:$R$212)))*((2^12)-1), 0)</f>
        <v>54</v>
      </c>
      <c r="W3" s="20">
        <f t="shared" ref="W3:W14" si="4">ROUND(((Q3-MIN($M$3:$R$212))/(MAX($M$3:$R$212)-MIN($M$3:$R$212)))*((2^12)-1), 0)</f>
        <v>51</v>
      </c>
      <c r="X3" s="20">
        <f t="shared" ref="X3:X14" si="5">ROUND(((R3-MIN($M$3:$R$212))/(MAX($M$3:$R$212)-MIN($M$3:$R$212)))*((2^12)-1), 0)</f>
        <v>57</v>
      </c>
      <c r="Y3" s="20" t="s">
        <v>401</v>
      </c>
      <c r="Z3" s="25">
        <v>0</v>
      </c>
      <c r="AA3" s="25">
        <v>1</v>
      </c>
      <c r="AB3" s="25" t="s">
        <v>401</v>
      </c>
      <c r="AC3" s="20" t="s">
        <v>683</v>
      </c>
    </row>
    <row r="4" spans="1:29" ht="140.25">
      <c r="A4" s="20" t="s">
        <v>339</v>
      </c>
      <c r="B4" s="21" t="str">
        <f>'Lambda-UC_Diag'!A34</f>
        <v>Supply open</v>
      </c>
      <c r="C4" s="22">
        <f>'Lambda-UC_Diag'!B$31</f>
        <v>1.7731485820300208E-8</v>
      </c>
      <c r="D4" s="23">
        <f>'Lambda-UC_Diag'!C34</f>
        <v>0.12</v>
      </c>
      <c r="E4" s="20">
        <f>'Lambda-UC_Diag'!D34</f>
        <v>2.1277782984360249E-9</v>
      </c>
      <c r="F4" s="24" t="s">
        <v>391</v>
      </c>
      <c r="G4" s="21" t="s">
        <v>403</v>
      </c>
      <c r="H4" s="20" t="s">
        <v>43</v>
      </c>
      <c r="I4" s="20" t="s">
        <v>392</v>
      </c>
      <c r="J4" s="20" t="s">
        <v>573</v>
      </c>
      <c r="K4" s="20" t="s">
        <v>676</v>
      </c>
      <c r="L4" s="20" t="s">
        <v>676</v>
      </c>
      <c r="M4" s="20">
        <v>0</v>
      </c>
      <c r="N4" s="20">
        <v>0</v>
      </c>
      <c r="O4" s="20">
        <v>0</v>
      </c>
      <c r="P4" s="20">
        <v>0</v>
      </c>
      <c r="Q4" s="20">
        <v>0</v>
      </c>
      <c r="R4" s="20">
        <v>0</v>
      </c>
      <c r="S4" s="20">
        <f t="shared" si="0"/>
        <v>0</v>
      </c>
      <c r="T4" s="20">
        <f t="shared" si="1"/>
        <v>0</v>
      </c>
      <c r="U4" s="20">
        <f t="shared" si="2"/>
        <v>0</v>
      </c>
      <c r="V4" s="20">
        <f t="shared" si="3"/>
        <v>0</v>
      </c>
      <c r="W4" s="20">
        <f t="shared" si="4"/>
        <v>0</v>
      </c>
      <c r="X4" s="20">
        <f t="shared" si="5"/>
        <v>0</v>
      </c>
      <c r="Y4" s="25" t="s">
        <v>405</v>
      </c>
      <c r="Z4" s="25">
        <v>0</v>
      </c>
      <c r="AA4" s="25">
        <v>0</v>
      </c>
      <c r="AB4" s="25" t="s">
        <v>397</v>
      </c>
      <c r="AC4" s="20" t="s">
        <v>683</v>
      </c>
    </row>
    <row r="5" spans="1:29" ht="38.25">
      <c r="A5" s="20" t="s">
        <v>339</v>
      </c>
      <c r="B5" s="21" t="str">
        <f>'Lambda-UC_Diag'!A35</f>
        <v>Output 'Dig_Out1' open</v>
      </c>
      <c r="C5" s="22">
        <f>'Lambda-UC_Diag'!B$31</f>
        <v>1.7731485820300208E-8</v>
      </c>
      <c r="D5" s="23">
        <f>'Lambda-UC_Diag'!C35</f>
        <v>0.12</v>
      </c>
      <c r="E5" s="20">
        <f>'Lambda-UC_Diag'!D35</f>
        <v>2.1277782984360249E-9</v>
      </c>
      <c r="F5" s="21" t="s">
        <v>394</v>
      </c>
      <c r="G5" s="21" t="s">
        <v>395</v>
      </c>
      <c r="H5" s="20" t="s">
        <v>43</v>
      </c>
      <c r="I5" s="20" t="s">
        <v>392</v>
      </c>
      <c r="J5" s="20" t="s">
        <v>573</v>
      </c>
      <c r="K5" s="20" t="s">
        <v>676</v>
      </c>
      <c r="L5" s="20" t="s">
        <v>675</v>
      </c>
      <c r="M5" s="20">
        <v>3.1999999999999999E-6</v>
      </c>
      <c r="N5" s="20">
        <v>3.1999999999999999E-6</v>
      </c>
      <c r="O5" s="20">
        <v>3.1999999999999999E-6</v>
      </c>
      <c r="P5" s="20">
        <v>3.1999999999999999E-6</v>
      </c>
      <c r="Q5" s="20">
        <v>3.1999999999999999E-6</v>
      </c>
      <c r="R5" s="20">
        <v>3.1999999999999999E-6</v>
      </c>
      <c r="S5" s="20">
        <f t="shared" si="0"/>
        <v>0</v>
      </c>
      <c r="T5" s="20">
        <f t="shared" si="1"/>
        <v>0</v>
      </c>
      <c r="U5" s="20">
        <f t="shared" si="2"/>
        <v>0</v>
      </c>
      <c r="V5" s="20">
        <f t="shared" si="3"/>
        <v>0</v>
      </c>
      <c r="W5" s="20">
        <f t="shared" si="4"/>
        <v>0</v>
      </c>
      <c r="X5" s="20">
        <f t="shared" si="5"/>
        <v>0</v>
      </c>
      <c r="Y5" s="20" t="s">
        <v>398</v>
      </c>
      <c r="Z5" s="25">
        <v>0</v>
      </c>
      <c r="AA5" s="25">
        <v>1</v>
      </c>
      <c r="AB5" s="25" t="s">
        <v>401</v>
      </c>
      <c r="AC5" s="20" t="s">
        <v>683</v>
      </c>
    </row>
    <row r="6" spans="1:29" ht="38.25">
      <c r="A6" s="20" t="s">
        <v>339</v>
      </c>
      <c r="B6" s="21" t="str">
        <f>'Lambda-UC_Diag'!A36</f>
        <v>Output 'Dig_Out2' open</v>
      </c>
      <c r="C6" s="22">
        <f>'Lambda-UC_Diag'!B$31</f>
        <v>1.7731485820300208E-8</v>
      </c>
      <c r="D6" s="23">
        <f>'Lambda-UC_Diag'!C36</f>
        <v>0.12</v>
      </c>
      <c r="E6" s="20">
        <f>'Lambda-UC_Diag'!D36</f>
        <v>2.1277782984360249E-9</v>
      </c>
      <c r="F6" s="21" t="s">
        <v>396</v>
      </c>
      <c r="G6" s="21" t="s">
        <v>404</v>
      </c>
      <c r="H6" s="20" t="s">
        <v>43</v>
      </c>
      <c r="I6" s="20" t="s">
        <v>392</v>
      </c>
      <c r="J6" s="20" t="s">
        <v>573</v>
      </c>
      <c r="K6" s="20" t="s">
        <v>676</v>
      </c>
      <c r="L6" s="20" t="s">
        <v>676</v>
      </c>
      <c r="M6" s="20">
        <v>0</v>
      </c>
      <c r="N6" s="20">
        <v>0</v>
      </c>
      <c r="O6" s="20">
        <v>0</v>
      </c>
      <c r="P6" s="20">
        <v>0</v>
      </c>
      <c r="Q6" s="20">
        <v>0</v>
      </c>
      <c r="R6" s="20">
        <v>0</v>
      </c>
      <c r="S6" s="20">
        <f t="shared" si="0"/>
        <v>0</v>
      </c>
      <c r="T6" s="20">
        <f t="shared" si="1"/>
        <v>0</v>
      </c>
      <c r="U6" s="20">
        <f t="shared" si="2"/>
        <v>0</v>
      </c>
      <c r="V6" s="20">
        <f t="shared" si="3"/>
        <v>0</v>
      </c>
      <c r="W6" s="20">
        <f t="shared" si="4"/>
        <v>0</v>
      </c>
      <c r="X6" s="20">
        <f t="shared" si="5"/>
        <v>0</v>
      </c>
      <c r="Y6" s="20" t="s">
        <v>397</v>
      </c>
      <c r="Z6" s="25">
        <v>0</v>
      </c>
      <c r="AA6" s="25">
        <v>0</v>
      </c>
      <c r="AB6" s="25" t="s">
        <v>397</v>
      </c>
      <c r="AC6" s="20" t="s">
        <v>683</v>
      </c>
    </row>
    <row r="7" spans="1:29" ht="89.25">
      <c r="A7" s="20" t="s">
        <v>339</v>
      </c>
      <c r="B7" s="21" t="str">
        <f>'Lambda-UC_Diag'!A37</f>
        <v>Bidirectional Pin 'SPI' open</v>
      </c>
      <c r="C7" s="22">
        <f>'Lambda-UC_Diag'!B$31</f>
        <v>1.7731485820300208E-8</v>
      </c>
      <c r="D7" s="23">
        <f>'Lambda-UC_Diag'!C37</f>
        <v>0.24</v>
      </c>
      <c r="E7" s="20">
        <f>'Lambda-UC_Diag'!D37</f>
        <v>4.2555565968720499E-9</v>
      </c>
      <c r="F7" s="21" t="s">
        <v>400</v>
      </c>
      <c r="G7" s="21" t="s">
        <v>408</v>
      </c>
      <c r="H7" s="20" t="s">
        <v>43</v>
      </c>
      <c r="I7" s="20" t="s">
        <v>45</v>
      </c>
      <c r="J7" s="20" t="s">
        <v>571</v>
      </c>
      <c r="K7" s="20" t="s">
        <v>675</v>
      </c>
      <c r="L7" s="20" t="s">
        <v>675</v>
      </c>
      <c r="M7" s="20">
        <v>3.2724899999999999</v>
      </c>
      <c r="N7" s="20">
        <v>3.2719999999999998</v>
      </c>
      <c r="O7" s="20">
        <v>3.2749999999999999</v>
      </c>
      <c r="P7" s="20">
        <v>4.3130000000000002E-2</v>
      </c>
      <c r="Q7" s="20">
        <v>4.095E-2</v>
      </c>
      <c r="R7" s="20">
        <v>4.53E-2</v>
      </c>
      <c r="S7" s="20">
        <f t="shared" si="0"/>
        <v>4092</v>
      </c>
      <c r="T7" s="20">
        <f t="shared" si="1"/>
        <v>4091</v>
      </c>
      <c r="U7" s="20">
        <f t="shared" si="2"/>
        <v>4095</v>
      </c>
      <c r="V7" s="20">
        <f t="shared" si="3"/>
        <v>54</v>
      </c>
      <c r="W7" s="20">
        <f t="shared" si="4"/>
        <v>51</v>
      </c>
      <c r="X7" s="20">
        <f t="shared" si="5"/>
        <v>57</v>
      </c>
      <c r="Y7" s="20" t="s">
        <v>401</v>
      </c>
      <c r="Z7" s="25">
        <v>0</v>
      </c>
      <c r="AA7" s="25">
        <v>1</v>
      </c>
      <c r="AB7" s="25" t="s">
        <v>401</v>
      </c>
      <c r="AC7" s="20" t="s">
        <v>688</v>
      </c>
    </row>
    <row r="8" spans="1:29" ht="38.25">
      <c r="A8" s="20" t="s">
        <v>339</v>
      </c>
      <c r="B8" s="21" t="str">
        <f>'Lambda-UC_Diag'!A38</f>
        <v>Output 'Dig_Out1' stuck low</v>
      </c>
      <c r="C8" s="22">
        <f>'Lambda-UC_Diag'!B$31</f>
        <v>1.7731485820300208E-8</v>
      </c>
      <c r="D8" s="23">
        <f>'Lambda-UC_Diag'!C38</f>
        <v>0.03</v>
      </c>
      <c r="E8" s="20">
        <f>'Lambda-UC_Diag'!D38</f>
        <v>5.3194457460900624E-10</v>
      </c>
      <c r="F8" s="21" t="s">
        <v>394</v>
      </c>
      <c r="G8" s="21" t="s">
        <v>395</v>
      </c>
      <c r="H8" s="20" t="s">
        <v>43</v>
      </c>
      <c r="I8" s="20" t="s">
        <v>392</v>
      </c>
      <c r="J8" s="20" t="s">
        <v>573</v>
      </c>
      <c r="K8" s="20" t="s">
        <v>676</v>
      </c>
      <c r="L8" s="20" t="s">
        <v>676</v>
      </c>
      <c r="M8" s="20">
        <v>3.1999999999999999E-6</v>
      </c>
      <c r="N8" s="20">
        <v>3.1999999999999999E-6</v>
      </c>
      <c r="O8" s="20">
        <v>3.1999999999999999E-6</v>
      </c>
      <c r="P8" s="20">
        <v>3.1999999999999999E-6</v>
      </c>
      <c r="Q8" s="20">
        <v>3.1999999999999999E-6</v>
      </c>
      <c r="R8" s="20">
        <v>3.1999999999999999E-6</v>
      </c>
      <c r="S8" s="20">
        <f t="shared" si="0"/>
        <v>0</v>
      </c>
      <c r="T8" s="20">
        <f t="shared" si="1"/>
        <v>0</v>
      </c>
      <c r="U8" s="20">
        <f t="shared" si="2"/>
        <v>0</v>
      </c>
      <c r="V8" s="20">
        <f t="shared" si="3"/>
        <v>0</v>
      </c>
      <c r="W8" s="20">
        <f t="shared" si="4"/>
        <v>0</v>
      </c>
      <c r="X8" s="20">
        <f t="shared" si="5"/>
        <v>0</v>
      </c>
      <c r="Y8" s="20" t="s">
        <v>398</v>
      </c>
      <c r="Z8" s="25">
        <v>1</v>
      </c>
      <c r="AA8" s="25">
        <v>1</v>
      </c>
      <c r="AB8" s="25" t="s">
        <v>398</v>
      </c>
      <c r="AC8" s="20" t="s">
        <v>683</v>
      </c>
    </row>
    <row r="9" spans="1:29" ht="38.25">
      <c r="A9" s="20" t="s">
        <v>339</v>
      </c>
      <c r="B9" s="21" t="str">
        <f>'Lambda-UC_Diag'!A39</f>
        <v>Output 'Dig_Out2' stuck low</v>
      </c>
      <c r="C9" s="22">
        <f>'Lambda-UC_Diag'!B$31</f>
        <v>1.7731485820300208E-8</v>
      </c>
      <c r="D9" s="23">
        <f>'Lambda-UC_Diag'!C39</f>
        <v>0.03</v>
      </c>
      <c r="E9" s="20">
        <f>'Lambda-UC_Diag'!D39</f>
        <v>5.3194457460900624E-10</v>
      </c>
      <c r="F9" s="21" t="s">
        <v>396</v>
      </c>
      <c r="G9" s="21" t="s">
        <v>399</v>
      </c>
      <c r="H9" s="20" t="s">
        <v>43</v>
      </c>
      <c r="I9" s="20" t="s">
        <v>392</v>
      </c>
      <c r="J9" s="20" t="s">
        <v>573</v>
      </c>
      <c r="K9" s="20" t="s">
        <v>676</v>
      </c>
      <c r="L9" s="20" t="s">
        <v>676</v>
      </c>
      <c r="M9" s="20">
        <v>0</v>
      </c>
      <c r="N9" s="20">
        <v>0</v>
      </c>
      <c r="O9" s="20">
        <v>0</v>
      </c>
      <c r="P9" s="20">
        <v>0</v>
      </c>
      <c r="Q9" s="20">
        <v>0</v>
      </c>
      <c r="R9" s="20">
        <v>0</v>
      </c>
      <c r="S9" s="20">
        <f t="shared" si="0"/>
        <v>0</v>
      </c>
      <c r="T9" s="20">
        <f t="shared" si="1"/>
        <v>0</v>
      </c>
      <c r="U9" s="20">
        <f t="shared" si="2"/>
        <v>0</v>
      </c>
      <c r="V9" s="20">
        <f t="shared" si="3"/>
        <v>0</v>
      </c>
      <c r="W9" s="20">
        <f t="shared" si="4"/>
        <v>0</v>
      </c>
      <c r="X9" s="20">
        <f t="shared" si="5"/>
        <v>0</v>
      </c>
      <c r="Y9" s="20" t="s">
        <v>397</v>
      </c>
      <c r="Z9" s="25">
        <v>0</v>
      </c>
      <c r="AA9" s="25">
        <v>0</v>
      </c>
      <c r="AB9" s="25" t="s">
        <v>397</v>
      </c>
      <c r="AC9" s="20" t="s">
        <v>683</v>
      </c>
    </row>
    <row r="10" spans="1:29" ht="89.25">
      <c r="A10" s="20" t="s">
        <v>339</v>
      </c>
      <c r="B10" s="21" t="str">
        <f>'Lambda-UC_Diag'!A40</f>
        <v>Bidirectional Pin 'SPI' stuck low</v>
      </c>
      <c r="C10" s="22">
        <f>'Lambda-UC_Diag'!B$31</f>
        <v>1.7731485820300208E-8</v>
      </c>
      <c r="D10" s="23">
        <f>'Lambda-UC_Diag'!C40</f>
        <v>0.03</v>
      </c>
      <c r="E10" s="20">
        <f>'Lambda-UC_Diag'!D40</f>
        <v>5.3194457460900624E-10</v>
      </c>
      <c r="F10" s="21" t="s">
        <v>400</v>
      </c>
      <c r="G10" s="21" t="s">
        <v>408</v>
      </c>
      <c r="H10" s="20" t="s">
        <v>43</v>
      </c>
      <c r="I10" s="20" t="s">
        <v>45</v>
      </c>
      <c r="J10" s="20" t="s">
        <v>571</v>
      </c>
      <c r="K10" s="20" t="s">
        <v>675</v>
      </c>
      <c r="L10" s="20" t="s">
        <v>675</v>
      </c>
      <c r="M10" s="20">
        <v>3.2724899999999999</v>
      </c>
      <c r="N10" s="20">
        <v>3.2719999999999998</v>
      </c>
      <c r="O10" s="20">
        <v>3.2749999999999999</v>
      </c>
      <c r="P10" s="20">
        <v>4.3130000000000002E-2</v>
      </c>
      <c r="Q10" s="20">
        <v>4.095E-2</v>
      </c>
      <c r="R10" s="20">
        <v>4.53E-2</v>
      </c>
      <c r="S10" s="20">
        <f t="shared" si="0"/>
        <v>4092</v>
      </c>
      <c r="T10" s="20">
        <f t="shared" si="1"/>
        <v>4091</v>
      </c>
      <c r="U10" s="20">
        <f t="shared" si="2"/>
        <v>4095</v>
      </c>
      <c r="V10" s="20">
        <f t="shared" si="3"/>
        <v>54</v>
      </c>
      <c r="W10" s="20">
        <f t="shared" si="4"/>
        <v>51</v>
      </c>
      <c r="X10" s="20">
        <f t="shared" si="5"/>
        <v>57</v>
      </c>
      <c r="Y10" s="20" t="s">
        <v>401</v>
      </c>
      <c r="Z10" s="25">
        <v>0</v>
      </c>
      <c r="AA10" s="25">
        <v>1</v>
      </c>
      <c r="AB10" s="25" t="s">
        <v>401</v>
      </c>
      <c r="AC10" s="20" t="s">
        <v>688</v>
      </c>
    </row>
    <row r="11" spans="1:29" ht="102">
      <c r="A11" s="20" t="s">
        <v>339</v>
      </c>
      <c r="B11" s="21" t="str">
        <f>'Lambda-UC_Diag'!A41</f>
        <v>Output 'Dig_Out1' stuck high</v>
      </c>
      <c r="C11" s="22">
        <f>'Lambda-UC_Diag'!B$31</f>
        <v>1.7731485820300208E-8</v>
      </c>
      <c r="D11" s="23">
        <f>'Lambda-UC_Diag'!C41</f>
        <v>2.6666666666666668E-2</v>
      </c>
      <c r="E11" s="20">
        <f>'Lambda-UC_Diag'!D41</f>
        <v>4.7283962187467226E-10</v>
      </c>
      <c r="F11" s="21" t="s">
        <v>402</v>
      </c>
      <c r="G11" s="21" t="s">
        <v>456</v>
      </c>
      <c r="H11" s="20" t="s">
        <v>43</v>
      </c>
      <c r="I11" s="20" t="s">
        <v>392</v>
      </c>
      <c r="J11" s="20" t="s">
        <v>574</v>
      </c>
      <c r="K11" s="20" t="s">
        <v>676</v>
      </c>
      <c r="L11" s="20" t="s">
        <v>675</v>
      </c>
      <c r="M11" s="20">
        <v>3.27305</v>
      </c>
      <c r="N11" s="20">
        <v>3.2730299999999999</v>
      </c>
      <c r="O11" s="20">
        <v>3.2730600000000001</v>
      </c>
      <c r="P11" s="20">
        <v>3.2723450000000001</v>
      </c>
      <c r="Q11" s="20">
        <v>3.272335</v>
      </c>
      <c r="R11" s="20">
        <v>3.2723550000000001</v>
      </c>
      <c r="S11" s="20">
        <f t="shared" si="0"/>
        <v>4093</v>
      </c>
      <c r="T11" s="20">
        <f t="shared" si="1"/>
        <v>4093</v>
      </c>
      <c r="U11" s="20">
        <f t="shared" si="2"/>
        <v>4093</v>
      </c>
      <c r="V11" s="20">
        <f t="shared" si="3"/>
        <v>4092</v>
      </c>
      <c r="W11" s="20">
        <f t="shared" si="4"/>
        <v>4092</v>
      </c>
      <c r="X11" s="20">
        <f t="shared" si="5"/>
        <v>4092</v>
      </c>
      <c r="Y11" s="20" t="s">
        <v>406</v>
      </c>
      <c r="Z11" s="25">
        <v>0</v>
      </c>
      <c r="AA11" s="25">
        <v>1</v>
      </c>
      <c r="AB11" s="25" t="s">
        <v>401</v>
      </c>
      <c r="AC11" s="20" t="s">
        <v>683</v>
      </c>
    </row>
    <row r="12" spans="1:29" ht="51">
      <c r="A12" s="20" t="s">
        <v>339</v>
      </c>
      <c r="B12" s="21" t="str">
        <f>'Lambda-UC_Diag'!A42</f>
        <v>Output 'Dig_Out2' stuck high</v>
      </c>
      <c r="C12" s="22">
        <f>'Lambda-UC_Diag'!B$31</f>
        <v>1.7731485820300208E-8</v>
      </c>
      <c r="D12" s="23">
        <f>'Lambda-UC_Diag'!C42</f>
        <v>2.6666666666666668E-2</v>
      </c>
      <c r="E12" s="20">
        <f>'Lambda-UC_Diag'!D42</f>
        <v>4.7283962187467226E-10</v>
      </c>
      <c r="F12" s="24" t="s">
        <v>407</v>
      </c>
      <c r="G12" s="24" t="s">
        <v>455</v>
      </c>
      <c r="H12" s="25" t="s">
        <v>43</v>
      </c>
      <c r="I12" s="25" t="s">
        <v>392</v>
      </c>
      <c r="J12" s="20" t="s">
        <v>575</v>
      </c>
      <c r="K12" s="20" t="s">
        <v>675</v>
      </c>
      <c r="L12" s="20" t="s">
        <v>676</v>
      </c>
      <c r="M12" s="20">
        <v>3.2724899999999999</v>
      </c>
      <c r="N12" s="20">
        <v>3.2719999999999998</v>
      </c>
      <c r="O12" s="20">
        <v>3.2749999999999999</v>
      </c>
      <c r="P12" s="20">
        <v>4.3130000000000002E-2</v>
      </c>
      <c r="Q12" s="20">
        <v>4.095E-2</v>
      </c>
      <c r="R12" s="20">
        <v>4.53E-2</v>
      </c>
      <c r="S12" s="25">
        <f t="shared" si="0"/>
        <v>4092</v>
      </c>
      <c r="T12" s="25">
        <f t="shared" si="1"/>
        <v>4091</v>
      </c>
      <c r="U12" s="25">
        <f t="shared" si="2"/>
        <v>4095</v>
      </c>
      <c r="V12" s="25">
        <f t="shared" si="3"/>
        <v>54</v>
      </c>
      <c r="W12" s="25">
        <f t="shared" si="4"/>
        <v>51</v>
      </c>
      <c r="X12" s="25">
        <f t="shared" si="5"/>
        <v>57</v>
      </c>
      <c r="Y12" s="25" t="s">
        <v>409</v>
      </c>
      <c r="Z12" s="25">
        <v>1</v>
      </c>
      <c r="AA12" s="25">
        <v>1</v>
      </c>
      <c r="AB12" s="25" t="s">
        <v>398</v>
      </c>
      <c r="AC12" s="20" t="s">
        <v>683</v>
      </c>
    </row>
    <row r="13" spans="1:29" ht="89.25">
      <c r="A13" s="20" t="s">
        <v>339</v>
      </c>
      <c r="B13" s="21" t="str">
        <f>'Lambda-UC_Diag'!A43</f>
        <v>Bidirectional 'SPI' Pin stuck high</v>
      </c>
      <c r="C13" s="22">
        <f>'Lambda-UC_Diag'!B$31</f>
        <v>1.7731485820300208E-8</v>
      </c>
      <c r="D13" s="23">
        <f>'Lambda-UC_Diag'!C43</f>
        <v>2.6666666666666668E-2</v>
      </c>
      <c r="E13" s="20">
        <f>'Lambda-UC_Diag'!D43</f>
        <v>4.7283962187467226E-10</v>
      </c>
      <c r="F13" s="21" t="s">
        <v>400</v>
      </c>
      <c r="G13" s="21" t="s">
        <v>408</v>
      </c>
      <c r="H13" s="20" t="s">
        <v>43</v>
      </c>
      <c r="I13" s="20" t="s">
        <v>45</v>
      </c>
      <c r="J13" s="20" t="s">
        <v>571</v>
      </c>
      <c r="K13" s="20" t="s">
        <v>675</v>
      </c>
      <c r="L13" s="20" t="s">
        <v>675</v>
      </c>
      <c r="M13" s="20">
        <v>3.2724899999999999</v>
      </c>
      <c r="N13" s="20">
        <v>3.2719999999999998</v>
      </c>
      <c r="O13" s="20">
        <v>3.2749999999999999</v>
      </c>
      <c r="P13" s="20">
        <v>4.3130000000000002E-2</v>
      </c>
      <c r="Q13" s="20">
        <v>4.095E-2</v>
      </c>
      <c r="R13" s="20">
        <v>4.53E-2</v>
      </c>
      <c r="S13" s="20">
        <f t="shared" si="0"/>
        <v>4092</v>
      </c>
      <c r="T13" s="20">
        <f t="shared" si="1"/>
        <v>4091</v>
      </c>
      <c r="U13" s="20">
        <f t="shared" si="2"/>
        <v>4095</v>
      </c>
      <c r="V13" s="20">
        <f t="shared" si="3"/>
        <v>54</v>
      </c>
      <c r="W13" s="20">
        <f t="shared" si="4"/>
        <v>51</v>
      </c>
      <c r="X13" s="20">
        <f t="shared" si="5"/>
        <v>57</v>
      </c>
      <c r="Y13" s="20" t="s">
        <v>401</v>
      </c>
      <c r="Z13" s="25">
        <v>0</v>
      </c>
      <c r="AA13" s="25">
        <v>1</v>
      </c>
      <c r="AB13" s="25" t="s">
        <v>401</v>
      </c>
      <c r="AC13" s="20" t="s">
        <v>688</v>
      </c>
    </row>
    <row r="14" spans="1:29" ht="38.25">
      <c r="A14" s="20" t="s">
        <v>339</v>
      </c>
      <c r="B14" s="21" t="str">
        <f>'Lambda-UC_Diag'!A44</f>
        <v>Input 'Anal_In1' open</v>
      </c>
      <c r="C14" s="22">
        <f>'Lambda-UC_Diag'!B$31</f>
        <v>1.7731485820300208E-8</v>
      </c>
      <c r="D14" s="23">
        <f>'Lambda-UC_Diag'!C44</f>
        <v>0.12</v>
      </c>
      <c r="E14" s="20">
        <f>'Lambda-UC_Diag'!D44</f>
        <v>2.1277782984360249E-9</v>
      </c>
      <c r="F14" s="21" t="s">
        <v>410</v>
      </c>
      <c r="G14" s="21" t="s">
        <v>411</v>
      </c>
      <c r="H14" s="20" t="s">
        <v>43</v>
      </c>
      <c r="I14" s="20" t="s">
        <v>392</v>
      </c>
      <c r="J14" s="20" t="s">
        <v>574</v>
      </c>
      <c r="K14" s="20" t="s">
        <v>676</v>
      </c>
      <c r="L14" s="20" t="s">
        <v>675</v>
      </c>
      <c r="M14" s="20">
        <v>0.15290000000000001</v>
      </c>
      <c r="N14" s="20">
        <v>0.15290000000000001</v>
      </c>
      <c r="O14" s="20">
        <v>0.15290000000000001</v>
      </c>
      <c r="P14" s="20">
        <v>0.155</v>
      </c>
      <c r="Q14" s="20">
        <v>9.6000000000000002E-2</v>
      </c>
      <c r="R14" s="20">
        <v>0.252</v>
      </c>
      <c r="S14" s="20">
        <f t="shared" si="0"/>
        <v>191</v>
      </c>
      <c r="T14" s="20">
        <f t="shared" si="1"/>
        <v>191</v>
      </c>
      <c r="U14" s="20">
        <f t="shared" si="2"/>
        <v>191</v>
      </c>
      <c r="V14" s="20">
        <f t="shared" si="3"/>
        <v>194</v>
      </c>
      <c r="W14" s="20">
        <f t="shared" si="4"/>
        <v>120</v>
      </c>
      <c r="X14" s="20">
        <f t="shared" si="5"/>
        <v>315</v>
      </c>
      <c r="Y14" s="25" t="s">
        <v>412</v>
      </c>
      <c r="Z14" s="25">
        <v>0</v>
      </c>
      <c r="AA14" s="25">
        <v>1</v>
      </c>
      <c r="AB14" s="25" t="s">
        <v>401</v>
      </c>
      <c r="AC14" s="20" t="s">
        <v>683</v>
      </c>
    </row>
    <row r="15" spans="1:29" ht="102">
      <c r="A15" s="20" t="s">
        <v>339</v>
      </c>
      <c r="B15" s="21" t="str">
        <f>'Lambda-UC_Diag'!A45</f>
        <v>Input 'Dig_In1' open</v>
      </c>
      <c r="C15" s="22">
        <f>'Lambda-UC_Diag'!B$31</f>
        <v>1.7731485820300208E-8</v>
      </c>
      <c r="D15" s="23">
        <f>'Lambda-UC_Diag'!C45</f>
        <v>0.12</v>
      </c>
      <c r="E15" s="20">
        <f>'Lambda-UC_Diag'!D45</f>
        <v>2.1277782984360249E-9</v>
      </c>
      <c r="F15" s="21" t="s">
        <v>451</v>
      </c>
      <c r="G15" s="21" t="s">
        <v>452</v>
      </c>
      <c r="H15" s="20" t="s">
        <v>43</v>
      </c>
      <c r="I15" s="20" t="s">
        <v>45</v>
      </c>
      <c r="J15" s="20" t="s">
        <v>571</v>
      </c>
      <c r="K15" s="20" t="s">
        <v>675</v>
      </c>
      <c r="L15" s="20" t="s">
        <v>675</v>
      </c>
      <c r="M15" s="20">
        <v>3.2724899999999999</v>
      </c>
      <c r="N15" s="20">
        <v>3.2719999999999998</v>
      </c>
      <c r="O15" s="20">
        <v>3.2749999999999999</v>
      </c>
      <c r="P15" s="20">
        <v>4.3130000000000002E-2</v>
      </c>
      <c r="Q15" s="20">
        <v>4.095E-2</v>
      </c>
      <c r="R15" s="20">
        <v>4.53E-2</v>
      </c>
      <c r="S15" s="20">
        <f t="shared" ref="S15" si="6">ROUND(((M15-MIN($M$3:$R$212))/(MAX($M$3:$R$212)-MIN($M$3:$R$212)))*((2^12)-1), 0)</f>
        <v>4092</v>
      </c>
      <c r="T15" s="20">
        <f t="shared" ref="T15" si="7">ROUND(((N15-MIN($M$3:$R$212))/(MAX($M$3:$R$212)-MIN($M$3:$R$212)))*((2^12)-1), 0)</f>
        <v>4091</v>
      </c>
      <c r="U15" s="20">
        <f t="shared" ref="U15" si="8">ROUND(((O15-MIN($M$3:$R$212))/(MAX($M$3:$R$212)-MIN($M$3:$R$212)))*((2^12)-1), 0)</f>
        <v>4095</v>
      </c>
      <c r="V15" s="20">
        <f t="shared" ref="V15" si="9">ROUND(((P15-MIN($M$3:$R$212))/(MAX($M$3:$R$212)-MIN($M$3:$R$212)))*((2^12)-1), 0)</f>
        <v>54</v>
      </c>
      <c r="W15" s="20">
        <f t="shared" ref="W15" si="10">ROUND(((Q15-MIN($M$3:$R$212))/(MAX($M$3:$R$212)-MIN($M$3:$R$212)))*((2^12)-1), 0)</f>
        <v>51</v>
      </c>
      <c r="X15" s="20">
        <f t="shared" ref="X15" si="11">ROUND(((R15-MIN($M$3:$R$212))/(MAX($M$3:$R$212)-MIN($M$3:$R$212)))*((2^12)-1), 0)</f>
        <v>57</v>
      </c>
      <c r="Y15" s="25" t="s">
        <v>454</v>
      </c>
      <c r="Z15" s="25">
        <v>0</v>
      </c>
      <c r="AA15" s="25">
        <v>1</v>
      </c>
      <c r="AB15" s="25" t="s">
        <v>453</v>
      </c>
      <c r="AC15" s="25" t="s">
        <v>678</v>
      </c>
    </row>
    <row r="16" spans="1:29" ht="89.25">
      <c r="A16" s="20" t="s">
        <v>340</v>
      </c>
      <c r="B16" s="21" t="str">
        <f>'Lambda-Flash (All)'!A34</f>
        <v>Data bit loss</v>
      </c>
      <c r="C16" s="22">
        <f>'Lambda-Flash (All)'!B$31</f>
        <v>1.7732043349975445E-8</v>
      </c>
      <c r="D16" s="23">
        <f>'Lambda-Flash (All)'!C34</f>
        <v>0.34</v>
      </c>
      <c r="E16" s="20">
        <f>'Lambda-Flash (All)'!D34</f>
        <v>6.0288947389916522E-9</v>
      </c>
      <c r="F16" s="21" t="s">
        <v>457</v>
      </c>
      <c r="G16" s="21" t="s">
        <v>408</v>
      </c>
      <c r="H16" s="20" t="s">
        <v>43</v>
      </c>
      <c r="I16" s="20" t="s">
        <v>45</v>
      </c>
      <c r="J16" s="20" t="s">
        <v>571</v>
      </c>
      <c r="K16" s="20" t="s">
        <v>675</v>
      </c>
      <c r="L16" s="20" t="s">
        <v>675</v>
      </c>
      <c r="M16" s="20">
        <v>3.2724899999999999</v>
      </c>
      <c r="N16" s="20">
        <v>3.2719999999999998</v>
      </c>
      <c r="O16" s="20">
        <v>3.2749999999999999</v>
      </c>
      <c r="P16" s="20">
        <v>4.3130000000000002E-2</v>
      </c>
      <c r="Q16" s="20">
        <v>4.095E-2</v>
      </c>
      <c r="R16" s="20">
        <v>4.53E-2</v>
      </c>
      <c r="S16" s="20">
        <f t="shared" ref="S16:X17" si="12">ROUND(((M16-MIN($M$3:$R$212))/(MAX($M$3:$R$212)-MIN($M$3:$R$212)))*((2^12)-1), 0)</f>
        <v>4092</v>
      </c>
      <c r="T16" s="20">
        <f t="shared" si="12"/>
        <v>4091</v>
      </c>
      <c r="U16" s="20">
        <f t="shared" si="12"/>
        <v>4095</v>
      </c>
      <c r="V16" s="20">
        <f t="shared" si="12"/>
        <v>54</v>
      </c>
      <c r="W16" s="20">
        <f t="shared" si="12"/>
        <v>51</v>
      </c>
      <c r="X16" s="20">
        <f t="shared" si="12"/>
        <v>57</v>
      </c>
      <c r="Y16" s="20" t="s">
        <v>401</v>
      </c>
      <c r="Z16" s="25">
        <v>0</v>
      </c>
      <c r="AA16" s="25">
        <v>1</v>
      </c>
      <c r="AB16" s="25" t="s">
        <v>401</v>
      </c>
      <c r="AC16" s="20" t="s">
        <v>688</v>
      </c>
    </row>
    <row r="17" spans="1:29" ht="89.25">
      <c r="A17" s="20" t="s">
        <v>340</v>
      </c>
      <c r="B17" s="21" t="str">
        <f>'Lambda-Flash (All)'!A35</f>
        <v>Slow transfer of data</v>
      </c>
      <c r="C17" s="22">
        <f>'Lambda-Flash (All)'!B$31</f>
        <v>1.7732043349975445E-8</v>
      </c>
      <c r="D17" s="23">
        <f>'Lambda-Flash (All)'!C35</f>
        <v>0.17</v>
      </c>
      <c r="E17" s="20">
        <f>'Lambda-Flash (All)'!D35</f>
        <v>3.0144473694958261E-9</v>
      </c>
      <c r="F17" s="21" t="s">
        <v>457</v>
      </c>
      <c r="G17" s="21" t="s">
        <v>408</v>
      </c>
      <c r="H17" s="20" t="s">
        <v>43</v>
      </c>
      <c r="I17" s="20" t="s">
        <v>45</v>
      </c>
      <c r="J17" s="20" t="s">
        <v>571</v>
      </c>
      <c r="K17" s="20" t="s">
        <v>675</v>
      </c>
      <c r="L17" s="20" t="s">
        <v>675</v>
      </c>
      <c r="M17" s="20">
        <v>3.2724899999999999</v>
      </c>
      <c r="N17" s="20">
        <v>3.2719999999999998</v>
      </c>
      <c r="O17" s="20">
        <v>3.2749999999999999</v>
      </c>
      <c r="P17" s="20">
        <v>4.3130000000000002E-2</v>
      </c>
      <c r="Q17" s="20">
        <v>4.095E-2</v>
      </c>
      <c r="R17" s="20">
        <v>4.53E-2</v>
      </c>
      <c r="S17" s="20">
        <f t="shared" si="12"/>
        <v>4092</v>
      </c>
      <c r="T17" s="20">
        <f t="shared" si="12"/>
        <v>4091</v>
      </c>
      <c r="U17" s="20">
        <f t="shared" si="12"/>
        <v>4095</v>
      </c>
      <c r="V17" s="20">
        <f t="shared" si="12"/>
        <v>54</v>
      </c>
      <c r="W17" s="20">
        <f t="shared" si="12"/>
        <v>51</v>
      </c>
      <c r="X17" s="20">
        <f t="shared" si="12"/>
        <v>57</v>
      </c>
      <c r="Y17" s="20" t="s">
        <v>401</v>
      </c>
      <c r="Z17" s="25">
        <v>0</v>
      </c>
      <c r="AA17" s="25">
        <v>1</v>
      </c>
      <c r="AB17" s="25" t="s">
        <v>401</v>
      </c>
      <c r="AC17" s="20" t="s">
        <v>688</v>
      </c>
    </row>
    <row r="18" spans="1:29" ht="89.25">
      <c r="A18" s="20" t="s">
        <v>340</v>
      </c>
      <c r="B18" s="21" t="str">
        <f>'Lambda-Flash (All)'!A36</f>
        <v>Open</v>
      </c>
      <c r="C18" s="22">
        <f>'Lambda-Flash (All)'!B$31</f>
        <v>1.7732043349975445E-8</v>
      </c>
      <c r="D18" s="23">
        <f>'Lambda-Flash (All)'!C36</f>
        <v>0.23</v>
      </c>
      <c r="E18" s="20">
        <f>'Lambda-Flash (All)'!D36</f>
        <v>4.0783699704943524E-9</v>
      </c>
      <c r="F18" s="21" t="s">
        <v>457</v>
      </c>
      <c r="G18" s="21" t="s">
        <v>408</v>
      </c>
      <c r="H18" s="20" t="s">
        <v>43</v>
      </c>
      <c r="I18" s="20" t="s">
        <v>45</v>
      </c>
      <c r="J18" s="20" t="s">
        <v>571</v>
      </c>
      <c r="K18" s="20" t="s">
        <v>675</v>
      </c>
      <c r="L18" s="20" t="s">
        <v>675</v>
      </c>
      <c r="M18" s="20">
        <v>3.2724899999999999</v>
      </c>
      <c r="N18" s="20">
        <v>3.2719999999999998</v>
      </c>
      <c r="O18" s="20">
        <v>3.2749999999999999</v>
      </c>
      <c r="P18" s="20">
        <v>4.3130000000000002E-2</v>
      </c>
      <c r="Q18" s="20">
        <v>4.095E-2</v>
      </c>
      <c r="R18" s="20">
        <v>4.53E-2</v>
      </c>
      <c r="S18" s="20">
        <f t="shared" ref="S18:S24" si="13">ROUND(((M18-MIN($M$3:$R$212))/(MAX($M$3:$R$212)-MIN($M$3:$R$212)))*((2^12)-1), 0)</f>
        <v>4092</v>
      </c>
      <c r="T18" s="20">
        <f t="shared" ref="T18:T24" si="14">ROUND(((N18-MIN($M$3:$R$212))/(MAX($M$3:$R$212)-MIN($M$3:$R$212)))*((2^12)-1), 0)</f>
        <v>4091</v>
      </c>
      <c r="U18" s="20">
        <f t="shared" ref="U18:U24" si="15">ROUND(((O18-MIN($M$3:$R$212))/(MAX($M$3:$R$212)-MIN($M$3:$R$212)))*((2^12)-1), 0)</f>
        <v>4095</v>
      </c>
      <c r="V18" s="20">
        <f t="shared" ref="V18:V24" si="16">ROUND(((P18-MIN($M$3:$R$212))/(MAX($M$3:$R$212)-MIN($M$3:$R$212)))*((2^12)-1), 0)</f>
        <v>54</v>
      </c>
      <c r="W18" s="20">
        <f t="shared" ref="W18:W24" si="17">ROUND(((Q18-MIN($M$3:$R$212))/(MAX($M$3:$R$212)-MIN($M$3:$R$212)))*((2^12)-1), 0)</f>
        <v>51</v>
      </c>
      <c r="X18" s="20">
        <f t="shared" ref="X18:X24" si="18">ROUND(((R18-MIN($M$3:$R$212))/(MAX($M$3:$R$212)-MIN($M$3:$R$212)))*((2^12)-1), 0)</f>
        <v>57</v>
      </c>
      <c r="Y18" s="20" t="s">
        <v>401</v>
      </c>
      <c r="Z18" s="25">
        <v>0</v>
      </c>
      <c r="AA18" s="25">
        <v>1</v>
      </c>
      <c r="AB18" s="25" t="s">
        <v>401</v>
      </c>
      <c r="AC18" s="20" t="s">
        <v>688</v>
      </c>
    </row>
    <row r="19" spans="1:29" ht="89.25">
      <c r="A19" s="20" t="s">
        <v>340</v>
      </c>
      <c r="B19" s="21" t="str">
        <f>'Lambda-Flash (All)'!A37</f>
        <v>Short-circuit</v>
      </c>
      <c r="C19" s="22">
        <f>'Lambda-Flash (All)'!B$31</f>
        <v>1.7732043349975445E-8</v>
      </c>
      <c r="D19" s="23">
        <f>'Lambda-Flash (All)'!C37</f>
        <v>0.26</v>
      </c>
      <c r="E19" s="20">
        <f>'Lambda-Flash (All)'!D37</f>
        <v>4.6103312709936158E-9</v>
      </c>
      <c r="F19" s="21" t="s">
        <v>457</v>
      </c>
      <c r="G19" s="21" t="s">
        <v>408</v>
      </c>
      <c r="H19" s="20" t="s">
        <v>43</v>
      </c>
      <c r="I19" s="20" t="s">
        <v>45</v>
      </c>
      <c r="J19" s="20" t="s">
        <v>571</v>
      </c>
      <c r="K19" s="20" t="s">
        <v>675</v>
      </c>
      <c r="L19" s="20" t="s">
        <v>675</v>
      </c>
      <c r="M19" s="20">
        <v>3.2724899999999999</v>
      </c>
      <c r="N19" s="20">
        <v>3.2719999999999998</v>
      </c>
      <c r="O19" s="20">
        <v>3.2749999999999999</v>
      </c>
      <c r="P19" s="20">
        <v>4.3130000000000002E-2</v>
      </c>
      <c r="Q19" s="20">
        <v>4.095E-2</v>
      </c>
      <c r="R19" s="20">
        <v>4.53E-2</v>
      </c>
      <c r="S19" s="20">
        <f t="shared" si="13"/>
        <v>4092</v>
      </c>
      <c r="T19" s="20">
        <f t="shared" si="14"/>
        <v>4091</v>
      </c>
      <c r="U19" s="20">
        <f t="shared" si="15"/>
        <v>4095</v>
      </c>
      <c r="V19" s="20">
        <f t="shared" si="16"/>
        <v>54</v>
      </c>
      <c r="W19" s="20">
        <f t="shared" si="17"/>
        <v>51</v>
      </c>
      <c r="X19" s="20">
        <f t="shared" si="18"/>
        <v>57</v>
      </c>
      <c r="Y19" s="20" t="s">
        <v>401</v>
      </c>
      <c r="Z19" s="25">
        <v>0</v>
      </c>
      <c r="AA19" s="25">
        <v>1</v>
      </c>
      <c r="AB19" s="25" t="s">
        <v>401</v>
      </c>
      <c r="AC19" s="20" t="s">
        <v>688</v>
      </c>
    </row>
    <row r="20" spans="1:29" ht="89.25">
      <c r="A20" s="20" t="s">
        <v>443</v>
      </c>
      <c r="B20" s="21" t="str">
        <f>'Lambda-Resistor (All)'!A35</f>
        <v>Open</v>
      </c>
      <c r="C20" s="22">
        <f>'Lambda-Resistor (All)'!B$32</f>
        <v>4.1612004167966296E-9</v>
      </c>
      <c r="D20" s="23">
        <f>'Lambda-Resistor (All)'!C35</f>
        <v>0.59</v>
      </c>
      <c r="E20" s="20">
        <f>'Lambda-Resistor (All)'!D35</f>
        <v>2.4551082459100113E-9</v>
      </c>
      <c r="F20" s="21" t="s">
        <v>459</v>
      </c>
      <c r="G20" s="21" t="s">
        <v>458</v>
      </c>
      <c r="H20" s="20" t="s">
        <v>43</v>
      </c>
      <c r="I20" s="20" t="s">
        <v>392</v>
      </c>
      <c r="J20" s="20" t="s">
        <v>575</v>
      </c>
      <c r="K20" s="20" t="s">
        <v>675</v>
      </c>
      <c r="L20" s="20" t="s">
        <v>676</v>
      </c>
      <c r="M20" s="20">
        <v>3.2724899999999999</v>
      </c>
      <c r="N20" s="20">
        <v>3.2719999999999998</v>
      </c>
      <c r="O20" s="20">
        <v>3.2749999999999999</v>
      </c>
      <c r="P20" s="20">
        <v>4.3130000000000002E-2</v>
      </c>
      <c r="Q20" s="20">
        <v>4.095E-2</v>
      </c>
      <c r="R20" s="20">
        <v>4.53E-2</v>
      </c>
      <c r="S20" s="25">
        <f t="shared" si="13"/>
        <v>4092</v>
      </c>
      <c r="T20" s="25">
        <f t="shared" si="14"/>
        <v>4091</v>
      </c>
      <c r="U20" s="25">
        <f t="shared" si="15"/>
        <v>4095</v>
      </c>
      <c r="V20" s="25">
        <f t="shared" si="16"/>
        <v>54</v>
      </c>
      <c r="W20" s="25">
        <f t="shared" si="17"/>
        <v>51</v>
      </c>
      <c r="X20" s="25">
        <f t="shared" si="18"/>
        <v>57</v>
      </c>
      <c r="Y20" s="25" t="s">
        <v>409</v>
      </c>
      <c r="Z20" s="25">
        <v>1</v>
      </c>
      <c r="AA20" s="25">
        <v>1</v>
      </c>
      <c r="AB20" s="25" t="s">
        <v>398</v>
      </c>
      <c r="AC20" s="20" t="s">
        <v>683</v>
      </c>
    </row>
    <row r="21" spans="1:29" ht="89.25">
      <c r="A21" s="20" t="s">
        <v>443</v>
      </c>
      <c r="B21" s="21" t="str">
        <f>'Lambda-Resistor (All)'!A36</f>
        <v>Short-Circuit</v>
      </c>
      <c r="C21" s="22">
        <f>'Lambda-Resistor (All)'!B$32</f>
        <v>4.1612004167966296E-9</v>
      </c>
      <c r="D21" s="23">
        <f>'Lambda-Resistor (All)'!C36</f>
        <v>0.05</v>
      </c>
      <c r="E21" s="20">
        <f>'Lambda-Resistor (All)'!D36</f>
        <v>2.080600208398315E-10</v>
      </c>
      <c r="F21" s="21" t="s">
        <v>613</v>
      </c>
      <c r="G21" s="21" t="s">
        <v>458</v>
      </c>
      <c r="H21" s="20" t="s">
        <v>43</v>
      </c>
      <c r="I21" s="20" t="s">
        <v>392</v>
      </c>
      <c r="J21" s="20" t="s">
        <v>575</v>
      </c>
      <c r="K21" s="20" t="s">
        <v>675</v>
      </c>
      <c r="L21" s="20" t="s">
        <v>676</v>
      </c>
      <c r="M21" s="20">
        <v>3.2724899999999999</v>
      </c>
      <c r="N21" s="20">
        <v>3.2719999999999998</v>
      </c>
      <c r="O21" s="20">
        <v>3.2749999999999999</v>
      </c>
      <c r="P21" s="20">
        <v>4.3130000000000002E-2</v>
      </c>
      <c r="Q21" s="20">
        <v>4.095E-2</v>
      </c>
      <c r="R21" s="20">
        <v>4.53E-2</v>
      </c>
      <c r="S21" s="25">
        <f t="shared" si="13"/>
        <v>4092</v>
      </c>
      <c r="T21" s="25">
        <f t="shared" si="14"/>
        <v>4091</v>
      </c>
      <c r="U21" s="25">
        <f t="shared" si="15"/>
        <v>4095</v>
      </c>
      <c r="V21" s="25">
        <f t="shared" si="16"/>
        <v>54</v>
      </c>
      <c r="W21" s="25">
        <f t="shared" si="17"/>
        <v>51</v>
      </c>
      <c r="X21" s="25">
        <f t="shared" si="18"/>
        <v>57</v>
      </c>
      <c r="Y21" s="25" t="s">
        <v>409</v>
      </c>
      <c r="Z21" s="25">
        <v>1</v>
      </c>
      <c r="AA21" s="25">
        <v>1</v>
      </c>
      <c r="AB21" s="25" t="s">
        <v>398</v>
      </c>
      <c r="AC21" s="20" t="s">
        <v>683</v>
      </c>
    </row>
    <row r="22" spans="1:29" ht="51">
      <c r="A22" s="20" t="s">
        <v>443</v>
      </c>
      <c r="B22" s="24" t="str">
        <f>'Lambda-Resistor (All)'!A37</f>
        <v>Increase of Resistance Value</v>
      </c>
      <c r="C22" s="22">
        <f>'Lambda-Resistor (All)'!B$32</f>
        <v>4.1612004167966296E-9</v>
      </c>
      <c r="D22" s="23">
        <f>'Lambda-Resistor (All)'!C37</f>
        <v>0.18</v>
      </c>
      <c r="E22" s="20">
        <f>'Lambda-Resistor (All)'!D37</f>
        <v>7.4901607502339334E-10</v>
      </c>
      <c r="F22" s="21" t="s">
        <v>380</v>
      </c>
      <c r="G22" s="21" t="s">
        <v>380</v>
      </c>
      <c r="H22" s="20" t="s">
        <v>43</v>
      </c>
      <c r="I22" s="20" t="s">
        <v>392</v>
      </c>
      <c r="J22" s="20" t="s">
        <v>575</v>
      </c>
      <c r="K22" s="20" t="s">
        <v>675</v>
      </c>
      <c r="L22" s="20" t="s">
        <v>676</v>
      </c>
      <c r="M22" s="20">
        <v>3.2724899999999999</v>
      </c>
      <c r="N22" s="20">
        <v>3.2719999999999998</v>
      </c>
      <c r="O22" s="20">
        <v>3.2749999999999999</v>
      </c>
      <c r="P22" s="20">
        <v>4.3130000000000002E-2</v>
      </c>
      <c r="Q22" s="20">
        <v>4.095E-2</v>
      </c>
      <c r="R22" s="20">
        <v>4.53E-2</v>
      </c>
      <c r="S22" s="25">
        <f t="shared" si="13"/>
        <v>4092</v>
      </c>
      <c r="T22" s="25">
        <f t="shared" si="14"/>
        <v>4091</v>
      </c>
      <c r="U22" s="25">
        <f t="shared" si="15"/>
        <v>4095</v>
      </c>
      <c r="V22" s="25">
        <f t="shared" si="16"/>
        <v>54</v>
      </c>
      <c r="W22" s="25">
        <f t="shared" si="17"/>
        <v>51</v>
      </c>
      <c r="X22" s="25">
        <f t="shared" si="18"/>
        <v>57</v>
      </c>
      <c r="Y22" s="25" t="s">
        <v>409</v>
      </c>
      <c r="Z22" s="25">
        <v>1</v>
      </c>
      <c r="AA22" s="25">
        <v>1</v>
      </c>
      <c r="AB22" s="25" t="s">
        <v>398</v>
      </c>
      <c r="AC22" s="20" t="s">
        <v>683</v>
      </c>
    </row>
    <row r="23" spans="1:29" ht="51">
      <c r="A23" s="20" t="s">
        <v>443</v>
      </c>
      <c r="B23" s="24" t="str">
        <f>'Lambda-Resistor (All)'!A38</f>
        <v>Decrease of Resistance Value</v>
      </c>
      <c r="C23" s="22">
        <f>'Lambda-Resistor (All)'!B$32</f>
        <v>4.1612004167966296E-9</v>
      </c>
      <c r="D23" s="23">
        <f>'Lambda-Resistor (All)'!C38</f>
        <v>0.18</v>
      </c>
      <c r="E23" s="20">
        <f>'Lambda-Resistor (All)'!D38</f>
        <v>7.4901607502339334E-10</v>
      </c>
      <c r="F23" s="21" t="s">
        <v>381</v>
      </c>
      <c r="G23" s="21" t="s">
        <v>381</v>
      </c>
      <c r="H23" s="20" t="s">
        <v>43</v>
      </c>
      <c r="I23" s="20" t="s">
        <v>392</v>
      </c>
      <c r="J23" s="20" t="s">
        <v>575</v>
      </c>
      <c r="K23" s="20" t="s">
        <v>675</v>
      </c>
      <c r="L23" s="20" t="s">
        <v>676</v>
      </c>
      <c r="M23" s="20">
        <v>3.2724899999999999</v>
      </c>
      <c r="N23" s="20">
        <v>3.2719999999999998</v>
      </c>
      <c r="O23" s="20">
        <v>3.2749999999999999</v>
      </c>
      <c r="P23" s="20">
        <v>4.3130000000000002E-2</v>
      </c>
      <c r="Q23" s="20">
        <v>4.095E-2</v>
      </c>
      <c r="R23" s="20">
        <v>4.53E-2</v>
      </c>
      <c r="S23" s="25">
        <f t="shared" si="13"/>
        <v>4092</v>
      </c>
      <c r="T23" s="25">
        <f t="shared" si="14"/>
        <v>4091</v>
      </c>
      <c r="U23" s="25">
        <f t="shared" si="15"/>
        <v>4095</v>
      </c>
      <c r="V23" s="25">
        <f t="shared" si="16"/>
        <v>54</v>
      </c>
      <c r="W23" s="25">
        <f t="shared" si="17"/>
        <v>51</v>
      </c>
      <c r="X23" s="25">
        <f t="shared" si="18"/>
        <v>57</v>
      </c>
      <c r="Y23" s="25" t="s">
        <v>409</v>
      </c>
      <c r="Z23" s="25">
        <v>1</v>
      </c>
      <c r="AA23" s="25">
        <v>1</v>
      </c>
      <c r="AB23" s="25" t="s">
        <v>398</v>
      </c>
      <c r="AC23" s="20" t="s">
        <v>683</v>
      </c>
    </row>
    <row r="24" spans="1:29" ht="38.25">
      <c r="A24" s="20" t="s">
        <v>443</v>
      </c>
      <c r="B24" s="21" t="str">
        <f>'Lambda-Resistor (All)'!A39</f>
        <v>Short-Circuit to Casing</v>
      </c>
      <c r="C24" s="22">
        <f>'Lambda-Resistor (All)'!B$32</f>
        <v>4.1612004167966296E-9</v>
      </c>
      <c r="D24" s="23">
        <f>'Lambda-Resistor (All)'!C39</f>
        <v>0</v>
      </c>
      <c r="E24" s="20">
        <f>'Lambda-Resistor (All)'!D39</f>
        <v>0</v>
      </c>
      <c r="F24" s="21" t="s">
        <v>382</v>
      </c>
      <c r="G24" s="26" t="s">
        <v>382</v>
      </c>
      <c r="H24" s="20" t="s">
        <v>43</v>
      </c>
      <c r="I24" s="20" t="s">
        <v>393</v>
      </c>
      <c r="J24" s="20" t="s">
        <v>393</v>
      </c>
      <c r="K24" s="20" t="s">
        <v>677</v>
      </c>
      <c r="L24" s="20" t="s">
        <v>677</v>
      </c>
      <c r="M24" s="20">
        <v>3.2724899999999999</v>
      </c>
      <c r="N24" s="20">
        <v>3.2719999999999998</v>
      </c>
      <c r="O24" s="20">
        <v>3.2749999999999999</v>
      </c>
      <c r="P24" s="20">
        <v>4.3130000000000002E-2</v>
      </c>
      <c r="Q24" s="20">
        <v>4.095E-2</v>
      </c>
      <c r="R24" s="20">
        <v>4.53E-2</v>
      </c>
      <c r="S24" s="20">
        <f t="shared" si="13"/>
        <v>4092</v>
      </c>
      <c r="T24" s="20">
        <f t="shared" si="14"/>
        <v>4091</v>
      </c>
      <c r="U24" s="20">
        <f t="shared" si="15"/>
        <v>4095</v>
      </c>
      <c r="V24" s="20">
        <f t="shared" si="16"/>
        <v>54</v>
      </c>
      <c r="W24" s="20">
        <f t="shared" si="17"/>
        <v>51</v>
      </c>
      <c r="X24" s="20">
        <f t="shared" si="18"/>
        <v>57</v>
      </c>
      <c r="Y24" s="20" t="s">
        <v>401</v>
      </c>
      <c r="Z24" s="25">
        <v>0</v>
      </c>
      <c r="AA24" s="25">
        <v>1</v>
      </c>
      <c r="AB24" s="25" t="s">
        <v>401</v>
      </c>
      <c r="AC24" s="20" t="s">
        <v>683</v>
      </c>
    </row>
    <row r="25" spans="1:29" ht="89.25">
      <c r="A25" s="20" t="s">
        <v>444</v>
      </c>
      <c r="B25" s="21" t="str">
        <f>'Lambda-Optocoupler (All)'!A31</f>
        <v>Open diode</v>
      </c>
      <c r="C25" s="22">
        <f>'Lambda-Optocoupler (All)'!B$28</f>
        <v>8.4558640964896021E-8</v>
      </c>
      <c r="D25" s="23">
        <f>'Lambda-Optocoupler (All)'!C31</f>
        <v>8.3333329999999997E-2</v>
      </c>
      <c r="E25" s="20">
        <f>'Lambda-Optocoupler (All)'!D31</f>
        <v>7.0465531318791983E-9</v>
      </c>
      <c r="F25" s="21" t="s">
        <v>459</v>
      </c>
      <c r="G25" s="21" t="s">
        <v>458</v>
      </c>
      <c r="H25" s="20" t="s">
        <v>43</v>
      </c>
      <c r="I25" s="20" t="s">
        <v>392</v>
      </c>
      <c r="J25" s="20" t="s">
        <v>575</v>
      </c>
      <c r="K25" s="20" t="s">
        <v>675</v>
      </c>
      <c r="L25" s="20" t="s">
        <v>676</v>
      </c>
      <c r="M25" s="20">
        <v>3.2724899999999999</v>
      </c>
      <c r="N25" s="20">
        <v>3.2719999999999998</v>
      </c>
      <c r="O25" s="20">
        <v>3.2749999999999999</v>
      </c>
      <c r="P25" s="20">
        <v>4.3130000000000002E-2</v>
      </c>
      <c r="Q25" s="20">
        <v>4.095E-2</v>
      </c>
      <c r="R25" s="20">
        <v>4.53E-2</v>
      </c>
      <c r="S25" s="25">
        <f t="shared" ref="S25:S29" si="19">ROUND(((M25-MIN($M$3:$R$212))/(MAX($M$3:$R$212)-MIN($M$3:$R$212)))*((2^12)-1), 0)</f>
        <v>4092</v>
      </c>
      <c r="T25" s="25">
        <f t="shared" ref="T25:T29" si="20">ROUND(((N25-MIN($M$3:$R$212))/(MAX($M$3:$R$212)-MIN($M$3:$R$212)))*((2^12)-1), 0)</f>
        <v>4091</v>
      </c>
      <c r="U25" s="25">
        <f t="shared" ref="U25:U29" si="21">ROUND(((O25-MIN($M$3:$R$212))/(MAX($M$3:$R$212)-MIN($M$3:$R$212)))*((2^12)-1), 0)</f>
        <v>4095</v>
      </c>
      <c r="V25" s="25">
        <f t="shared" ref="V25:V29" si="22">ROUND(((P25-MIN($M$3:$R$212))/(MAX($M$3:$R$212)-MIN($M$3:$R$212)))*((2^12)-1), 0)</f>
        <v>54</v>
      </c>
      <c r="W25" s="25">
        <f t="shared" ref="W25:W29" si="23">ROUND(((Q25-MIN($M$3:$R$212))/(MAX($M$3:$R$212)-MIN($M$3:$R$212)))*((2^12)-1), 0)</f>
        <v>51</v>
      </c>
      <c r="X25" s="25">
        <f t="shared" ref="X25:X29" si="24">ROUND(((R25-MIN($M$3:$R$212))/(MAX($M$3:$R$212)-MIN($M$3:$R$212)))*((2^12)-1), 0)</f>
        <v>57</v>
      </c>
      <c r="Y25" s="25" t="s">
        <v>409</v>
      </c>
      <c r="Z25" s="25">
        <v>1</v>
      </c>
      <c r="AA25" s="25">
        <v>1</v>
      </c>
      <c r="AB25" s="25" t="s">
        <v>398</v>
      </c>
      <c r="AC25" s="20" t="s">
        <v>683</v>
      </c>
    </row>
    <row r="26" spans="1:29" ht="89.25">
      <c r="A26" s="20" t="s">
        <v>444</v>
      </c>
      <c r="B26" s="21" t="str">
        <f>'Lambda-Optocoupler (All)'!A32</f>
        <v>Open emitter</v>
      </c>
      <c r="C26" s="22">
        <f>'Lambda-Optocoupler (All)'!B$28</f>
        <v>8.4558640964896021E-8</v>
      </c>
      <c r="D26" s="23">
        <f>'Lambda-Optocoupler (All)'!C32</f>
        <v>8.3333329999999997E-2</v>
      </c>
      <c r="E26" s="20">
        <f>'Lambda-Optocoupler (All)'!D32</f>
        <v>7.0465531318791983E-9</v>
      </c>
      <c r="F26" s="21" t="s">
        <v>460</v>
      </c>
      <c r="G26" s="21" t="s">
        <v>458</v>
      </c>
      <c r="H26" s="20" t="s">
        <v>43</v>
      </c>
      <c r="I26" s="20" t="s">
        <v>392</v>
      </c>
      <c r="J26" s="20" t="s">
        <v>575</v>
      </c>
      <c r="K26" s="20" t="s">
        <v>675</v>
      </c>
      <c r="L26" s="20" t="s">
        <v>676</v>
      </c>
      <c r="M26" s="20">
        <v>3.2724899999999999</v>
      </c>
      <c r="N26" s="20">
        <v>3.2719999999999998</v>
      </c>
      <c r="O26" s="20">
        <v>3.2749999999999999</v>
      </c>
      <c r="P26" s="20">
        <v>4.3130000000000002E-2</v>
      </c>
      <c r="Q26" s="20">
        <v>4.095E-2</v>
      </c>
      <c r="R26" s="20">
        <v>4.53E-2</v>
      </c>
      <c r="S26" s="25">
        <f t="shared" si="19"/>
        <v>4092</v>
      </c>
      <c r="T26" s="25">
        <f t="shared" si="20"/>
        <v>4091</v>
      </c>
      <c r="U26" s="25">
        <f t="shared" si="21"/>
        <v>4095</v>
      </c>
      <c r="V26" s="25">
        <f t="shared" si="22"/>
        <v>54</v>
      </c>
      <c r="W26" s="25">
        <f t="shared" si="23"/>
        <v>51</v>
      </c>
      <c r="X26" s="25">
        <f t="shared" si="24"/>
        <v>57</v>
      </c>
      <c r="Y26" s="25" t="s">
        <v>409</v>
      </c>
      <c r="Z26" s="25">
        <v>1</v>
      </c>
      <c r="AA26" s="25">
        <v>1</v>
      </c>
      <c r="AB26" s="25" t="s">
        <v>398</v>
      </c>
      <c r="AC26" s="20" t="s">
        <v>683</v>
      </c>
    </row>
    <row r="27" spans="1:29" ht="89.25">
      <c r="A27" s="20" t="s">
        <v>444</v>
      </c>
      <c r="B27" s="21" t="str">
        <f>'Lambda-Optocoupler (All)'!A33</f>
        <v>Open collector</v>
      </c>
      <c r="C27" s="22">
        <f>'Lambda-Optocoupler (All)'!B$28</f>
        <v>8.4558640964896021E-8</v>
      </c>
      <c r="D27" s="23">
        <f>'Lambda-Optocoupler (All)'!C33</f>
        <v>8.3333329999999997E-2</v>
      </c>
      <c r="E27" s="20">
        <f>'Lambda-Optocoupler (All)'!D33</f>
        <v>7.0465531318791983E-9</v>
      </c>
      <c r="F27" s="21" t="s">
        <v>460</v>
      </c>
      <c r="G27" s="21" t="s">
        <v>458</v>
      </c>
      <c r="H27" s="20" t="s">
        <v>43</v>
      </c>
      <c r="I27" s="20" t="s">
        <v>392</v>
      </c>
      <c r="J27" s="20" t="s">
        <v>575</v>
      </c>
      <c r="K27" s="20" t="s">
        <v>675</v>
      </c>
      <c r="L27" s="20" t="s">
        <v>676</v>
      </c>
      <c r="M27" s="20">
        <v>3.2724899999999999</v>
      </c>
      <c r="N27" s="20">
        <v>3.2719999999999998</v>
      </c>
      <c r="O27" s="20">
        <v>3.2749999999999999</v>
      </c>
      <c r="P27" s="20">
        <v>4.3130000000000002E-2</v>
      </c>
      <c r="Q27" s="20">
        <v>4.095E-2</v>
      </c>
      <c r="R27" s="20">
        <v>4.53E-2</v>
      </c>
      <c r="S27" s="25">
        <f t="shared" si="19"/>
        <v>4092</v>
      </c>
      <c r="T27" s="25">
        <f t="shared" si="20"/>
        <v>4091</v>
      </c>
      <c r="U27" s="25">
        <f t="shared" si="21"/>
        <v>4095</v>
      </c>
      <c r="V27" s="25">
        <f t="shared" si="22"/>
        <v>54</v>
      </c>
      <c r="W27" s="25">
        <f t="shared" si="23"/>
        <v>51</v>
      </c>
      <c r="X27" s="25">
        <f t="shared" si="24"/>
        <v>57</v>
      </c>
      <c r="Y27" s="25" t="s">
        <v>409</v>
      </c>
      <c r="Z27" s="25">
        <v>1</v>
      </c>
      <c r="AA27" s="25">
        <v>1</v>
      </c>
      <c r="AB27" s="25" t="s">
        <v>398</v>
      </c>
      <c r="AC27" s="20" t="s">
        <v>683</v>
      </c>
    </row>
    <row r="28" spans="1:29" ht="38.25">
      <c r="A28" s="20" t="s">
        <v>444</v>
      </c>
      <c r="B28" s="21" t="str">
        <f>'Lambda-Optocoupler (All)'!A34</f>
        <v>Open base</v>
      </c>
      <c r="C28" s="22">
        <f>'Lambda-Optocoupler (All)'!B$28</f>
        <v>8.4558640964896021E-8</v>
      </c>
      <c r="D28" s="23">
        <f>'Lambda-Optocoupler (All)'!C34</f>
        <v>8.3333329999999997E-2</v>
      </c>
      <c r="E28" s="20">
        <f>'Lambda-Optocoupler (All)'!D34</f>
        <v>7.0465531318791983E-9</v>
      </c>
      <c r="F28" s="21" t="s">
        <v>462</v>
      </c>
      <c r="G28" s="21" t="s">
        <v>461</v>
      </c>
      <c r="H28" s="20" t="s">
        <v>43</v>
      </c>
      <c r="I28" s="20" t="s">
        <v>393</v>
      </c>
      <c r="J28" s="20" t="s">
        <v>393</v>
      </c>
      <c r="K28" s="20" t="s">
        <v>677</v>
      </c>
      <c r="L28" s="20" t="s">
        <v>677</v>
      </c>
      <c r="M28" s="20">
        <v>3.2724899999999999</v>
      </c>
      <c r="N28" s="20">
        <v>3.2719999999999998</v>
      </c>
      <c r="O28" s="20">
        <v>3.2749999999999999</v>
      </c>
      <c r="P28" s="20">
        <v>4.3130000000000002E-2</v>
      </c>
      <c r="Q28" s="20">
        <v>4.095E-2</v>
      </c>
      <c r="R28" s="20">
        <v>4.53E-2</v>
      </c>
      <c r="S28" s="20">
        <f t="shared" si="19"/>
        <v>4092</v>
      </c>
      <c r="T28" s="20">
        <f t="shared" si="20"/>
        <v>4091</v>
      </c>
      <c r="U28" s="20">
        <f t="shared" si="21"/>
        <v>4095</v>
      </c>
      <c r="V28" s="20">
        <f t="shared" si="22"/>
        <v>54</v>
      </c>
      <c r="W28" s="20">
        <f t="shared" si="23"/>
        <v>51</v>
      </c>
      <c r="X28" s="20">
        <f t="shared" si="24"/>
        <v>57</v>
      </c>
      <c r="Y28" s="20" t="s">
        <v>401</v>
      </c>
      <c r="Z28" s="25">
        <v>0</v>
      </c>
      <c r="AA28" s="25">
        <v>1</v>
      </c>
      <c r="AB28" s="25" t="s">
        <v>401</v>
      </c>
      <c r="AC28" s="20" t="s">
        <v>683</v>
      </c>
    </row>
    <row r="29" spans="1:29" ht="38.25">
      <c r="A29" s="20" t="s">
        <v>444</v>
      </c>
      <c r="B29" s="21" t="str">
        <f>'Lambda-Optocoupler (All)'!A35</f>
        <v>Increase of light sensitivity</v>
      </c>
      <c r="C29" s="22">
        <f>'Lambda-Optocoupler (All)'!B$28</f>
        <v>8.4558640964896021E-8</v>
      </c>
      <c r="D29" s="23">
        <f>'Lambda-Optocoupler (All)'!C35</f>
        <v>8.3333329999999997E-2</v>
      </c>
      <c r="E29" s="20">
        <f>'Lambda-Optocoupler (All)'!D35</f>
        <v>7.0465531318791983E-9</v>
      </c>
      <c r="F29" s="21" t="s">
        <v>639</v>
      </c>
      <c r="G29" s="21" t="s">
        <v>463</v>
      </c>
      <c r="H29" s="20" t="s">
        <v>43</v>
      </c>
      <c r="I29" s="20" t="s">
        <v>393</v>
      </c>
      <c r="J29" s="20" t="s">
        <v>393</v>
      </c>
      <c r="K29" s="20" t="s">
        <v>677</v>
      </c>
      <c r="L29" s="20" t="s">
        <v>677</v>
      </c>
      <c r="M29" s="20">
        <v>3.2724899999999999</v>
      </c>
      <c r="N29" s="20">
        <v>3.2719999999999998</v>
      </c>
      <c r="O29" s="20">
        <v>3.2749999999999999</v>
      </c>
      <c r="P29" s="20">
        <v>4.3130000000000002E-2</v>
      </c>
      <c r="Q29" s="20">
        <v>4.095E-2</v>
      </c>
      <c r="R29" s="20">
        <v>4.53E-2</v>
      </c>
      <c r="S29" s="20">
        <f t="shared" si="19"/>
        <v>4092</v>
      </c>
      <c r="T29" s="20">
        <f t="shared" si="20"/>
        <v>4091</v>
      </c>
      <c r="U29" s="20">
        <f t="shared" si="21"/>
        <v>4095</v>
      </c>
      <c r="V29" s="20">
        <f t="shared" si="22"/>
        <v>54</v>
      </c>
      <c r="W29" s="20">
        <f t="shared" si="23"/>
        <v>51</v>
      </c>
      <c r="X29" s="20">
        <f t="shared" si="24"/>
        <v>57</v>
      </c>
      <c r="Y29" s="20" t="s">
        <v>401</v>
      </c>
      <c r="Z29" s="25">
        <v>0</v>
      </c>
      <c r="AA29" s="25">
        <v>1</v>
      </c>
      <c r="AB29" s="25" t="s">
        <v>401</v>
      </c>
      <c r="AC29" s="20" t="s">
        <v>683</v>
      </c>
    </row>
    <row r="30" spans="1:29" ht="51">
      <c r="A30" s="20" t="s">
        <v>444</v>
      </c>
      <c r="B30" s="24" t="str">
        <f>'Lambda-Optocoupler (All)'!A36</f>
        <v>Decrease of light sensitivity</v>
      </c>
      <c r="C30" s="22">
        <f>'Lambda-Optocoupler (All)'!B$28</f>
        <v>8.4558640964896021E-8</v>
      </c>
      <c r="D30" s="23">
        <f>'Lambda-Optocoupler (All)'!C36</f>
        <v>8.3333329999999997E-2</v>
      </c>
      <c r="E30" s="20">
        <f>'Lambda-Optocoupler (All)'!D36</f>
        <v>7.0465531318791983E-9</v>
      </c>
      <c r="F30" s="21" t="s">
        <v>464</v>
      </c>
      <c r="G30" s="21" t="s">
        <v>464</v>
      </c>
      <c r="H30" s="20" t="s">
        <v>43</v>
      </c>
      <c r="I30" s="20" t="s">
        <v>392</v>
      </c>
      <c r="J30" s="20" t="s">
        <v>575</v>
      </c>
      <c r="K30" s="20" t="s">
        <v>675</v>
      </c>
      <c r="L30" s="20" t="s">
        <v>676</v>
      </c>
      <c r="M30" s="20">
        <v>3.2724899999999999</v>
      </c>
      <c r="N30" s="20">
        <v>3.2719999999999998</v>
      </c>
      <c r="O30" s="20">
        <v>3.2749999999999999</v>
      </c>
      <c r="P30" s="20">
        <v>4.3130000000000002E-2</v>
      </c>
      <c r="Q30" s="20">
        <v>4.095E-2</v>
      </c>
      <c r="R30" s="20">
        <v>4.53E-2</v>
      </c>
      <c r="S30" s="25">
        <f t="shared" ref="S30:X31" si="25">ROUND(((M30-MIN($M$3:$R$212))/(MAX($M$3:$R$212)-MIN($M$3:$R$212)))*((2^12)-1), 0)</f>
        <v>4092</v>
      </c>
      <c r="T30" s="25">
        <f t="shared" si="25"/>
        <v>4091</v>
      </c>
      <c r="U30" s="25">
        <f t="shared" si="25"/>
        <v>4095</v>
      </c>
      <c r="V30" s="25">
        <f t="shared" si="25"/>
        <v>54</v>
      </c>
      <c r="W30" s="25">
        <f t="shared" si="25"/>
        <v>51</v>
      </c>
      <c r="X30" s="25">
        <f t="shared" si="25"/>
        <v>57</v>
      </c>
      <c r="Y30" s="25" t="s">
        <v>409</v>
      </c>
      <c r="Z30" s="25">
        <v>1</v>
      </c>
      <c r="AA30" s="25">
        <v>1</v>
      </c>
      <c r="AB30" s="25" t="s">
        <v>398</v>
      </c>
      <c r="AC30" s="20" t="s">
        <v>683</v>
      </c>
    </row>
    <row r="31" spans="1:29" ht="89.25">
      <c r="A31" s="20" t="s">
        <v>444</v>
      </c>
      <c r="B31" s="24" t="str">
        <f>'Lambda-Optocoupler (All)'!A37</f>
        <v>Increase of leakage current</v>
      </c>
      <c r="C31" s="22">
        <f>'Lambda-Optocoupler (All)'!B$28</f>
        <v>8.4558640964896021E-8</v>
      </c>
      <c r="D31" s="23">
        <f>'Lambda-Optocoupler (All)'!C37</f>
        <v>0.125</v>
      </c>
      <c r="E31" s="20">
        <f>'Lambda-Optocoupler (All)'!D37</f>
        <v>1.0569830120612003E-8</v>
      </c>
      <c r="F31" s="24" t="s">
        <v>608</v>
      </c>
      <c r="G31" s="21" t="s">
        <v>458</v>
      </c>
      <c r="H31" s="20" t="s">
        <v>43</v>
      </c>
      <c r="I31" s="20" t="s">
        <v>392</v>
      </c>
      <c r="J31" s="20" t="s">
        <v>575</v>
      </c>
      <c r="K31" s="20" t="s">
        <v>675</v>
      </c>
      <c r="L31" s="20" t="s">
        <v>676</v>
      </c>
      <c r="M31" s="20">
        <v>3.2724899999999999</v>
      </c>
      <c r="N31" s="20">
        <v>3.2719999999999998</v>
      </c>
      <c r="O31" s="20">
        <v>3.2749999999999999</v>
      </c>
      <c r="P31" s="20">
        <v>4.3130000000000002E-2</v>
      </c>
      <c r="Q31" s="20">
        <v>4.095E-2</v>
      </c>
      <c r="R31" s="20">
        <v>4.53E-2</v>
      </c>
      <c r="S31" s="25">
        <f t="shared" si="25"/>
        <v>4092</v>
      </c>
      <c r="T31" s="25">
        <f t="shared" si="25"/>
        <v>4091</v>
      </c>
      <c r="U31" s="25">
        <f t="shared" si="25"/>
        <v>4095</v>
      </c>
      <c r="V31" s="25">
        <f t="shared" si="25"/>
        <v>54</v>
      </c>
      <c r="W31" s="25">
        <f t="shared" si="25"/>
        <v>51</v>
      </c>
      <c r="X31" s="25">
        <f t="shared" si="25"/>
        <v>57</v>
      </c>
      <c r="Y31" s="25" t="s">
        <v>409</v>
      </c>
      <c r="Z31" s="25">
        <v>1</v>
      </c>
      <c r="AA31" s="25">
        <v>1</v>
      </c>
      <c r="AB31" s="25" t="s">
        <v>398</v>
      </c>
      <c r="AC31" s="20" t="s">
        <v>683</v>
      </c>
    </row>
    <row r="32" spans="1:29" ht="267.75">
      <c r="A32" s="20" t="s">
        <v>444</v>
      </c>
      <c r="B32" s="24" t="str">
        <f>'Lambda-Optocoupler (All)'!A38</f>
        <v>Reduced insulation between input and output</v>
      </c>
      <c r="C32" s="22">
        <f>'Lambda-Optocoupler (All)'!B$28</f>
        <v>8.4558640964896021E-8</v>
      </c>
      <c r="D32" s="23">
        <f>'Lambda-Optocoupler (All)'!C38</f>
        <v>0.125</v>
      </c>
      <c r="E32" s="20">
        <f>'Lambda-Optocoupler (All)'!D38</f>
        <v>1.0569830120612003E-8</v>
      </c>
      <c r="F32" s="21" t="s">
        <v>465</v>
      </c>
      <c r="G32" s="21" t="s">
        <v>503</v>
      </c>
      <c r="H32" s="20" t="s">
        <v>43</v>
      </c>
      <c r="I32" s="20" t="s">
        <v>45</v>
      </c>
      <c r="J32" s="20" t="s">
        <v>571</v>
      </c>
      <c r="K32" s="20" t="s">
        <v>675</v>
      </c>
      <c r="L32" s="20" t="s">
        <v>675</v>
      </c>
      <c r="M32" s="20">
        <v>3.2724899999999999</v>
      </c>
      <c r="N32" s="20">
        <v>3.2719999999999998</v>
      </c>
      <c r="O32" s="20">
        <v>3.2749999999999999</v>
      </c>
      <c r="P32" s="20">
        <v>4.3130000000000002E-2</v>
      </c>
      <c r="Q32" s="20">
        <v>4.095E-2</v>
      </c>
      <c r="R32" s="20">
        <v>4.53E-2</v>
      </c>
      <c r="S32" s="25">
        <f t="shared" ref="S32" si="26">ROUND(((M32-MIN($M$3:$R$212))/(MAX($M$3:$R$212)-MIN($M$3:$R$212)))*((2^12)-1), 0)</f>
        <v>4092</v>
      </c>
      <c r="T32" s="25">
        <f t="shared" ref="T32" si="27">ROUND(((N32-MIN($M$3:$R$212))/(MAX($M$3:$R$212)-MIN($M$3:$R$212)))*((2^12)-1), 0)</f>
        <v>4091</v>
      </c>
      <c r="U32" s="25">
        <f t="shared" ref="U32" si="28">ROUND(((O32-MIN($M$3:$R$212))/(MAX($M$3:$R$212)-MIN($M$3:$R$212)))*((2^12)-1), 0)</f>
        <v>4095</v>
      </c>
      <c r="V32" s="25">
        <f t="shared" ref="V32" si="29">ROUND(((P32-MIN($M$3:$R$212))/(MAX($M$3:$R$212)-MIN($M$3:$R$212)))*((2^12)-1), 0)</f>
        <v>54</v>
      </c>
      <c r="W32" s="25">
        <f t="shared" ref="W32" si="30">ROUND(((Q32-MIN($M$3:$R$212))/(MAX($M$3:$R$212)-MIN($M$3:$R$212)))*((2^12)-1), 0)</f>
        <v>51</v>
      </c>
      <c r="X32" s="25">
        <f t="shared" ref="X32" si="31">ROUND(((R32-MIN($M$3:$R$212))/(MAX($M$3:$R$212)-MIN($M$3:$R$212)))*((2^12)-1), 0)</f>
        <v>57</v>
      </c>
      <c r="Y32" s="25" t="s">
        <v>409</v>
      </c>
      <c r="Z32" s="25">
        <v>0</v>
      </c>
      <c r="AA32" s="25">
        <v>1</v>
      </c>
      <c r="AB32" s="25" t="s">
        <v>453</v>
      </c>
      <c r="AC32" s="25" t="s">
        <v>678</v>
      </c>
    </row>
    <row r="33" spans="1:29" ht="114.75">
      <c r="A33" s="20" t="s">
        <v>444</v>
      </c>
      <c r="B33" s="24" t="str">
        <f>'Lambda-Optocoupler (All)'!A39</f>
        <v>Change on switching time</v>
      </c>
      <c r="C33" s="22">
        <f>'Lambda-Optocoupler (All)'!B$28</f>
        <v>8.4558640964896021E-8</v>
      </c>
      <c r="D33" s="23">
        <f>'Lambda-Optocoupler (All)'!C39</f>
        <v>8.3333329999999997E-2</v>
      </c>
      <c r="E33" s="20">
        <f>'Lambda-Optocoupler (All)'!D39</f>
        <v>7.0465531318791983E-9</v>
      </c>
      <c r="F33" s="21" t="s">
        <v>466</v>
      </c>
      <c r="G33" s="26" t="s">
        <v>670</v>
      </c>
      <c r="H33" s="20" t="s">
        <v>43</v>
      </c>
      <c r="I33" s="20" t="s">
        <v>45</v>
      </c>
      <c r="J33" s="20" t="s">
        <v>571</v>
      </c>
      <c r="K33" s="20" t="s">
        <v>675</v>
      </c>
      <c r="L33" s="20" t="s">
        <v>675</v>
      </c>
      <c r="M33" s="20">
        <v>3.2724899999999999</v>
      </c>
      <c r="N33" s="20">
        <v>3.2719999999999998</v>
      </c>
      <c r="O33" s="20">
        <v>3.2749999999999999</v>
      </c>
      <c r="P33" s="20">
        <v>4.3130000000000002E-2</v>
      </c>
      <c r="Q33" s="20">
        <v>4.095E-2</v>
      </c>
      <c r="R33" s="20">
        <v>4.53E-2</v>
      </c>
      <c r="S33" s="20">
        <f t="shared" ref="S33:X35" si="32">ROUND(((M33-MIN($M$3:$R$212))/(MAX($M$3:$R$212)-MIN($M$3:$R$212)))*((2^12)-1), 0)</f>
        <v>4092</v>
      </c>
      <c r="T33" s="20">
        <f t="shared" si="32"/>
        <v>4091</v>
      </c>
      <c r="U33" s="20">
        <f t="shared" si="32"/>
        <v>4095</v>
      </c>
      <c r="V33" s="20">
        <f t="shared" si="32"/>
        <v>54</v>
      </c>
      <c r="W33" s="20">
        <f t="shared" si="32"/>
        <v>51</v>
      </c>
      <c r="X33" s="20">
        <f t="shared" si="32"/>
        <v>57</v>
      </c>
      <c r="Y33" s="20" t="s">
        <v>401</v>
      </c>
      <c r="Z33" s="25">
        <v>1</v>
      </c>
      <c r="AA33" s="25">
        <v>0</v>
      </c>
      <c r="AB33" s="25" t="s">
        <v>467</v>
      </c>
      <c r="AC33" s="20" t="s">
        <v>678</v>
      </c>
    </row>
    <row r="34" spans="1:29" ht="38.25">
      <c r="A34" s="20" t="s">
        <v>444</v>
      </c>
      <c r="B34" s="21" t="str">
        <f>'Lambda-Optocoupler (All)'!A40</f>
        <v>Increase of current gain</v>
      </c>
      <c r="C34" s="22">
        <f>'Lambda-Optocoupler (All)'!B$28</f>
        <v>8.4558640964896021E-8</v>
      </c>
      <c r="D34" s="23">
        <f>'Lambda-Optocoupler (All)'!C40</f>
        <v>8.3333329999999997E-2</v>
      </c>
      <c r="E34" s="20">
        <f>'Lambda-Optocoupler (All)'!D40</f>
        <v>7.0465531318791983E-9</v>
      </c>
      <c r="F34" s="21" t="s">
        <v>639</v>
      </c>
      <c r="G34" s="21" t="s">
        <v>463</v>
      </c>
      <c r="H34" s="20" t="s">
        <v>43</v>
      </c>
      <c r="I34" s="20" t="s">
        <v>393</v>
      </c>
      <c r="J34" s="20" t="s">
        <v>393</v>
      </c>
      <c r="K34" s="20" t="s">
        <v>677</v>
      </c>
      <c r="L34" s="20" t="s">
        <v>677</v>
      </c>
      <c r="M34" s="20">
        <v>3.2724899999999999</v>
      </c>
      <c r="N34" s="20">
        <v>3.2719999999999998</v>
      </c>
      <c r="O34" s="20">
        <v>3.2749999999999999</v>
      </c>
      <c r="P34" s="20">
        <v>4.3130000000000002E-2</v>
      </c>
      <c r="Q34" s="20">
        <v>4.095E-2</v>
      </c>
      <c r="R34" s="20">
        <v>4.53E-2</v>
      </c>
      <c r="S34" s="20">
        <f t="shared" si="32"/>
        <v>4092</v>
      </c>
      <c r="T34" s="20">
        <f t="shared" si="32"/>
        <v>4091</v>
      </c>
      <c r="U34" s="20">
        <f t="shared" si="32"/>
        <v>4095</v>
      </c>
      <c r="V34" s="20">
        <f t="shared" si="32"/>
        <v>54</v>
      </c>
      <c r="W34" s="20">
        <f t="shared" si="32"/>
        <v>51</v>
      </c>
      <c r="X34" s="20">
        <f t="shared" si="32"/>
        <v>57</v>
      </c>
      <c r="Y34" s="20" t="s">
        <v>401</v>
      </c>
      <c r="Z34" s="25">
        <v>0</v>
      </c>
      <c r="AA34" s="25">
        <v>1</v>
      </c>
      <c r="AB34" s="25" t="s">
        <v>401</v>
      </c>
      <c r="AC34" s="20" t="s">
        <v>683</v>
      </c>
    </row>
    <row r="35" spans="1:29" ht="114.75">
      <c r="A35" s="20" t="s">
        <v>444</v>
      </c>
      <c r="B35" s="24" t="str">
        <f>'Lambda-Optocoupler (All)'!A41</f>
        <v>Decrease of current gain</v>
      </c>
      <c r="C35" s="22">
        <f>'Lambda-Optocoupler (All)'!B$28</f>
        <v>8.4558640964896021E-8</v>
      </c>
      <c r="D35" s="23">
        <f>'Lambda-Optocoupler (All)'!C41</f>
        <v>8.3333329999999997E-2</v>
      </c>
      <c r="E35" s="20">
        <f>'Lambda-Optocoupler (All)'!D41</f>
        <v>7.0465531318791983E-9</v>
      </c>
      <c r="F35" s="21" t="s">
        <v>468</v>
      </c>
      <c r="G35" s="21" t="s">
        <v>469</v>
      </c>
      <c r="H35" s="20" t="s">
        <v>43</v>
      </c>
      <c r="I35" s="20" t="s">
        <v>392</v>
      </c>
      <c r="J35" s="20" t="s">
        <v>575</v>
      </c>
      <c r="K35" s="20" t="s">
        <v>675</v>
      </c>
      <c r="L35" s="20" t="s">
        <v>676</v>
      </c>
      <c r="M35" s="20">
        <v>3.2724899999999999</v>
      </c>
      <c r="N35" s="20">
        <v>3.2719999999999998</v>
      </c>
      <c r="O35" s="20">
        <v>3.2749999999999999</v>
      </c>
      <c r="P35" s="20">
        <v>4.3130000000000002E-2</v>
      </c>
      <c r="Q35" s="20">
        <v>4.095E-2</v>
      </c>
      <c r="R35" s="20">
        <v>4.53E-2</v>
      </c>
      <c r="S35" s="25">
        <f t="shared" si="32"/>
        <v>4092</v>
      </c>
      <c r="T35" s="25">
        <f t="shared" si="32"/>
        <v>4091</v>
      </c>
      <c r="U35" s="25">
        <f t="shared" si="32"/>
        <v>4095</v>
      </c>
      <c r="V35" s="25">
        <f t="shared" si="32"/>
        <v>54</v>
      </c>
      <c r="W35" s="25">
        <f t="shared" si="32"/>
        <v>51</v>
      </c>
      <c r="X35" s="25">
        <f t="shared" si="32"/>
        <v>57</v>
      </c>
      <c r="Y35" s="25" t="s">
        <v>409</v>
      </c>
      <c r="Z35" s="25">
        <v>1</v>
      </c>
      <c r="AA35" s="25">
        <v>1</v>
      </c>
      <c r="AB35" s="25" t="s">
        <v>398</v>
      </c>
      <c r="AC35" s="20" t="s">
        <v>683</v>
      </c>
    </row>
    <row r="36" spans="1:29" ht="102">
      <c r="A36" s="20" t="s">
        <v>445</v>
      </c>
      <c r="B36" s="21" t="str">
        <f>'Lambda-Resistor (All)'!A35</f>
        <v>Open</v>
      </c>
      <c r="C36" s="22">
        <f>'Lambda-Resistor (All)'!B$32</f>
        <v>4.1612004167966296E-9</v>
      </c>
      <c r="D36" s="23">
        <f>'Lambda-Resistor (All)'!C35</f>
        <v>0.59</v>
      </c>
      <c r="E36" s="20">
        <f>'Lambda-Resistor (All)'!D35</f>
        <v>2.4551082459100113E-9</v>
      </c>
      <c r="F36" s="21" t="s">
        <v>470</v>
      </c>
      <c r="G36" s="21" t="s">
        <v>519</v>
      </c>
      <c r="H36" s="20" t="s">
        <v>43</v>
      </c>
      <c r="I36" s="20" t="s">
        <v>45</v>
      </c>
      <c r="J36" s="20" t="s">
        <v>571</v>
      </c>
      <c r="K36" s="20" t="s">
        <v>675</v>
      </c>
      <c r="L36" s="20" t="s">
        <v>675</v>
      </c>
      <c r="M36" s="20">
        <v>3.2724899999999999</v>
      </c>
      <c r="N36" s="20">
        <v>3.2719999999999998</v>
      </c>
      <c r="O36" s="20">
        <v>3.2749999999999999</v>
      </c>
      <c r="P36" s="20">
        <v>4.3130000000000002E-2</v>
      </c>
      <c r="Q36" s="20">
        <v>4.095E-2</v>
      </c>
      <c r="R36" s="20">
        <v>4.53E-2</v>
      </c>
      <c r="S36" s="20">
        <f t="shared" ref="S36:X40" si="33">ROUND(((M36-MIN($M$3:$R$212))/(MAX($M$3:$R$212)-MIN($M$3:$R$212)))*((2^12)-1), 0)</f>
        <v>4092</v>
      </c>
      <c r="T36" s="20">
        <f t="shared" si="33"/>
        <v>4091</v>
      </c>
      <c r="U36" s="20">
        <f t="shared" si="33"/>
        <v>4095</v>
      </c>
      <c r="V36" s="20">
        <f t="shared" si="33"/>
        <v>54</v>
      </c>
      <c r="W36" s="20">
        <f t="shared" si="33"/>
        <v>51</v>
      </c>
      <c r="X36" s="20">
        <f t="shared" si="33"/>
        <v>57</v>
      </c>
      <c r="Y36" s="25" t="s">
        <v>454</v>
      </c>
      <c r="Z36" s="25">
        <v>0</v>
      </c>
      <c r="AA36" s="25">
        <v>1</v>
      </c>
      <c r="AB36" s="25" t="s">
        <v>453</v>
      </c>
      <c r="AC36" s="20" t="s">
        <v>678</v>
      </c>
    </row>
    <row r="37" spans="1:29" ht="51">
      <c r="A37" s="20" t="s">
        <v>445</v>
      </c>
      <c r="B37" s="24" t="str">
        <f>'Lambda-Resistor (All)'!A36</f>
        <v>Short-Circuit</v>
      </c>
      <c r="C37" s="22">
        <f>'Lambda-Resistor (All)'!B$32</f>
        <v>4.1612004167966296E-9</v>
      </c>
      <c r="D37" s="23">
        <f>'Lambda-Resistor (All)'!C36</f>
        <v>0.05</v>
      </c>
      <c r="E37" s="20">
        <f>'Lambda-Resistor (All)'!D36</f>
        <v>2.080600208398315E-10</v>
      </c>
      <c r="F37" s="21" t="s">
        <v>471</v>
      </c>
      <c r="G37" s="21" t="s">
        <v>472</v>
      </c>
      <c r="H37" s="20" t="s">
        <v>43</v>
      </c>
      <c r="I37" s="25" t="s">
        <v>392</v>
      </c>
      <c r="J37" s="25" t="s">
        <v>504</v>
      </c>
      <c r="K37" s="25" t="s">
        <v>673</v>
      </c>
      <c r="L37" s="20" t="s">
        <v>676</v>
      </c>
      <c r="M37" s="20">
        <v>3.1999999999999999E-6</v>
      </c>
      <c r="N37" s="20">
        <v>3.1999999999999999E-6</v>
      </c>
      <c r="O37" s="20">
        <v>3.1999999999999999E-6</v>
      </c>
      <c r="P37" s="20">
        <v>3.1999999999999999E-6</v>
      </c>
      <c r="Q37" s="20">
        <v>3.1999999999999999E-6</v>
      </c>
      <c r="R37" s="20">
        <v>3.1999999999999999E-6</v>
      </c>
      <c r="S37" s="20">
        <f t="shared" si="33"/>
        <v>0</v>
      </c>
      <c r="T37" s="20">
        <f t="shared" si="33"/>
        <v>0</v>
      </c>
      <c r="U37" s="20">
        <f t="shared" si="33"/>
        <v>0</v>
      </c>
      <c r="V37" s="20">
        <f t="shared" si="33"/>
        <v>0</v>
      </c>
      <c r="W37" s="20">
        <f t="shared" si="33"/>
        <v>0</v>
      </c>
      <c r="X37" s="20">
        <f t="shared" si="33"/>
        <v>0</v>
      </c>
      <c r="Y37" s="20" t="s">
        <v>398</v>
      </c>
      <c r="Z37" s="25">
        <v>1</v>
      </c>
      <c r="AA37" s="25">
        <v>1</v>
      </c>
      <c r="AB37" s="25" t="s">
        <v>398</v>
      </c>
      <c r="AC37" s="20" t="s">
        <v>683</v>
      </c>
    </row>
    <row r="38" spans="1:29" ht="51">
      <c r="A38" s="20" t="s">
        <v>445</v>
      </c>
      <c r="B38" s="24" t="str">
        <f>'Lambda-Resistor (All)'!A37</f>
        <v>Increase of Resistance Value</v>
      </c>
      <c r="C38" s="22">
        <f>'Lambda-Resistor (All)'!B$32</f>
        <v>4.1612004167966296E-9</v>
      </c>
      <c r="D38" s="23">
        <f>'Lambda-Resistor (All)'!C37</f>
        <v>0.18</v>
      </c>
      <c r="E38" s="20">
        <f>'Lambda-Resistor (All)'!D37</f>
        <v>7.4901607502339334E-10</v>
      </c>
      <c r="F38" s="21" t="s">
        <v>380</v>
      </c>
      <c r="G38" s="21" t="s">
        <v>380</v>
      </c>
      <c r="H38" s="20" t="s">
        <v>43</v>
      </c>
      <c r="I38" s="20" t="s">
        <v>45</v>
      </c>
      <c r="J38" s="20" t="s">
        <v>571</v>
      </c>
      <c r="K38" s="20" t="s">
        <v>675</v>
      </c>
      <c r="L38" s="20" t="s">
        <v>675</v>
      </c>
      <c r="M38" s="20">
        <v>3.2724899999999999</v>
      </c>
      <c r="N38" s="20">
        <v>3.2719999999999998</v>
      </c>
      <c r="O38" s="20">
        <v>3.2749999999999999</v>
      </c>
      <c r="P38" s="20">
        <v>4.3130000000000002E-2</v>
      </c>
      <c r="Q38" s="20">
        <v>4.095E-2</v>
      </c>
      <c r="R38" s="20">
        <v>4.53E-2</v>
      </c>
      <c r="S38" s="20">
        <f t="shared" si="33"/>
        <v>4092</v>
      </c>
      <c r="T38" s="20">
        <f t="shared" si="33"/>
        <v>4091</v>
      </c>
      <c r="U38" s="20">
        <f t="shared" si="33"/>
        <v>4095</v>
      </c>
      <c r="V38" s="20">
        <f t="shared" si="33"/>
        <v>54</v>
      </c>
      <c r="W38" s="20">
        <f t="shared" si="33"/>
        <v>51</v>
      </c>
      <c r="X38" s="20">
        <f t="shared" si="33"/>
        <v>57</v>
      </c>
      <c r="Y38" s="25" t="s">
        <v>454</v>
      </c>
      <c r="Z38" s="25">
        <v>0</v>
      </c>
      <c r="AA38" s="25">
        <v>1</v>
      </c>
      <c r="AB38" s="25" t="s">
        <v>453</v>
      </c>
      <c r="AC38" s="20" t="s">
        <v>678</v>
      </c>
    </row>
    <row r="39" spans="1:29" ht="51">
      <c r="A39" s="20" t="s">
        <v>445</v>
      </c>
      <c r="B39" s="24" t="str">
        <f>'Lambda-Resistor (All)'!A38</f>
        <v>Decrease of Resistance Value</v>
      </c>
      <c r="C39" s="22">
        <f>'Lambda-Resistor (All)'!B$32</f>
        <v>4.1612004167966296E-9</v>
      </c>
      <c r="D39" s="23">
        <f>'Lambda-Resistor (All)'!C38</f>
        <v>0.18</v>
      </c>
      <c r="E39" s="20">
        <f>'Lambda-Resistor (All)'!D38</f>
        <v>7.4901607502339334E-10</v>
      </c>
      <c r="F39" s="21" t="s">
        <v>381</v>
      </c>
      <c r="G39" s="21" t="s">
        <v>381</v>
      </c>
      <c r="H39" s="20" t="s">
        <v>43</v>
      </c>
      <c r="I39" s="25" t="s">
        <v>392</v>
      </c>
      <c r="J39" s="25" t="s">
        <v>504</v>
      </c>
      <c r="K39" s="25" t="s">
        <v>673</v>
      </c>
      <c r="L39" s="20" t="s">
        <v>676</v>
      </c>
      <c r="M39" s="20">
        <v>3.1999999999999999E-6</v>
      </c>
      <c r="N39" s="20">
        <v>3.1999999999999999E-6</v>
      </c>
      <c r="O39" s="20">
        <v>3.1999999999999999E-6</v>
      </c>
      <c r="P39" s="20">
        <v>3.1999999999999999E-6</v>
      </c>
      <c r="Q39" s="20">
        <v>3.1999999999999999E-6</v>
      </c>
      <c r="R39" s="20">
        <v>3.1999999999999999E-6</v>
      </c>
      <c r="S39" s="20">
        <f t="shared" si="33"/>
        <v>0</v>
      </c>
      <c r="T39" s="20">
        <f t="shared" si="33"/>
        <v>0</v>
      </c>
      <c r="U39" s="20">
        <f t="shared" si="33"/>
        <v>0</v>
      </c>
      <c r="V39" s="20">
        <f t="shared" si="33"/>
        <v>0</v>
      </c>
      <c r="W39" s="20">
        <f t="shared" si="33"/>
        <v>0</v>
      </c>
      <c r="X39" s="20">
        <f t="shared" si="33"/>
        <v>0</v>
      </c>
      <c r="Y39" s="20" t="s">
        <v>398</v>
      </c>
      <c r="Z39" s="25">
        <v>1</v>
      </c>
      <c r="AA39" s="25">
        <v>1</v>
      </c>
      <c r="AB39" s="25" t="s">
        <v>398</v>
      </c>
      <c r="AC39" s="20" t="s">
        <v>683</v>
      </c>
    </row>
    <row r="40" spans="1:29" ht="38.25">
      <c r="A40" s="20" t="s">
        <v>445</v>
      </c>
      <c r="B40" s="21" t="str">
        <f>'Lambda-Resistor (All)'!A39</f>
        <v>Short-Circuit to Casing</v>
      </c>
      <c r="C40" s="22">
        <f>'Lambda-Resistor (All)'!B$32</f>
        <v>4.1612004167966296E-9</v>
      </c>
      <c r="D40" s="23">
        <f>'Lambda-Resistor (All)'!C39</f>
        <v>0</v>
      </c>
      <c r="E40" s="20">
        <f>'Lambda-Resistor (All)'!D39</f>
        <v>0</v>
      </c>
      <c r="F40" s="21" t="s">
        <v>382</v>
      </c>
      <c r="G40" s="26" t="s">
        <v>382</v>
      </c>
      <c r="H40" s="20" t="s">
        <v>43</v>
      </c>
      <c r="I40" s="20" t="s">
        <v>393</v>
      </c>
      <c r="J40" s="20" t="s">
        <v>393</v>
      </c>
      <c r="K40" s="20" t="s">
        <v>677</v>
      </c>
      <c r="L40" s="20" t="s">
        <v>677</v>
      </c>
      <c r="M40" s="20">
        <v>3.2724899999999999</v>
      </c>
      <c r="N40" s="20">
        <v>3.2719999999999998</v>
      </c>
      <c r="O40" s="20">
        <v>3.2749999999999999</v>
      </c>
      <c r="P40" s="20">
        <v>4.3130000000000002E-2</v>
      </c>
      <c r="Q40" s="20">
        <v>4.095E-2</v>
      </c>
      <c r="R40" s="20">
        <v>4.53E-2</v>
      </c>
      <c r="S40" s="20">
        <f t="shared" si="33"/>
        <v>4092</v>
      </c>
      <c r="T40" s="20">
        <f t="shared" si="33"/>
        <v>4091</v>
      </c>
      <c r="U40" s="20">
        <f t="shared" si="33"/>
        <v>4095</v>
      </c>
      <c r="V40" s="20">
        <f t="shared" si="33"/>
        <v>54</v>
      </c>
      <c r="W40" s="20">
        <f t="shared" si="33"/>
        <v>51</v>
      </c>
      <c r="X40" s="20">
        <f t="shared" si="33"/>
        <v>57</v>
      </c>
      <c r="Y40" s="20" t="s">
        <v>401</v>
      </c>
      <c r="Z40" s="25">
        <v>0</v>
      </c>
      <c r="AA40" s="25">
        <v>1</v>
      </c>
      <c r="AB40" s="25" t="s">
        <v>401</v>
      </c>
      <c r="AC40" s="20" t="s">
        <v>683</v>
      </c>
    </row>
    <row r="41" spans="1:29" ht="38.25">
      <c r="A41" s="20" t="s">
        <v>341</v>
      </c>
      <c r="B41" s="21" t="str">
        <f>'Lambda-DC DC Converter (All)'!A34</f>
        <v>No Output</v>
      </c>
      <c r="C41" s="22">
        <f>'Lambda-DC DC Converter (All)'!B$31</f>
        <v>2.1388134027995368E-8</v>
      </c>
      <c r="D41" s="23">
        <f>'Lambda-DC DC Converter (All)'!C34</f>
        <v>0.23</v>
      </c>
      <c r="E41" s="20">
        <f>'Lambda-DC DC Converter (All)'!D34</f>
        <v>4.9192708264389344E-9</v>
      </c>
      <c r="F41" s="21" t="s">
        <v>473</v>
      </c>
      <c r="G41" s="21" t="s">
        <v>474</v>
      </c>
      <c r="H41" s="20" t="s">
        <v>43</v>
      </c>
      <c r="I41" s="20" t="s">
        <v>392</v>
      </c>
      <c r="J41" s="20" t="s">
        <v>573</v>
      </c>
      <c r="K41" s="20" t="s">
        <v>475</v>
      </c>
      <c r="L41" s="20" t="s">
        <v>475</v>
      </c>
      <c r="M41" s="20" t="s">
        <v>475</v>
      </c>
      <c r="N41" s="20" t="s">
        <v>475</v>
      </c>
      <c r="O41" s="20" t="s">
        <v>475</v>
      </c>
      <c r="P41" s="20" t="s">
        <v>475</v>
      </c>
      <c r="Q41" s="20" t="s">
        <v>475</v>
      </c>
      <c r="R41" s="20" t="s">
        <v>475</v>
      </c>
      <c r="S41" s="20" t="s">
        <v>475</v>
      </c>
      <c r="T41" s="20" t="s">
        <v>475</v>
      </c>
      <c r="U41" s="20" t="s">
        <v>475</v>
      </c>
      <c r="V41" s="20" t="s">
        <v>475</v>
      </c>
      <c r="W41" s="20" t="s">
        <v>475</v>
      </c>
      <c r="X41" s="20" t="s">
        <v>475</v>
      </c>
      <c r="Y41" s="20" t="s">
        <v>578</v>
      </c>
      <c r="Z41" s="25" t="s">
        <v>475</v>
      </c>
      <c r="AA41" s="25" t="s">
        <v>475</v>
      </c>
      <c r="AB41" s="25" t="s">
        <v>476</v>
      </c>
      <c r="AC41" s="20" t="s">
        <v>683</v>
      </c>
    </row>
    <row r="42" spans="1:29" ht="102">
      <c r="A42" s="20" t="s">
        <v>341</v>
      </c>
      <c r="B42" s="24" t="str">
        <f>'Lambda-DC DC Converter (All)'!A35</f>
        <v>Increase in Output Voltage</v>
      </c>
      <c r="C42" s="22">
        <f>'Lambda-DC DC Converter (All)'!B$31</f>
        <v>2.1388134027995368E-8</v>
      </c>
      <c r="D42" s="23">
        <f>'Lambda-DC DC Converter (All)'!C35</f>
        <v>0.25666666666666665</v>
      </c>
      <c r="E42" s="20">
        <f>'Lambda-DC DC Converter (All)'!D35</f>
        <v>5.4896210671854778E-9</v>
      </c>
      <c r="F42" s="21" t="s">
        <v>660</v>
      </c>
      <c r="G42" s="26" t="s">
        <v>661</v>
      </c>
      <c r="H42" s="20" t="s">
        <v>43</v>
      </c>
      <c r="I42" s="20" t="s">
        <v>392</v>
      </c>
      <c r="J42" s="25" t="s">
        <v>504</v>
      </c>
      <c r="K42" s="25" t="s">
        <v>673</v>
      </c>
      <c r="L42" s="20" t="s">
        <v>675</v>
      </c>
      <c r="M42" s="20">
        <v>3.1999999999999999E-6</v>
      </c>
      <c r="N42" s="20">
        <v>3.1999999999999999E-6</v>
      </c>
      <c r="O42" s="20">
        <v>3.1999999999999999E-6</v>
      </c>
      <c r="P42" s="20">
        <v>3.1999999999999999E-6</v>
      </c>
      <c r="Q42" s="20">
        <v>3.1999999999999999E-6</v>
      </c>
      <c r="R42" s="20">
        <v>3.1999999999999999E-6</v>
      </c>
      <c r="S42" s="20">
        <f t="shared" ref="S42:X44" si="34">ROUND(((M42-MIN($M$3:$R$212))/(MAX($M$3:$R$212)-MIN($M$3:$R$212)))*((2^12)-1), 0)</f>
        <v>0</v>
      </c>
      <c r="T42" s="20">
        <f t="shared" si="34"/>
        <v>0</v>
      </c>
      <c r="U42" s="20">
        <f t="shared" si="34"/>
        <v>0</v>
      </c>
      <c r="V42" s="20">
        <f t="shared" si="34"/>
        <v>0</v>
      </c>
      <c r="W42" s="20">
        <f t="shared" si="34"/>
        <v>0</v>
      </c>
      <c r="X42" s="20">
        <f t="shared" si="34"/>
        <v>0</v>
      </c>
      <c r="Y42" s="20" t="s">
        <v>398</v>
      </c>
      <c r="Z42" s="25">
        <v>0</v>
      </c>
      <c r="AA42" s="25">
        <v>1</v>
      </c>
      <c r="AB42" s="25" t="s">
        <v>401</v>
      </c>
      <c r="AC42" s="20" t="s">
        <v>683</v>
      </c>
    </row>
    <row r="43" spans="1:29" ht="102">
      <c r="A43" s="20" t="s">
        <v>341</v>
      </c>
      <c r="B43" s="24" t="str">
        <f>'Lambda-DC DC Converter (All)'!A36</f>
        <v>Decrease in Output Voltage</v>
      </c>
      <c r="C43" s="22">
        <f>'Lambda-DC DC Converter (All)'!B$31</f>
        <v>2.1388134027995368E-8</v>
      </c>
      <c r="D43" s="23">
        <f>'Lambda-DC DC Converter (All)'!C36</f>
        <v>0.25666666666666665</v>
      </c>
      <c r="E43" s="20">
        <f>'Lambda-DC DC Converter (All)'!D36</f>
        <v>5.4896210671854778E-9</v>
      </c>
      <c r="F43" s="21" t="s">
        <v>662</v>
      </c>
      <c r="G43" s="26" t="s">
        <v>661</v>
      </c>
      <c r="H43" s="20" t="s">
        <v>43</v>
      </c>
      <c r="I43" s="20" t="s">
        <v>392</v>
      </c>
      <c r="J43" s="25" t="s">
        <v>504</v>
      </c>
      <c r="K43" s="25" t="s">
        <v>673</v>
      </c>
      <c r="L43" s="20" t="s">
        <v>675</v>
      </c>
      <c r="M43" s="20">
        <v>3.1999999999999999E-6</v>
      </c>
      <c r="N43" s="20">
        <v>3.1999999999999999E-6</v>
      </c>
      <c r="O43" s="20">
        <v>3.1999999999999999E-6</v>
      </c>
      <c r="P43" s="20">
        <v>3.1999999999999999E-6</v>
      </c>
      <c r="Q43" s="20">
        <v>3.1999999999999999E-6</v>
      </c>
      <c r="R43" s="20">
        <v>3.1999999999999999E-6</v>
      </c>
      <c r="S43" s="20">
        <f t="shared" ref="S43" si="35">ROUND(((M43-MIN($M$3:$R$212))/(MAX($M$3:$R$212)-MIN($M$3:$R$212)))*((2^12)-1), 0)</f>
        <v>0</v>
      </c>
      <c r="T43" s="20">
        <f t="shared" ref="T43" si="36">ROUND(((N43-MIN($M$3:$R$212))/(MAX($M$3:$R$212)-MIN($M$3:$R$212)))*((2^12)-1), 0)</f>
        <v>0</v>
      </c>
      <c r="U43" s="20">
        <f t="shared" ref="U43" si="37">ROUND(((O43-MIN($M$3:$R$212))/(MAX($M$3:$R$212)-MIN($M$3:$R$212)))*((2^12)-1), 0)</f>
        <v>0</v>
      </c>
      <c r="V43" s="20">
        <f t="shared" ref="V43" si="38">ROUND(((P43-MIN($M$3:$R$212))/(MAX($M$3:$R$212)-MIN($M$3:$R$212)))*((2^12)-1), 0)</f>
        <v>0</v>
      </c>
      <c r="W43" s="20">
        <f t="shared" ref="W43" si="39">ROUND(((Q43-MIN($M$3:$R$212))/(MAX($M$3:$R$212)-MIN($M$3:$R$212)))*((2^12)-1), 0)</f>
        <v>0</v>
      </c>
      <c r="X43" s="20">
        <f t="shared" ref="X43" si="40">ROUND(((R43-MIN($M$3:$R$212))/(MAX($M$3:$R$212)-MIN($M$3:$R$212)))*((2^12)-1), 0)</f>
        <v>0</v>
      </c>
      <c r="Y43" s="20" t="s">
        <v>398</v>
      </c>
      <c r="Z43" s="25">
        <v>0</v>
      </c>
      <c r="AA43" s="25">
        <v>1</v>
      </c>
      <c r="AB43" s="25" t="s">
        <v>401</v>
      </c>
      <c r="AC43" s="20" t="s">
        <v>683</v>
      </c>
    </row>
    <row r="44" spans="1:29" ht="102">
      <c r="A44" s="20" t="s">
        <v>341</v>
      </c>
      <c r="B44" s="24" t="str">
        <f>'Lambda-DC DC Converter (All)'!A37</f>
        <v>Noisy Output</v>
      </c>
      <c r="C44" s="22">
        <f>'Lambda-DC DC Converter (All)'!B$31</f>
        <v>2.1388134027995368E-8</v>
      </c>
      <c r="D44" s="23">
        <f>'Lambda-DC DC Converter (All)'!C37</f>
        <v>0.25666666666666665</v>
      </c>
      <c r="E44" s="20">
        <f>'Lambda-DC DC Converter (All)'!D37</f>
        <v>5.4896210671854778E-9</v>
      </c>
      <c r="F44" s="21" t="s">
        <v>477</v>
      </c>
      <c r="G44" s="26" t="s">
        <v>506</v>
      </c>
      <c r="H44" s="20" t="s">
        <v>43</v>
      </c>
      <c r="I44" s="20" t="s">
        <v>392</v>
      </c>
      <c r="J44" s="25" t="s">
        <v>504</v>
      </c>
      <c r="K44" s="25" t="s">
        <v>673</v>
      </c>
      <c r="L44" s="20" t="s">
        <v>675</v>
      </c>
      <c r="M44" s="20">
        <v>3.1999999999999999E-6</v>
      </c>
      <c r="N44" s="20">
        <v>3.1999999999999999E-6</v>
      </c>
      <c r="O44" s="20">
        <v>3.1999999999999999E-6</v>
      </c>
      <c r="P44" s="20">
        <v>3.1999999999999999E-6</v>
      </c>
      <c r="Q44" s="20">
        <v>3.1999999999999999E-6</v>
      </c>
      <c r="R44" s="20">
        <v>3.1999999999999999E-6</v>
      </c>
      <c r="S44" s="20">
        <f t="shared" si="34"/>
        <v>0</v>
      </c>
      <c r="T44" s="20">
        <f t="shared" si="34"/>
        <v>0</v>
      </c>
      <c r="U44" s="20">
        <f t="shared" si="34"/>
        <v>0</v>
      </c>
      <c r="V44" s="20">
        <f t="shared" si="34"/>
        <v>0</v>
      </c>
      <c r="W44" s="20">
        <f t="shared" si="34"/>
        <v>0</v>
      </c>
      <c r="X44" s="20">
        <f t="shared" si="34"/>
        <v>0</v>
      </c>
      <c r="Y44" s="20" t="s">
        <v>398</v>
      </c>
      <c r="Z44" s="25">
        <v>0</v>
      </c>
      <c r="AA44" s="25">
        <v>1</v>
      </c>
      <c r="AB44" s="25" t="s">
        <v>401</v>
      </c>
      <c r="AC44" s="20" t="s">
        <v>683</v>
      </c>
    </row>
    <row r="45" spans="1:29" ht="102">
      <c r="A45" s="20" t="s">
        <v>373</v>
      </c>
      <c r="B45" s="21" t="str">
        <f>'Lambda-Resistor (All)'!A35</f>
        <v>Open</v>
      </c>
      <c r="C45" s="22">
        <f>'Lambda-Resistor (All)'!B$32</f>
        <v>4.1612004167966296E-9</v>
      </c>
      <c r="D45" s="23">
        <f>'Lambda-Resistor (All)'!C35</f>
        <v>0.59</v>
      </c>
      <c r="E45" s="20">
        <f>'Lambda-Resistor (All)'!D35</f>
        <v>2.4551082459100113E-9</v>
      </c>
      <c r="F45" s="21" t="s">
        <v>478</v>
      </c>
      <c r="G45" s="21" t="s">
        <v>456</v>
      </c>
      <c r="H45" s="20" t="s">
        <v>43</v>
      </c>
      <c r="I45" s="20" t="s">
        <v>392</v>
      </c>
      <c r="J45" s="20" t="s">
        <v>574</v>
      </c>
      <c r="K45" s="20" t="s">
        <v>676</v>
      </c>
      <c r="L45" s="20" t="s">
        <v>675</v>
      </c>
      <c r="M45" s="20">
        <v>3.27305</v>
      </c>
      <c r="N45" s="20">
        <v>3.2730299999999999</v>
      </c>
      <c r="O45" s="20">
        <v>3.2730600000000001</v>
      </c>
      <c r="P45" s="20">
        <v>3.2723450000000001</v>
      </c>
      <c r="Q45" s="20">
        <v>3.272335</v>
      </c>
      <c r="R45" s="20">
        <v>3.2723550000000001</v>
      </c>
      <c r="S45" s="20">
        <f t="shared" ref="S45:X49" si="41">ROUND(((M45-MIN($M$3:$R$212))/(MAX($M$3:$R$212)-MIN($M$3:$R$212)))*((2^12)-1), 0)</f>
        <v>4093</v>
      </c>
      <c r="T45" s="20">
        <f t="shared" si="41"/>
        <v>4093</v>
      </c>
      <c r="U45" s="20">
        <f t="shared" si="41"/>
        <v>4093</v>
      </c>
      <c r="V45" s="20">
        <f t="shared" si="41"/>
        <v>4092</v>
      </c>
      <c r="W45" s="20">
        <f t="shared" si="41"/>
        <v>4092</v>
      </c>
      <c r="X45" s="20">
        <f t="shared" si="41"/>
        <v>4092</v>
      </c>
      <c r="Y45" s="20" t="s">
        <v>406</v>
      </c>
      <c r="Z45" s="25">
        <v>0</v>
      </c>
      <c r="AA45" s="25">
        <v>1</v>
      </c>
      <c r="AB45" s="25" t="s">
        <v>401</v>
      </c>
      <c r="AC45" s="20" t="s">
        <v>683</v>
      </c>
    </row>
    <row r="46" spans="1:29" ht="63.75">
      <c r="A46" s="20" t="s">
        <v>373</v>
      </c>
      <c r="B46" s="21" t="str">
        <f>'Lambda-Resistor (All)'!A36</f>
        <v>Short-Circuit</v>
      </c>
      <c r="C46" s="22">
        <f>'Lambda-Resistor (All)'!B$32</f>
        <v>4.1612004167966296E-9</v>
      </c>
      <c r="D46" s="23">
        <f>'Lambda-Resistor (All)'!C36</f>
        <v>0.05</v>
      </c>
      <c r="E46" s="20">
        <f>'Lambda-Resistor (All)'!D36</f>
        <v>2.080600208398315E-10</v>
      </c>
      <c r="F46" s="21" t="s">
        <v>479</v>
      </c>
      <c r="G46" s="21" t="s">
        <v>480</v>
      </c>
      <c r="H46" s="20" t="s">
        <v>43</v>
      </c>
      <c r="I46" s="20" t="s">
        <v>392</v>
      </c>
      <c r="J46" s="20" t="s">
        <v>573</v>
      </c>
      <c r="K46" s="20" t="s">
        <v>676</v>
      </c>
      <c r="L46" s="20" t="s">
        <v>675</v>
      </c>
      <c r="M46" s="20">
        <v>3.1999999999999999E-6</v>
      </c>
      <c r="N46" s="20">
        <v>3.1999999999999999E-6</v>
      </c>
      <c r="O46" s="20">
        <v>3.1999999999999999E-6</v>
      </c>
      <c r="P46" s="20">
        <v>3.1999999999999999E-6</v>
      </c>
      <c r="Q46" s="20">
        <v>3.1999999999999999E-6</v>
      </c>
      <c r="R46" s="20">
        <v>3.1999999999999999E-6</v>
      </c>
      <c r="S46" s="20">
        <f t="shared" si="41"/>
        <v>0</v>
      </c>
      <c r="T46" s="20">
        <f t="shared" si="41"/>
        <v>0</v>
      </c>
      <c r="U46" s="20">
        <f t="shared" si="41"/>
        <v>0</v>
      </c>
      <c r="V46" s="20">
        <f t="shared" si="41"/>
        <v>0</v>
      </c>
      <c r="W46" s="20">
        <f t="shared" si="41"/>
        <v>0</v>
      </c>
      <c r="X46" s="20">
        <f t="shared" si="41"/>
        <v>0</v>
      </c>
      <c r="Y46" s="20" t="s">
        <v>398</v>
      </c>
      <c r="Z46" s="25">
        <v>0</v>
      </c>
      <c r="AA46" s="25">
        <v>1</v>
      </c>
      <c r="AB46" s="25" t="s">
        <v>401</v>
      </c>
      <c r="AC46" s="20" t="s">
        <v>683</v>
      </c>
    </row>
    <row r="47" spans="1:29" ht="51">
      <c r="A47" s="20" t="s">
        <v>373</v>
      </c>
      <c r="B47" s="24" t="str">
        <f>'Lambda-Resistor (All)'!A37</f>
        <v>Increase of Resistance Value</v>
      </c>
      <c r="C47" s="22">
        <f>'Lambda-Resistor (All)'!B$32</f>
        <v>4.1612004167966296E-9</v>
      </c>
      <c r="D47" s="23">
        <f>'Lambda-Resistor (All)'!C37</f>
        <v>0.18</v>
      </c>
      <c r="E47" s="20">
        <f>'Lambda-Resistor (All)'!D37</f>
        <v>7.4901607502339334E-10</v>
      </c>
      <c r="F47" s="21" t="s">
        <v>380</v>
      </c>
      <c r="G47" s="21" t="s">
        <v>664</v>
      </c>
      <c r="H47" s="20" t="s">
        <v>43</v>
      </c>
      <c r="I47" s="20" t="s">
        <v>392</v>
      </c>
      <c r="J47" s="20" t="s">
        <v>574</v>
      </c>
      <c r="K47" s="20" t="s">
        <v>672</v>
      </c>
      <c r="L47" s="20" t="s">
        <v>675</v>
      </c>
      <c r="M47" s="20">
        <v>3.27305</v>
      </c>
      <c r="N47" s="20">
        <v>3.2730299999999999</v>
      </c>
      <c r="O47" s="20">
        <v>3.2730600000000001</v>
      </c>
      <c r="P47" s="20">
        <v>4.3130000000000002E-2</v>
      </c>
      <c r="Q47" s="20">
        <v>4.095E-2</v>
      </c>
      <c r="R47" s="20">
        <v>3.2723550000000001</v>
      </c>
      <c r="S47" s="20">
        <f t="shared" si="41"/>
        <v>4093</v>
      </c>
      <c r="T47" s="20">
        <f t="shared" si="41"/>
        <v>4093</v>
      </c>
      <c r="U47" s="20">
        <f t="shared" si="41"/>
        <v>4093</v>
      </c>
      <c r="V47" s="20">
        <f t="shared" si="41"/>
        <v>54</v>
      </c>
      <c r="W47" s="20">
        <f t="shared" si="41"/>
        <v>51</v>
      </c>
      <c r="X47" s="20">
        <f t="shared" si="41"/>
        <v>4092</v>
      </c>
      <c r="Y47" s="20" t="s">
        <v>467</v>
      </c>
      <c r="Z47" s="25">
        <v>0</v>
      </c>
      <c r="AA47" s="25">
        <v>1</v>
      </c>
      <c r="AB47" s="25" t="s">
        <v>401</v>
      </c>
      <c r="AC47" s="25" t="s">
        <v>681</v>
      </c>
    </row>
    <row r="48" spans="1:29" ht="51">
      <c r="A48" s="20" t="s">
        <v>373</v>
      </c>
      <c r="B48" s="24" t="str">
        <f>'Lambda-Resistor (All)'!A38</f>
        <v>Decrease of Resistance Value</v>
      </c>
      <c r="C48" s="22">
        <f>'Lambda-Resistor (All)'!B$32</f>
        <v>4.1612004167966296E-9</v>
      </c>
      <c r="D48" s="23">
        <f>'Lambda-Resistor (All)'!C38</f>
        <v>0.18</v>
      </c>
      <c r="E48" s="20">
        <f>'Lambda-Resistor (All)'!D38</f>
        <v>7.4901607502339334E-10</v>
      </c>
      <c r="F48" s="21" t="s">
        <v>381</v>
      </c>
      <c r="G48" s="21" t="s">
        <v>663</v>
      </c>
      <c r="H48" s="20" t="s">
        <v>43</v>
      </c>
      <c r="I48" s="20" t="s">
        <v>392</v>
      </c>
      <c r="J48" s="20" t="s">
        <v>573</v>
      </c>
      <c r="K48" s="20" t="s">
        <v>672</v>
      </c>
      <c r="L48" s="20" t="s">
        <v>675</v>
      </c>
      <c r="M48" s="20">
        <f>3.27303*0.93</f>
        <v>3.0439178999999998</v>
      </c>
      <c r="N48" s="20">
        <v>3.1999999999999999E-6</v>
      </c>
      <c r="O48" s="20">
        <v>3.2730600000000001</v>
      </c>
      <c r="P48" s="20">
        <v>3.1999999999999999E-6</v>
      </c>
      <c r="Q48" s="20">
        <v>3.1999999999999999E-6</v>
      </c>
      <c r="R48" s="20">
        <v>3.1999999999999999E-6</v>
      </c>
      <c r="S48" s="20">
        <f t="shared" si="41"/>
        <v>3806</v>
      </c>
      <c r="T48" s="20">
        <f t="shared" si="41"/>
        <v>0</v>
      </c>
      <c r="U48" s="20">
        <f t="shared" si="41"/>
        <v>4093</v>
      </c>
      <c r="V48" s="20">
        <f t="shared" si="41"/>
        <v>0</v>
      </c>
      <c r="W48" s="20">
        <f t="shared" si="41"/>
        <v>0</v>
      </c>
      <c r="X48" s="20">
        <f t="shared" si="41"/>
        <v>0</v>
      </c>
      <c r="Y48" s="20" t="s">
        <v>398</v>
      </c>
      <c r="Z48" s="25">
        <v>0</v>
      </c>
      <c r="AA48" s="25">
        <v>1</v>
      </c>
      <c r="AB48" s="25" t="s">
        <v>401</v>
      </c>
      <c r="AC48" s="25" t="s">
        <v>681</v>
      </c>
    </row>
    <row r="49" spans="1:29" ht="38.25">
      <c r="A49" s="20" t="s">
        <v>373</v>
      </c>
      <c r="B49" s="21" t="str">
        <f>'Lambda-Resistor (All)'!A39</f>
        <v>Short-Circuit to Casing</v>
      </c>
      <c r="C49" s="22">
        <f>'Lambda-Resistor (All)'!B$32</f>
        <v>4.1612004167966296E-9</v>
      </c>
      <c r="D49" s="23">
        <f>'Lambda-Resistor (All)'!C39</f>
        <v>0</v>
      </c>
      <c r="E49" s="20">
        <f>'Lambda-Resistor (All)'!D39</f>
        <v>0</v>
      </c>
      <c r="F49" s="21" t="s">
        <v>382</v>
      </c>
      <c r="G49" s="26" t="s">
        <v>382</v>
      </c>
      <c r="H49" s="20" t="s">
        <v>43</v>
      </c>
      <c r="I49" s="20" t="s">
        <v>393</v>
      </c>
      <c r="J49" s="20" t="s">
        <v>393</v>
      </c>
      <c r="K49" s="20" t="s">
        <v>677</v>
      </c>
      <c r="L49" s="20" t="s">
        <v>677</v>
      </c>
      <c r="M49" s="20">
        <v>3.2724899999999999</v>
      </c>
      <c r="N49" s="20">
        <v>3.2719999999999998</v>
      </c>
      <c r="O49" s="20">
        <v>3.2749999999999999</v>
      </c>
      <c r="P49" s="20">
        <v>4.3130000000000002E-2</v>
      </c>
      <c r="Q49" s="20">
        <v>4.095E-2</v>
      </c>
      <c r="R49" s="20">
        <v>4.53E-2</v>
      </c>
      <c r="S49" s="20">
        <f t="shared" si="41"/>
        <v>4092</v>
      </c>
      <c r="T49" s="20">
        <f t="shared" si="41"/>
        <v>4091</v>
      </c>
      <c r="U49" s="20">
        <f t="shared" si="41"/>
        <v>4095</v>
      </c>
      <c r="V49" s="20">
        <f t="shared" si="41"/>
        <v>54</v>
      </c>
      <c r="W49" s="20">
        <f t="shared" si="41"/>
        <v>51</v>
      </c>
      <c r="X49" s="20">
        <f t="shared" si="41"/>
        <v>57</v>
      </c>
      <c r="Y49" s="20" t="s">
        <v>401</v>
      </c>
      <c r="Z49" s="25">
        <v>0</v>
      </c>
      <c r="AA49" s="25">
        <v>1</v>
      </c>
      <c r="AB49" s="25" t="s">
        <v>401</v>
      </c>
      <c r="AC49" s="20" t="s">
        <v>683</v>
      </c>
    </row>
    <row r="50" spans="1:29" ht="38.25">
      <c r="A50" s="20" t="s">
        <v>346</v>
      </c>
      <c r="B50" s="21" t="str">
        <f>'Lambda-Optocoupler (All)'!A31</f>
        <v>Open diode</v>
      </c>
      <c r="C50" s="22">
        <f>'Lambda-Optocoupler (All)'!B$28</f>
        <v>8.4558640964896021E-8</v>
      </c>
      <c r="D50" s="23">
        <f>'Lambda-Optocoupler (All)'!C31</f>
        <v>8.3333329999999997E-2</v>
      </c>
      <c r="E50" s="20">
        <f>'Lambda-Optocoupler (All)'!D31</f>
        <v>7.0465531318791983E-9</v>
      </c>
      <c r="F50" s="21" t="s">
        <v>487</v>
      </c>
      <c r="G50" s="21" t="s">
        <v>395</v>
      </c>
      <c r="H50" s="20" t="s">
        <v>43</v>
      </c>
      <c r="I50" s="20" t="s">
        <v>392</v>
      </c>
      <c r="J50" s="20" t="s">
        <v>573</v>
      </c>
      <c r="K50" s="20" t="s">
        <v>676</v>
      </c>
      <c r="L50" s="20" t="s">
        <v>675</v>
      </c>
      <c r="M50" s="20">
        <v>3.1999999999999999E-6</v>
      </c>
      <c r="N50" s="20">
        <v>3.1999999999999999E-6</v>
      </c>
      <c r="O50" s="20">
        <v>3.1999999999999999E-6</v>
      </c>
      <c r="P50" s="20">
        <v>3.1999999999999999E-6</v>
      </c>
      <c r="Q50" s="20">
        <v>3.1999999999999999E-6</v>
      </c>
      <c r="R50" s="20">
        <v>3.1999999999999999E-6</v>
      </c>
      <c r="S50" s="20">
        <f t="shared" ref="S50:X51" si="42">ROUND(((M50-MIN($M$3:$R$212))/(MAX($M$3:$R$212)-MIN($M$3:$R$212)))*((2^12)-1), 0)</f>
        <v>0</v>
      </c>
      <c r="T50" s="20">
        <f t="shared" si="42"/>
        <v>0</v>
      </c>
      <c r="U50" s="20">
        <f t="shared" si="42"/>
        <v>0</v>
      </c>
      <c r="V50" s="20">
        <f t="shared" si="42"/>
        <v>0</v>
      </c>
      <c r="W50" s="20">
        <f t="shared" si="42"/>
        <v>0</v>
      </c>
      <c r="X50" s="20">
        <f t="shared" si="42"/>
        <v>0</v>
      </c>
      <c r="Y50" s="20" t="s">
        <v>398</v>
      </c>
      <c r="Z50" s="25">
        <v>0</v>
      </c>
      <c r="AA50" s="25">
        <v>1</v>
      </c>
      <c r="AB50" s="25" t="s">
        <v>401</v>
      </c>
      <c r="AC50" s="20" t="s">
        <v>683</v>
      </c>
    </row>
    <row r="51" spans="1:29" ht="38.25">
      <c r="A51" s="20" t="s">
        <v>346</v>
      </c>
      <c r="B51" s="21" t="str">
        <f>'Lambda-Optocoupler (All)'!A32</f>
        <v>Open emitter</v>
      </c>
      <c r="C51" s="22">
        <f>'Lambda-Optocoupler (All)'!B$28</f>
        <v>8.4558640964896021E-8</v>
      </c>
      <c r="D51" s="23">
        <f>'Lambda-Optocoupler (All)'!C32</f>
        <v>8.3333329999999997E-2</v>
      </c>
      <c r="E51" s="20">
        <f>'Lambda-Optocoupler (All)'!D32</f>
        <v>7.0465531318791983E-9</v>
      </c>
      <c r="F51" s="21" t="s">
        <v>488</v>
      </c>
      <c r="G51" s="21" t="s">
        <v>395</v>
      </c>
      <c r="H51" s="20" t="s">
        <v>43</v>
      </c>
      <c r="I51" s="20" t="s">
        <v>392</v>
      </c>
      <c r="J51" s="20" t="s">
        <v>573</v>
      </c>
      <c r="K51" s="20" t="s">
        <v>676</v>
      </c>
      <c r="L51" s="20" t="s">
        <v>675</v>
      </c>
      <c r="M51" s="20">
        <v>3.1999999999999999E-6</v>
      </c>
      <c r="N51" s="20">
        <v>3.1999999999999999E-6</v>
      </c>
      <c r="O51" s="20">
        <v>3.1999999999999999E-6</v>
      </c>
      <c r="P51" s="20">
        <v>3.1999999999999999E-6</v>
      </c>
      <c r="Q51" s="20">
        <v>3.1999999999999999E-6</v>
      </c>
      <c r="R51" s="20">
        <v>3.1999999999999999E-6</v>
      </c>
      <c r="S51" s="20">
        <f t="shared" si="42"/>
        <v>0</v>
      </c>
      <c r="T51" s="20">
        <f t="shared" si="42"/>
        <v>0</v>
      </c>
      <c r="U51" s="20">
        <f t="shared" si="42"/>
        <v>0</v>
      </c>
      <c r="V51" s="20">
        <f t="shared" si="42"/>
        <v>0</v>
      </c>
      <c r="W51" s="20">
        <f t="shared" si="42"/>
        <v>0</v>
      </c>
      <c r="X51" s="20">
        <f t="shared" si="42"/>
        <v>0</v>
      </c>
      <c r="Y51" s="20" t="s">
        <v>398</v>
      </c>
      <c r="Z51" s="25">
        <v>0</v>
      </c>
      <c r="AA51" s="25">
        <v>1</v>
      </c>
      <c r="AB51" s="25" t="s">
        <v>401</v>
      </c>
      <c r="AC51" s="20" t="s">
        <v>683</v>
      </c>
    </row>
    <row r="52" spans="1:29" ht="38.25">
      <c r="A52" s="20" t="s">
        <v>346</v>
      </c>
      <c r="B52" s="21" t="str">
        <f>'Lambda-Optocoupler (All)'!A33</f>
        <v>Open collector</v>
      </c>
      <c r="C52" s="22">
        <f>'Lambda-Optocoupler (All)'!B$28</f>
        <v>8.4558640964896021E-8</v>
      </c>
      <c r="D52" s="23">
        <f>'Lambda-Optocoupler (All)'!C33</f>
        <v>8.3333329999999997E-2</v>
      </c>
      <c r="E52" s="20">
        <f>'Lambda-Optocoupler (All)'!D33</f>
        <v>7.0465531318791983E-9</v>
      </c>
      <c r="F52" s="21" t="s">
        <v>488</v>
      </c>
      <c r="G52" s="21" t="s">
        <v>395</v>
      </c>
      <c r="H52" s="20" t="s">
        <v>43</v>
      </c>
      <c r="I52" s="20" t="s">
        <v>392</v>
      </c>
      <c r="J52" s="20" t="s">
        <v>573</v>
      </c>
      <c r="K52" s="20" t="s">
        <v>676</v>
      </c>
      <c r="L52" s="20" t="s">
        <v>675</v>
      </c>
      <c r="M52" s="20">
        <v>3.1999999999999999E-6</v>
      </c>
      <c r="N52" s="20">
        <v>3.1999999999999999E-6</v>
      </c>
      <c r="O52" s="20">
        <v>3.1999999999999999E-6</v>
      </c>
      <c r="P52" s="20">
        <v>3.1999999999999999E-6</v>
      </c>
      <c r="Q52" s="20">
        <v>3.1999999999999999E-6</v>
      </c>
      <c r="R52" s="20">
        <v>3.1999999999999999E-6</v>
      </c>
      <c r="S52" s="20">
        <f t="shared" ref="S52:S59" si="43">ROUND(((M52-MIN($M$3:$R$212))/(MAX($M$3:$R$212)-MIN($M$3:$R$212)))*((2^12)-1), 0)</f>
        <v>0</v>
      </c>
      <c r="T52" s="20">
        <f t="shared" ref="T52:T59" si="44">ROUND(((N52-MIN($M$3:$R$212))/(MAX($M$3:$R$212)-MIN($M$3:$R$212)))*((2^12)-1), 0)</f>
        <v>0</v>
      </c>
      <c r="U52" s="20">
        <f t="shared" ref="U52:U59" si="45">ROUND(((O52-MIN($M$3:$R$212))/(MAX($M$3:$R$212)-MIN($M$3:$R$212)))*((2^12)-1), 0)</f>
        <v>0</v>
      </c>
      <c r="V52" s="20">
        <f t="shared" ref="V52:V59" si="46">ROUND(((P52-MIN($M$3:$R$212))/(MAX($M$3:$R$212)-MIN($M$3:$R$212)))*((2^12)-1), 0)</f>
        <v>0</v>
      </c>
      <c r="W52" s="20">
        <f t="shared" ref="W52:W59" si="47">ROUND(((Q52-MIN($M$3:$R$212))/(MAX($M$3:$R$212)-MIN($M$3:$R$212)))*((2^12)-1), 0)</f>
        <v>0</v>
      </c>
      <c r="X52" s="20">
        <f t="shared" ref="X52:X59" si="48">ROUND(((R52-MIN($M$3:$R$212))/(MAX($M$3:$R$212)-MIN($M$3:$R$212)))*((2^12)-1), 0)</f>
        <v>0</v>
      </c>
      <c r="Y52" s="20" t="s">
        <v>398</v>
      </c>
      <c r="Z52" s="25">
        <v>0</v>
      </c>
      <c r="AA52" s="25">
        <v>1</v>
      </c>
      <c r="AB52" s="25" t="s">
        <v>401</v>
      </c>
      <c r="AC52" s="20" t="s">
        <v>683</v>
      </c>
    </row>
    <row r="53" spans="1:29" ht="38.25">
      <c r="A53" s="20" t="s">
        <v>346</v>
      </c>
      <c r="B53" s="21" t="str">
        <f>'Lambda-Optocoupler (All)'!A34</f>
        <v>Open base</v>
      </c>
      <c r="C53" s="22">
        <f>'Lambda-Optocoupler (All)'!B$28</f>
        <v>8.4558640964896021E-8</v>
      </c>
      <c r="D53" s="23">
        <f>'Lambda-Optocoupler (All)'!C34</f>
        <v>8.3333329999999997E-2</v>
      </c>
      <c r="E53" s="20">
        <f>'Lambda-Optocoupler (All)'!D34</f>
        <v>7.0465531318791983E-9</v>
      </c>
      <c r="F53" s="21" t="s">
        <v>481</v>
      </c>
      <c r="G53" s="21" t="s">
        <v>481</v>
      </c>
      <c r="H53" s="20" t="s">
        <v>43</v>
      </c>
      <c r="I53" s="20" t="s">
        <v>393</v>
      </c>
      <c r="J53" s="20" t="s">
        <v>393</v>
      </c>
      <c r="K53" s="20" t="s">
        <v>677</v>
      </c>
      <c r="L53" s="20" t="s">
        <v>677</v>
      </c>
      <c r="M53" s="20">
        <v>3.2724899999999999</v>
      </c>
      <c r="N53" s="20">
        <v>3.2719999999999998</v>
      </c>
      <c r="O53" s="20">
        <v>3.2749999999999999</v>
      </c>
      <c r="P53" s="20">
        <v>4.3130000000000002E-2</v>
      </c>
      <c r="Q53" s="20">
        <v>4.095E-2</v>
      </c>
      <c r="R53" s="20">
        <v>4.53E-2</v>
      </c>
      <c r="S53" s="20">
        <f t="shared" si="43"/>
        <v>4092</v>
      </c>
      <c r="T53" s="20">
        <f t="shared" si="44"/>
        <v>4091</v>
      </c>
      <c r="U53" s="20">
        <f t="shared" si="45"/>
        <v>4095</v>
      </c>
      <c r="V53" s="20">
        <f t="shared" si="46"/>
        <v>54</v>
      </c>
      <c r="W53" s="20">
        <f t="shared" si="47"/>
        <v>51</v>
      </c>
      <c r="X53" s="20">
        <f t="shared" si="48"/>
        <v>57</v>
      </c>
      <c r="Y53" s="20" t="s">
        <v>401</v>
      </c>
      <c r="Z53" s="25">
        <v>0</v>
      </c>
      <c r="AA53" s="25">
        <v>1</v>
      </c>
      <c r="AB53" s="25" t="s">
        <v>401</v>
      </c>
      <c r="AC53" s="20" t="s">
        <v>683</v>
      </c>
    </row>
    <row r="54" spans="1:29" ht="38.25">
      <c r="A54" s="20" t="s">
        <v>346</v>
      </c>
      <c r="B54" s="21" t="str">
        <f>'Lambda-Optocoupler (All)'!A35</f>
        <v>Increase of light sensitivity</v>
      </c>
      <c r="C54" s="22">
        <f>'Lambda-Optocoupler (All)'!B$28</f>
        <v>8.4558640964896021E-8</v>
      </c>
      <c r="D54" s="23">
        <f>'Lambda-Optocoupler (All)'!C35</f>
        <v>8.3333329999999997E-2</v>
      </c>
      <c r="E54" s="20">
        <f>'Lambda-Optocoupler (All)'!D35</f>
        <v>7.0465531318791983E-9</v>
      </c>
      <c r="F54" s="21" t="s">
        <v>640</v>
      </c>
      <c r="G54" s="21" t="s">
        <v>463</v>
      </c>
      <c r="H54" s="20" t="s">
        <v>43</v>
      </c>
      <c r="I54" s="20" t="s">
        <v>393</v>
      </c>
      <c r="J54" s="20" t="s">
        <v>393</v>
      </c>
      <c r="K54" s="20" t="s">
        <v>677</v>
      </c>
      <c r="L54" s="20" t="s">
        <v>677</v>
      </c>
      <c r="M54" s="20">
        <v>3.2724899999999999</v>
      </c>
      <c r="N54" s="20">
        <v>3.2719999999999998</v>
      </c>
      <c r="O54" s="20">
        <v>3.2749999999999999</v>
      </c>
      <c r="P54" s="20">
        <v>4.3130000000000002E-2</v>
      </c>
      <c r="Q54" s="20">
        <v>4.095E-2</v>
      </c>
      <c r="R54" s="20">
        <v>4.53E-2</v>
      </c>
      <c r="S54" s="20">
        <f t="shared" si="43"/>
        <v>4092</v>
      </c>
      <c r="T54" s="20">
        <f t="shared" si="44"/>
        <v>4091</v>
      </c>
      <c r="U54" s="20">
        <f t="shared" si="45"/>
        <v>4095</v>
      </c>
      <c r="V54" s="20">
        <f t="shared" si="46"/>
        <v>54</v>
      </c>
      <c r="W54" s="20">
        <f t="shared" si="47"/>
        <v>51</v>
      </c>
      <c r="X54" s="20">
        <f t="shared" si="48"/>
        <v>57</v>
      </c>
      <c r="Y54" s="20" t="s">
        <v>401</v>
      </c>
      <c r="Z54" s="25">
        <v>0</v>
      </c>
      <c r="AA54" s="25">
        <v>1</v>
      </c>
      <c r="AB54" s="25" t="s">
        <v>401</v>
      </c>
      <c r="AC54" s="20" t="s">
        <v>683</v>
      </c>
    </row>
    <row r="55" spans="1:29" ht="51">
      <c r="A55" s="20" t="s">
        <v>346</v>
      </c>
      <c r="B55" s="24" t="str">
        <f>'Lambda-Optocoupler (All)'!A36</f>
        <v>Decrease of light sensitivity</v>
      </c>
      <c r="C55" s="22">
        <f>'Lambda-Optocoupler (All)'!B$28</f>
        <v>8.4558640964896021E-8</v>
      </c>
      <c r="D55" s="23">
        <f>'Lambda-Optocoupler (All)'!C36</f>
        <v>8.3333329999999997E-2</v>
      </c>
      <c r="E55" s="20">
        <f>'Lambda-Optocoupler (All)'!D36</f>
        <v>7.0465531318791983E-9</v>
      </c>
      <c r="F55" s="21" t="s">
        <v>464</v>
      </c>
      <c r="G55" s="21" t="s">
        <v>464</v>
      </c>
      <c r="H55" s="20" t="s">
        <v>43</v>
      </c>
      <c r="I55" s="20" t="s">
        <v>392</v>
      </c>
      <c r="J55" s="20" t="s">
        <v>573</v>
      </c>
      <c r="K55" s="20" t="s">
        <v>672</v>
      </c>
      <c r="L55" s="20" t="s">
        <v>675</v>
      </c>
      <c r="M55" s="20">
        <v>1.63</v>
      </c>
      <c r="N55" s="20">
        <v>3.1999999999999999E-6</v>
      </c>
      <c r="O55" s="20">
        <v>3.2719999999999998</v>
      </c>
      <c r="P55" s="20">
        <v>3.1999999999999999E-6</v>
      </c>
      <c r="Q55" s="20">
        <v>3.1999999999999999E-6</v>
      </c>
      <c r="R55" s="20">
        <v>3.1999999999999999E-6</v>
      </c>
      <c r="S55" s="20">
        <f t="shared" si="43"/>
        <v>2038</v>
      </c>
      <c r="T55" s="20">
        <f t="shared" si="44"/>
        <v>0</v>
      </c>
      <c r="U55" s="20">
        <f t="shared" si="45"/>
        <v>4091</v>
      </c>
      <c r="V55" s="20">
        <f t="shared" si="46"/>
        <v>0</v>
      </c>
      <c r="W55" s="20">
        <f t="shared" si="47"/>
        <v>0</v>
      </c>
      <c r="X55" s="20">
        <f t="shared" si="48"/>
        <v>0</v>
      </c>
      <c r="Y55" s="20" t="s">
        <v>398</v>
      </c>
      <c r="Z55" s="25">
        <v>0</v>
      </c>
      <c r="AA55" s="25">
        <v>1</v>
      </c>
      <c r="AB55" s="25" t="s">
        <v>401</v>
      </c>
      <c r="AC55" s="25" t="s">
        <v>681</v>
      </c>
    </row>
    <row r="56" spans="1:29" ht="51">
      <c r="A56" s="20" t="s">
        <v>346</v>
      </c>
      <c r="B56" s="24" t="str">
        <f>'Lambda-Optocoupler (All)'!A37</f>
        <v>Increase of leakage current</v>
      </c>
      <c r="C56" s="22">
        <f>'Lambda-Optocoupler (All)'!B$28</f>
        <v>8.4558640964896021E-8</v>
      </c>
      <c r="D56" s="23">
        <f>'Lambda-Optocoupler (All)'!C37</f>
        <v>0.125</v>
      </c>
      <c r="E56" s="20">
        <f>'Lambda-Optocoupler (All)'!D37</f>
        <v>1.0569830120612003E-8</v>
      </c>
      <c r="F56" s="21" t="s">
        <v>607</v>
      </c>
      <c r="G56" s="21" t="s">
        <v>395</v>
      </c>
      <c r="H56" s="20" t="s">
        <v>43</v>
      </c>
      <c r="I56" s="20" t="s">
        <v>392</v>
      </c>
      <c r="J56" s="20" t="s">
        <v>573</v>
      </c>
      <c r="K56" s="20" t="s">
        <v>672</v>
      </c>
      <c r="L56" s="20" t="s">
        <v>675</v>
      </c>
      <c r="M56" s="20">
        <v>1.63</v>
      </c>
      <c r="N56" s="20">
        <v>3.1999999999999999E-6</v>
      </c>
      <c r="O56" s="20">
        <v>3.2719999999999998</v>
      </c>
      <c r="P56" s="20">
        <v>3.1999999999999999E-6</v>
      </c>
      <c r="Q56" s="20">
        <v>3.1999999999999999E-6</v>
      </c>
      <c r="R56" s="20">
        <v>3.1999999999999999E-6</v>
      </c>
      <c r="S56" s="20">
        <f t="shared" si="43"/>
        <v>2038</v>
      </c>
      <c r="T56" s="20">
        <f t="shared" si="44"/>
        <v>0</v>
      </c>
      <c r="U56" s="20">
        <f t="shared" si="45"/>
        <v>4091</v>
      </c>
      <c r="V56" s="20">
        <f t="shared" si="46"/>
        <v>0</v>
      </c>
      <c r="W56" s="20">
        <f t="shared" si="47"/>
        <v>0</v>
      </c>
      <c r="X56" s="20">
        <f t="shared" si="48"/>
        <v>0</v>
      </c>
      <c r="Y56" s="20" t="s">
        <v>398</v>
      </c>
      <c r="Z56" s="25">
        <v>0</v>
      </c>
      <c r="AA56" s="25">
        <v>1</v>
      </c>
      <c r="AB56" s="25" t="s">
        <v>401</v>
      </c>
      <c r="AC56" s="25" t="s">
        <v>681</v>
      </c>
    </row>
    <row r="57" spans="1:29" ht="51">
      <c r="A57" s="20" t="s">
        <v>346</v>
      </c>
      <c r="B57" s="24" t="str">
        <f>'Lambda-Optocoupler (All)'!A38</f>
        <v>Reduced insulation between input and output</v>
      </c>
      <c r="C57" s="22">
        <f>'Lambda-Optocoupler (All)'!B$28</f>
        <v>8.4558640964896021E-8</v>
      </c>
      <c r="D57" s="23">
        <f>'Lambda-Optocoupler (All)'!C38</f>
        <v>0.125</v>
      </c>
      <c r="E57" s="20">
        <f>'Lambda-Optocoupler (All)'!D38</f>
        <v>1.0569830120612003E-8</v>
      </c>
      <c r="F57" s="21" t="s">
        <v>489</v>
      </c>
      <c r="G57" s="21" t="s">
        <v>490</v>
      </c>
      <c r="H57" s="20" t="s">
        <v>43</v>
      </c>
      <c r="I57" s="20" t="s">
        <v>392</v>
      </c>
      <c r="J57" s="20" t="s">
        <v>576</v>
      </c>
      <c r="K57" s="20" t="s">
        <v>676</v>
      </c>
      <c r="L57" s="20" t="s">
        <v>675</v>
      </c>
      <c r="M57" s="20">
        <v>3.1999999999999999E-6</v>
      </c>
      <c r="N57" s="20">
        <v>3.1999999999999999E-6</v>
      </c>
      <c r="O57" s="20">
        <v>3.1999999999999999E-6</v>
      </c>
      <c r="P57" s="20">
        <v>3.1999999999999999E-6</v>
      </c>
      <c r="Q57" s="20">
        <v>3.1999999999999999E-6</v>
      </c>
      <c r="R57" s="20">
        <v>3.1999999999999999E-6</v>
      </c>
      <c r="S57" s="20">
        <f t="shared" si="43"/>
        <v>0</v>
      </c>
      <c r="T57" s="20">
        <f t="shared" si="44"/>
        <v>0</v>
      </c>
      <c r="U57" s="20">
        <f t="shared" si="45"/>
        <v>0</v>
      </c>
      <c r="V57" s="20">
        <f t="shared" si="46"/>
        <v>0</v>
      </c>
      <c r="W57" s="20">
        <f t="shared" si="47"/>
        <v>0</v>
      </c>
      <c r="X57" s="20">
        <f t="shared" si="48"/>
        <v>0</v>
      </c>
      <c r="Y57" s="20" t="s">
        <v>398</v>
      </c>
      <c r="Z57" s="25">
        <v>0</v>
      </c>
      <c r="AA57" s="25">
        <v>1</v>
      </c>
      <c r="AB57" s="25" t="s">
        <v>401</v>
      </c>
      <c r="AC57" s="20" t="s">
        <v>683</v>
      </c>
    </row>
    <row r="58" spans="1:29" ht="127.5">
      <c r="A58" s="20" t="s">
        <v>346</v>
      </c>
      <c r="B58" s="24" t="str">
        <f>'Lambda-Optocoupler (All)'!A39</f>
        <v>Change on switching time</v>
      </c>
      <c r="C58" s="22">
        <f>'Lambda-Optocoupler (All)'!B$28</f>
        <v>8.4558640964896021E-8</v>
      </c>
      <c r="D58" s="23">
        <f>'Lambda-Optocoupler (All)'!C39</f>
        <v>8.3333329999999997E-2</v>
      </c>
      <c r="E58" s="20">
        <f>'Lambda-Optocoupler (All)'!D39</f>
        <v>7.0465531318791983E-9</v>
      </c>
      <c r="F58" s="21" t="s">
        <v>498</v>
      </c>
      <c r="G58" s="24" t="s">
        <v>646</v>
      </c>
      <c r="H58" s="20" t="s">
        <v>43</v>
      </c>
      <c r="I58" s="20" t="s">
        <v>392</v>
      </c>
      <c r="J58" s="20" t="s">
        <v>574</v>
      </c>
      <c r="K58" s="20" t="s">
        <v>676</v>
      </c>
      <c r="L58" s="20" t="s">
        <v>675</v>
      </c>
      <c r="M58" s="20">
        <v>3.27305</v>
      </c>
      <c r="N58" s="20">
        <v>3.2730299999999999</v>
      </c>
      <c r="O58" s="20">
        <v>3.2730600000000001</v>
      </c>
      <c r="P58" s="20">
        <v>3.2723450000000001</v>
      </c>
      <c r="Q58" s="20">
        <v>3.272335</v>
      </c>
      <c r="R58" s="20">
        <v>3.2723550000000001</v>
      </c>
      <c r="S58" s="20">
        <f t="shared" si="43"/>
        <v>4093</v>
      </c>
      <c r="T58" s="20">
        <f t="shared" si="44"/>
        <v>4093</v>
      </c>
      <c r="U58" s="20">
        <f t="shared" si="45"/>
        <v>4093</v>
      </c>
      <c r="V58" s="20">
        <f t="shared" si="46"/>
        <v>4092</v>
      </c>
      <c r="W58" s="20">
        <f t="shared" si="47"/>
        <v>4092</v>
      </c>
      <c r="X58" s="20">
        <f t="shared" si="48"/>
        <v>4092</v>
      </c>
      <c r="Y58" s="20" t="s">
        <v>647</v>
      </c>
      <c r="Z58" s="25">
        <v>0</v>
      </c>
      <c r="AA58" s="25">
        <v>1</v>
      </c>
      <c r="AB58" s="25" t="s">
        <v>401</v>
      </c>
      <c r="AC58" s="20" t="s">
        <v>683</v>
      </c>
    </row>
    <row r="59" spans="1:29" ht="38.25">
      <c r="A59" s="20" t="s">
        <v>346</v>
      </c>
      <c r="B59" s="21" t="str">
        <f>'Lambda-Optocoupler (All)'!A40</f>
        <v>Increase of current gain</v>
      </c>
      <c r="C59" s="22">
        <f>'Lambda-Optocoupler (All)'!B$28</f>
        <v>8.4558640964896021E-8</v>
      </c>
      <c r="D59" s="23">
        <f>'Lambda-Optocoupler (All)'!C40</f>
        <v>8.3333329999999997E-2</v>
      </c>
      <c r="E59" s="20">
        <f>'Lambda-Optocoupler (All)'!D40</f>
        <v>7.0465531318791983E-9</v>
      </c>
      <c r="F59" s="21" t="s">
        <v>641</v>
      </c>
      <c r="G59" s="21" t="s">
        <v>463</v>
      </c>
      <c r="H59" s="20" t="s">
        <v>43</v>
      </c>
      <c r="I59" s="20" t="s">
        <v>393</v>
      </c>
      <c r="J59" s="20" t="s">
        <v>393</v>
      </c>
      <c r="K59" s="20" t="s">
        <v>677</v>
      </c>
      <c r="L59" s="20" t="s">
        <v>677</v>
      </c>
      <c r="M59" s="20">
        <v>3.2724899999999999</v>
      </c>
      <c r="N59" s="20">
        <v>3.2719999999999998</v>
      </c>
      <c r="O59" s="20">
        <v>3.2749999999999999</v>
      </c>
      <c r="P59" s="20">
        <v>4.3130000000000002E-2</v>
      </c>
      <c r="Q59" s="20">
        <v>4.095E-2</v>
      </c>
      <c r="R59" s="20">
        <v>4.53E-2</v>
      </c>
      <c r="S59" s="20">
        <f t="shared" si="43"/>
        <v>4092</v>
      </c>
      <c r="T59" s="20">
        <f t="shared" si="44"/>
        <v>4091</v>
      </c>
      <c r="U59" s="20">
        <f t="shared" si="45"/>
        <v>4095</v>
      </c>
      <c r="V59" s="20">
        <f t="shared" si="46"/>
        <v>54</v>
      </c>
      <c r="W59" s="20">
        <f t="shared" si="47"/>
        <v>51</v>
      </c>
      <c r="X59" s="20">
        <f t="shared" si="48"/>
        <v>57</v>
      </c>
      <c r="Y59" s="20" t="s">
        <v>401</v>
      </c>
      <c r="Z59" s="25">
        <v>0</v>
      </c>
      <c r="AA59" s="25">
        <v>1</v>
      </c>
      <c r="AB59" s="25" t="s">
        <v>401</v>
      </c>
      <c r="AC59" s="20" t="s">
        <v>683</v>
      </c>
    </row>
    <row r="60" spans="1:29" ht="89.25">
      <c r="A60" s="20" t="s">
        <v>346</v>
      </c>
      <c r="B60" s="24" t="str">
        <f>'Lambda-Optocoupler (All)'!A41</f>
        <v>Decrease of current gain</v>
      </c>
      <c r="C60" s="22">
        <f>'Lambda-Optocoupler (All)'!B$28</f>
        <v>8.4558640964896021E-8</v>
      </c>
      <c r="D60" s="23">
        <f>'Lambda-Optocoupler (All)'!C41</f>
        <v>8.3333329999999997E-2</v>
      </c>
      <c r="E60" s="20">
        <f>'Lambda-Optocoupler (All)'!D41</f>
        <v>7.0465531318791983E-9</v>
      </c>
      <c r="F60" s="21" t="s">
        <v>485</v>
      </c>
      <c r="G60" s="21" t="s">
        <v>658</v>
      </c>
      <c r="H60" s="20" t="s">
        <v>43</v>
      </c>
      <c r="I60" s="20" t="s">
        <v>392</v>
      </c>
      <c r="J60" s="20" t="s">
        <v>574</v>
      </c>
      <c r="K60" s="20" t="s">
        <v>672</v>
      </c>
      <c r="L60" s="20" t="s">
        <v>675</v>
      </c>
      <c r="M60" s="20">
        <v>3.27305</v>
      </c>
      <c r="N60" s="20">
        <v>4.3699999999999998E-3</v>
      </c>
      <c r="O60" s="20">
        <v>3.2730600000000001</v>
      </c>
      <c r="P60" s="20">
        <v>3.2723450000000001</v>
      </c>
      <c r="Q60" s="20">
        <v>3.272335</v>
      </c>
      <c r="R60" s="20">
        <v>3.2723550000000001</v>
      </c>
      <c r="S60" s="20">
        <f t="shared" ref="S60:X61" si="49">ROUND(((M60-MIN($M$3:$R$212))/(MAX($M$3:$R$212)-MIN($M$3:$R$212)))*((2^12)-1), 0)</f>
        <v>4093</v>
      </c>
      <c r="T60" s="20">
        <f t="shared" si="49"/>
        <v>5</v>
      </c>
      <c r="U60" s="20">
        <f t="shared" si="49"/>
        <v>4093</v>
      </c>
      <c r="V60" s="20">
        <f t="shared" si="49"/>
        <v>4092</v>
      </c>
      <c r="W60" s="20">
        <f t="shared" si="49"/>
        <v>4092</v>
      </c>
      <c r="X60" s="20">
        <f t="shared" si="49"/>
        <v>4092</v>
      </c>
      <c r="Y60" s="20" t="s">
        <v>467</v>
      </c>
      <c r="Z60" s="25">
        <v>0</v>
      </c>
      <c r="AA60" s="25">
        <v>1</v>
      </c>
      <c r="AB60" s="25" t="s">
        <v>401</v>
      </c>
      <c r="AC60" s="25" t="s">
        <v>681</v>
      </c>
    </row>
    <row r="61" spans="1:29" ht="89.25">
      <c r="A61" s="20" t="s">
        <v>374</v>
      </c>
      <c r="B61" s="24" t="str">
        <f>'Lambda-Resistor (All)'!A35</f>
        <v>Open</v>
      </c>
      <c r="C61" s="22">
        <f>'Lambda-Resistor (All)'!B$32</f>
        <v>4.1612004167966296E-9</v>
      </c>
      <c r="D61" s="23">
        <f>'Lambda-Resistor (All)'!C35</f>
        <v>0.59</v>
      </c>
      <c r="E61" s="20">
        <f>'Lambda-Resistor (All)'!D35</f>
        <v>2.4551082459100113E-9</v>
      </c>
      <c r="F61" s="21" t="s">
        <v>495</v>
      </c>
      <c r="G61" s="21" t="s">
        <v>513</v>
      </c>
      <c r="H61" s="20" t="s">
        <v>43</v>
      </c>
      <c r="I61" s="20" t="s">
        <v>392</v>
      </c>
      <c r="J61" s="25" t="s">
        <v>507</v>
      </c>
      <c r="K61" s="20" t="s">
        <v>674</v>
      </c>
      <c r="L61" s="20" t="s">
        <v>675</v>
      </c>
      <c r="M61" s="20">
        <v>3.1999999999999999E-6</v>
      </c>
      <c r="N61" s="20">
        <v>3.1999999999999999E-6</v>
      </c>
      <c r="O61" s="20">
        <v>3.1999999999999999E-6</v>
      </c>
      <c r="P61" s="20">
        <v>3.1999999999999999E-6</v>
      </c>
      <c r="Q61" s="20">
        <v>3.1999999999999999E-6</v>
      </c>
      <c r="R61" s="20">
        <v>3.1999999999999999E-6</v>
      </c>
      <c r="S61" s="20">
        <f t="shared" si="49"/>
        <v>0</v>
      </c>
      <c r="T61" s="20">
        <f t="shared" si="49"/>
        <v>0</v>
      </c>
      <c r="U61" s="20">
        <f t="shared" si="49"/>
        <v>0</v>
      </c>
      <c r="V61" s="20">
        <f t="shared" si="49"/>
        <v>0</v>
      </c>
      <c r="W61" s="20">
        <f t="shared" si="49"/>
        <v>0</v>
      </c>
      <c r="X61" s="20">
        <f t="shared" si="49"/>
        <v>0</v>
      </c>
      <c r="Y61" s="20" t="s">
        <v>398</v>
      </c>
      <c r="Z61" s="25">
        <v>0</v>
      </c>
      <c r="AA61" s="25">
        <v>1</v>
      </c>
      <c r="AB61" s="25" t="s">
        <v>401</v>
      </c>
      <c r="AC61" s="20" t="s">
        <v>683</v>
      </c>
    </row>
    <row r="62" spans="1:29" ht="63.75">
      <c r="A62" s="20" t="s">
        <v>374</v>
      </c>
      <c r="B62" s="21" t="str">
        <f>'Lambda-Resistor (All)'!A36</f>
        <v>Short-Circuit</v>
      </c>
      <c r="C62" s="22">
        <f>'Lambda-Resistor (All)'!B$32</f>
        <v>4.1612004167966296E-9</v>
      </c>
      <c r="D62" s="23">
        <f>'Lambda-Resistor (All)'!C36</f>
        <v>0.05</v>
      </c>
      <c r="E62" s="20">
        <f>'Lambda-Resistor (All)'!D36</f>
        <v>2.080600208398315E-10</v>
      </c>
      <c r="F62" s="21" t="s">
        <v>491</v>
      </c>
      <c r="G62" s="21" t="s">
        <v>480</v>
      </c>
      <c r="H62" s="20" t="s">
        <v>43</v>
      </c>
      <c r="I62" s="20" t="s">
        <v>392</v>
      </c>
      <c r="J62" s="20" t="s">
        <v>573</v>
      </c>
      <c r="K62" s="20" t="s">
        <v>676</v>
      </c>
      <c r="L62" s="20" t="s">
        <v>675</v>
      </c>
      <c r="M62" s="20">
        <v>3.1999999999999999E-6</v>
      </c>
      <c r="N62" s="20">
        <v>3.1999999999999999E-6</v>
      </c>
      <c r="O62" s="20">
        <v>3.1999999999999999E-6</v>
      </c>
      <c r="P62" s="20">
        <v>3.1999999999999999E-6</v>
      </c>
      <c r="Q62" s="20">
        <v>3.1999999999999999E-6</v>
      </c>
      <c r="R62" s="20">
        <v>3.1999999999999999E-6</v>
      </c>
      <c r="S62" s="20">
        <f t="shared" ref="S62:X66" si="50">ROUND(((M62-MIN($M$3:$R$212))/(MAX($M$3:$R$212)-MIN($M$3:$R$212)))*((2^12)-1), 0)</f>
        <v>0</v>
      </c>
      <c r="T62" s="20">
        <f t="shared" si="50"/>
        <v>0</v>
      </c>
      <c r="U62" s="20">
        <f t="shared" si="50"/>
        <v>0</v>
      </c>
      <c r="V62" s="20">
        <f t="shared" si="50"/>
        <v>0</v>
      </c>
      <c r="W62" s="20">
        <f t="shared" si="50"/>
        <v>0</v>
      </c>
      <c r="X62" s="20">
        <f t="shared" si="50"/>
        <v>0</v>
      </c>
      <c r="Y62" s="20" t="s">
        <v>398</v>
      </c>
      <c r="Z62" s="25">
        <v>0</v>
      </c>
      <c r="AA62" s="25">
        <v>1</v>
      </c>
      <c r="AB62" s="25" t="s">
        <v>401</v>
      </c>
      <c r="AC62" s="20" t="s">
        <v>683</v>
      </c>
    </row>
    <row r="63" spans="1:29" ht="51">
      <c r="A63" s="20" t="s">
        <v>374</v>
      </c>
      <c r="B63" s="24" t="str">
        <f>'Lambda-Resistor (All)'!A37</f>
        <v>Increase of Resistance Value</v>
      </c>
      <c r="C63" s="22">
        <f>'Lambda-Resistor (All)'!B$32</f>
        <v>4.1612004167966296E-9</v>
      </c>
      <c r="D63" s="23">
        <f>'Lambda-Resistor (All)'!C37</f>
        <v>0.18</v>
      </c>
      <c r="E63" s="20">
        <f>'Lambda-Resistor (All)'!D37</f>
        <v>7.4901607502339334E-10</v>
      </c>
      <c r="F63" s="21" t="s">
        <v>380</v>
      </c>
      <c r="G63" s="21" t="s">
        <v>380</v>
      </c>
      <c r="H63" s="20" t="s">
        <v>43</v>
      </c>
      <c r="I63" s="20" t="s">
        <v>392</v>
      </c>
      <c r="J63" s="25" t="s">
        <v>507</v>
      </c>
      <c r="K63" s="20" t="s">
        <v>674</v>
      </c>
      <c r="L63" s="20" t="s">
        <v>675</v>
      </c>
      <c r="M63" s="20">
        <v>3.1999999999999999E-6</v>
      </c>
      <c r="N63" s="20">
        <v>3.1999999999999999E-6</v>
      </c>
      <c r="O63" s="20">
        <v>3.1999999999999999E-6</v>
      </c>
      <c r="P63" s="20">
        <v>3.1999999999999999E-6</v>
      </c>
      <c r="Q63" s="20">
        <v>3.1999999999999999E-6</v>
      </c>
      <c r="R63" s="20">
        <v>3.1999999999999999E-6</v>
      </c>
      <c r="S63" s="20">
        <f t="shared" si="50"/>
        <v>0</v>
      </c>
      <c r="T63" s="20">
        <f t="shared" si="50"/>
        <v>0</v>
      </c>
      <c r="U63" s="20">
        <f t="shared" si="50"/>
        <v>0</v>
      </c>
      <c r="V63" s="20">
        <f t="shared" si="50"/>
        <v>0</v>
      </c>
      <c r="W63" s="20">
        <f t="shared" si="50"/>
        <v>0</v>
      </c>
      <c r="X63" s="20">
        <f t="shared" si="50"/>
        <v>0</v>
      </c>
      <c r="Y63" s="20" t="s">
        <v>398</v>
      </c>
      <c r="Z63" s="25">
        <v>0</v>
      </c>
      <c r="AA63" s="25">
        <v>1</v>
      </c>
      <c r="AB63" s="25" t="s">
        <v>401</v>
      </c>
      <c r="AC63" s="20" t="s">
        <v>683</v>
      </c>
    </row>
    <row r="64" spans="1:29" ht="38.25">
      <c r="A64" s="20" t="s">
        <v>374</v>
      </c>
      <c r="B64" s="24" t="str">
        <f>'Lambda-Resistor (All)'!A38</f>
        <v>Decrease of Resistance Value</v>
      </c>
      <c r="C64" s="22">
        <f>'Lambda-Resistor (All)'!B$32</f>
        <v>4.1612004167966296E-9</v>
      </c>
      <c r="D64" s="23">
        <f>'Lambda-Resistor (All)'!C38</f>
        <v>0.18</v>
      </c>
      <c r="E64" s="20">
        <f>'Lambda-Resistor (All)'!D38</f>
        <v>7.4901607502339334E-10</v>
      </c>
      <c r="F64" s="21" t="s">
        <v>381</v>
      </c>
      <c r="G64" s="21" t="s">
        <v>381</v>
      </c>
      <c r="H64" s="20" t="s">
        <v>43</v>
      </c>
      <c r="I64" s="20" t="s">
        <v>392</v>
      </c>
      <c r="J64" s="20" t="s">
        <v>573</v>
      </c>
      <c r="K64" s="20" t="s">
        <v>676</v>
      </c>
      <c r="L64" s="20" t="s">
        <v>675</v>
      </c>
      <c r="M64" s="20">
        <v>3.1999999999999999E-6</v>
      </c>
      <c r="N64" s="20">
        <v>3.1999999999999999E-6</v>
      </c>
      <c r="O64" s="20">
        <v>3.1999999999999999E-6</v>
      </c>
      <c r="P64" s="20">
        <v>3.1999999999999999E-6</v>
      </c>
      <c r="Q64" s="20">
        <v>3.1999999999999999E-6</v>
      </c>
      <c r="R64" s="20">
        <v>3.1999999999999999E-6</v>
      </c>
      <c r="S64" s="20">
        <f t="shared" si="50"/>
        <v>0</v>
      </c>
      <c r="T64" s="20">
        <f t="shared" si="50"/>
        <v>0</v>
      </c>
      <c r="U64" s="20">
        <f t="shared" si="50"/>
        <v>0</v>
      </c>
      <c r="V64" s="20">
        <f t="shared" si="50"/>
        <v>0</v>
      </c>
      <c r="W64" s="20">
        <f t="shared" si="50"/>
        <v>0</v>
      </c>
      <c r="X64" s="20">
        <f t="shared" si="50"/>
        <v>0</v>
      </c>
      <c r="Y64" s="20" t="s">
        <v>398</v>
      </c>
      <c r="Z64" s="25">
        <v>0</v>
      </c>
      <c r="AA64" s="25">
        <v>1</v>
      </c>
      <c r="AB64" s="25" t="s">
        <v>401</v>
      </c>
      <c r="AC64" s="20" t="s">
        <v>683</v>
      </c>
    </row>
    <row r="65" spans="1:29" ht="38.25">
      <c r="A65" s="20" t="s">
        <v>374</v>
      </c>
      <c r="B65" s="21" t="str">
        <f>'Lambda-Resistor (All)'!A39</f>
        <v>Short-Circuit to Casing</v>
      </c>
      <c r="C65" s="22">
        <f>'Lambda-Resistor (All)'!B$32</f>
        <v>4.1612004167966296E-9</v>
      </c>
      <c r="D65" s="23">
        <f>'Lambda-Resistor (All)'!C39</f>
        <v>0</v>
      </c>
      <c r="E65" s="20">
        <f>'Lambda-Resistor (All)'!D39</f>
        <v>0</v>
      </c>
      <c r="F65" s="21" t="s">
        <v>382</v>
      </c>
      <c r="G65" s="26" t="s">
        <v>382</v>
      </c>
      <c r="H65" s="20" t="s">
        <v>43</v>
      </c>
      <c r="I65" s="20" t="s">
        <v>393</v>
      </c>
      <c r="J65" s="20" t="s">
        <v>393</v>
      </c>
      <c r="K65" s="20" t="s">
        <v>677</v>
      </c>
      <c r="L65" s="20" t="s">
        <v>677</v>
      </c>
      <c r="M65" s="20">
        <v>3.2724899999999999</v>
      </c>
      <c r="N65" s="20">
        <v>3.2719999999999998</v>
      </c>
      <c r="O65" s="20">
        <v>3.2749999999999999</v>
      </c>
      <c r="P65" s="20">
        <v>4.3130000000000002E-2</v>
      </c>
      <c r="Q65" s="20">
        <v>4.095E-2</v>
      </c>
      <c r="R65" s="20">
        <v>4.53E-2</v>
      </c>
      <c r="S65" s="20">
        <f t="shared" si="50"/>
        <v>4092</v>
      </c>
      <c r="T65" s="20">
        <f t="shared" si="50"/>
        <v>4091</v>
      </c>
      <c r="U65" s="20">
        <f t="shared" si="50"/>
        <v>4095</v>
      </c>
      <c r="V65" s="20">
        <f t="shared" si="50"/>
        <v>54</v>
      </c>
      <c r="W65" s="20">
        <f t="shared" si="50"/>
        <v>51</v>
      </c>
      <c r="X65" s="20">
        <f t="shared" si="50"/>
        <v>57</v>
      </c>
      <c r="Y65" s="20" t="s">
        <v>401</v>
      </c>
      <c r="Z65" s="25">
        <v>0</v>
      </c>
      <c r="AA65" s="25">
        <v>1</v>
      </c>
      <c r="AB65" s="25" t="s">
        <v>401</v>
      </c>
      <c r="AC65" s="20" t="s">
        <v>683</v>
      </c>
    </row>
    <row r="66" spans="1:29" ht="38.25">
      <c r="A66" s="20" t="s">
        <v>347</v>
      </c>
      <c r="B66" s="21" t="str">
        <f>'Lambda-Optocoupler (All)'!A31</f>
        <v>Open diode</v>
      </c>
      <c r="C66" s="22">
        <f>'Lambda-Optocoupler (All)'!B$28</f>
        <v>8.4558640964896021E-8</v>
      </c>
      <c r="D66" s="23">
        <f>'Lambda-Optocoupler (All)'!C31</f>
        <v>8.3333329999999997E-2</v>
      </c>
      <c r="E66" s="20">
        <f>'Lambda-Optocoupler (All)'!D31</f>
        <v>7.0465531318791983E-9</v>
      </c>
      <c r="F66" s="21" t="s">
        <v>492</v>
      </c>
      <c r="G66" s="21" t="s">
        <v>395</v>
      </c>
      <c r="H66" s="20" t="s">
        <v>43</v>
      </c>
      <c r="I66" s="20" t="s">
        <v>392</v>
      </c>
      <c r="J66" s="20" t="s">
        <v>573</v>
      </c>
      <c r="K66" s="20" t="s">
        <v>676</v>
      </c>
      <c r="L66" s="20" t="s">
        <v>675</v>
      </c>
      <c r="M66" s="20">
        <v>3.1999999999999999E-6</v>
      </c>
      <c r="N66" s="20">
        <v>3.1999999999999999E-6</v>
      </c>
      <c r="O66" s="20">
        <v>3.1999999999999999E-6</v>
      </c>
      <c r="P66" s="20">
        <v>3.1999999999999999E-6</v>
      </c>
      <c r="Q66" s="20">
        <v>3.1999999999999999E-6</v>
      </c>
      <c r="R66" s="20">
        <v>3.1999999999999999E-6</v>
      </c>
      <c r="S66" s="20">
        <f t="shared" si="50"/>
        <v>0</v>
      </c>
      <c r="T66" s="20">
        <f t="shared" si="50"/>
        <v>0</v>
      </c>
      <c r="U66" s="20">
        <f t="shared" si="50"/>
        <v>0</v>
      </c>
      <c r="V66" s="20">
        <f t="shared" si="50"/>
        <v>0</v>
      </c>
      <c r="W66" s="20">
        <f t="shared" si="50"/>
        <v>0</v>
      </c>
      <c r="X66" s="20">
        <f t="shared" si="50"/>
        <v>0</v>
      </c>
      <c r="Y66" s="20" t="s">
        <v>398</v>
      </c>
      <c r="Z66" s="25">
        <v>0</v>
      </c>
      <c r="AA66" s="25">
        <v>1</v>
      </c>
      <c r="AB66" s="25" t="s">
        <v>401</v>
      </c>
      <c r="AC66" s="20" t="s">
        <v>683</v>
      </c>
    </row>
    <row r="67" spans="1:29" ht="38.25">
      <c r="A67" s="20" t="s">
        <v>347</v>
      </c>
      <c r="B67" s="21" t="str">
        <f>'Lambda-Optocoupler (All)'!A32</f>
        <v>Open emitter</v>
      </c>
      <c r="C67" s="22">
        <f>'Lambda-Optocoupler (All)'!B$28</f>
        <v>8.4558640964896021E-8</v>
      </c>
      <c r="D67" s="23">
        <f>'Lambda-Optocoupler (All)'!C32</f>
        <v>8.3333329999999997E-2</v>
      </c>
      <c r="E67" s="20">
        <f>'Lambda-Optocoupler (All)'!D32</f>
        <v>7.0465531318791983E-9</v>
      </c>
      <c r="F67" s="21" t="s">
        <v>493</v>
      </c>
      <c r="G67" s="21" t="s">
        <v>395</v>
      </c>
      <c r="H67" s="20" t="s">
        <v>43</v>
      </c>
      <c r="I67" s="20" t="s">
        <v>392</v>
      </c>
      <c r="J67" s="20" t="s">
        <v>573</v>
      </c>
      <c r="K67" s="20" t="s">
        <v>676</v>
      </c>
      <c r="L67" s="20" t="s">
        <v>675</v>
      </c>
      <c r="M67" s="20">
        <v>3.1999999999999999E-6</v>
      </c>
      <c r="N67" s="20">
        <v>3.1999999999999999E-6</v>
      </c>
      <c r="O67" s="20">
        <v>3.1999999999999999E-6</v>
      </c>
      <c r="P67" s="20">
        <v>3.1999999999999999E-6</v>
      </c>
      <c r="Q67" s="20">
        <v>3.1999999999999999E-6</v>
      </c>
      <c r="R67" s="20">
        <v>3.1999999999999999E-6</v>
      </c>
      <c r="S67" s="20">
        <f t="shared" ref="S67:S72" si="51">ROUND(((M67-MIN($M$3:$R$212))/(MAX($M$3:$R$212)-MIN($M$3:$R$212)))*((2^12)-1), 0)</f>
        <v>0</v>
      </c>
      <c r="T67" s="20">
        <f t="shared" ref="T67:T72" si="52">ROUND(((N67-MIN($M$3:$R$212))/(MAX($M$3:$R$212)-MIN($M$3:$R$212)))*((2^12)-1), 0)</f>
        <v>0</v>
      </c>
      <c r="U67" s="20">
        <f t="shared" ref="U67:U72" si="53">ROUND(((O67-MIN($M$3:$R$212))/(MAX($M$3:$R$212)-MIN($M$3:$R$212)))*((2^12)-1), 0)</f>
        <v>0</v>
      </c>
      <c r="V67" s="20">
        <f t="shared" ref="V67:V72" si="54">ROUND(((P67-MIN($M$3:$R$212))/(MAX($M$3:$R$212)-MIN($M$3:$R$212)))*((2^12)-1), 0)</f>
        <v>0</v>
      </c>
      <c r="W67" s="20">
        <f t="shared" ref="W67:W72" si="55">ROUND(((Q67-MIN($M$3:$R$212))/(MAX($M$3:$R$212)-MIN($M$3:$R$212)))*((2^12)-1), 0)</f>
        <v>0</v>
      </c>
      <c r="X67" s="20">
        <f t="shared" ref="X67:X72" si="56">ROUND(((R67-MIN($M$3:$R$212))/(MAX($M$3:$R$212)-MIN($M$3:$R$212)))*((2^12)-1), 0)</f>
        <v>0</v>
      </c>
      <c r="Y67" s="20" t="s">
        <v>398</v>
      </c>
      <c r="Z67" s="25">
        <v>0</v>
      </c>
      <c r="AA67" s="25">
        <v>1</v>
      </c>
      <c r="AB67" s="25" t="s">
        <v>401</v>
      </c>
      <c r="AC67" s="20" t="s">
        <v>683</v>
      </c>
    </row>
    <row r="68" spans="1:29" ht="38.25">
      <c r="A68" s="20" t="s">
        <v>347</v>
      </c>
      <c r="B68" s="21" t="str">
        <f>'Lambda-Optocoupler (All)'!A33</f>
        <v>Open collector</v>
      </c>
      <c r="C68" s="22">
        <f>'Lambda-Optocoupler (All)'!B$28</f>
        <v>8.4558640964896021E-8</v>
      </c>
      <c r="D68" s="23">
        <f>'Lambda-Optocoupler (All)'!C33</f>
        <v>8.3333329999999997E-2</v>
      </c>
      <c r="E68" s="20">
        <f>'Lambda-Optocoupler (All)'!D33</f>
        <v>7.0465531318791983E-9</v>
      </c>
      <c r="F68" s="21" t="s">
        <v>493</v>
      </c>
      <c r="G68" s="21" t="s">
        <v>395</v>
      </c>
      <c r="H68" s="20" t="s">
        <v>43</v>
      </c>
      <c r="I68" s="20" t="s">
        <v>392</v>
      </c>
      <c r="J68" s="20" t="s">
        <v>573</v>
      </c>
      <c r="K68" s="20" t="s">
        <v>676</v>
      </c>
      <c r="L68" s="20" t="s">
        <v>675</v>
      </c>
      <c r="M68" s="20">
        <v>3.1999999999999999E-6</v>
      </c>
      <c r="N68" s="20">
        <v>3.1999999999999999E-6</v>
      </c>
      <c r="O68" s="20">
        <v>3.1999999999999999E-6</v>
      </c>
      <c r="P68" s="20">
        <v>3.1999999999999999E-6</v>
      </c>
      <c r="Q68" s="20">
        <v>3.1999999999999999E-6</v>
      </c>
      <c r="R68" s="20">
        <v>3.1999999999999999E-6</v>
      </c>
      <c r="S68" s="20">
        <f t="shared" si="51"/>
        <v>0</v>
      </c>
      <c r="T68" s="20">
        <f t="shared" si="52"/>
        <v>0</v>
      </c>
      <c r="U68" s="20">
        <f t="shared" si="53"/>
        <v>0</v>
      </c>
      <c r="V68" s="20">
        <f t="shared" si="54"/>
        <v>0</v>
      </c>
      <c r="W68" s="20">
        <f t="shared" si="55"/>
        <v>0</v>
      </c>
      <c r="X68" s="20">
        <f t="shared" si="56"/>
        <v>0</v>
      </c>
      <c r="Y68" s="20" t="s">
        <v>398</v>
      </c>
      <c r="Z68" s="25">
        <v>0</v>
      </c>
      <c r="AA68" s="25">
        <v>1</v>
      </c>
      <c r="AB68" s="25" t="s">
        <v>401</v>
      </c>
      <c r="AC68" s="20" t="s">
        <v>683</v>
      </c>
    </row>
    <row r="69" spans="1:29" ht="38.25">
      <c r="A69" s="20" t="s">
        <v>347</v>
      </c>
      <c r="B69" s="21" t="str">
        <f>'Lambda-Optocoupler (All)'!A34</f>
        <v>Open base</v>
      </c>
      <c r="C69" s="22">
        <f>'Lambda-Optocoupler (All)'!B$28</f>
        <v>8.4558640964896021E-8</v>
      </c>
      <c r="D69" s="23">
        <f>'Lambda-Optocoupler (All)'!C34</f>
        <v>8.3333329999999997E-2</v>
      </c>
      <c r="E69" s="20">
        <f>'Lambda-Optocoupler (All)'!D34</f>
        <v>7.0465531318791983E-9</v>
      </c>
      <c r="F69" s="21" t="s">
        <v>482</v>
      </c>
      <c r="G69" s="21" t="s">
        <v>482</v>
      </c>
      <c r="H69" s="20" t="s">
        <v>43</v>
      </c>
      <c r="I69" s="20" t="s">
        <v>393</v>
      </c>
      <c r="J69" s="20" t="s">
        <v>393</v>
      </c>
      <c r="K69" s="20" t="s">
        <v>677</v>
      </c>
      <c r="L69" s="20" t="s">
        <v>677</v>
      </c>
      <c r="M69" s="20">
        <v>3.2724899999999999</v>
      </c>
      <c r="N69" s="20">
        <v>3.2719999999999998</v>
      </c>
      <c r="O69" s="20">
        <v>3.2749999999999999</v>
      </c>
      <c r="P69" s="20">
        <v>4.3130000000000002E-2</v>
      </c>
      <c r="Q69" s="20">
        <v>4.095E-2</v>
      </c>
      <c r="R69" s="20">
        <v>4.53E-2</v>
      </c>
      <c r="S69" s="20">
        <f t="shared" si="51"/>
        <v>4092</v>
      </c>
      <c r="T69" s="20">
        <f t="shared" si="52"/>
        <v>4091</v>
      </c>
      <c r="U69" s="20">
        <f t="shared" si="53"/>
        <v>4095</v>
      </c>
      <c r="V69" s="20">
        <f t="shared" si="54"/>
        <v>54</v>
      </c>
      <c r="W69" s="20">
        <f t="shared" si="55"/>
        <v>51</v>
      </c>
      <c r="X69" s="20">
        <f t="shared" si="56"/>
        <v>57</v>
      </c>
      <c r="Y69" s="20" t="s">
        <v>401</v>
      </c>
      <c r="Z69" s="25">
        <v>0</v>
      </c>
      <c r="AA69" s="25">
        <v>1</v>
      </c>
      <c r="AB69" s="25" t="s">
        <v>401</v>
      </c>
      <c r="AC69" s="20" t="s">
        <v>683</v>
      </c>
    </row>
    <row r="70" spans="1:29" ht="38.25">
      <c r="A70" s="20" t="s">
        <v>347</v>
      </c>
      <c r="B70" s="21" t="str">
        <f>'Lambda-Optocoupler (All)'!A35</f>
        <v>Increase of light sensitivity</v>
      </c>
      <c r="C70" s="22">
        <f>'Lambda-Optocoupler (All)'!B$28</f>
        <v>8.4558640964896021E-8</v>
      </c>
      <c r="D70" s="23">
        <f>'Lambda-Optocoupler (All)'!C35</f>
        <v>8.3333329999999997E-2</v>
      </c>
      <c r="E70" s="20">
        <f>'Lambda-Optocoupler (All)'!D35</f>
        <v>7.0465531318791983E-9</v>
      </c>
      <c r="F70" s="21" t="s">
        <v>642</v>
      </c>
      <c r="G70" s="21" t="s">
        <v>463</v>
      </c>
      <c r="H70" s="20" t="s">
        <v>43</v>
      </c>
      <c r="I70" s="20" t="s">
        <v>393</v>
      </c>
      <c r="J70" s="20" t="s">
        <v>393</v>
      </c>
      <c r="K70" s="20" t="s">
        <v>677</v>
      </c>
      <c r="L70" s="20" t="s">
        <v>677</v>
      </c>
      <c r="M70" s="20">
        <v>3.2724899999999999</v>
      </c>
      <c r="N70" s="20">
        <v>3.2719999999999998</v>
      </c>
      <c r="O70" s="20">
        <v>3.2749999999999999</v>
      </c>
      <c r="P70" s="20">
        <v>4.3130000000000002E-2</v>
      </c>
      <c r="Q70" s="20">
        <v>4.095E-2</v>
      </c>
      <c r="R70" s="20">
        <v>4.53E-2</v>
      </c>
      <c r="S70" s="20">
        <f t="shared" si="51"/>
        <v>4092</v>
      </c>
      <c r="T70" s="20">
        <f t="shared" si="52"/>
        <v>4091</v>
      </c>
      <c r="U70" s="20">
        <f t="shared" si="53"/>
        <v>4095</v>
      </c>
      <c r="V70" s="20">
        <f t="shared" si="54"/>
        <v>54</v>
      </c>
      <c r="W70" s="20">
        <f t="shared" si="55"/>
        <v>51</v>
      </c>
      <c r="X70" s="20">
        <f t="shared" si="56"/>
        <v>57</v>
      </c>
      <c r="Y70" s="20" t="s">
        <v>401</v>
      </c>
      <c r="Z70" s="25">
        <v>0</v>
      </c>
      <c r="AA70" s="25">
        <v>1</v>
      </c>
      <c r="AB70" s="25" t="s">
        <v>401</v>
      </c>
      <c r="AC70" s="20" t="s">
        <v>683</v>
      </c>
    </row>
    <row r="71" spans="1:29" ht="38.25">
      <c r="A71" s="20" t="s">
        <v>347</v>
      </c>
      <c r="B71" s="24" t="str">
        <f>'Lambda-Optocoupler (All)'!A36</f>
        <v>Decrease of light sensitivity</v>
      </c>
      <c r="C71" s="22">
        <f>'Lambda-Optocoupler (All)'!B$28</f>
        <v>8.4558640964896021E-8</v>
      </c>
      <c r="D71" s="23">
        <f>'Lambda-Optocoupler (All)'!C36</f>
        <v>8.3333329999999997E-2</v>
      </c>
      <c r="E71" s="20">
        <f>'Lambda-Optocoupler (All)'!D36</f>
        <v>7.0465531318791983E-9</v>
      </c>
      <c r="F71" s="21" t="s">
        <v>464</v>
      </c>
      <c r="G71" s="21" t="s">
        <v>464</v>
      </c>
      <c r="H71" s="20" t="s">
        <v>43</v>
      </c>
      <c r="I71" s="20" t="s">
        <v>392</v>
      </c>
      <c r="J71" s="20" t="s">
        <v>573</v>
      </c>
      <c r="K71" s="20" t="s">
        <v>676</v>
      </c>
      <c r="L71" s="20" t="s">
        <v>675</v>
      </c>
      <c r="M71" s="20">
        <v>3.1999999999999999E-6</v>
      </c>
      <c r="N71" s="20">
        <v>3.1999999999999999E-6</v>
      </c>
      <c r="O71" s="20">
        <v>3.1999999999999999E-6</v>
      </c>
      <c r="P71" s="20">
        <v>3.1999999999999999E-6</v>
      </c>
      <c r="Q71" s="20">
        <v>3.1999999999999999E-6</v>
      </c>
      <c r="R71" s="20">
        <v>3.1999999999999999E-6</v>
      </c>
      <c r="S71" s="20">
        <f t="shared" si="51"/>
        <v>0</v>
      </c>
      <c r="T71" s="20">
        <f t="shared" si="52"/>
        <v>0</v>
      </c>
      <c r="U71" s="20">
        <f t="shared" si="53"/>
        <v>0</v>
      </c>
      <c r="V71" s="20">
        <f t="shared" si="54"/>
        <v>0</v>
      </c>
      <c r="W71" s="20">
        <f t="shared" si="55"/>
        <v>0</v>
      </c>
      <c r="X71" s="20">
        <f t="shared" si="56"/>
        <v>0</v>
      </c>
      <c r="Y71" s="20" t="s">
        <v>398</v>
      </c>
      <c r="Z71" s="25">
        <v>0</v>
      </c>
      <c r="AA71" s="25">
        <v>1</v>
      </c>
      <c r="AB71" s="25" t="s">
        <v>401</v>
      </c>
      <c r="AC71" s="20" t="s">
        <v>683</v>
      </c>
    </row>
    <row r="72" spans="1:29" ht="38.25">
      <c r="A72" s="20" t="s">
        <v>347</v>
      </c>
      <c r="B72" s="24" t="str">
        <f>'Lambda-Optocoupler (All)'!A37</f>
        <v>Increase of leakage current</v>
      </c>
      <c r="C72" s="22">
        <f>'Lambda-Optocoupler (All)'!B$28</f>
        <v>8.4558640964896021E-8</v>
      </c>
      <c r="D72" s="23">
        <f>'Lambda-Optocoupler (All)'!C37</f>
        <v>0.125</v>
      </c>
      <c r="E72" s="20">
        <f>'Lambda-Optocoupler (All)'!D37</f>
        <v>1.0569830120612003E-8</v>
      </c>
      <c r="F72" s="24" t="s">
        <v>609</v>
      </c>
      <c r="G72" s="21" t="s">
        <v>395</v>
      </c>
      <c r="H72" s="20" t="s">
        <v>43</v>
      </c>
      <c r="I72" s="20" t="s">
        <v>392</v>
      </c>
      <c r="J72" s="20" t="s">
        <v>573</v>
      </c>
      <c r="K72" s="20" t="s">
        <v>676</v>
      </c>
      <c r="L72" s="20" t="s">
        <v>675</v>
      </c>
      <c r="M72" s="20">
        <v>3.1999999999999999E-6</v>
      </c>
      <c r="N72" s="20">
        <v>3.1999999999999999E-6</v>
      </c>
      <c r="O72" s="20">
        <v>3.1999999999999999E-6</v>
      </c>
      <c r="P72" s="20">
        <v>3.1999999999999999E-6</v>
      </c>
      <c r="Q72" s="20">
        <v>3.1999999999999999E-6</v>
      </c>
      <c r="R72" s="20">
        <v>3.1999999999999999E-6</v>
      </c>
      <c r="S72" s="20">
        <f t="shared" si="51"/>
        <v>0</v>
      </c>
      <c r="T72" s="20">
        <f t="shared" si="52"/>
        <v>0</v>
      </c>
      <c r="U72" s="20">
        <f t="shared" si="53"/>
        <v>0</v>
      </c>
      <c r="V72" s="20">
        <f t="shared" si="54"/>
        <v>0</v>
      </c>
      <c r="W72" s="20">
        <f t="shared" si="55"/>
        <v>0</v>
      </c>
      <c r="X72" s="20">
        <f t="shared" si="56"/>
        <v>0</v>
      </c>
      <c r="Y72" s="20" t="s">
        <v>398</v>
      </c>
      <c r="Z72" s="25">
        <v>0</v>
      </c>
      <c r="AA72" s="25">
        <v>1</v>
      </c>
      <c r="AB72" s="25" t="s">
        <v>401</v>
      </c>
      <c r="AC72" s="20" t="s">
        <v>683</v>
      </c>
    </row>
    <row r="73" spans="1:29" ht="89.25">
      <c r="A73" s="20" t="s">
        <v>347</v>
      </c>
      <c r="B73" s="24" t="str">
        <f>'Lambda-Optocoupler (All)'!A38</f>
        <v>Reduced insulation between input and output</v>
      </c>
      <c r="C73" s="22">
        <f>'Lambda-Optocoupler (All)'!B$28</f>
        <v>8.4558640964896021E-8</v>
      </c>
      <c r="D73" s="23">
        <f>'Lambda-Optocoupler (All)'!C38</f>
        <v>0.125</v>
      </c>
      <c r="E73" s="20">
        <f>'Lambda-Optocoupler (All)'!D38</f>
        <v>1.0569830120612003E-8</v>
      </c>
      <c r="F73" s="21" t="s">
        <v>494</v>
      </c>
      <c r="G73" s="21" t="s">
        <v>496</v>
      </c>
      <c r="H73" s="20" t="s">
        <v>43</v>
      </c>
      <c r="I73" s="20" t="s">
        <v>392</v>
      </c>
      <c r="J73" s="25" t="s">
        <v>504</v>
      </c>
      <c r="K73" s="25" t="s">
        <v>673</v>
      </c>
      <c r="L73" s="20" t="s">
        <v>675</v>
      </c>
      <c r="M73" s="20">
        <v>3.1999999999999999E-6</v>
      </c>
      <c r="N73" s="20">
        <v>3.1999999999999999E-6</v>
      </c>
      <c r="O73" s="20">
        <v>3.1999999999999999E-6</v>
      </c>
      <c r="P73" s="20">
        <v>3.1999999999999999E-6</v>
      </c>
      <c r="Q73" s="20">
        <v>3.1999999999999999E-6</v>
      </c>
      <c r="R73" s="20">
        <v>3.1999999999999999E-6</v>
      </c>
      <c r="S73" s="20">
        <f t="shared" ref="S73:S81" si="57">ROUND(((M73-MIN($M$3:$R$212))/(MAX($M$3:$R$212)-MIN($M$3:$R$212)))*((2^12)-1), 0)</f>
        <v>0</v>
      </c>
      <c r="T73" s="20">
        <f t="shared" ref="T73:T81" si="58">ROUND(((N73-MIN($M$3:$R$212))/(MAX($M$3:$R$212)-MIN($M$3:$R$212)))*((2^12)-1), 0)</f>
        <v>0</v>
      </c>
      <c r="U73" s="20">
        <f t="shared" ref="U73:U81" si="59">ROUND(((O73-MIN($M$3:$R$212))/(MAX($M$3:$R$212)-MIN($M$3:$R$212)))*((2^12)-1), 0)</f>
        <v>0</v>
      </c>
      <c r="V73" s="20">
        <f t="shared" ref="V73:V81" si="60">ROUND(((P73-MIN($M$3:$R$212))/(MAX($M$3:$R$212)-MIN($M$3:$R$212)))*((2^12)-1), 0)</f>
        <v>0</v>
      </c>
      <c r="W73" s="20">
        <f t="shared" ref="W73:W81" si="61">ROUND(((Q73-MIN($M$3:$R$212))/(MAX($M$3:$R$212)-MIN($M$3:$R$212)))*((2^12)-1), 0)</f>
        <v>0</v>
      </c>
      <c r="X73" s="20">
        <f t="shared" ref="X73:X81" si="62">ROUND(((R73-MIN($M$3:$R$212))/(MAX($M$3:$R$212)-MIN($M$3:$R$212)))*((2^12)-1), 0)</f>
        <v>0</v>
      </c>
      <c r="Y73" s="20" t="s">
        <v>497</v>
      </c>
      <c r="Z73" s="25">
        <v>0</v>
      </c>
      <c r="AA73" s="25">
        <v>1</v>
      </c>
      <c r="AB73" s="25" t="s">
        <v>401</v>
      </c>
      <c r="AC73" s="20" t="s">
        <v>683</v>
      </c>
    </row>
    <row r="74" spans="1:29" ht="89.25">
      <c r="A74" s="20" t="s">
        <v>347</v>
      </c>
      <c r="B74" s="24" t="str">
        <f>'Lambda-Optocoupler (All)'!A39</f>
        <v>Change on switching time</v>
      </c>
      <c r="C74" s="22">
        <f>'Lambda-Optocoupler (All)'!B$28</f>
        <v>8.4558640964896021E-8</v>
      </c>
      <c r="D74" s="23">
        <f>'Lambda-Optocoupler (All)'!C39</f>
        <v>8.3333329999999997E-2</v>
      </c>
      <c r="E74" s="20">
        <f>'Lambda-Optocoupler (All)'!D39</f>
        <v>7.0465531318791983E-9</v>
      </c>
      <c r="F74" s="21" t="s">
        <v>499</v>
      </c>
      <c r="G74" s="21" t="s">
        <v>514</v>
      </c>
      <c r="H74" s="20" t="s">
        <v>43</v>
      </c>
      <c r="I74" s="20" t="s">
        <v>392</v>
      </c>
      <c r="J74" s="25" t="s">
        <v>507</v>
      </c>
      <c r="K74" s="20" t="s">
        <v>674</v>
      </c>
      <c r="L74" s="20" t="s">
        <v>675</v>
      </c>
      <c r="M74" s="20">
        <v>3.1999999999999999E-6</v>
      </c>
      <c r="N74" s="20">
        <v>3.1999999999999999E-6</v>
      </c>
      <c r="O74" s="20">
        <v>3.1999999999999999E-6</v>
      </c>
      <c r="P74" s="20">
        <v>3.1999999999999999E-6</v>
      </c>
      <c r="Q74" s="20">
        <v>3.1999999999999999E-6</v>
      </c>
      <c r="R74" s="20">
        <v>3.1999999999999999E-6</v>
      </c>
      <c r="S74" s="20">
        <f t="shared" si="57"/>
        <v>0</v>
      </c>
      <c r="T74" s="20">
        <f t="shared" si="58"/>
        <v>0</v>
      </c>
      <c r="U74" s="20">
        <f t="shared" si="59"/>
        <v>0</v>
      </c>
      <c r="V74" s="20">
        <f t="shared" si="60"/>
        <v>0</v>
      </c>
      <c r="W74" s="20">
        <f t="shared" si="61"/>
        <v>0</v>
      </c>
      <c r="X74" s="20">
        <f t="shared" si="62"/>
        <v>0</v>
      </c>
      <c r="Y74" s="20" t="s">
        <v>398</v>
      </c>
      <c r="Z74" s="25">
        <v>0</v>
      </c>
      <c r="AA74" s="25">
        <v>1</v>
      </c>
      <c r="AB74" s="25" t="s">
        <v>401</v>
      </c>
      <c r="AC74" s="20" t="s">
        <v>683</v>
      </c>
    </row>
    <row r="75" spans="1:29" ht="38.25">
      <c r="A75" s="20" t="s">
        <v>347</v>
      </c>
      <c r="B75" s="21" t="str">
        <f>'Lambda-Optocoupler (All)'!A40</f>
        <v>Increase of current gain</v>
      </c>
      <c r="C75" s="22">
        <f>'Lambda-Optocoupler (All)'!B$28</f>
        <v>8.4558640964896021E-8</v>
      </c>
      <c r="D75" s="23">
        <f>'Lambda-Optocoupler (All)'!C40</f>
        <v>8.3333329999999997E-2</v>
      </c>
      <c r="E75" s="20">
        <f>'Lambda-Optocoupler (All)'!D40</f>
        <v>7.0465531318791983E-9</v>
      </c>
      <c r="F75" s="21" t="s">
        <v>643</v>
      </c>
      <c r="G75" s="21" t="s">
        <v>463</v>
      </c>
      <c r="H75" s="20" t="s">
        <v>43</v>
      </c>
      <c r="I75" s="20" t="s">
        <v>393</v>
      </c>
      <c r="J75" s="20" t="s">
        <v>393</v>
      </c>
      <c r="K75" s="20" t="s">
        <v>677</v>
      </c>
      <c r="L75" s="20" t="s">
        <v>677</v>
      </c>
      <c r="M75" s="20">
        <v>3.2724899999999999</v>
      </c>
      <c r="N75" s="20">
        <v>3.2719999999999998</v>
      </c>
      <c r="O75" s="20">
        <v>3.2749999999999999</v>
      </c>
      <c r="P75" s="20">
        <v>4.3130000000000002E-2</v>
      </c>
      <c r="Q75" s="20">
        <v>4.095E-2</v>
      </c>
      <c r="R75" s="20">
        <v>4.53E-2</v>
      </c>
      <c r="S75" s="20">
        <f t="shared" si="57"/>
        <v>4092</v>
      </c>
      <c r="T75" s="20">
        <f t="shared" si="58"/>
        <v>4091</v>
      </c>
      <c r="U75" s="20">
        <f t="shared" si="59"/>
        <v>4095</v>
      </c>
      <c r="V75" s="20">
        <f t="shared" si="60"/>
        <v>54</v>
      </c>
      <c r="W75" s="20">
        <f t="shared" si="61"/>
        <v>51</v>
      </c>
      <c r="X75" s="20">
        <f t="shared" si="62"/>
        <v>57</v>
      </c>
      <c r="Y75" s="20" t="s">
        <v>401</v>
      </c>
      <c r="Z75" s="25">
        <v>0</v>
      </c>
      <c r="AA75" s="25">
        <v>1</v>
      </c>
      <c r="AB75" s="25" t="s">
        <v>401</v>
      </c>
      <c r="AC75" s="20" t="s">
        <v>683</v>
      </c>
    </row>
    <row r="76" spans="1:29" ht="127.5">
      <c r="A76" s="20" t="s">
        <v>347</v>
      </c>
      <c r="B76" s="24" t="str">
        <f>'Lambda-Optocoupler (All)'!A41</f>
        <v>Decrease of current gain</v>
      </c>
      <c r="C76" s="22">
        <f>'Lambda-Optocoupler (All)'!B$28</f>
        <v>8.4558640964896021E-8</v>
      </c>
      <c r="D76" s="23">
        <f>'Lambda-Optocoupler (All)'!C41</f>
        <v>8.3333329999999997E-2</v>
      </c>
      <c r="E76" s="20">
        <f>'Lambda-Optocoupler (All)'!D41</f>
        <v>7.0465531318791983E-9</v>
      </c>
      <c r="F76" s="21" t="s">
        <v>484</v>
      </c>
      <c r="G76" s="21" t="s">
        <v>515</v>
      </c>
      <c r="H76" s="20" t="s">
        <v>43</v>
      </c>
      <c r="I76" s="20" t="s">
        <v>392</v>
      </c>
      <c r="J76" s="25" t="s">
        <v>507</v>
      </c>
      <c r="K76" s="20" t="s">
        <v>674</v>
      </c>
      <c r="L76" s="20" t="s">
        <v>675</v>
      </c>
      <c r="M76" s="20">
        <v>3.1999999999999999E-6</v>
      </c>
      <c r="N76" s="20">
        <v>3.1999999999999999E-6</v>
      </c>
      <c r="O76" s="20">
        <v>3.1999999999999999E-6</v>
      </c>
      <c r="P76" s="20">
        <v>3.1999999999999999E-6</v>
      </c>
      <c r="Q76" s="20">
        <v>3.1999999999999999E-6</v>
      </c>
      <c r="R76" s="20">
        <v>3.1999999999999999E-6</v>
      </c>
      <c r="S76" s="20">
        <f t="shared" si="57"/>
        <v>0</v>
      </c>
      <c r="T76" s="20">
        <f t="shared" si="58"/>
        <v>0</v>
      </c>
      <c r="U76" s="20">
        <f t="shared" si="59"/>
        <v>0</v>
      </c>
      <c r="V76" s="20">
        <f t="shared" si="60"/>
        <v>0</v>
      </c>
      <c r="W76" s="20">
        <f t="shared" si="61"/>
        <v>0</v>
      </c>
      <c r="X76" s="20">
        <f t="shared" si="62"/>
        <v>0</v>
      </c>
      <c r="Y76" s="20" t="s">
        <v>398</v>
      </c>
      <c r="Z76" s="25">
        <v>0</v>
      </c>
      <c r="AA76" s="25">
        <v>1</v>
      </c>
      <c r="AB76" s="25" t="s">
        <v>401</v>
      </c>
      <c r="AC76" s="20" t="s">
        <v>683</v>
      </c>
    </row>
    <row r="77" spans="1:29" ht="38.25">
      <c r="A77" s="20" t="s">
        <v>375</v>
      </c>
      <c r="B77" s="21" t="str">
        <f>'Lambda-Resistor (All)'!A35</f>
        <v>Open</v>
      </c>
      <c r="C77" s="22">
        <f>'Lambda-Resistor (All)'!B$32</f>
        <v>4.1612004167966296E-9</v>
      </c>
      <c r="D77" s="23">
        <f>'Lambda-Resistor (All)'!C35</f>
        <v>0.59</v>
      </c>
      <c r="E77" s="20">
        <f>'Lambda-Resistor (All)'!D35</f>
        <v>2.4551082459100113E-9</v>
      </c>
      <c r="F77" s="21" t="s">
        <v>500</v>
      </c>
      <c r="G77" s="21" t="s">
        <v>474</v>
      </c>
      <c r="H77" s="20" t="s">
        <v>43</v>
      </c>
      <c r="I77" s="20" t="s">
        <v>392</v>
      </c>
      <c r="J77" s="20" t="s">
        <v>573</v>
      </c>
      <c r="K77" s="20" t="s">
        <v>676</v>
      </c>
      <c r="L77" s="20" t="s">
        <v>676</v>
      </c>
      <c r="M77" s="20">
        <v>0</v>
      </c>
      <c r="N77" s="20">
        <v>0</v>
      </c>
      <c r="O77" s="20">
        <v>0</v>
      </c>
      <c r="P77" s="20">
        <v>0</v>
      </c>
      <c r="Q77" s="20">
        <v>0</v>
      </c>
      <c r="R77" s="20">
        <v>0</v>
      </c>
      <c r="S77" s="20">
        <f t="shared" si="57"/>
        <v>0</v>
      </c>
      <c r="T77" s="20">
        <f t="shared" si="58"/>
        <v>0</v>
      </c>
      <c r="U77" s="20">
        <f t="shared" si="59"/>
        <v>0</v>
      </c>
      <c r="V77" s="20">
        <f t="shared" si="60"/>
        <v>0</v>
      </c>
      <c r="W77" s="20">
        <f t="shared" si="61"/>
        <v>0</v>
      </c>
      <c r="X77" s="20">
        <f t="shared" si="62"/>
        <v>0</v>
      </c>
      <c r="Y77" s="20" t="s">
        <v>397</v>
      </c>
      <c r="Z77" s="25">
        <v>0</v>
      </c>
      <c r="AA77" s="25">
        <v>0</v>
      </c>
      <c r="AB77" s="25" t="s">
        <v>397</v>
      </c>
      <c r="AC77" s="20" t="s">
        <v>683</v>
      </c>
    </row>
    <row r="78" spans="1:29" ht="63.75">
      <c r="A78" s="20" t="s">
        <v>375</v>
      </c>
      <c r="B78" s="24" t="str">
        <f>'Lambda-Resistor (All)'!A36</f>
        <v>Short-Circuit</v>
      </c>
      <c r="C78" s="22">
        <f>'Lambda-Resistor (All)'!B$32</f>
        <v>4.1612004167966296E-9</v>
      </c>
      <c r="D78" s="23">
        <f>'Lambda-Resistor (All)'!C36</f>
        <v>0.05</v>
      </c>
      <c r="E78" s="20">
        <f>'Lambda-Resistor (All)'!D36</f>
        <v>2.080600208398315E-10</v>
      </c>
      <c r="F78" s="21" t="s">
        <v>501</v>
      </c>
      <c r="G78" s="21" t="s">
        <v>516</v>
      </c>
      <c r="H78" s="20" t="s">
        <v>43</v>
      </c>
      <c r="I78" s="20" t="s">
        <v>392</v>
      </c>
      <c r="J78" s="20" t="s">
        <v>575</v>
      </c>
      <c r="K78" s="20" t="s">
        <v>675</v>
      </c>
      <c r="L78" s="20" t="s">
        <v>676</v>
      </c>
      <c r="M78" s="20">
        <v>3.2724899999999999</v>
      </c>
      <c r="N78" s="20">
        <v>3.2719999999999998</v>
      </c>
      <c r="O78" s="20">
        <v>3.2749999999999999</v>
      </c>
      <c r="P78" s="20">
        <v>4.3130000000000002E-2</v>
      </c>
      <c r="Q78" s="20">
        <v>4.095E-2</v>
      </c>
      <c r="R78" s="20">
        <v>4.53E-2</v>
      </c>
      <c r="S78" s="25">
        <f t="shared" si="57"/>
        <v>4092</v>
      </c>
      <c r="T78" s="25">
        <f t="shared" si="58"/>
        <v>4091</v>
      </c>
      <c r="U78" s="25">
        <f t="shared" si="59"/>
        <v>4095</v>
      </c>
      <c r="V78" s="25">
        <f t="shared" si="60"/>
        <v>54</v>
      </c>
      <c r="W78" s="25">
        <f t="shared" si="61"/>
        <v>51</v>
      </c>
      <c r="X78" s="25">
        <f t="shared" si="62"/>
        <v>57</v>
      </c>
      <c r="Y78" s="25" t="s">
        <v>409</v>
      </c>
      <c r="Z78" s="25">
        <v>1</v>
      </c>
      <c r="AA78" s="25">
        <v>1</v>
      </c>
      <c r="AB78" s="25" t="s">
        <v>398</v>
      </c>
      <c r="AC78" s="20" t="s">
        <v>683</v>
      </c>
    </row>
    <row r="79" spans="1:29" ht="38.25">
      <c r="A79" s="20" t="s">
        <v>375</v>
      </c>
      <c r="B79" s="24" t="str">
        <f>'Lambda-Resistor (All)'!A37</f>
        <v>Increase of Resistance Value</v>
      </c>
      <c r="C79" s="22">
        <f>'Lambda-Resistor (All)'!B$32</f>
        <v>4.1612004167966296E-9</v>
      </c>
      <c r="D79" s="23">
        <f>'Lambda-Resistor (All)'!C37</f>
        <v>0.18</v>
      </c>
      <c r="E79" s="20">
        <f>'Lambda-Resistor (All)'!D37</f>
        <v>7.4901607502339334E-10</v>
      </c>
      <c r="F79" s="21" t="s">
        <v>380</v>
      </c>
      <c r="G79" s="21" t="s">
        <v>380</v>
      </c>
      <c r="H79" s="20" t="s">
        <v>43</v>
      </c>
      <c r="I79" s="20" t="s">
        <v>392</v>
      </c>
      <c r="J79" s="20" t="s">
        <v>573</v>
      </c>
      <c r="K79" s="20" t="s">
        <v>676</v>
      </c>
      <c r="L79" s="20" t="s">
        <v>676</v>
      </c>
      <c r="M79" s="20">
        <v>0</v>
      </c>
      <c r="N79" s="20">
        <v>0</v>
      </c>
      <c r="O79" s="20">
        <v>0</v>
      </c>
      <c r="P79" s="20">
        <v>0</v>
      </c>
      <c r="Q79" s="20">
        <v>0</v>
      </c>
      <c r="R79" s="20">
        <v>0</v>
      </c>
      <c r="S79" s="20">
        <f t="shared" si="57"/>
        <v>0</v>
      </c>
      <c r="T79" s="20">
        <f t="shared" si="58"/>
        <v>0</v>
      </c>
      <c r="U79" s="20">
        <f t="shared" si="59"/>
        <v>0</v>
      </c>
      <c r="V79" s="20">
        <f t="shared" si="60"/>
        <v>0</v>
      </c>
      <c r="W79" s="20">
        <f t="shared" si="61"/>
        <v>0</v>
      </c>
      <c r="X79" s="20">
        <f t="shared" si="62"/>
        <v>0</v>
      </c>
      <c r="Y79" s="20" t="s">
        <v>397</v>
      </c>
      <c r="Z79" s="25">
        <v>0</v>
      </c>
      <c r="AA79" s="25">
        <v>0</v>
      </c>
      <c r="AB79" s="25" t="s">
        <v>397</v>
      </c>
      <c r="AC79" s="20" t="s">
        <v>683</v>
      </c>
    </row>
    <row r="80" spans="1:29" ht="51">
      <c r="A80" s="20" t="s">
        <v>375</v>
      </c>
      <c r="B80" s="24" t="str">
        <f>'Lambda-Resistor (All)'!A38</f>
        <v>Decrease of Resistance Value</v>
      </c>
      <c r="C80" s="22">
        <f>'Lambda-Resistor (All)'!B$32</f>
        <v>4.1612004167966296E-9</v>
      </c>
      <c r="D80" s="23">
        <f>'Lambda-Resistor (All)'!C38</f>
        <v>0.18</v>
      </c>
      <c r="E80" s="20">
        <f>'Lambda-Resistor (All)'!D38</f>
        <v>7.4901607502339334E-10</v>
      </c>
      <c r="F80" s="21" t="s">
        <v>381</v>
      </c>
      <c r="G80" s="21" t="s">
        <v>381</v>
      </c>
      <c r="H80" s="20" t="s">
        <v>43</v>
      </c>
      <c r="I80" s="20" t="s">
        <v>392</v>
      </c>
      <c r="J80" s="20" t="s">
        <v>575</v>
      </c>
      <c r="K80" s="20" t="s">
        <v>675</v>
      </c>
      <c r="L80" s="20" t="s">
        <v>676</v>
      </c>
      <c r="M80" s="20">
        <v>3.2724899999999999</v>
      </c>
      <c r="N80" s="20">
        <v>3.2719999999999998</v>
      </c>
      <c r="O80" s="20">
        <v>3.2749999999999999</v>
      </c>
      <c r="P80" s="20">
        <v>4.3130000000000002E-2</v>
      </c>
      <c r="Q80" s="20">
        <v>4.095E-2</v>
      </c>
      <c r="R80" s="20">
        <v>4.53E-2</v>
      </c>
      <c r="S80" s="25">
        <f t="shared" si="57"/>
        <v>4092</v>
      </c>
      <c r="T80" s="25">
        <f t="shared" si="58"/>
        <v>4091</v>
      </c>
      <c r="U80" s="25">
        <f t="shared" si="59"/>
        <v>4095</v>
      </c>
      <c r="V80" s="25">
        <f t="shared" si="60"/>
        <v>54</v>
      </c>
      <c r="W80" s="25">
        <f t="shared" si="61"/>
        <v>51</v>
      </c>
      <c r="X80" s="25">
        <f t="shared" si="62"/>
        <v>57</v>
      </c>
      <c r="Y80" s="25" t="s">
        <v>409</v>
      </c>
      <c r="Z80" s="25">
        <v>1</v>
      </c>
      <c r="AA80" s="25">
        <v>1</v>
      </c>
      <c r="AB80" s="25" t="s">
        <v>398</v>
      </c>
      <c r="AC80" s="20" t="s">
        <v>683</v>
      </c>
    </row>
    <row r="81" spans="1:29" ht="38.25">
      <c r="A81" s="20" t="s">
        <v>375</v>
      </c>
      <c r="B81" s="21" t="str">
        <f>'Lambda-Resistor (All)'!A39</f>
        <v>Short-Circuit to Casing</v>
      </c>
      <c r="C81" s="22">
        <f>'Lambda-Resistor (All)'!B$32</f>
        <v>4.1612004167966296E-9</v>
      </c>
      <c r="D81" s="23">
        <f>'Lambda-Resistor (All)'!C39</f>
        <v>0</v>
      </c>
      <c r="E81" s="20">
        <f>'Lambda-Resistor (All)'!D39</f>
        <v>0</v>
      </c>
      <c r="F81" s="21" t="s">
        <v>382</v>
      </c>
      <c r="G81" s="26" t="s">
        <v>382</v>
      </c>
      <c r="H81" s="20" t="s">
        <v>43</v>
      </c>
      <c r="I81" s="20" t="s">
        <v>393</v>
      </c>
      <c r="J81" s="20" t="s">
        <v>393</v>
      </c>
      <c r="K81" s="20" t="s">
        <v>677</v>
      </c>
      <c r="L81" s="20" t="s">
        <v>677</v>
      </c>
      <c r="M81" s="20">
        <v>3.2724899999999999</v>
      </c>
      <c r="N81" s="20">
        <v>3.2719999999999998</v>
      </c>
      <c r="O81" s="20">
        <v>3.2749999999999999</v>
      </c>
      <c r="P81" s="20">
        <v>4.3130000000000002E-2</v>
      </c>
      <c r="Q81" s="20">
        <v>4.095E-2</v>
      </c>
      <c r="R81" s="20">
        <v>4.53E-2</v>
      </c>
      <c r="S81" s="20">
        <f t="shared" si="57"/>
        <v>4092</v>
      </c>
      <c r="T81" s="20">
        <f t="shared" si="58"/>
        <v>4091</v>
      </c>
      <c r="U81" s="20">
        <f t="shared" si="59"/>
        <v>4095</v>
      </c>
      <c r="V81" s="20">
        <f t="shared" si="60"/>
        <v>54</v>
      </c>
      <c r="W81" s="20">
        <f t="shared" si="61"/>
        <v>51</v>
      </c>
      <c r="X81" s="20">
        <f t="shared" si="62"/>
        <v>57</v>
      </c>
      <c r="Y81" s="20" t="s">
        <v>401</v>
      </c>
      <c r="Z81" s="25">
        <v>0</v>
      </c>
      <c r="AA81" s="25">
        <v>1</v>
      </c>
      <c r="AB81" s="25" t="s">
        <v>401</v>
      </c>
      <c r="AC81" s="20" t="s">
        <v>683</v>
      </c>
    </row>
    <row r="82" spans="1:29" ht="51">
      <c r="A82" s="20" t="s">
        <v>348</v>
      </c>
      <c r="B82" s="21" t="str">
        <f>'Lambda-Optocoupler (All)'!A31</f>
        <v>Open diode</v>
      </c>
      <c r="C82" s="22">
        <f>'Lambda-Optocoupler (All)'!B$28</f>
        <v>8.4558640964896021E-8</v>
      </c>
      <c r="D82" s="23">
        <f>'Lambda-Optocoupler (All)'!C31</f>
        <v>8.3333329999999997E-2</v>
      </c>
      <c r="E82" s="20">
        <f>'Lambda-Optocoupler (All)'!D31</f>
        <v>7.0465531318791983E-9</v>
      </c>
      <c r="F82" s="21" t="s">
        <v>508</v>
      </c>
      <c r="G82" s="21" t="s">
        <v>517</v>
      </c>
      <c r="H82" s="20" t="s">
        <v>43</v>
      </c>
      <c r="I82" s="20" t="s">
        <v>392</v>
      </c>
      <c r="J82" s="20" t="s">
        <v>573</v>
      </c>
      <c r="K82" s="20" t="s">
        <v>676</v>
      </c>
      <c r="L82" s="20" t="s">
        <v>676</v>
      </c>
      <c r="M82" s="20">
        <v>0</v>
      </c>
      <c r="N82" s="20">
        <v>0</v>
      </c>
      <c r="O82" s="20">
        <v>0</v>
      </c>
      <c r="P82" s="20">
        <v>0</v>
      </c>
      <c r="Q82" s="20">
        <v>0</v>
      </c>
      <c r="R82" s="20">
        <v>0</v>
      </c>
      <c r="S82" s="20">
        <f t="shared" ref="S82:X86" si="63">ROUND(((M82-MIN($M$3:$R$212))/(MAX($M$3:$R$212)-MIN($M$3:$R$212)))*((2^12)-1), 0)</f>
        <v>0</v>
      </c>
      <c r="T82" s="20">
        <f t="shared" si="63"/>
        <v>0</v>
      </c>
      <c r="U82" s="20">
        <f t="shared" si="63"/>
        <v>0</v>
      </c>
      <c r="V82" s="20">
        <f t="shared" si="63"/>
        <v>0</v>
      </c>
      <c r="W82" s="20">
        <f t="shared" si="63"/>
        <v>0</v>
      </c>
      <c r="X82" s="20">
        <f t="shared" si="63"/>
        <v>0</v>
      </c>
      <c r="Y82" s="20" t="s">
        <v>397</v>
      </c>
      <c r="Z82" s="25">
        <v>0</v>
      </c>
      <c r="AA82" s="25">
        <v>0</v>
      </c>
      <c r="AB82" s="25" t="s">
        <v>397</v>
      </c>
      <c r="AC82" s="20" t="s">
        <v>683</v>
      </c>
    </row>
    <row r="83" spans="1:29" ht="38.25">
      <c r="A83" s="20" t="s">
        <v>348</v>
      </c>
      <c r="B83" s="21" t="str">
        <f>'Lambda-Optocoupler (All)'!A32</f>
        <v>Open emitter</v>
      </c>
      <c r="C83" s="22">
        <f>'Lambda-Optocoupler (All)'!B$28</f>
        <v>8.4558640964896021E-8</v>
      </c>
      <c r="D83" s="23">
        <f>'Lambda-Optocoupler (All)'!C32</f>
        <v>8.3333329999999997E-2</v>
      </c>
      <c r="E83" s="20">
        <f>'Lambda-Optocoupler (All)'!D32</f>
        <v>7.0465531318791983E-9</v>
      </c>
      <c r="F83" s="21" t="s">
        <v>500</v>
      </c>
      <c r="G83" s="21" t="s">
        <v>509</v>
      </c>
      <c r="H83" s="20" t="s">
        <v>43</v>
      </c>
      <c r="I83" s="20" t="s">
        <v>392</v>
      </c>
      <c r="J83" s="20" t="s">
        <v>573</v>
      </c>
      <c r="K83" s="20" t="s">
        <v>676</v>
      </c>
      <c r="L83" s="20" t="s">
        <v>676</v>
      </c>
      <c r="M83" s="20">
        <v>0</v>
      </c>
      <c r="N83" s="20">
        <v>0</v>
      </c>
      <c r="O83" s="20">
        <v>0</v>
      </c>
      <c r="P83" s="20">
        <v>0</v>
      </c>
      <c r="Q83" s="20">
        <v>0</v>
      </c>
      <c r="R83" s="20">
        <v>0</v>
      </c>
      <c r="S83" s="20">
        <f t="shared" si="63"/>
        <v>0</v>
      </c>
      <c r="T83" s="20">
        <f t="shared" si="63"/>
        <v>0</v>
      </c>
      <c r="U83" s="20">
        <f t="shared" si="63"/>
        <v>0</v>
      </c>
      <c r="V83" s="20">
        <f t="shared" si="63"/>
        <v>0</v>
      </c>
      <c r="W83" s="20">
        <f t="shared" si="63"/>
        <v>0</v>
      </c>
      <c r="X83" s="20">
        <f t="shared" si="63"/>
        <v>0</v>
      </c>
      <c r="Y83" s="20" t="s">
        <v>397</v>
      </c>
      <c r="Z83" s="25">
        <v>0</v>
      </c>
      <c r="AA83" s="25">
        <v>0</v>
      </c>
      <c r="AB83" s="25" t="s">
        <v>397</v>
      </c>
      <c r="AC83" s="20" t="s">
        <v>683</v>
      </c>
    </row>
    <row r="84" spans="1:29" ht="38.25">
      <c r="A84" s="20" t="s">
        <v>348</v>
      </c>
      <c r="B84" s="21" t="str">
        <f>'Lambda-Optocoupler (All)'!A33</f>
        <v>Open collector</v>
      </c>
      <c r="C84" s="22">
        <f>'Lambda-Optocoupler (All)'!B$28</f>
        <v>8.4558640964896021E-8</v>
      </c>
      <c r="D84" s="23">
        <f>'Lambda-Optocoupler (All)'!C33</f>
        <v>8.3333329999999997E-2</v>
      </c>
      <c r="E84" s="20">
        <f>'Lambda-Optocoupler (All)'!D33</f>
        <v>7.0465531318791983E-9</v>
      </c>
      <c r="F84" s="21" t="s">
        <v>500</v>
      </c>
      <c r="G84" s="21" t="s">
        <v>509</v>
      </c>
      <c r="H84" s="20" t="s">
        <v>43</v>
      </c>
      <c r="I84" s="20" t="s">
        <v>392</v>
      </c>
      <c r="J84" s="20" t="s">
        <v>573</v>
      </c>
      <c r="K84" s="20" t="s">
        <v>676</v>
      </c>
      <c r="L84" s="20" t="s">
        <v>676</v>
      </c>
      <c r="M84" s="20">
        <v>0</v>
      </c>
      <c r="N84" s="20">
        <v>0</v>
      </c>
      <c r="O84" s="20">
        <v>0</v>
      </c>
      <c r="P84" s="20">
        <v>0</v>
      </c>
      <c r="Q84" s="20">
        <v>0</v>
      </c>
      <c r="R84" s="20">
        <v>0</v>
      </c>
      <c r="S84" s="20">
        <f t="shared" si="63"/>
        <v>0</v>
      </c>
      <c r="T84" s="20">
        <f t="shared" si="63"/>
        <v>0</v>
      </c>
      <c r="U84" s="20">
        <f t="shared" si="63"/>
        <v>0</v>
      </c>
      <c r="V84" s="20">
        <f t="shared" si="63"/>
        <v>0</v>
      </c>
      <c r="W84" s="20">
        <f t="shared" si="63"/>
        <v>0</v>
      </c>
      <c r="X84" s="20">
        <f t="shared" si="63"/>
        <v>0</v>
      </c>
      <c r="Y84" s="20" t="s">
        <v>397</v>
      </c>
      <c r="Z84" s="25">
        <v>0</v>
      </c>
      <c r="AA84" s="25">
        <v>0</v>
      </c>
      <c r="AB84" s="25" t="s">
        <v>397</v>
      </c>
      <c r="AC84" s="20" t="s">
        <v>683</v>
      </c>
    </row>
    <row r="85" spans="1:29" ht="38.25">
      <c r="A85" s="20" t="s">
        <v>348</v>
      </c>
      <c r="B85" s="21" t="str">
        <f>'Lambda-Optocoupler (All)'!A34</f>
        <v>Open base</v>
      </c>
      <c r="C85" s="22">
        <f>'Lambda-Optocoupler (All)'!B$28</f>
        <v>8.4558640964896021E-8</v>
      </c>
      <c r="D85" s="23">
        <f>'Lambda-Optocoupler (All)'!C34</f>
        <v>8.3333329999999997E-2</v>
      </c>
      <c r="E85" s="20">
        <f>'Lambda-Optocoupler (All)'!D34</f>
        <v>7.0465531318791983E-9</v>
      </c>
      <c r="F85" s="21" t="s">
        <v>483</v>
      </c>
      <c r="G85" s="21" t="s">
        <v>483</v>
      </c>
      <c r="H85" s="20" t="s">
        <v>43</v>
      </c>
      <c r="I85" s="20" t="s">
        <v>393</v>
      </c>
      <c r="J85" s="20" t="s">
        <v>393</v>
      </c>
      <c r="K85" s="20" t="s">
        <v>677</v>
      </c>
      <c r="L85" s="20" t="s">
        <v>677</v>
      </c>
      <c r="M85" s="20">
        <v>3.2724899999999999</v>
      </c>
      <c r="N85" s="20">
        <v>3.2719999999999998</v>
      </c>
      <c r="O85" s="20">
        <v>3.2749999999999999</v>
      </c>
      <c r="P85" s="20">
        <v>4.3130000000000002E-2</v>
      </c>
      <c r="Q85" s="20">
        <v>4.095E-2</v>
      </c>
      <c r="R85" s="20">
        <v>4.53E-2</v>
      </c>
      <c r="S85" s="20">
        <f t="shared" si="63"/>
        <v>4092</v>
      </c>
      <c r="T85" s="20">
        <f t="shared" si="63"/>
        <v>4091</v>
      </c>
      <c r="U85" s="20">
        <f t="shared" si="63"/>
        <v>4095</v>
      </c>
      <c r="V85" s="20">
        <f t="shared" si="63"/>
        <v>54</v>
      </c>
      <c r="W85" s="20">
        <f t="shared" si="63"/>
        <v>51</v>
      </c>
      <c r="X85" s="20">
        <f t="shared" si="63"/>
        <v>57</v>
      </c>
      <c r="Y85" s="20" t="s">
        <v>401</v>
      </c>
      <c r="Z85" s="25">
        <v>0</v>
      </c>
      <c r="AA85" s="25">
        <v>1</v>
      </c>
      <c r="AB85" s="25" t="s">
        <v>401</v>
      </c>
      <c r="AC85" s="20" t="s">
        <v>683</v>
      </c>
    </row>
    <row r="86" spans="1:29" ht="38.25">
      <c r="A86" s="20" t="s">
        <v>348</v>
      </c>
      <c r="B86" s="24" t="str">
        <f>'Lambda-Optocoupler (All)'!A35</f>
        <v>Increase of light sensitivity</v>
      </c>
      <c r="C86" s="22">
        <f>'Lambda-Optocoupler (All)'!B$28</f>
        <v>8.4558640964896021E-8</v>
      </c>
      <c r="D86" s="23">
        <f>'Lambda-Optocoupler (All)'!C35</f>
        <v>8.3333329999999997E-2</v>
      </c>
      <c r="E86" s="20">
        <f>'Lambda-Optocoupler (All)'!D35</f>
        <v>7.0465531318791983E-9</v>
      </c>
      <c r="F86" s="21" t="s">
        <v>644</v>
      </c>
      <c r="G86" s="21" t="s">
        <v>463</v>
      </c>
      <c r="H86" s="20" t="s">
        <v>43</v>
      </c>
      <c r="I86" s="20" t="s">
        <v>393</v>
      </c>
      <c r="J86" s="20" t="s">
        <v>393</v>
      </c>
      <c r="K86" s="20" t="s">
        <v>677</v>
      </c>
      <c r="L86" s="20" t="s">
        <v>677</v>
      </c>
      <c r="M86" s="20">
        <v>3.2724899999999999</v>
      </c>
      <c r="N86" s="20">
        <v>3.2719999999999998</v>
      </c>
      <c r="O86" s="20">
        <v>3.2749999999999999</v>
      </c>
      <c r="P86" s="20">
        <v>4.3130000000000002E-2</v>
      </c>
      <c r="Q86" s="20">
        <v>4.095E-2</v>
      </c>
      <c r="R86" s="20">
        <v>4.53E-2</v>
      </c>
      <c r="S86" s="20">
        <f t="shared" si="63"/>
        <v>4092</v>
      </c>
      <c r="T86" s="20">
        <f t="shared" si="63"/>
        <v>4091</v>
      </c>
      <c r="U86" s="20">
        <f t="shared" si="63"/>
        <v>4095</v>
      </c>
      <c r="V86" s="20">
        <f t="shared" si="63"/>
        <v>54</v>
      </c>
      <c r="W86" s="20">
        <f t="shared" si="63"/>
        <v>51</v>
      </c>
      <c r="X86" s="20">
        <f t="shared" si="63"/>
        <v>57</v>
      </c>
      <c r="Y86" s="20" t="s">
        <v>401</v>
      </c>
      <c r="Z86" s="25">
        <v>0</v>
      </c>
      <c r="AA86" s="25">
        <v>1</v>
      </c>
      <c r="AB86" s="25" t="s">
        <v>401</v>
      </c>
      <c r="AC86" s="20" t="s">
        <v>683</v>
      </c>
    </row>
    <row r="87" spans="1:29" ht="38.25">
      <c r="A87" s="20" t="s">
        <v>348</v>
      </c>
      <c r="B87" s="24" t="str">
        <f>'Lambda-Optocoupler (All)'!A36</f>
        <v>Decrease of light sensitivity</v>
      </c>
      <c r="C87" s="22">
        <f>'Lambda-Optocoupler (All)'!B$28</f>
        <v>8.4558640964896021E-8</v>
      </c>
      <c r="D87" s="23">
        <f>'Lambda-Optocoupler (All)'!C36</f>
        <v>8.3333329999999997E-2</v>
      </c>
      <c r="E87" s="20">
        <f>'Lambda-Optocoupler (All)'!D36</f>
        <v>7.0465531318791983E-9</v>
      </c>
      <c r="F87" s="21" t="s">
        <v>464</v>
      </c>
      <c r="G87" s="21" t="s">
        <v>464</v>
      </c>
      <c r="H87" s="20" t="s">
        <v>43</v>
      </c>
      <c r="I87" s="20" t="s">
        <v>392</v>
      </c>
      <c r="J87" s="20" t="s">
        <v>573</v>
      </c>
      <c r="K87" s="20" t="s">
        <v>676</v>
      </c>
      <c r="L87" s="20" t="s">
        <v>676</v>
      </c>
      <c r="M87" s="20">
        <v>0</v>
      </c>
      <c r="N87" s="20">
        <v>0</v>
      </c>
      <c r="O87" s="20">
        <v>0</v>
      </c>
      <c r="P87" s="20">
        <v>0</v>
      </c>
      <c r="Q87" s="20">
        <v>0</v>
      </c>
      <c r="R87" s="20">
        <v>0</v>
      </c>
      <c r="S87" s="20">
        <f t="shared" ref="S87:X91" si="64">ROUND(((M87-MIN($M$3:$R$212))/(MAX($M$3:$R$212)-MIN($M$3:$R$212)))*((2^12)-1), 0)</f>
        <v>0</v>
      </c>
      <c r="T87" s="20">
        <f t="shared" si="64"/>
        <v>0</v>
      </c>
      <c r="U87" s="20">
        <f t="shared" si="64"/>
        <v>0</v>
      </c>
      <c r="V87" s="20">
        <f t="shared" si="64"/>
        <v>0</v>
      </c>
      <c r="W87" s="20">
        <f t="shared" si="64"/>
        <v>0</v>
      </c>
      <c r="X87" s="20">
        <f t="shared" si="64"/>
        <v>0</v>
      </c>
      <c r="Y87" s="20" t="s">
        <v>397</v>
      </c>
      <c r="Z87" s="25">
        <v>0</v>
      </c>
      <c r="AA87" s="25">
        <v>0</v>
      </c>
      <c r="AB87" s="25" t="s">
        <v>397</v>
      </c>
      <c r="AC87" s="20" t="s">
        <v>683</v>
      </c>
    </row>
    <row r="88" spans="1:29" ht="51">
      <c r="A88" s="20" t="s">
        <v>348</v>
      </c>
      <c r="B88" s="24" t="str">
        <f>'Lambda-Optocoupler (All)'!A37</f>
        <v>Increase of leakage current</v>
      </c>
      <c r="C88" s="22">
        <f>'Lambda-Optocoupler (All)'!B$28</f>
        <v>8.4558640964896021E-8</v>
      </c>
      <c r="D88" s="23">
        <f>'Lambda-Optocoupler (All)'!C37</f>
        <v>0.125</v>
      </c>
      <c r="E88" s="20">
        <f>'Lambda-Optocoupler (All)'!D37</f>
        <v>1.0569830120612003E-8</v>
      </c>
      <c r="F88" s="24" t="s">
        <v>610</v>
      </c>
      <c r="G88" s="21" t="s">
        <v>517</v>
      </c>
      <c r="H88" s="20" t="s">
        <v>43</v>
      </c>
      <c r="I88" s="20" t="s">
        <v>392</v>
      </c>
      <c r="J88" s="20" t="s">
        <v>573</v>
      </c>
      <c r="K88" s="20" t="s">
        <v>676</v>
      </c>
      <c r="L88" s="20" t="s">
        <v>676</v>
      </c>
      <c r="M88" s="20">
        <v>0</v>
      </c>
      <c r="N88" s="20">
        <v>0</v>
      </c>
      <c r="O88" s="20">
        <v>0</v>
      </c>
      <c r="P88" s="20">
        <v>0</v>
      </c>
      <c r="Q88" s="20">
        <v>0</v>
      </c>
      <c r="R88" s="20">
        <v>0</v>
      </c>
      <c r="S88" s="20">
        <f t="shared" si="64"/>
        <v>0</v>
      </c>
      <c r="T88" s="20">
        <f t="shared" si="64"/>
        <v>0</v>
      </c>
      <c r="U88" s="20">
        <f t="shared" si="64"/>
        <v>0</v>
      </c>
      <c r="V88" s="20">
        <f t="shared" si="64"/>
        <v>0</v>
      </c>
      <c r="W88" s="20">
        <f t="shared" si="64"/>
        <v>0</v>
      </c>
      <c r="X88" s="20">
        <f t="shared" si="64"/>
        <v>0</v>
      </c>
      <c r="Y88" s="20" t="s">
        <v>397</v>
      </c>
      <c r="Z88" s="25">
        <v>0</v>
      </c>
      <c r="AA88" s="25">
        <v>0</v>
      </c>
      <c r="AB88" s="25" t="s">
        <v>397</v>
      </c>
      <c r="AC88" s="20" t="s">
        <v>683</v>
      </c>
    </row>
    <row r="89" spans="1:29" ht="63.75">
      <c r="A89" s="20" t="s">
        <v>348</v>
      </c>
      <c r="B89" s="24" t="str">
        <f>'Lambda-Optocoupler (All)'!A38</f>
        <v>Reduced insulation between input and output</v>
      </c>
      <c r="C89" s="22">
        <f>'Lambda-Optocoupler (All)'!B$28</f>
        <v>8.4558640964896021E-8</v>
      </c>
      <c r="D89" s="23">
        <f>'Lambda-Optocoupler (All)'!C38</f>
        <v>0.125</v>
      </c>
      <c r="E89" s="20">
        <f>'Lambda-Optocoupler (All)'!D38</f>
        <v>1.0569830120612003E-8</v>
      </c>
      <c r="F89" s="21" t="s">
        <v>510</v>
      </c>
      <c r="G89" s="21" t="s">
        <v>511</v>
      </c>
      <c r="H89" s="20" t="s">
        <v>43</v>
      </c>
      <c r="I89" s="20" t="s">
        <v>392</v>
      </c>
      <c r="J89" s="20" t="s">
        <v>575</v>
      </c>
      <c r="K89" s="20" t="s">
        <v>675</v>
      </c>
      <c r="L89" s="20" t="s">
        <v>676</v>
      </c>
      <c r="M89" s="20">
        <v>3.2724899999999999</v>
      </c>
      <c r="N89" s="20">
        <v>3.2719999999999998</v>
      </c>
      <c r="O89" s="20">
        <v>3.2749999999999999</v>
      </c>
      <c r="P89" s="20">
        <v>4.3130000000000002E-2</v>
      </c>
      <c r="Q89" s="20">
        <v>4.095E-2</v>
      </c>
      <c r="R89" s="20">
        <v>4.53E-2</v>
      </c>
      <c r="S89" s="25">
        <f t="shared" si="64"/>
        <v>4092</v>
      </c>
      <c r="T89" s="25">
        <f t="shared" si="64"/>
        <v>4091</v>
      </c>
      <c r="U89" s="25">
        <f t="shared" si="64"/>
        <v>4095</v>
      </c>
      <c r="V89" s="25">
        <f t="shared" si="64"/>
        <v>54</v>
      </c>
      <c r="W89" s="25">
        <f t="shared" si="64"/>
        <v>51</v>
      </c>
      <c r="X89" s="25">
        <f t="shared" si="64"/>
        <v>57</v>
      </c>
      <c r="Y89" s="25" t="s">
        <v>409</v>
      </c>
      <c r="Z89" s="25">
        <v>0</v>
      </c>
      <c r="AA89" s="25">
        <v>0</v>
      </c>
      <c r="AB89" s="25" t="s">
        <v>397</v>
      </c>
      <c r="AC89" s="20" t="s">
        <v>683</v>
      </c>
    </row>
    <row r="90" spans="1:29" ht="140.25">
      <c r="A90" s="20" t="s">
        <v>348</v>
      </c>
      <c r="B90" s="24" t="str">
        <f>'Lambda-Optocoupler (All)'!A39</f>
        <v>Change on switching time</v>
      </c>
      <c r="C90" s="22">
        <f>'Lambda-Optocoupler (All)'!B$28</f>
        <v>8.4558640964896021E-8</v>
      </c>
      <c r="D90" s="23">
        <f>'Lambda-Optocoupler (All)'!C39</f>
        <v>8.3333329999999997E-2</v>
      </c>
      <c r="E90" s="20">
        <f>'Lambda-Optocoupler (All)'!D39</f>
        <v>7.0465531318791983E-9</v>
      </c>
      <c r="F90" s="21" t="s">
        <v>512</v>
      </c>
      <c r="G90" s="26" t="s">
        <v>671</v>
      </c>
      <c r="H90" s="20" t="s">
        <v>43</v>
      </c>
      <c r="I90" s="20" t="s">
        <v>45</v>
      </c>
      <c r="J90" s="20" t="s">
        <v>571</v>
      </c>
      <c r="K90" s="20" t="s">
        <v>675</v>
      </c>
      <c r="L90" s="20" t="s">
        <v>675</v>
      </c>
      <c r="M90" s="20">
        <v>3.2724899999999999</v>
      </c>
      <c r="N90" s="20">
        <v>3.2719999999999998</v>
      </c>
      <c r="O90" s="20">
        <v>3.2749999999999999</v>
      </c>
      <c r="P90" s="20">
        <v>4.3130000000000002E-2</v>
      </c>
      <c r="Q90" s="20">
        <v>4.095E-2</v>
      </c>
      <c r="R90" s="20">
        <v>4.53E-2</v>
      </c>
      <c r="S90" s="25">
        <f t="shared" si="64"/>
        <v>4092</v>
      </c>
      <c r="T90" s="25">
        <f t="shared" si="64"/>
        <v>4091</v>
      </c>
      <c r="U90" s="25">
        <f t="shared" si="64"/>
        <v>4095</v>
      </c>
      <c r="V90" s="25">
        <f t="shared" si="64"/>
        <v>54</v>
      </c>
      <c r="W90" s="25">
        <f t="shared" si="64"/>
        <v>51</v>
      </c>
      <c r="X90" s="25">
        <f t="shared" si="64"/>
        <v>57</v>
      </c>
      <c r="Y90" s="25" t="s">
        <v>409</v>
      </c>
      <c r="Z90" s="25">
        <v>1</v>
      </c>
      <c r="AA90" s="25">
        <v>0</v>
      </c>
      <c r="AB90" s="25" t="s">
        <v>467</v>
      </c>
      <c r="AC90" s="20" t="s">
        <v>678</v>
      </c>
    </row>
    <row r="91" spans="1:29" ht="38.25">
      <c r="A91" s="20" t="s">
        <v>348</v>
      </c>
      <c r="B91" s="21" t="str">
        <f>'Lambda-Optocoupler (All)'!A40</f>
        <v>Increase of current gain</v>
      </c>
      <c r="C91" s="22">
        <f>'Lambda-Optocoupler (All)'!B$28</f>
        <v>8.4558640964896021E-8</v>
      </c>
      <c r="D91" s="23">
        <f>'Lambda-Optocoupler (All)'!C40</f>
        <v>8.3333329999999997E-2</v>
      </c>
      <c r="E91" s="20">
        <f>'Lambda-Optocoupler (All)'!D40</f>
        <v>7.0465531318791983E-9</v>
      </c>
      <c r="F91" s="21" t="s">
        <v>645</v>
      </c>
      <c r="G91" s="21" t="s">
        <v>463</v>
      </c>
      <c r="H91" s="20" t="s">
        <v>43</v>
      </c>
      <c r="I91" s="20" t="s">
        <v>393</v>
      </c>
      <c r="J91" s="20" t="s">
        <v>393</v>
      </c>
      <c r="K91" s="20" t="s">
        <v>677</v>
      </c>
      <c r="L91" s="20" t="s">
        <v>677</v>
      </c>
      <c r="M91" s="20">
        <v>3.2724899999999999</v>
      </c>
      <c r="N91" s="20">
        <v>3.2719999999999998</v>
      </c>
      <c r="O91" s="20">
        <v>3.2749999999999999</v>
      </c>
      <c r="P91" s="20">
        <v>4.3130000000000002E-2</v>
      </c>
      <c r="Q91" s="20">
        <v>4.095E-2</v>
      </c>
      <c r="R91" s="20">
        <v>4.53E-2</v>
      </c>
      <c r="S91" s="20">
        <f t="shared" si="64"/>
        <v>4092</v>
      </c>
      <c r="T91" s="20">
        <f t="shared" si="64"/>
        <v>4091</v>
      </c>
      <c r="U91" s="20">
        <f t="shared" si="64"/>
        <v>4095</v>
      </c>
      <c r="V91" s="20">
        <f t="shared" si="64"/>
        <v>54</v>
      </c>
      <c r="W91" s="20">
        <f t="shared" si="64"/>
        <v>51</v>
      </c>
      <c r="X91" s="20">
        <f t="shared" si="64"/>
        <v>57</v>
      </c>
      <c r="Y91" s="20" t="s">
        <v>401</v>
      </c>
      <c r="Z91" s="25">
        <v>0</v>
      </c>
      <c r="AA91" s="25">
        <v>1</v>
      </c>
      <c r="AB91" s="25" t="s">
        <v>401</v>
      </c>
      <c r="AC91" s="20" t="s">
        <v>683</v>
      </c>
    </row>
    <row r="92" spans="1:29" ht="76.5">
      <c r="A92" s="20" t="s">
        <v>348</v>
      </c>
      <c r="B92" s="24" t="str">
        <f>'Lambda-Optocoupler (All)'!A41</f>
        <v>Decrease of current gain</v>
      </c>
      <c r="C92" s="22">
        <f>'Lambda-Optocoupler (All)'!B$28</f>
        <v>8.4558640964896021E-8</v>
      </c>
      <c r="D92" s="23">
        <f>'Lambda-Optocoupler (All)'!C41</f>
        <v>8.3333329999999997E-2</v>
      </c>
      <c r="E92" s="20">
        <f>'Lambda-Optocoupler (All)'!D41</f>
        <v>7.0465531318791983E-9</v>
      </c>
      <c r="F92" s="21" t="s">
        <v>486</v>
      </c>
      <c r="G92" s="21" t="s">
        <v>518</v>
      </c>
      <c r="H92" s="20" t="s">
        <v>43</v>
      </c>
      <c r="I92" s="20" t="s">
        <v>392</v>
      </c>
      <c r="J92" s="25" t="s">
        <v>504</v>
      </c>
      <c r="K92" s="25" t="s">
        <v>673</v>
      </c>
      <c r="L92" s="20" t="s">
        <v>675</v>
      </c>
      <c r="M92" s="20">
        <v>3.1999999999999999E-6</v>
      </c>
      <c r="N92" s="20">
        <v>3.1999999999999999E-6</v>
      </c>
      <c r="O92" s="20">
        <v>3.1999999999999999E-6</v>
      </c>
      <c r="P92" s="20">
        <v>3.1999999999999999E-6</v>
      </c>
      <c r="Q92" s="20">
        <v>3.1999999999999999E-6</v>
      </c>
      <c r="R92" s="20">
        <v>3.1999999999999999E-6</v>
      </c>
      <c r="S92" s="20">
        <f t="shared" ref="S92:S101" si="65">ROUND(((M92-MIN($M$3:$R$212))/(MAX($M$3:$R$212)-MIN($M$3:$R$212)))*((2^12)-1), 0)</f>
        <v>0</v>
      </c>
      <c r="T92" s="20">
        <f t="shared" ref="T92:T101" si="66">ROUND(((N92-MIN($M$3:$R$212))/(MAX($M$3:$R$212)-MIN($M$3:$R$212)))*((2^12)-1), 0)</f>
        <v>0</v>
      </c>
      <c r="U92" s="20">
        <f t="shared" ref="U92:U101" si="67">ROUND(((O92-MIN($M$3:$R$212))/(MAX($M$3:$R$212)-MIN($M$3:$R$212)))*((2^12)-1), 0)</f>
        <v>0</v>
      </c>
      <c r="V92" s="20">
        <f t="shared" ref="V92:V101" si="68">ROUND(((P92-MIN($M$3:$R$212))/(MAX($M$3:$R$212)-MIN($M$3:$R$212)))*((2^12)-1), 0)</f>
        <v>0</v>
      </c>
      <c r="W92" s="20">
        <f t="shared" ref="W92:W101" si="69">ROUND(((Q92-MIN($M$3:$R$212))/(MAX($M$3:$R$212)-MIN($M$3:$R$212)))*((2^12)-1), 0)</f>
        <v>0</v>
      </c>
      <c r="X92" s="20">
        <f t="shared" ref="X92:X101" si="70">ROUND(((R92-MIN($M$3:$R$212))/(MAX($M$3:$R$212)-MIN($M$3:$R$212)))*((2^12)-1), 0)</f>
        <v>0</v>
      </c>
      <c r="Y92" s="20" t="s">
        <v>398</v>
      </c>
      <c r="Z92" s="25">
        <v>0</v>
      </c>
      <c r="AA92" s="25">
        <v>1</v>
      </c>
      <c r="AB92" s="25" t="s">
        <v>453</v>
      </c>
      <c r="AC92" s="20" t="s">
        <v>683</v>
      </c>
    </row>
    <row r="93" spans="1:29" ht="76.5">
      <c r="A93" s="20" t="s">
        <v>372</v>
      </c>
      <c r="B93" s="24" t="str">
        <f>'Lambda-Diode'!A35</f>
        <v>Open</v>
      </c>
      <c r="C93" s="22">
        <f>'Lambda-Diode'!B$32</f>
        <v>2.8907408251299462E-7</v>
      </c>
      <c r="D93" s="23">
        <f>'Lambda-Diode'!C35</f>
        <v>0.28999999999999998</v>
      </c>
      <c r="E93" s="20">
        <f>'Lambda-Diode'!D35</f>
        <v>8.3831483928768434E-8</v>
      </c>
      <c r="F93" s="21" t="s">
        <v>520</v>
      </c>
      <c r="G93" s="21" t="s">
        <v>525</v>
      </c>
      <c r="H93" s="20" t="s">
        <v>43</v>
      </c>
      <c r="I93" s="20" t="s">
        <v>392</v>
      </c>
      <c r="J93" s="20" t="s">
        <v>575</v>
      </c>
      <c r="K93" s="20" t="s">
        <v>675</v>
      </c>
      <c r="L93" s="20" t="s">
        <v>676</v>
      </c>
      <c r="M93" s="20">
        <v>3.2724899999999999</v>
      </c>
      <c r="N93" s="20">
        <v>3.2719999999999998</v>
      </c>
      <c r="O93" s="20">
        <v>3.2749999999999999</v>
      </c>
      <c r="P93" s="20">
        <v>4.3130000000000002E-2</v>
      </c>
      <c r="Q93" s="20">
        <v>4.095E-2</v>
      </c>
      <c r="R93" s="20">
        <v>4.53E-2</v>
      </c>
      <c r="S93" s="25">
        <f t="shared" si="65"/>
        <v>4092</v>
      </c>
      <c r="T93" s="25">
        <f t="shared" si="66"/>
        <v>4091</v>
      </c>
      <c r="U93" s="25">
        <f t="shared" si="67"/>
        <v>4095</v>
      </c>
      <c r="V93" s="25">
        <f t="shared" si="68"/>
        <v>54</v>
      </c>
      <c r="W93" s="25">
        <f t="shared" si="69"/>
        <v>51</v>
      </c>
      <c r="X93" s="25">
        <f t="shared" si="70"/>
        <v>57</v>
      </c>
      <c r="Y93" s="25" t="s">
        <v>409</v>
      </c>
      <c r="Z93" s="25">
        <v>1</v>
      </c>
      <c r="AA93" s="25">
        <v>1</v>
      </c>
      <c r="AB93" s="25" t="s">
        <v>398</v>
      </c>
      <c r="AC93" s="20" t="s">
        <v>683</v>
      </c>
    </row>
    <row r="94" spans="1:29" ht="38.25">
      <c r="A94" s="20" t="s">
        <v>372</v>
      </c>
      <c r="B94" s="24" t="str">
        <f>'Lambda-Diode'!A36</f>
        <v>Short-Circuit</v>
      </c>
      <c r="C94" s="22">
        <f>'Lambda-Diode'!B$32</f>
        <v>2.8907408251299462E-7</v>
      </c>
      <c r="D94" s="23">
        <f>'Lambda-Diode'!C36</f>
        <v>0.51</v>
      </c>
      <c r="E94" s="20">
        <f>'Lambda-Diode'!D36</f>
        <v>1.4742778208162726E-7</v>
      </c>
      <c r="F94" s="21" t="s">
        <v>500</v>
      </c>
      <c r="G94" s="21" t="s">
        <v>474</v>
      </c>
      <c r="H94" s="20" t="s">
        <v>43</v>
      </c>
      <c r="I94" s="20" t="s">
        <v>392</v>
      </c>
      <c r="J94" s="20" t="s">
        <v>573</v>
      </c>
      <c r="K94" s="20" t="s">
        <v>676</v>
      </c>
      <c r="L94" s="20" t="s">
        <v>676</v>
      </c>
      <c r="M94" s="20">
        <v>0</v>
      </c>
      <c r="N94" s="20">
        <v>0</v>
      </c>
      <c r="O94" s="20">
        <v>0</v>
      </c>
      <c r="P94" s="20">
        <v>0</v>
      </c>
      <c r="Q94" s="20">
        <v>0</v>
      </c>
      <c r="R94" s="20">
        <v>0</v>
      </c>
      <c r="S94" s="20">
        <f t="shared" si="65"/>
        <v>0</v>
      </c>
      <c r="T94" s="20">
        <f t="shared" si="66"/>
        <v>0</v>
      </c>
      <c r="U94" s="20">
        <f t="shared" si="67"/>
        <v>0</v>
      </c>
      <c r="V94" s="20">
        <f t="shared" si="68"/>
        <v>0</v>
      </c>
      <c r="W94" s="20">
        <f t="shared" si="69"/>
        <v>0</v>
      </c>
      <c r="X94" s="20">
        <f t="shared" si="70"/>
        <v>0</v>
      </c>
      <c r="Y94" s="20" t="s">
        <v>397</v>
      </c>
      <c r="Z94" s="25">
        <v>0</v>
      </c>
      <c r="AA94" s="25">
        <v>0</v>
      </c>
      <c r="AB94" s="25" t="s">
        <v>397</v>
      </c>
      <c r="AC94" s="20" t="s">
        <v>683</v>
      </c>
    </row>
    <row r="95" spans="1:29" ht="38.25">
      <c r="A95" s="20" t="s">
        <v>372</v>
      </c>
      <c r="B95" s="24" t="str">
        <f>'Lambda-Diode'!A37</f>
        <v>Increase of Reverse Current</v>
      </c>
      <c r="C95" s="22">
        <f>'Lambda-Diode'!B$32</f>
        <v>2.8907408251299462E-7</v>
      </c>
      <c r="D95" s="23">
        <f>'Lambda-Diode'!C37</f>
        <v>3.3333333333333333E-2</v>
      </c>
      <c r="E95" s="20">
        <f>'Lambda-Diode'!D37</f>
        <v>9.6358027504331533E-9</v>
      </c>
      <c r="F95" s="21" t="s">
        <v>381</v>
      </c>
      <c r="G95" s="21" t="s">
        <v>381</v>
      </c>
      <c r="H95" s="20" t="s">
        <v>43</v>
      </c>
      <c r="I95" s="20" t="s">
        <v>392</v>
      </c>
      <c r="J95" s="20" t="s">
        <v>573</v>
      </c>
      <c r="K95" s="20" t="s">
        <v>676</v>
      </c>
      <c r="L95" s="20" t="s">
        <v>676</v>
      </c>
      <c r="M95" s="20">
        <v>0</v>
      </c>
      <c r="N95" s="20">
        <v>0</v>
      </c>
      <c r="O95" s="20">
        <v>0</v>
      </c>
      <c r="P95" s="20">
        <v>0</v>
      </c>
      <c r="Q95" s="20">
        <v>0</v>
      </c>
      <c r="R95" s="20">
        <v>0</v>
      </c>
      <c r="S95" s="20">
        <f t="shared" si="65"/>
        <v>0</v>
      </c>
      <c r="T95" s="20">
        <f t="shared" si="66"/>
        <v>0</v>
      </c>
      <c r="U95" s="20">
        <f t="shared" si="67"/>
        <v>0</v>
      </c>
      <c r="V95" s="20">
        <f t="shared" si="68"/>
        <v>0</v>
      </c>
      <c r="W95" s="20">
        <f t="shared" si="69"/>
        <v>0</v>
      </c>
      <c r="X95" s="20">
        <f t="shared" si="70"/>
        <v>0</v>
      </c>
      <c r="Y95" s="20" t="s">
        <v>397</v>
      </c>
      <c r="Z95" s="25">
        <v>0</v>
      </c>
      <c r="AA95" s="25">
        <v>0</v>
      </c>
      <c r="AB95" s="25" t="s">
        <v>397</v>
      </c>
      <c r="AC95" s="20" t="s">
        <v>683</v>
      </c>
    </row>
    <row r="96" spans="1:29" ht="38.25">
      <c r="A96" s="20" t="s">
        <v>372</v>
      </c>
      <c r="B96" s="24" t="str">
        <f>'Lambda-Diode'!A38</f>
        <v>Decrease of Reverse Breakdown Voltage</v>
      </c>
      <c r="C96" s="22">
        <f>'Lambda-Diode'!B$32</f>
        <v>2.8907408251299462E-7</v>
      </c>
      <c r="D96" s="23">
        <f>'Lambda-Diode'!C38</f>
        <v>3.3333333333333333E-2</v>
      </c>
      <c r="E96" s="20">
        <f>'Lambda-Diode'!D38</f>
        <v>9.6358027504331533E-9</v>
      </c>
      <c r="F96" s="21" t="s">
        <v>381</v>
      </c>
      <c r="G96" s="21" t="s">
        <v>381</v>
      </c>
      <c r="H96" s="20" t="s">
        <v>43</v>
      </c>
      <c r="I96" s="20" t="s">
        <v>392</v>
      </c>
      <c r="J96" s="20" t="s">
        <v>573</v>
      </c>
      <c r="K96" s="20" t="s">
        <v>676</v>
      </c>
      <c r="L96" s="20" t="s">
        <v>676</v>
      </c>
      <c r="M96" s="20">
        <v>0</v>
      </c>
      <c r="N96" s="20">
        <v>0</v>
      </c>
      <c r="O96" s="20">
        <v>0</v>
      </c>
      <c r="P96" s="20">
        <v>0</v>
      </c>
      <c r="Q96" s="20">
        <v>0</v>
      </c>
      <c r="R96" s="20">
        <v>0</v>
      </c>
      <c r="S96" s="20">
        <f t="shared" si="65"/>
        <v>0</v>
      </c>
      <c r="T96" s="20">
        <f t="shared" si="66"/>
        <v>0</v>
      </c>
      <c r="U96" s="20">
        <f t="shared" si="67"/>
        <v>0</v>
      </c>
      <c r="V96" s="20">
        <f t="shared" si="68"/>
        <v>0</v>
      </c>
      <c r="W96" s="20">
        <f t="shared" si="69"/>
        <v>0</v>
      </c>
      <c r="X96" s="20">
        <f t="shared" si="70"/>
        <v>0</v>
      </c>
      <c r="Y96" s="20" t="s">
        <v>397</v>
      </c>
      <c r="Z96" s="25">
        <v>0</v>
      </c>
      <c r="AA96" s="25">
        <v>0</v>
      </c>
      <c r="AB96" s="25" t="s">
        <v>397</v>
      </c>
      <c r="AC96" s="20" t="s">
        <v>683</v>
      </c>
    </row>
    <row r="97" spans="1:29" ht="51">
      <c r="A97" s="20" t="s">
        <v>372</v>
      </c>
      <c r="B97" s="24" t="str">
        <f>'Lambda-Diode'!A39</f>
        <v>Increase of Conducting-State Voltage</v>
      </c>
      <c r="C97" s="22">
        <f>'Lambda-Diode'!B$32</f>
        <v>2.8907408251299462E-7</v>
      </c>
      <c r="D97" s="23">
        <f>'Lambda-Diode'!C39</f>
        <v>3.3333333333333333E-2</v>
      </c>
      <c r="E97" s="20">
        <f>'Lambda-Diode'!D39</f>
        <v>9.6358027504331533E-9</v>
      </c>
      <c r="F97" s="21" t="s">
        <v>380</v>
      </c>
      <c r="G97" s="21" t="s">
        <v>380</v>
      </c>
      <c r="H97" s="20" t="s">
        <v>43</v>
      </c>
      <c r="I97" s="20" t="s">
        <v>392</v>
      </c>
      <c r="J97" s="20" t="s">
        <v>575</v>
      </c>
      <c r="K97" s="20" t="s">
        <v>675</v>
      </c>
      <c r="L97" s="20" t="s">
        <v>676</v>
      </c>
      <c r="M97" s="20">
        <v>3.2724899999999999</v>
      </c>
      <c r="N97" s="20">
        <v>3.2719999999999998</v>
      </c>
      <c r="O97" s="20">
        <v>3.2749999999999999</v>
      </c>
      <c r="P97" s="20">
        <v>4.3130000000000002E-2</v>
      </c>
      <c r="Q97" s="20">
        <v>4.095E-2</v>
      </c>
      <c r="R97" s="20">
        <v>4.53E-2</v>
      </c>
      <c r="S97" s="25">
        <f t="shared" si="65"/>
        <v>4092</v>
      </c>
      <c r="T97" s="25">
        <f t="shared" si="66"/>
        <v>4091</v>
      </c>
      <c r="U97" s="25">
        <f t="shared" si="67"/>
        <v>4095</v>
      </c>
      <c r="V97" s="25">
        <f t="shared" si="68"/>
        <v>54</v>
      </c>
      <c r="W97" s="25">
        <f t="shared" si="69"/>
        <v>51</v>
      </c>
      <c r="X97" s="25">
        <f t="shared" si="70"/>
        <v>57</v>
      </c>
      <c r="Y97" s="25" t="s">
        <v>409</v>
      </c>
      <c r="Z97" s="25">
        <v>1</v>
      </c>
      <c r="AA97" s="25">
        <v>1</v>
      </c>
      <c r="AB97" s="25" t="s">
        <v>398</v>
      </c>
      <c r="AC97" s="20" t="s">
        <v>683</v>
      </c>
    </row>
    <row r="98" spans="1:29" ht="38.25">
      <c r="A98" s="20" t="s">
        <v>372</v>
      </c>
      <c r="B98" s="24" t="str">
        <f>'Lambda-Diode'!A40</f>
        <v>Decrease of Conducting-State Voltage</v>
      </c>
      <c r="C98" s="22">
        <f>'Lambda-Diode'!B$32</f>
        <v>2.8907408251299462E-7</v>
      </c>
      <c r="D98" s="23">
        <f>'Lambda-Diode'!C40</f>
        <v>3.3333333333333333E-2</v>
      </c>
      <c r="E98" s="20">
        <f>'Lambda-Diode'!D40</f>
        <v>9.6358027504331533E-9</v>
      </c>
      <c r="F98" s="21" t="s">
        <v>381</v>
      </c>
      <c r="G98" s="21" t="s">
        <v>381</v>
      </c>
      <c r="H98" s="20" t="s">
        <v>43</v>
      </c>
      <c r="I98" s="20" t="s">
        <v>392</v>
      </c>
      <c r="J98" s="20" t="s">
        <v>573</v>
      </c>
      <c r="K98" s="20" t="s">
        <v>676</v>
      </c>
      <c r="L98" s="20" t="s">
        <v>676</v>
      </c>
      <c r="M98" s="20">
        <v>0</v>
      </c>
      <c r="N98" s="20">
        <v>0</v>
      </c>
      <c r="O98" s="20">
        <v>0</v>
      </c>
      <c r="P98" s="20">
        <v>0</v>
      </c>
      <c r="Q98" s="20">
        <v>0</v>
      </c>
      <c r="R98" s="20">
        <v>0</v>
      </c>
      <c r="S98" s="20">
        <f t="shared" si="65"/>
        <v>0</v>
      </c>
      <c r="T98" s="20">
        <f t="shared" si="66"/>
        <v>0</v>
      </c>
      <c r="U98" s="20">
        <f t="shared" si="67"/>
        <v>0</v>
      </c>
      <c r="V98" s="20">
        <f t="shared" si="68"/>
        <v>0</v>
      </c>
      <c r="W98" s="20">
        <f t="shared" si="69"/>
        <v>0</v>
      </c>
      <c r="X98" s="20">
        <f t="shared" si="70"/>
        <v>0</v>
      </c>
      <c r="Y98" s="20" t="s">
        <v>397</v>
      </c>
      <c r="Z98" s="25">
        <v>0</v>
      </c>
      <c r="AA98" s="25">
        <v>0</v>
      </c>
      <c r="AB98" s="25" t="s">
        <v>397</v>
      </c>
      <c r="AC98" s="20" t="s">
        <v>683</v>
      </c>
    </row>
    <row r="99" spans="1:29" ht="51">
      <c r="A99" s="20" t="s">
        <v>372</v>
      </c>
      <c r="B99" s="24" t="str">
        <f>'Lambda-Diode'!A41</f>
        <v>Increase of Threshold Voltage</v>
      </c>
      <c r="C99" s="22">
        <f>'Lambda-Diode'!B$32</f>
        <v>2.8907408251299462E-7</v>
      </c>
      <c r="D99" s="23">
        <f>'Lambda-Diode'!C41</f>
        <v>3.3333333333333333E-2</v>
      </c>
      <c r="E99" s="20">
        <f>'Lambda-Diode'!D41</f>
        <v>9.6358027504331533E-9</v>
      </c>
      <c r="F99" s="21" t="s">
        <v>380</v>
      </c>
      <c r="G99" s="21" t="s">
        <v>380</v>
      </c>
      <c r="H99" s="20" t="s">
        <v>43</v>
      </c>
      <c r="I99" s="20" t="s">
        <v>392</v>
      </c>
      <c r="J99" s="20" t="s">
        <v>575</v>
      </c>
      <c r="K99" s="20" t="s">
        <v>675</v>
      </c>
      <c r="L99" s="20" t="s">
        <v>676</v>
      </c>
      <c r="M99" s="20">
        <v>3.2724899999999999</v>
      </c>
      <c r="N99" s="20">
        <v>3.2719999999999998</v>
      </c>
      <c r="O99" s="20">
        <v>3.2749999999999999</v>
      </c>
      <c r="P99" s="20">
        <v>4.3130000000000002E-2</v>
      </c>
      <c r="Q99" s="20">
        <v>4.095E-2</v>
      </c>
      <c r="R99" s="20">
        <v>4.53E-2</v>
      </c>
      <c r="S99" s="25">
        <f t="shared" si="65"/>
        <v>4092</v>
      </c>
      <c r="T99" s="25">
        <f t="shared" si="66"/>
        <v>4091</v>
      </c>
      <c r="U99" s="25">
        <f t="shared" si="67"/>
        <v>4095</v>
      </c>
      <c r="V99" s="25">
        <f t="shared" si="68"/>
        <v>54</v>
      </c>
      <c r="W99" s="25">
        <f t="shared" si="69"/>
        <v>51</v>
      </c>
      <c r="X99" s="25">
        <f t="shared" si="70"/>
        <v>57</v>
      </c>
      <c r="Y99" s="25" t="s">
        <v>409</v>
      </c>
      <c r="Z99" s="25">
        <v>1</v>
      </c>
      <c r="AA99" s="25">
        <v>1</v>
      </c>
      <c r="AB99" s="25" t="s">
        <v>398</v>
      </c>
      <c r="AC99" s="20" t="s">
        <v>683</v>
      </c>
    </row>
    <row r="100" spans="1:29" ht="38.25">
      <c r="A100" s="20" t="s">
        <v>372</v>
      </c>
      <c r="B100" s="24" t="str">
        <f>'Lambda-Diode'!A42</f>
        <v>Decrease of Threshold Voltage</v>
      </c>
      <c r="C100" s="22">
        <f>'Lambda-Diode'!B$32</f>
        <v>2.8907408251299462E-7</v>
      </c>
      <c r="D100" s="23">
        <f>'Lambda-Diode'!C42</f>
        <v>3.3333333333333333E-2</v>
      </c>
      <c r="E100" s="20">
        <f>'Lambda-Diode'!D42</f>
        <v>9.6358027504331533E-9</v>
      </c>
      <c r="F100" s="21" t="s">
        <v>381</v>
      </c>
      <c r="G100" s="21" t="s">
        <v>381</v>
      </c>
      <c r="H100" s="20" t="s">
        <v>43</v>
      </c>
      <c r="I100" s="20" t="s">
        <v>392</v>
      </c>
      <c r="J100" s="20" t="s">
        <v>573</v>
      </c>
      <c r="K100" s="20" t="s">
        <v>676</v>
      </c>
      <c r="L100" s="20" t="s">
        <v>676</v>
      </c>
      <c r="M100" s="20">
        <v>0</v>
      </c>
      <c r="N100" s="20">
        <v>0</v>
      </c>
      <c r="O100" s="20">
        <v>0</v>
      </c>
      <c r="P100" s="20">
        <v>0</v>
      </c>
      <c r="Q100" s="20">
        <v>0</v>
      </c>
      <c r="R100" s="20">
        <v>0</v>
      </c>
      <c r="S100" s="20">
        <f t="shared" si="65"/>
        <v>0</v>
      </c>
      <c r="T100" s="20">
        <f t="shared" si="66"/>
        <v>0</v>
      </c>
      <c r="U100" s="20">
        <f t="shared" si="67"/>
        <v>0</v>
      </c>
      <c r="V100" s="20">
        <f t="shared" si="68"/>
        <v>0</v>
      </c>
      <c r="W100" s="20">
        <f t="shared" si="69"/>
        <v>0</v>
      </c>
      <c r="X100" s="20">
        <f t="shared" si="70"/>
        <v>0</v>
      </c>
      <c r="Y100" s="20" t="s">
        <v>397</v>
      </c>
      <c r="Z100" s="25">
        <v>0</v>
      </c>
      <c r="AA100" s="25">
        <v>0</v>
      </c>
      <c r="AB100" s="25" t="s">
        <v>397</v>
      </c>
      <c r="AC100" s="20" t="s">
        <v>683</v>
      </c>
    </row>
    <row r="101" spans="1:29" ht="38.25">
      <c r="A101" s="20" t="s">
        <v>372</v>
      </c>
      <c r="B101" s="24" t="str">
        <f>'Lambda-Diode'!A43</f>
        <v>Short-Circuit to Conductive Casing</v>
      </c>
      <c r="C101" s="22">
        <f>'Lambda-Diode'!B$32</f>
        <v>2.8907408251299462E-7</v>
      </c>
      <c r="D101" s="23">
        <f>'Lambda-Diode'!C43</f>
        <v>0</v>
      </c>
      <c r="E101" s="20">
        <f>'Lambda-Diode'!D43</f>
        <v>0</v>
      </c>
      <c r="F101" s="21" t="s">
        <v>382</v>
      </c>
      <c r="G101" s="21" t="s">
        <v>382</v>
      </c>
      <c r="H101" s="20" t="s">
        <v>43</v>
      </c>
      <c r="I101" s="20" t="s">
        <v>393</v>
      </c>
      <c r="J101" s="20" t="s">
        <v>393</v>
      </c>
      <c r="K101" s="20" t="s">
        <v>677</v>
      </c>
      <c r="L101" s="20" t="s">
        <v>677</v>
      </c>
      <c r="M101" s="20">
        <v>3.2724899999999999</v>
      </c>
      <c r="N101" s="20">
        <v>3.2719999999999998</v>
      </c>
      <c r="O101" s="20">
        <v>3.2749999999999999</v>
      </c>
      <c r="P101" s="20">
        <v>4.3130000000000002E-2</v>
      </c>
      <c r="Q101" s="20">
        <v>4.095E-2</v>
      </c>
      <c r="R101" s="20">
        <v>4.53E-2</v>
      </c>
      <c r="S101" s="20">
        <f t="shared" si="65"/>
        <v>4092</v>
      </c>
      <c r="T101" s="20">
        <f t="shared" si="66"/>
        <v>4091</v>
      </c>
      <c r="U101" s="20">
        <f t="shared" si="67"/>
        <v>4095</v>
      </c>
      <c r="V101" s="20">
        <f t="shared" si="68"/>
        <v>54</v>
      </c>
      <c r="W101" s="20">
        <f t="shared" si="69"/>
        <v>51</v>
      </c>
      <c r="X101" s="20">
        <f t="shared" si="70"/>
        <v>57</v>
      </c>
      <c r="Y101" s="20" t="s">
        <v>401</v>
      </c>
      <c r="Z101" s="25">
        <v>0</v>
      </c>
      <c r="AA101" s="25">
        <v>1</v>
      </c>
      <c r="AB101" s="25" t="s">
        <v>401</v>
      </c>
      <c r="AC101" s="20" t="s">
        <v>683</v>
      </c>
    </row>
    <row r="102" spans="1:29" ht="38.25">
      <c r="A102" s="20" t="s">
        <v>376</v>
      </c>
      <c r="B102" s="24" t="str">
        <f>'Lambda-Relay'!A31</f>
        <v>Interruption of any coil</v>
      </c>
      <c r="C102" s="22">
        <f>'Lambda-Relay'!B$28</f>
        <v>4.0085551309765821E-6</v>
      </c>
      <c r="D102" s="23">
        <f>'Lambda-Relay'!C31</f>
        <v>7.8571428571428584E-2</v>
      </c>
      <c r="E102" s="20">
        <f>'Lambda-Relay'!D31</f>
        <v>3.1495790314816006E-7</v>
      </c>
      <c r="F102" s="21" t="s">
        <v>500</v>
      </c>
      <c r="G102" s="21" t="s">
        <v>474</v>
      </c>
      <c r="H102" s="20" t="s">
        <v>43</v>
      </c>
      <c r="I102" s="20" t="s">
        <v>392</v>
      </c>
      <c r="J102" s="20" t="s">
        <v>573</v>
      </c>
      <c r="K102" s="20" t="s">
        <v>676</v>
      </c>
      <c r="L102" s="20" t="s">
        <v>676</v>
      </c>
      <c r="M102" s="20">
        <v>0</v>
      </c>
      <c r="N102" s="20">
        <v>0</v>
      </c>
      <c r="O102" s="20">
        <v>0</v>
      </c>
      <c r="P102" s="20">
        <v>0</v>
      </c>
      <c r="Q102" s="20">
        <v>0</v>
      </c>
      <c r="R102" s="20">
        <v>0</v>
      </c>
      <c r="S102" s="20">
        <f t="shared" ref="S102:X109" si="71">ROUND(((M102-MIN($M$3:$R$212))/(MAX($M$3:$R$212)-MIN($M$3:$R$212)))*((2^12)-1), 0)</f>
        <v>0</v>
      </c>
      <c r="T102" s="20">
        <f t="shared" si="71"/>
        <v>0</v>
      </c>
      <c r="U102" s="20">
        <f t="shared" si="71"/>
        <v>0</v>
      </c>
      <c r="V102" s="20">
        <f t="shared" si="71"/>
        <v>0</v>
      </c>
      <c r="W102" s="20">
        <f t="shared" si="71"/>
        <v>0</v>
      </c>
      <c r="X102" s="20">
        <f t="shared" si="71"/>
        <v>0</v>
      </c>
      <c r="Y102" s="20" t="s">
        <v>397</v>
      </c>
      <c r="Z102" s="25">
        <v>0</v>
      </c>
      <c r="AA102" s="25">
        <v>0</v>
      </c>
      <c r="AB102" s="25" t="s">
        <v>397</v>
      </c>
      <c r="AC102" s="20" t="s">
        <v>683</v>
      </c>
    </row>
    <row r="103" spans="1:29" ht="63.75">
      <c r="A103" s="20" t="s">
        <v>376</v>
      </c>
      <c r="B103" s="24" t="str">
        <f>'Lambda-Relay'!A32</f>
        <v>Interruption of NO contact</v>
      </c>
      <c r="C103" s="22">
        <f>'Lambda-Relay'!B$28</f>
        <v>4.0085551309765821E-6</v>
      </c>
      <c r="D103" s="23">
        <f>'Lambda-Relay'!C32</f>
        <v>1.4444444444444446E-2</v>
      </c>
      <c r="E103" s="20">
        <f>'Lambda-Relay'!D32</f>
        <v>5.790135189188397E-8</v>
      </c>
      <c r="F103" s="21" t="s">
        <v>531</v>
      </c>
      <c r="G103" s="21" t="s">
        <v>474</v>
      </c>
      <c r="H103" s="20" t="s">
        <v>43</v>
      </c>
      <c r="I103" s="20" t="s">
        <v>392</v>
      </c>
      <c r="J103" s="20" t="s">
        <v>573</v>
      </c>
      <c r="K103" s="20" t="s">
        <v>676</v>
      </c>
      <c r="L103" s="20" t="s">
        <v>676</v>
      </c>
      <c r="M103" s="20">
        <v>0</v>
      </c>
      <c r="N103" s="20">
        <v>0</v>
      </c>
      <c r="O103" s="20">
        <v>0</v>
      </c>
      <c r="P103" s="20">
        <v>0</v>
      </c>
      <c r="Q103" s="20">
        <v>0</v>
      </c>
      <c r="R103" s="20">
        <v>0</v>
      </c>
      <c r="S103" s="20">
        <f t="shared" si="71"/>
        <v>0</v>
      </c>
      <c r="T103" s="20">
        <f t="shared" si="71"/>
        <v>0</v>
      </c>
      <c r="U103" s="20">
        <f t="shared" si="71"/>
        <v>0</v>
      </c>
      <c r="V103" s="20">
        <f t="shared" si="71"/>
        <v>0</v>
      </c>
      <c r="W103" s="20">
        <f t="shared" si="71"/>
        <v>0</v>
      </c>
      <c r="X103" s="20">
        <f t="shared" si="71"/>
        <v>0</v>
      </c>
      <c r="Y103" s="20" t="s">
        <v>397</v>
      </c>
      <c r="Z103" s="25">
        <v>0</v>
      </c>
      <c r="AA103" s="25">
        <v>0</v>
      </c>
      <c r="AB103" s="25" t="s">
        <v>397</v>
      </c>
      <c r="AC103" s="20" t="s">
        <v>683</v>
      </c>
    </row>
    <row r="104" spans="1:29" ht="89.25">
      <c r="A104" s="20" t="s">
        <v>376</v>
      </c>
      <c r="B104" s="24" t="str">
        <f>'Lambda-Relay'!A33</f>
        <v>Interruption of NC contact</v>
      </c>
      <c r="C104" s="22">
        <f>'Lambda-Relay'!B$28</f>
        <v>4.0085551309765821E-6</v>
      </c>
      <c r="D104" s="23">
        <f>'Lambda-Relay'!C33</f>
        <v>1.4444444444444446E-2</v>
      </c>
      <c r="E104" s="20">
        <f>'Lambda-Relay'!D33</f>
        <v>5.790135189188397E-8</v>
      </c>
      <c r="F104" s="21" t="s">
        <v>530</v>
      </c>
      <c r="G104" s="21" t="s">
        <v>458</v>
      </c>
      <c r="H104" s="20" t="s">
        <v>43</v>
      </c>
      <c r="I104" s="20" t="s">
        <v>392</v>
      </c>
      <c r="J104" s="20" t="s">
        <v>575</v>
      </c>
      <c r="K104" s="20" t="s">
        <v>675</v>
      </c>
      <c r="L104" s="20" t="s">
        <v>676</v>
      </c>
      <c r="M104" s="20">
        <v>3.2724899999999999</v>
      </c>
      <c r="N104" s="20">
        <v>3.2719999999999998</v>
      </c>
      <c r="O104" s="20">
        <v>3.2749999999999999</v>
      </c>
      <c r="P104" s="20">
        <v>4.3130000000000002E-2</v>
      </c>
      <c r="Q104" s="20">
        <v>4.095E-2</v>
      </c>
      <c r="R104" s="20">
        <v>4.53E-2</v>
      </c>
      <c r="S104" s="25">
        <f t="shared" si="71"/>
        <v>4092</v>
      </c>
      <c r="T104" s="25">
        <f t="shared" si="71"/>
        <v>4091</v>
      </c>
      <c r="U104" s="25">
        <f t="shared" si="71"/>
        <v>4095</v>
      </c>
      <c r="V104" s="25">
        <f t="shared" si="71"/>
        <v>54</v>
      </c>
      <c r="W104" s="25">
        <f t="shared" si="71"/>
        <v>51</v>
      </c>
      <c r="X104" s="25">
        <f t="shared" si="71"/>
        <v>57</v>
      </c>
      <c r="Y104" s="25" t="s">
        <v>409</v>
      </c>
      <c r="Z104" s="25">
        <v>1</v>
      </c>
      <c r="AA104" s="25">
        <v>1</v>
      </c>
      <c r="AB104" s="25" t="s">
        <v>398</v>
      </c>
      <c r="AC104" s="20" t="s">
        <v>683</v>
      </c>
    </row>
    <row r="105" spans="1:29" ht="89.25">
      <c r="A105" s="20" t="s">
        <v>376</v>
      </c>
      <c r="B105" s="24" t="str">
        <f>'Lambda-Relay'!A34</f>
        <v>Short-circuit or decrease of insulation resistance across open contacts</v>
      </c>
      <c r="C105" s="22">
        <f>'Lambda-Relay'!B$28</f>
        <v>4.0085551309765821E-6</v>
      </c>
      <c r="D105" s="23">
        <f>'Lambda-Relay'!C34</f>
        <v>6.3333333333333339E-2</v>
      </c>
      <c r="E105" s="20">
        <f>'Lambda-Relay'!D34</f>
        <v>2.5387515829518358E-7</v>
      </c>
      <c r="F105" s="21" t="s">
        <v>527</v>
      </c>
      <c r="G105" s="21" t="s">
        <v>458</v>
      </c>
      <c r="H105" s="20" t="s">
        <v>43</v>
      </c>
      <c r="I105" s="20" t="s">
        <v>392</v>
      </c>
      <c r="J105" s="20" t="s">
        <v>575</v>
      </c>
      <c r="K105" s="20" t="s">
        <v>675</v>
      </c>
      <c r="L105" s="20" t="s">
        <v>676</v>
      </c>
      <c r="M105" s="20">
        <v>3.2724899999999999</v>
      </c>
      <c r="N105" s="20">
        <v>3.2719999999999998</v>
      </c>
      <c r="O105" s="20">
        <v>3.2749999999999999</v>
      </c>
      <c r="P105" s="20">
        <v>4.3130000000000002E-2</v>
      </c>
      <c r="Q105" s="20">
        <v>4.095E-2</v>
      </c>
      <c r="R105" s="20">
        <v>4.53E-2</v>
      </c>
      <c r="S105" s="25">
        <f t="shared" si="71"/>
        <v>4092</v>
      </c>
      <c r="T105" s="25">
        <f t="shared" si="71"/>
        <v>4091</v>
      </c>
      <c r="U105" s="25">
        <f t="shared" si="71"/>
        <v>4095</v>
      </c>
      <c r="V105" s="25">
        <f t="shared" si="71"/>
        <v>54</v>
      </c>
      <c r="W105" s="25">
        <f t="shared" si="71"/>
        <v>51</v>
      </c>
      <c r="X105" s="25">
        <f t="shared" si="71"/>
        <v>57</v>
      </c>
      <c r="Y105" s="25" t="s">
        <v>409</v>
      </c>
      <c r="Z105" s="25">
        <v>1</v>
      </c>
      <c r="AA105" s="25">
        <v>1</v>
      </c>
      <c r="AB105" s="25" t="s">
        <v>398</v>
      </c>
      <c r="AC105" s="20" t="s">
        <v>683</v>
      </c>
    </row>
    <row r="106" spans="1:29" ht="38.25">
      <c r="A106" s="20" t="s">
        <v>376</v>
      </c>
      <c r="B106" s="24" t="str">
        <f>'Lambda-Relay'!A35</f>
        <v>Short-circuit or decrease of insulation resistance between coil and coil</v>
      </c>
      <c r="C106" s="22">
        <f>'Lambda-Relay'!B$28</f>
        <v>4.0085551309765821E-6</v>
      </c>
      <c r="D106" s="23">
        <f>'Lambda-Relay'!C35</f>
        <v>0</v>
      </c>
      <c r="E106" s="20">
        <f>'Lambda-Relay'!D35</f>
        <v>0</v>
      </c>
      <c r="F106" s="21" t="s">
        <v>528</v>
      </c>
      <c r="G106" s="21" t="s">
        <v>528</v>
      </c>
      <c r="H106" s="20" t="s">
        <v>43</v>
      </c>
      <c r="I106" s="20" t="s">
        <v>393</v>
      </c>
      <c r="J106" s="20" t="s">
        <v>393</v>
      </c>
      <c r="K106" s="20" t="s">
        <v>677</v>
      </c>
      <c r="L106" s="20" t="s">
        <v>677</v>
      </c>
      <c r="M106" s="20">
        <v>3.2724899999999999</v>
      </c>
      <c r="N106" s="20">
        <v>3.2719999999999998</v>
      </c>
      <c r="O106" s="20">
        <v>3.2749999999999999</v>
      </c>
      <c r="P106" s="20">
        <v>4.3130000000000002E-2</v>
      </c>
      <c r="Q106" s="20">
        <v>4.095E-2</v>
      </c>
      <c r="R106" s="20">
        <v>4.53E-2</v>
      </c>
      <c r="S106" s="20">
        <f t="shared" si="71"/>
        <v>4092</v>
      </c>
      <c r="T106" s="20">
        <f t="shared" si="71"/>
        <v>4091</v>
      </c>
      <c r="U106" s="20">
        <f t="shared" si="71"/>
        <v>4095</v>
      </c>
      <c r="V106" s="20">
        <f t="shared" si="71"/>
        <v>54</v>
      </c>
      <c r="W106" s="20">
        <f t="shared" si="71"/>
        <v>51</v>
      </c>
      <c r="X106" s="20">
        <f t="shared" si="71"/>
        <v>57</v>
      </c>
      <c r="Y106" s="20" t="s">
        <v>401</v>
      </c>
      <c r="Z106" s="25">
        <v>0</v>
      </c>
      <c r="AA106" s="25">
        <v>1</v>
      </c>
      <c r="AB106" s="25" t="s">
        <v>401</v>
      </c>
      <c r="AC106" s="20" t="s">
        <v>683</v>
      </c>
    </row>
    <row r="107" spans="1:29" ht="374.25" customHeight="1">
      <c r="A107" s="20" t="s">
        <v>376</v>
      </c>
      <c r="B107" s="24" t="str">
        <f>'Lambda-Relay'!A36</f>
        <v>Short-circuit or decrease of insulation resistance between coil and contact</v>
      </c>
      <c r="C107" s="22">
        <f>'Lambda-Relay'!B$28</f>
        <v>4.0085551309765821E-6</v>
      </c>
      <c r="D107" s="23">
        <f>'Lambda-Relay'!C36</f>
        <v>6.3333333333333339E-2</v>
      </c>
      <c r="E107" s="20">
        <f>'Lambda-Relay'!D36</f>
        <v>2.5387515829518358E-7</v>
      </c>
      <c r="F107" s="24" t="s">
        <v>648</v>
      </c>
      <c r="G107" s="24" t="s">
        <v>650</v>
      </c>
      <c r="H107" s="25" t="s">
        <v>43</v>
      </c>
      <c r="I107" s="20" t="s">
        <v>392</v>
      </c>
      <c r="J107" s="20" t="s">
        <v>575</v>
      </c>
      <c r="K107" s="20" t="s">
        <v>675</v>
      </c>
      <c r="L107" s="20" t="s">
        <v>676</v>
      </c>
      <c r="M107" s="20">
        <v>3.2724899999999999</v>
      </c>
      <c r="N107" s="20">
        <v>3.2719999999999998</v>
      </c>
      <c r="O107" s="20">
        <v>3.2749999999999999</v>
      </c>
      <c r="P107" s="20">
        <v>4.3130000000000002E-2</v>
      </c>
      <c r="Q107" s="20">
        <v>4.095E-2</v>
      </c>
      <c r="R107" s="20">
        <v>4.53E-2</v>
      </c>
      <c r="S107" s="20">
        <f t="shared" si="71"/>
        <v>4092</v>
      </c>
      <c r="T107" s="20">
        <f t="shared" si="71"/>
        <v>4091</v>
      </c>
      <c r="U107" s="20">
        <f t="shared" si="71"/>
        <v>4095</v>
      </c>
      <c r="V107" s="20">
        <f t="shared" si="71"/>
        <v>54</v>
      </c>
      <c r="W107" s="20">
        <f t="shared" si="71"/>
        <v>51</v>
      </c>
      <c r="X107" s="20">
        <f t="shared" si="71"/>
        <v>57</v>
      </c>
      <c r="Y107" s="20" t="s">
        <v>397</v>
      </c>
      <c r="Z107" s="25">
        <v>0</v>
      </c>
      <c r="AA107" s="25">
        <v>0</v>
      </c>
      <c r="AB107" s="25" t="s">
        <v>397</v>
      </c>
      <c r="AC107" s="20" t="s">
        <v>683</v>
      </c>
    </row>
    <row r="108" spans="1:29" ht="38.25">
      <c r="A108" s="20" t="s">
        <v>376</v>
      </c>
      <c r="B108" s="24" t="str">
        <f>'Lambda-Relay'!A37</f>
        <v>Short-circuit or decrease of insulation resistance between coil and case</v>
      </c>
      <c r="C108" s="22">
        <f>'Lambda-Relay'!B$28</f>
        <v>4.0085551309765821E-6</v>
      </c>
      <c r="D108" s="23">
        <f>'Lambda-Relay'!C37</f>
        <v>0</v>
      </c>
      <c r="E108" s="20">
        <f>'Lambda-Relay'!D37</f>
        <v>0</v>
      </c>
      <c r="F108" s="21" t="s">
        <v>382</v>
      </c>
      <c r="G108" s="21" t="s">
        <v>382</v>
      </c>
      <c r="H108" s="20" t="s">
        <v>43</v>
      </c>
      <c r="I108" s="20" t="s">
        <v>393</v>
      </c>
      <c r="J108" s="20" t="s">
        <v>393</v>
      </c>
      <c r="K108" s="20" t="s">
        <v>677</v>
      </c>
      <c r="L108" s="20" t="s">
        <v>677</v>
      </c>
      <c r="M108" s="20">
        <v>3.2724899999999999</v>
      </c>
      <c r="N108" s="20">
        <v>3.2719999999999998</v>
      </c>
      <c r="O108" s="20">
        <v>3.2749999999999999</v>
      </c>
      <c r="P108" s="20">
        <v>4.3130000000000002E-2</v>
      </c>
      <c r="Q108" s="20">
        <v>4.095E-2</v>
      </c>
      <c r="R108" s="20">
        <v>4.53E-2</v>
      </c>
      <c r="S108" s="20">
        <f t="shared" si="71"/>
        <v>4092</v>
      </c>
      <c r="T108" s="20">
        <f t="shared" si="71"/>
        <v>4091</v>
      </c>
      <c r="U108" s="20">
        <f t="shared" si="71"/>
        <v>4095</v>
      </c>
      <c r="V108" s="20">
        <f t="shared" si="71"/>
        <v>54</v>
      </c>
      <c r="W108" s="20">
        <f t="shared" si="71"/>
        <v>51</v>
      </c>
      <c r="X108" s="20">
        <f t="shared" si="71"/>
        <v>57</v>
      </c>
      <c r="Y108" s="20" t="s">
        <v>401</v>
      </c>
      <c r="Z108" s="25">
        <v>0</v>
      </c>
      <c r="AA108" s="25">
        <v>1</v>
      </c>
      <c r="AB108" s="25" t="s">
        <v>401</v>
      </c>
      <c r="AC108" s="20" t="s">
        <v>683</v>
      </c>
    </row>
    <row r="109" spans="1:29" ht="51">
      <c r="A109" s="20" t="s">
        <v>376</v>
      </c>
      <c r="B109" s="24" t="str">
        <f>'Lambda-Relay'!A38</f>
        <v>Short-circuit or decrease of insulation resistance between contact and contact</v>
      </c>
      <c r="C109" s="22">
        <f>'Lambda-Relay'!B$28</f>
        <v>4.0085551309765821E-6</v>
      </c>
      <c r="D109" s="23">
        <f>'Lambda-Relay'!C38</f>
        <v>6.3333333333333339E-2</v>
      </c>
      <c r="E109" s="20">
        <f>'Lambda-Relay'!D38</f>
        <v>2.5387515829518358E-7</v>
      </c>
      <c r="F109" s="21" t="s">
        <v>529</v>
      </c>
      <c r="G109" s="21" t="s">
        <v>649</v>
      </c>
      <c r="H109" s="20" t="s">
        <v>43</v>
      </c>
      <c r="I109" s="20" t="s">
        <v>392</v>
      </c>
      <c r="J109" s="25" t="s">
        <v>504</v>
      </c>
      <c r="K109" s="25" t="s">
        <v>673</v>
      </c>
      <c r="L109" s="20" t="s">
        <v>675</v>
      </c>
      <c r="M109" s="20">
        <v>3.1999999999999999E-6</v>
      </c>
      <c r="N109" s="20">
        <v>3.1999999999999999E-6</v>
      </c>
      <c r="O109" s="20">
        <v>3.1999999999999999E-6</v>
      </c>
      <c r="P109" s="20">
        <v>3.1999999999999999E-6</v>
      </c>
      <c r="Q109" s="20">
        <v>3.1999999999999999E-6</v>
      </c>
      <c r="R109" s="20">
        <v>3.1999999999999999E-6</v>
      </c>
      <c r="S109" s="20">
        <f t="shared" si="71"/>
        <v>0</v>
      </c>
      <c r="T109" s="20">
        <f t="shared" si="71"/>
        <v>0</v>
      </c>
      <c r="U109" s="20">
        <f t="shared" si="71"/>
        <v>0</v>
      </c>
      <c r="V109" s="20">
        <f t="shared" si="71"/>
        <v>0</v>
      </c>
      <c r="W109" s="20">
        <f t="shared" si="71"/>
        <v>0</v>
      </c>
      <c r="X109" s="20">
        <f t="shared" si="71"/>
        <v>0</v>
      </c>
      <c r="Y109" s="20" t="s">
        <v>398</v>
      </c>
      <c r="Z109" s="25">
        <v>0</v>
      </c>
      <c r="AA109" s="25">
        <v>1</v>
      </c>
      <c r="AB109" s="25" t="s">
        <v>401</v>
      </c>
      <c r="AC109" s="20" t="s">
        <v>683</v>
      </c>
    </row>
    <row r="110" spans="1:29" ht="38.25">
      <c r="A110" s="20" t="s">
        <v>376</v>
      </c>
      <c r="B110" s="24" t="str">
        <f>'Lambda-Relay'!A39</f>
        <v>Short-circuit or decrease of insulation resistance between contact and case</v>
      </c>
      <c r="C110" s="22">
        <f>'Lambda-Relay'!B$28</f>
        <v>4.0085551309765821E-6</v>
      </c>
      <c r="D110" s="23">
        <f>'Lambda-Relay'!C39</f>
        <v>0</v>
      </c>
      <c r="E110" s="20">
        <f>'Lambda-Relay'!D39</f>
        <v>0</v>
      </c>
      <c r="F110" s="21" t="s">
        <v>382</v>
      </c>
      <c r="G110" s="21" t="s">
        <v>382</v>
      </c>
      <c r="H110" s="20" t="s">
        <v>43</v>
      </c>
      <c r="I110" s="20" t="s">
        <v>393</v>
      </c>
      <c r="J110" s="20" t="s">
        <v>393</v>
      </c>
      <c r="K110" s="20" t="s">
        <v>677</v>
      </c>
      <c r="L110" s="20" t="s">
        <v>677</v>
      </c>
      <c r="M110" s="20">
        <v>3.2724899999999999</v>
      </c>
      <c r="N110" s="20">
        <v>3.2719999999999998</v>
      </c>
      <c r="O110" s="20">
        <v>3.2749999999999999</v>
      </c>
      <c r="P110" s="20">
        <v>4.3130000000000002E-2</v>
      </c>
      <c r="Q110" s="20">
        <v>4.095E-2</v>
      </c>
      <c r="R110" s="20">
        <v>4.53E-2</v>
      </c>
      <c r="S110" s="20">
        <f t="shared" ref="S110:X111" si="72">ROUND(((M110-MIN($M$3:$R$212))/(MAX($M$3:$R$212)-MIN($M$3:$R$212)))*((2^12)-1), 0)</f>
        <v>4092</v>
      </c>
      <c r="T110" s="20">
        <f t="shared" si="72"/>
        <v>4091</v>
      </c>
      <c r="U110" s="20">
        <f t="shared" si="72"/>
        <v>4095</v>
      </c>
      <c r="V110" s="20">
        <f t="shared" si="72"/>
        <v>54</v>
      </c>
      <c r="W110" s="20">
        <f t="shared" si="72"/>
        <v>51</v>
      </c>
      <c r="X110" s="20">
        <f t="shared" si="72"/>
        <v>57</v>
      </c>
      <c r="Y110" s="20" t="s">
        <v>401</v>
      </c>
      <c r="Z110" s="25">
        <v>0</v>
      </c>
      <c r="AA110" s="25">
        <v>1</v>
      </c>
      <c r="AB110" s="25" t="s">
        <v>401</v>
      </c>
      <c r="AC110" s="20" t="s">
        <v>683</v>
      </c>
    </row>
    <row r="111" spans="1:29" ht="63.75">
      <c r="A111" s="20" t="s">
        <v>376</v>
      </c>
      <c r="B111" s="24" t="str">
        <f>'Lambda-Relay'!A40</f>
        <v>Welding of NO contacts</v>
      </c>
      <c r="C111" s="22">
        <f>'Lambda-Relay'!B$28</f>
        <v>4.0085551309765821E-6</v>
      </c>
      <c r="D111" s="23">
        <f>'Lambda-Relay'!C40</f>
        <v>1.4444444444444446E-2</v>
      </c>
      <c r="E111" s="20">
        <f>'Lambda-Relay'!D40</f>
        <v>5.790135189188397E-8</v>
      </c>
      <c r="F111" s="21" t="s">
        <v>540</v>
      </c>
      <c r="G111" s="21" t="s">
        <v>552</v>
      </c>
      <c r="H111" s="20" t="s">
        <v>43</v>
      </c>
      <c r="I111" s="20" t="s">
        <v>392</v>
      </c>
      <c r="J111" s="20" t="s">
        <v>575</v>
      </c>
      <c r="K111" s="20" t="s">
        <v>675</v>
      </c>
      <c r="L111" s="20" t="s">
        <v>676</v>
      </c>
      <c r="M111" s="20">
        <v>3.2724899999999999</v>
      </c>
      <c r="N111" s="20">
        <v>3.2719999999999998</v>
      </c>
      <c r="O111" s="20">
        <v>3.2749999999999999</v>
      </c>
      <c r="P111" s="20">
        <v>4.3130000000000002E-2</v>
      </c>
      <c r="Q111" s="20">
        <v>4.095E-2</v>
      </c>
      <c r="R111" s="20">
        <v>4.53E-2</v>
      </c>
      <c r="S111" s="25">
        <f t="shared" si="72"/>
        <v>4092</v>
      </c>
      <c r="T111" s="25">
        <f t="shared" si="72"/>
        <v>4091</v>
      </c>
      <c r="U111" s="25">
        <f t="shared" si="72"/>
        <v>4095</v>
      </c>
      <c r="V111" s="25">
        <f t="shared" si="72"/>
        <v>54</v>
      </c>
      <c r="W111" s="25">
        <f t="shared" si="72"/>
        <v>51</v>
      </c>
      <c r="X111" s="25">
        <f t="shared" si="72"/>
        <v>57</v>
      </c>
      <c r="Y111" s="25" t="s">
        <v>409</v>
      </c>
      <c r="Z111" s="25">
        <v>1</v>
      </c>
      <c r="AA111" s="25">
        <v>1</v>
      </c>
      <c r="AB111" s="25" t="s">
        <v>398</v>
      </c>
      <c r="AC111" s="20" t="s">
        <v>683</v>
      </c>
    </row>
    <row r="112" spans="1:29" ht="63.75">
      <c r="A112" s="20" t="s">
        <v>376</v>
      </c>
      <c r="B112" s="24" t="str">
        <f>'Lambda-Relay'!A41</f>
        <v>Welding of NC contacts</v>
      </c>
      <c r="C112" s="22">
        <f>'Lambda-Relay'!B$28</f>
        <v>4.0085551309765821E-6</v>
      </c>
      <c r="D112" s="23">
        <f>'Lambda-Relay'!C41</f>
        <v>1.4444444444444446E-2</v>
      </c>
      <c r="E112" s="20">
        <f>'Lambda-Relay'!D41</f>
        <v>5.790135189188397E-8</v>
      </c>
      <c r="F112" s="21" t="s">
        <v>541</v>
      </c>
      <c r="G112" s="21" t="s">
        <v>541</v>
      </c>
      <c r="H112" s="20" t="s">
        <v>43</v>
      </c>
      <c r="I112" s="20" t="s">
        <v>392</v>
      </c>
      <c r="J112" s="20" t="s">
        <v>573</v>
      </c>
      <c r="K112" s="20" t="s">
        <v>676</v>
      </c>
      <c r="L112" s="20" t="s">
        <v>676</v>
      </c>
      <c r="M112" s="20">
        <v>0</v>
      </c>
      <c r="N112" s="20">
        <v>0</v>
      </c>
      <c r="O112" s="20">
        <v>0</v>
      </c>
      <c r="P112" s="20">
        <v>0</v>
      </c>
      <c r="Q112" s="20">
        <v>0</v>
      </c>
      <c r="R112" s="20">
        <v>0</v>
      </c>
      <c r="S112" s="20">
        <f t="shared" ref="S112:S129" si="73">ROUND(((M112-MIN($M$3:$R$212))/(MAX($M$3:$R$212)-MIN($M$3:$R$212)))*((2^12)-1), 0)</f>
        <v>0</v>
      </c>
      <c r="T112" s="20">
        <f t="shared" ref="T112:T129" si="74">ROUND(((N112-MIN($M$3:$R$212))/(MAX($M$3:$R$212)-MIN($M$3:$R$212)))*((2^12)-1), 0)</f>
        <v>0</v>
      </c>
      <c r="U112" s="20">
        <f t="shared" ref="U112:U129" si="75">ROUND(((O112-MIN($M$3:$R$212))/(MAX($M$3:$R$212)-MIN($M$3:$R$212)))*((2^12)-1), 0)</f>
        <v>0</v>
      </c>
      <c r="V112" s="20">
        <f t="shared" ref="V112:V129" si="76">ROUND(((P112-MIN($M$3:$R$212))/(MAX($M$3:$R$212)-MIN($M$3:$R$212)))*((2^12)-1), 0)</f>
        <v>0</v>
      </c>
      <c r="W112" s="20">
        <f t="shared" ref="W112:W129" si="77">ROUND(((Q112-MIN($M$3:$R$212))/(MAX($M$3:$R$212)-MIN($M$3:$R$212)))*((2^12)-1), 0)</f>
        <v>0</v>
      </c>
      <c r="X112" s="20">
        <f t="shared" ref="X112:X129" si="78">ROUND(((R112-MIN($M$3:$R$212))/(MAX($M$3:$R$212)-MIN($M$3:$R$212)))*((2^12)-1), 0)</f>
        <v>0</v>
      </c>
      <c r="Y112" s="20" t="s">
        <v>397</v>
      </c>
      <c r="Z112" s="25">
        <v>0</v>
      </c>
      <c r="AA112" s="25">
        <v>0</v>
      </c>
      <c r="AB112" s="25" t="s">
        <v>397</v>
      </c>
      <c r="AC112" s="20" t="s">
        <v>683</v>
      </c>
    </row>
    <row r="113" spans="1:29" ht="38.25">
      <c r="A113" s="20" t="s">
        <v>376</v>
      </c>
      <c r="B113" s="24" t="str">
        <f>'Lambda-Relay'!A42</f>
        <v>Increase of NO contact resistance</v>
      </c>
      <c r="C113" s="22">
        <f>'Lambda-Relay'!B$28</f>
        <v>4.0085551309765821E-6</v>
      </c>
      <c r="D113" s="23">
        <f>'Lambda-Relay'!C42</f>
        <v>1.4444444444444446E-2</v>
      </c>
      <c r="E113" s="20">
        <f>'Lambda-Relay'!D42</f>
        <v>5.790135189188397E-8</v>
      </c>
      <c r="F113" s="21" t="s">
        <v>544</v>
      </c>
      <c r="G113" s="21" t="s">
        <v>542</v>
      </c>
      <c r="H113" s="20" t="s">
        <v>43</v>
      </c>
      <c r="I113" s="20" t="s">
        <v>392</v>
      </c>
      <c r="J113" s="20" t="s">
        <v>573</v>
      </c>
      <c r="K113" s="20" t="s">
        <v>676</v>
      </c>
      <c r="L113" s="20" t="s">
        <v>676</v>
      </c>
      <c r="M113" s="20">
        <v>0</v>
      </c>
      <c r="N113" s="20">
        <v>0</v>
      </c>
      <c r="O113" s="20">
        <v>0</v>
      </c>
      <c r="P113" s="20">
        <v>0</v>
      </c>
      <c r="Q113" s="20">
        <v>0</v>
      </c>
      <c r="R113" s="20">
        <v>0</v>
      </c>
      <c r="S113" s="20">
        <f t="shared" si="73"/>
        <v>0</v>
      </c>
      <c r="T113" s="20">
        <f t="shared" si="74"/>
        <v>0</v>
      </c>
      <c r="U113" s="20">
        <f t="shared" si="75"/>
        <v>0</v>
      </c>
      <c r="V113" s="20">
        <f t="shared" si="76"/>
        <v>0</v>
      </c>
      <c r="W113" s="20">
        <f t="shared" si="77"/>
        <v>0</v>
      </c>
      <c r="X113" s="20">
        <f t="shared" si="78"/>
        <v>0</v>
      </c>
      <c r="Y113" s="20" t="s">
        <v>397</v>
      </c>
      <c r="Z113" s="25">
        <v>0</v>
      </c>
      <c r="AA113" s="25">
        <v>0</v>
      </c>
      <c r="AB113" s="25" t="s">
        <v>397</v>
      </c>
      <c r="AC113" s="20" t="s">
        <v>683</v>
      </c>
    </row>
    <row r="114" spans="1:29" ht="51">
      <c r="A114" s="20" t="s">
        <v>376</v>
      </c>
      <c r="B114" s="24" t="str">
        <f>'Lambda-Relay'!A43</f>
        <v>Increase of NC contact resistance</v>
      </c>
      <c r="C114" s="22">
        <f>'Lambda-Relay'!B$28</f>
        <v>4.0085551309765821E-6</v>
      </c>
      <c r="D114" s="23">
        <f>'Lambda-Relay'!C43</f>
        <v>1.4444444444444446E-2</v>
      </c>
      <c r="E114" s="20">
        <f>'Lambda-Relay'!D43</f>
        <v>5.790135189188397E-8</v>
      </c>
      <c r="F114" s="21" t="s">
        <v>545</v>
      </c>
      <c r="G114" s="21" t="s">
        <v>543</v>
      </c>
      <c r="H114" s="20" t="s">
        <v>43</v>
      </c>
      <c r="I114" s="20" t="s">
        <v>392</v>
      </c>
      <c r="J114" s="20" t="s">
        <v>575</v>
      </c>
      <c r="K114" s="20" t="s">
        <v>675</v>
      </c>
      <c r="L114" s="20" t="s">
        <v>676</v>
      </c>
      <c r="M114" s="20">
        <v>3.2724899999999999</v>
      </c>
      <c r="N114" s="20">
        <v>3.2719999999999998</v>
      </c>
      <c r="O114" s="20">
        <v>3.2749999999999999</v>
      </c>
      <c r="P114" s="20">
        <v>4.3130000000000002E-2</v>
      </c>
      <c r="Q114" s="20">
        <v>4.095E-2</v>
      </c>
      <c r="R114" s="20">
        <v>4.53E-2</v>
      </c>
      <c r="S114" s="25">
        <f t="shared" si="73"/>
        <v>4092</v>
      </c>
      <c r="T114" s="25">
        <f t="shared" si="74"/>
        <v>4091</v>
      </c>
      <c r="U114" s="25">
        <f t="shared" si="75"/>
        <v>4095</v>
      </c>
      <c r="V114" s="25">
        <f t="shared" si="76"/>
        <v>54</v>
      </c>
      <c r="W114" s="25">
        <f t="shared" si="77"/>
        <v>51</v>
      </c>
      <c r="X114" s="25">
        <f t="shared" si="78"/>
        <v>57</v>
      </c>
      <c r="Y114" s="25" t="s">
        <v>409</v>
      </c>
      <c r="Z114" s="25">
        <v>1</v>
      </c>
      <c r="AA114" s="25">
        <v>1</v>
      </c>
      <c r="AB114" s="25" t="s">
        <v>398</v>
      </c>
      <c r="AC114" s="20" t="s">
        <v>683</v>
      </c>
    </row>
    <row r="115" spans="1:29" ht="51">
      <c r="A115" s="20" t="s">
        <v>376</v>
      </c>
      <c r="B115" s="24" t="str">
        <f>'Lambda-Relay'!A44</f>
        <v>Contact chatter</v>
      </c>
      <c r="C115" s="22">
        <f>'Lambda-Relay'!B$28</f>
        <v>4.0085551309765821E-6</v>
      </c>
      <c r="D115" s="23">
        <f>'Lambda-Relay'!C44</f>
        <v>2.8888888888888891E-2</v>
      </c>
      <c r="E115" s="20">
        <f>'Lambda-Relay'!D44</f>
        <v>1.1580270378376794E-7</v>
      </c>
      <c r="F115" s="21" t="s">
        <v>546</v>
      </c>
      <c r="G115" s="21" t="s">
        <v>547</v>
      </c>
      <c r="H115" s="20" t="s">
        <v>43</v>
      </c>
      <c r="I115" s="25" t="s">
        <v>392</v>
      </c>
      <c r="J115" s="25" t="s">
        <v>504</v>
      </c>
      <c r="K115" s="25" t="s">
        <v>673</v>
      </c>
      <c r="L115" s="20" t="s">
        <v>675</v>
      </c>
      <c r="M115" s="20">
        <v>3.1999999999999999E-6</v>
      </c>
      <c r="N115" s="20">
        <v>3.1999999999999999E-6</v>
      </c>
      <c r="O115" s="20">
        <v>3.1999999999999999E-6</v>
      </c>
      <c r="P115" s="20">
        <v>3.1999999999999999E-6</v>
      </c>
      <c r="Q115" s="20">
        <v>3.1999999999999999E-6</v>
      </c>
      <c r="R115" s="20">
        <v>3.1999999999999999E-6</v>
      </c>
      <c r="S115" s="20">
        <f t="shared" si="73"/>
        <v>0</v>
      </c>
      <c r="T115" s="20">
        <f t="shared" si="74"/>
        <v>0</v>
      </c>
      <c r="U115" s="20">
        <f t="shared" si="75"/>
        <v>0</v>
      </c>
      <c r="V115" s="20">
        <f t="shared" si="76"/>
        <v>0</v>
      </c>
      <c r="W115" s="20">
        <f t="shared" si="77"/>
        <v>0</v>
      </c>
      <c r="X115" s="20">
        <f t="shared" si="78"/>
        <v>0</v>
      </c>
      <c r="Y115" s="20" t="s">
        <v>398</v>
      </c>
      <c r="Z115" s="25">
        <v>0</v>
      </c>
      <c r="AA115" s="25">
        <v>1</v>
      </c>
      <c r="AB115" s="25" t="s">
        <v>453</v>
      </c>
      <c r="AC115" s="20" t="s">
        <v>683</v>
      </c>
    </row>
    <row r="116" spans="1:29" ht="38.25">
      <c r="A116" s="20" t="s">
        <v>376</v>
      </c>
      <c r="B116" s="24" t="str">
        <f>'Lambda-Relay'!A45</f>
        <v>Increase of pick-up current</v>
      </c>
      <c r="C116" s="22">
        <f>'Lambda-Relay'!B$28</f>
        <v>4.0085551309765821E-6</v>
      </c>
      <c r="D116" s="23">
        <f>'Lambda-Relay'!C45</f>
        <v>7.8571428571428584E-2</v>
      </c>
      <c r="E116" s="20">
        <f>'Lambda-Relay'!D45</f>
        <v>3.1495790314816006E-7</v>
      </c>
      <c r="F116" s="21" t="s">
        <v>548</v>
      </c>
      <c r="G116" s="21" t="s">
        <v>548</v>
      </c>
      <c r="H116" s="20" t="s">
        <v>43</v>
      </c>
      <c r="I116" s="20" t="s">
        <v>392</v>
      </c>
      <c r="J116" s="20" t="s">
        <v>573</v>
      </c>
      <c r="K116" s="20" t="s">
        <v>676</v>
      </c>
      <c r="L116" s="20" t="s">
        <v>676</v>
      </c>
      <c r="M116" s="20">
        <v>0</v>
      </c>
      <c r="N116" s="20">
        <v>0</v>
      </c>
      <c r="O116" s="20">
        <v>0</v>
      </c>
      <c r="P116" s="20">
        <v>0</v>
      </c>
      <c r="Q116" s="20">
        <v>0</v>
      </c>
      <c r="R116" s="20">
        <v>0</v>
      </c>
      <c r="S116" s="20">
        <f t="shared" si="73"/>
        <v>0</v>
      </c>
      <c r="T116" s="20">
        <f t="shared" si="74"/>
        <v>0</v>
      </c>
      <c r="U116" s="20">
        <f t="shared" si="75"/>
        <v>0</v>
      </c>
      <c r="V116" s="20">
        <f t="shared" si="76"/>
        <v>0</v>
      </c>
      <c r="W116" s="20">
        <f t="shared" si="77"/>
        <v>0</v>
      </c>
      <c r="X116" s="20">
        <f t="shared" si="78"/>
        <v>0</v>
      </c>
      <c r="Y116" s="20" t="s">
        <v>397</v>
      </c>
      <c r="Z116" s="25">
        <v>0</v>
      </c>
      <c r="AA116" s="25">
        <v>0</v>
      </c>
      <c r="AB116" s="25" t="s">
        <v>397</v>
      </c>
      <c r="AC116" s="20" t="s">
        <v>683</v>
      </c>
    </row>
    <row r="117" spans="1:29" ht="38.25">
      <c r="A117" s="20" t="s">
        <v>376</v>
      </c>
      <c r="B117" s="24" t="str">
        <f>'Lambda-Relay'!A46</f>
        <v>Decrease of pick-up current</v>
      </c>
      <c r="C117" s="22">
        <f>'Lambda-Relay'!B$28</f>
        <v>4.0085551309765821E-6</v>
      </c>
      <c r="D117" s="23">
        <f>'Lambda-Relay'!C46</f>
        <v>2.8888888888888891E-2</v>
      </c>
      <c r="E117" s="20">
        <f>'Lambda-Relay'!D46</f>
        <v>1.1580270378376794E-7</v>
      </c>
      <c r="F117" s="21" t="s">
        <v>549</v>
      </c>
      <c r="G117" s="21" t="s">
        <v>549</v>
      </c>
      <c r="H117" s="20" t="s">
        <v>43</v>
      </c>
      <c r="I117" s="20" t="s">
        <v>393</v>
      </c>
      <c r="J117" s="20" t="s">
        <v>393</v>
      </c>
      <c r="K117" s="20" t="s">
        <v>677</v>
      </c>
      <c r="L117" s="20" t="s">
        <v>677</v>
      </c>
      <c r="M117" s="20">
        <v>3.2724899999999999</v>
      </c>
      <c r="N117" s="20">
        <v>3.2719999999999998</v>
      </c>
      <c r="O117" s="20">
        <v>3.2749999999999999</v>
      </c>
      <c r="P117" s="20">
        <v>4.3130000000000002E-2</v>
      </c>
      <c r="Q117" s="20">
        <v>4.095E-2</v>
      </c>
      <c r="R117" s="20">
        <v>4.53E-2</v>
      </c>
      <c r="S117" s="20">
        <f t="shared" si="73"/>
        <v>4092</v>
      </c>
      <c r="T117" s="20">
        <f t="shared" si="74"/>
        <v>4091</v>
      </c>
      <c r="U117" s="20">
        <f t="shared" si="75"/>
        <v>4095</v>
      </c>
      <c r="V117" s="20">
        <f t="shared" si="76"/>
        <v>54</v>
      </c>
      <c r="W117" s="20">
        <f t="shared" si="77"/>
        <v>51</v>
      </c>
      <c r="X117" s="20">
        <f t="shared" si="78"/>
        <v>57</v>
      </c>
      <c r="Y117" s="20" t="s">
        <v>401</v>
      </c>
      <c r="Z117" s="25">
        <v>0</v>
      </c>
      <c r="AA117" s="25">
        <v>1</v>
      </c>
      <c r="AB117" s="25" t="s">
        <v>401</v>
      </c>
      <c r="AC117" s="20" t="s">
        <v>683</v>
      </c>
    </row>
    <row r="118" spans="1:29" ht="38.25">
      <c r="A118" s="20" t="s">
        <v>376</v>
      </c>
      <c r="B118" s="24" t="str">
        <f>'Lambda-Relay'!A47</f>
        <v>Increase of drop-away current</v>
      </c>
      <c r="C118" s="22">
        <f>'Lambda-Relay'!B$28</f>
        <v>4.0085551309765821E-6</v>
      </c>
      <c r="D118" s="23">
        <f>'Lambda-Relay'!C47</f>
        <v>7.8571428571428584E-2</v>
      </c>
      <c r="E118" s="20">
        <f>'Lambda-Relay'!D47</f>
        <v>3.1495790314816006E-7</v>
      </c>
      <c r="F118" s="21" t="s">
        <v>549</v>
      </c>
      <c r="G118" s="21" t="s">
        <v>549</v>
      </c>
      <c r="H118" s="20" t="s">
        <v>43</v>
      </c>
      <c r="I118" s="20" t="s">
        <v>393</v>
      </c>
      <c r="J118" s="20" t="s">
        <v>393</v>
      </c>
      <c r="K118" s="20" t="s">
        <v>677</v>
      </c>
      <c r="L118" s="20" t="s">
        <v>677</v>
      </c>
      <c r="M118" s="20">
        <v>3.2724899999999999</v>
      </c>
      <c r="N118" s="20">
        <v>3.2719999999999998</v>
      </c>
      <c r="O118" s="20">
        <v>3.2749999999999999</v>
      </c>
      <c r="P118" s="20">
        <v>4.3130000000000002E-2</v>
      </c>
      <c r="Q118" s="20">
        <v>4.095E-2</v>
      </c>
      <c r="R118" s="20">
        <v>4.53E-2</v>
      </c>
      <c r="S118" s="20">
        <f t="shared" si="73"/>
        <v>4092</v>
      </c>
      <c r="T118" s="20">
        <f t="shared" si="74"/>
        <v>4091</v>
      </c>
      <c r="U118" s="20">
        <f t="shared" si="75"/>
        <v>4095</v>
      </c>
      <c r="V118" s="20">
        <f t="shared" si="76"/>
        <v>54</v>
      </c>
      <c r="W118" s="20">
        <f t="shared" si="77"/>
        <v>51</v>
      </c>
      <c r="X118" s="20">
        <f t="shared" si="78"/>
        <v>57</v>
      </c>
      <c r="Y118" s="20" t="s">
        <v>401</v>
      </c>
      <c r="Z118" s="25">
        <v>0</v>
      </c>
      <c r="AA118" s="25">
        <v>1</v>
      </c>
      <c r="AB118" s="25" t="s">
        <v>401</v>
      </c>
      <c r="AC118" s="20" t="s">
        <v>683</v>
      </c>
    </row>
    <row r="119" spans="1:29" ht="51">
      <c r="A119" s="20" t="s">
        <v>376</v>
      </c>
      <c r="B119" s="24" t="str">
        <f>'Lambda-Relay'!A48</f>
        <v>Decrease of drop-away current</v>
      </c>
      <c r="C119" s="22">
        <f>'Lambda-Relay'!B$28</f>
        <v>4.0085551309765821E-6</v>
      </c>
      <c r="D119" s="23">
        <f>'Lambda-Relay'!C48</f>
        <v>2.8888888888888891E-2</v>
      </c>
      <c r="E119" s="20">
        <f>'Lambda-Relay'!D48</f>
        <v>1.1580270378376794E-7</v>
      </c>
      <c r="F119" s="21" t="s">
        <v>550</v>
      </c>
      <c r="G119" s="21" t="s">
        <v>551</v>
      </c>
      <c r="H119" s="20" t="s">
        <v>43</v>
      </c>
      <c r="I119" s="20" t="s">
        <v>392</v>
      </c>
      <c r="J119" s="20" t="s">
        <v>575</v>
      </c>
      <c r="K119" s="20" t="s">
        <v>675</v>
      </c>
      <c r="L119" s="20" t="s">
        <v>676</v>
      </c>
      <c r="M119" s="20">
        <v>3.2724899999999999</v>
      </c>
      <c r="N119" s="20">
        <v>3.2719999999999998</v>
      </c>
      <c r="O119" s="20">
        <v>3.2749999999999999</v>
      </c>
      <c r="P119" s="20">
        <v>4.3130000000000002E-2</v>
      </c>
      <c r="Q119" s="20">
        <v>4.095E-2</v>
      </c>
      <c r="R119" s="20">
        <v>4.53E-2</v>
      </c>
      <c r="S119" s="20">
        <f t="shared" si="73"/>
        <v>4092</v>
      </c>
      <c r="T119" s="20">
        <f t="shared" si="74"/>
        <v>4091</v>
      </c>
      <c r="U119" s="20">
        <f t="shared" si="75"/>
        <v>4095</v>
      </c>
      <c r="V119" s="20">
        <f t="shared" si="76"/>
        <v>54</v>
      </c>
      <c r="W119" s="20">
        <f t="shared" si="77"/>
        <v>51</v>
      </c>
      <c r="X119" s="20">
        <f t="shared" si="78"/>
        <v>57</v>
      </c>
      <c r="Y119" s="20" t="s">
        <v>401</v>
      </c>
      <c r="Z119" s="25">
        <v>1</v>
      </c>
      <c r="AA119" s="25">
        <v>1</v>
      </c>
      <c r="AB119" s="25" t="s">
        <v>398</v>
      </c>
      <c r="AC119" s="20" t="s">
        <v>683</v>
      </c>
    </row>
    <row r="120" spans="1:29" ht="38.25">
      <c r="A120" s="20" t="s">
        <v>376</v>
      </c>
      <c r="B120" s="24" t="str">
        <f>'Lambda-Relay'!A49</f>
        <v>Change of pick-up to drop-away ratio</v>
      </c>
      <c r="C120" s="22">
        <f>'Lambda-Relay'!B$28</f>
        <v>4.0085551309765821E-6</v>
      </c>
      <c r="D120" s="23">
        <f>'Lambda-Relay'!C49</f>
        <v>2.8888888888888891E-2</v>
      </c>
      <c r="E120" s="20">
        <f>'Lambda-Relay'!D49</f>
        <v>1.1580270378376794E-7</v>
      </c>
      <c r="F120" s="21" t="s">
        <v>549</v>
      </c>
      <c r="G120" s="21" t="s">
        <v>549</v>
      </c>
      <c r="H120" s="20" t="s">
        <v>43</v>
      </c>
      <c r="I120" s="20" t="s">
        <v>393</v>
      </c>
      <c r="J120" s="20" t="s">
        <v>393</v>
      </c>
      <c r="K120" s="20" t="s">
        <v>677</v>
      </c>
      <c r="L120" s="20" t="s">
        <v>677</v>
      </c>
      <c r="M120" s="20">
        <v>3.2724899999999999</v>
      </c>
      <c r="N120" s="20">
        <v>3.2719999999999998</v>
      </c>
      <c r="O120" s="20">
        <v>3.2749999999999999</v>
      </c>
      <c r="P120" s="20">
        <v>4.3130000000000002E-2</v>
      </c>
      <c r="Q120" s="20">
        <v>4.095E-2</v>
      </c>
      <c r="R120" s="20">
        <v>4.53E-2</v>
      </c>
      <c r="S120" s="20">
        <f t="shared" si="73"/>
        <v>4092</v>
      </c>
      <c r="T120" s="20">
        <f t="shared" si="74"/>
        <v>4091</v>
      </c>
      <c r="U120" s="20">
        <f t="shared" si="75"/>
        <v>4095</v>
      </c>
      <c r="V120" s="20">
        <f t="shared" si="76"/>
        <v>54</v>
      </c>
      <c r="W120" s="20">
        <f t="shared" si="77"/>
        <v>51</v>
      </c>
      <c r="X120" s="20">
        <f t="shared" si="78"/>
        <v>57</v>
      </c>
      <c r="Y120" s="20" t="s">
        <v>401</v>
      </c>
      <c r="Z120" s="25">
        <v>0</v>
      </c>
      <c r="AA120" s="25">
        <v>1</v>
      </c>
      <c r="AB120" s="25" t="s">
        <v>401</v>
      </c>
      <c r="AC120" s="20" t="s">
        <v>683</v>
      </c>
    </row>
    <row r="121" spans="1:29" ht="63.75">
      <c r="A121" s="20" t="s">
        <v>376</v>
      </c>
      <c r="B121" s="24" t="str">
        <f>'Lambda-Relay'!A50</f>
        <v>Increase of pick-up time</v>
      </c>
      <c r="C121" s="22">
        <f>'Lambda-Relay'!B$28</f>
        <v>4.0085551309765821E-6</v>
      </c>
      <c r="D121" s="23">
        <f>'Lambda-Relay'!C50</f>
        <v>7.8571428571428584E-2</v>
      </c>
      <c r="E121" s="20">
        <f>'Lambda-Relay'!D50</f>
        <v>3.1495790314816006E-7</v>
      </c>
      <c r="F121" s="21" t="s">
        <v>553</v>
      </c>
      <c r="G121" s="21" t="s">
        <v>554</v>
      </c>
      <c r="H121" s="20" t="s">
        <v>43</v>
      </c>
      <c r="I121" s="25" t="s">
        <v>392</v>
      </c>
      <c r="J121" s="25" t="s">
        <v>504</v>
      </c>
      <c r="K121" s="25" t="s">
        <v>673</v>
      </c>
      <c r="L121" s="20" t="s">
        <v>675</v>
      </c>
      <c r="M121" s="20">
        <v>3.1999999999999999E-6</v>
      </c>
      <c r="N121" s="20">
        <v>3.1999999999999999E-6</v>
      </c>
      <c r="O121" s="20">
        <v>3.1999999999999999E-6</v>
      </c>
      <c r="P121" s="20">
        <v>3.1999999999999999E-6</v>
      </c>
      <c r="Q121" s="20">
        <v>3.1999999999999999E-6</v>
      </c>
      <c r="R121" s="20">
        <v>3.1999999999999999E-6</v>
      </c>
      <c r="S121" s="20">
        <f t="shared" si="73"/>
        <v>0</v>
      </c>
      <c r="T121" s="20">
        <f t="shared" si="74"/>
        <v>0</v>
      </c>
      <c r="U121" s="20">
        <f t="shared" si="75"/>
        <v>0</v>
      </c>
      <c r="V121" s="20">
        <f t="shared" si="76"/>
        <v>0</v>
      </c>
      <c r="W121" s="20">
        <f t="shared" si="77"/>
        <v>0</v>
      </c>
      <c r="X121" s="20">
        <f t="shared" si="78"/>
        <v>0</v>
      </c>
      <c r="Y121" s="20" t="s">
        <v>398</v>
      </c>
      <c r="Z121" s="25">
        <v>0</v>
      </c>
      <c r="AA121" s="25">
        <v>1</v>
      </c>
      <c r="AB121" s="25" t="s">
        <v>453</v>
      </c>
      <c r="AC121" s="20" t="s">
        <v>683</v>
      </c>
    </row>
    <row r="122" spans="1:29" ht="38.25">
      <c r="A122" s="20" t="s">
        <v>376</v>
      </c>
      <c r="B122" s="24" t="str">
        <f>'Lambda-Relay'!A51</f>
        <v>Decrease of pick-up time</v>
      </c>
      <c r="C122" s="22">
        <f>'Lambda-Relay'!B$28</f>
        <v>4.0085551309765821E-6</v>
      </c>
      <c r="D122" s="23">
        <f>'Lambda-Relay'!C51</f>
        <v>2.8888888888888891E-2</v>
      </c>
      <c r="E122" s="20">
        <f>'Lambda-Relay'!D51</f>
        <v>1.1580270378376794E-7</v>
      </c>
      <c r="F122" s="21" t="s">
        <v>463</v>
      </c>
      <c r="G122" s="21" t="s">
        <v>463</v>
      </c>
      <c r="H122" s="20" t="s">
        <v>43</v>
      </c>
      <c r="I122" s="20" t="s">
        <v>393</v>
      </c>
      <c r="J122" s="20" t="s">
        <v>393</v>
      </c>
      <c r="K122" s="20" t="s">
        <v>677</v>
      </c>
      <c r="L122" s="20" t="s">
        <v>677</v>
      </c>
      <c r="M122" s="20">
        <v>3.2724899999999999</v>
      </c>
      <c r="N122" s="20">
        <v>3.2719999999999998</v>
      </c>
      <c r="O122" s="20">
        <v>3.2749999999999999</v>
      </c>
      <c r="P122" s="20">
        <v>4.3130000000000002E-2</v>
      </c>
      <c r="Q122" s="20">
        <v>4.095E-2</v>
      </c>
      <c r="R122" s="20">
        <v>4.53E-2</v>
      </c>
      <c r="S122" s="20">
        <f t="shared" si="73"/>
        <v>4092</v>
      </c>
      <c r="T122" s="20">
        <f t="shared" si="74"/>
        <v>4091</v>
      </c>
      <c r="U122" s="20">
        <f t="shared" si="75"/>
        <v>4095</v>
      </c>
      <c r="V122" s="20">
        <f t="shared" si="76"/>
        <v>54</v>
      </c>
      <c r="W122" s="20">
        <f t="shared" si="77"/>
        <v>51</v>
      </c>
      <c r="X122" s="20">
        <f t="shared" si="78"/>
        <v>57</v>
      </c>
      <c r="Y122" s="20" t="s">
        <v>401</v>
      </c>
      <c r="Z122" s="25">
        <v>0</v>
      </c>
      <c r="AA122" s="25">
        <v>1</v>
      </c>
      <c r="AB122" s="25" t="s">
        <v>401</v>
      </c>
      <c r="AC122" s="20" t="s">
        <v>683</v>
      </c>
    </row>
    <row r="123" spans="1:29" ht="51">
      <c r="A123" s="20" t="s">
        <v>376</v>
      </c>
      <c r="B123" s="24" t="str">
        <f>'Lambda-Relay'!A52</f>
        <v>Increase of drop-away time</v>
      </c>
      <c r="C123" s="22">
        <f>'Lambda-Relay'!B$28</f>
        <v>4.0085551309765821E-6</v>
      </c>
      <c r="D123" s="23">
        <f>'Lambda-Relay'!C52</f>
        <v>7.8571428571428584E-2</v>
      </c>
      <c r="E123" s="20">
        <f>'Lambda-Relay'!D52</f>
        <v>3.1495790314816006E-7</v>
      </c>
      <c r="F123" s="21" t="s">
        <v>555</v>
      </c>
      <c r="G123" s="21" t="s">
        <v>556</v>
      </c>
      <c r="H123" s="20" t="s">
        <v>43</v>
      </c>
      <c r="I123" s="20" t="s">
        <v>392</v>
      </c>
      <c r="J123" s="20" t="s">
        <v>575</v>
      </c>
      <c r="K123" s="20" t="s">
        <v>675</v>
      </c>
      <c r="L123" s="20" t="s">
        <v>676</v>
      </c>
      <c r="M123" s="20">
        <v>3.2724899999999999</v>
      </c>
      <c r="N123" s="20">
        <v>3.2719999999999998</v>
      </c>
      <c r="O123" s="20">
        <v>3.2749999999999999</v>
      </c>
      <c r="P123" s="20">
        <v>4.3130000000000002E-2</v>
      </c>
      <c r="Q123" s="20">
        <v>4.095E-2</v>
      </c>
      <c r="R123" s="20">
        <v>4.53E-2</v>
      </c>
      <c r="S123" s="20">
        <f t="shared" si="73"/>
        <v>4092</v>
      </c>
      <c r="T123" s="20">
        <f t="shared" si="74"/>
        <v>4091</v>
      </c>
      <c r="U123" s="20">
        <f t="shared" si="75"/>
        <v>4095</v>
      </c>
      <c r="V123" s="20">
        <f t="shared" si="76"/>
        <v>54</v>
      </c>
      <c r="W123" s="20">
        <f t="shared" si="77"/>
        <v>51</v>
      </c>
      <c r="X123" s="20">
        <f t="shared" si="78"/>
        <v>57</v>
      </c>
      <c r="Y123" s="20" t="s">
        <v>401</v>
      </c>
      <c r="Z123" s="25">
        <v>1</v>
      </c>
      <c r="AA123" s="25">
        <v>1</v>
      </c>
      <c r="AB123" s="25" t="s">
        <v>398</v>
      </c>
      <c r="AC123" s="20" t="s">
        <v>683</v>
      </c>
    </row>
    <row r="124" spans="1:29" ht="38.25">
      <c r="A124" s="20" t="s">
        <v>376</v>
      </c>
      <c r="B124" s="24" t="str">
        <f>'Lambda-Relay'!A53</f>
        <v>Decrease of drop-away time</v>
      </c>
      <c r="C124" s="22">
        <f>'Lambda-Relay'!B$28</f>
        <v>4.0085551309765821E-6</v>
      </c>
      <c r="D124" s="23">
        <f>'Lambda-Relay'!C53</f>
        <v>2.8888888888888891E-2</v>
      </c>
      <c r="E124" s="20">
        <f>'Lambda-Relay'!D53</f>
        <v>1.1580270378376794E-7</v>
      </c>
      <c r="F124" s="21" t="s">
        <v>463</v>
      </c>
      <c r="G124" s="21" t="s">
        <v>463</v>
      </c>
      <c r="H124" s="20" t="s">
        <v>43</v>
      </c>
      <c r="I124" s="20" t="s">
        <v>393</v>
      </c>
      <c r="J124" s="20" t="s">
        <v>393</v>
      </c>
      <c r="K124" s="20" t="s">
        <v>677</v>
      </c>
      <c r="L124" s="20" t="s">
        <v>677</v>
      </c>
      <c r="M124" s="20">
        <v>3.2724899999999999</v>
      </c>
      <c r="N124" s="20">
        <v>3.2719999999999998</v>
      </c>
      <c r="O124" s="20">
        <v>3.2749999999999999</v>
      </c>
      <c r="P124" s="20">
        <v>4.3130000000000002E-2</v>
      </c>
      <c r="Q124" s="20">
        <v>4.095E-2</v>
      </c>
      <c r="R124" s="20">
        <v>4.53E-2</v>
      </c>
      <c r="S124" s="20">
        <f t="shared" si="73"/>
        <v>4092</v>
      </c>
      <c r="T124" s="20">
        <f t="shared" si="74"/>
        <v>4091</v>
      </c>
      <c r="U124" s="20">
        <f t="shared" si="75"/>
        <v>4095</v>
      </c>
      <c r="V124" s="20">
        <f t="shared" si="76"/>
        <v>54</v>
      </c>
      <c r="W124" s="20">
        <f t="shared" si="77"/>
        <v>51</v>
      </c>
      <c r="X124" s="20">
        <f t="shared" si="78"/>
        <v>57</v>
      </c>
      <c r="Y124" s="20" t="s">
        <v>401</v>
      </c>
      <c r="Z124" s="25">
        <v>0</v>
      </c>
      <c r="AA124" s="25">
        <v>1</v>
      </c>
      <c r="AB124" s="25" t="s">
        <v>401</v>
      </c>
      <c r="AC124" s="20" t="s">
        <v>683</v>
      </c>
    </row>
    <row r="125" spans="1:29" ht="38.25">
      <c r="A125" s="20" t="s">
        <v>376</v>
      </c>
      <c r="B125" s="24" t="str">
        <f>'Lambda-Relay'!A54</f>
        <v>Relay does not pick up</v>
      </c>
      <c r="C125" s="22">
        <f>'Lambda-Relay'!B$28</f>
        <v>4.0085551309765821E-6</v>
      </c>
      <c r="D125" s="23">
        <f>'Lambda-Relay'!C54</f>
        <v>7.8571428571428584E-2</v>
      </c>
      <c r="E125" s="20">
        <f>'Lambda-Relay'!D54</f>
        <v>3.1495790314816006E-7</v>
      </c>
      <c r="F125" s="21" t="s">
        <v>500</v>
      </c>
      <c r="G125" s="21" t="s">
        <v>474</v>
      </c>
      <c r="H125" s="20" t="s">
        <v>43</v>
      </c>
      <c r="I125" s="20" t="s">
        <v>392</v>
      </c>
      <c r="J125" s="20" t="s">
        <v>573</v>
      </c>
      <c r="K125" s="20" t="s">
        <v>676</v>
      </c>
      <c r="L125" s="20" t="s">
        <v>676</v>
      </c>
      <c r="M125" s="20">
        <v>0</v>
      </c>
      <c r="N125" s="20">
        <v>0</v>
      </c>
      <c r="O125" s="20">
        <v>0</v>
      </c>
      <c r="P125" s="20">
        <v>0</v>
      </c>
      <c r="Q125" s="20">
        <v>0</v>
      </c>
      <c r="R125" s="20">
        <v>0</v>
      </c>
      <c r="S125" s="20">
        <f t="shared" si="73"/>
        <v>0</v>
      </c>
      <c r="T125" s="20">
        <f t="shared" si="74"/>
        <v>0</v>
      </c>
      <c r="U125" s="20">
        <f t="shared" si="75"/>
        <v>0</v>
      </c>
      <c r="V125" s="20">
        <f t="shared" si="76"/>
        <v>0</v>
      </c>
      <c r="W125" s="20">
        <f t="shared" si="77"/>
        <v>0</v>
      </c>
      <c r="X125" s="20">
        <f t="shared" si="78"/>
        <v>0</v>
      </c>
      <c r="Y125" s="20" t="s">
        <v>397</v>
      </c>
      <c r="Z125" s="25">
        <v>0</v>
      </c>
      <c r="AA125" s="25">
        <v>0</v>
      </c>
      <c r="AB125" s="25" t="s">
        <v>397</v>
      </c>
      <c r="AC125" s="20" t="s">
        <v>683</v>
      </c>
    </row>
    <row r="126" spans="1:29" ht="63.75">
      <c r="A126" s="20" t="s">
        <v>376</v>
      </c>
      <c r="B126" s="24" t="str">
        <f>'Lambda-Relay'!A55</f>
        <v>Relay does not drop away</v>
      </c>
      <c r="C126" s="22">
        <f>'Lambda-Relay'!B$28</f>
        <v>4.0085551309765821E-6</v>
      </c>
      <c r="D126" s="23">
        <f>'Lambda-Relay'!C55</f>
        <v>7.8571428571428584E-2</v>
      </c>
      <c r="E126" s="20">
        <f>'Lambda-Relay'!D55</f>
        <v>3.1495790314816006E-7</v>
      </c>
      <c r="F126" s="21" t="s">
        <v>557</v>
      </c>
      <c r="G126" s="21" t="s">
        <v>577</v>
      </c>
      <c r="H126" s="20" t="s">
        <v>43</v>
      </c>
      <c r="I126" s="20" t="s">
        <v>392</v>
      </c>
      <c r="J126" s="20" t="s">
        <v>575</v>
      </c>
      <c r="K126" s="20" t="s">
        <v>675</v>
      </c>
      <c r="L126" s="20" t="s">
        <v>676</v>
      </c>
      <c r="M126" s="20">
        <v>3.2724899999999999</v>
      </c>
      <c r="N126" s="20">
        <v>3.2719999999999998</v>
      </c>
      <c r="O126" s="20">
        <v>3.2749999999999999</v>
      </c>
      <c r="P126" s="20">
        <v>4.3130000000000002E-2</v>
      </c>
      <c r="Q126" s="20">
        <v>4.095E-2</v>
      </c>
      <c r="R126" s="20">
        <v>4.53E-2</v>
      </c>
      <c r="S126" s="20">
        <f t="shared" si="73"/>
        <v>4092</v>
      </c>
      <c r="T126" s="20">
        <f t="shared" si="74"/>
        <v>4091</v>
      </c>
      <c r="U126" s="20">
        <f t="shared" si="75"/>
        <v>4095</v>
      </c>
      <c r="V126" s="20">
        <f t="shared" si="76"/>
        <v>54</v>
      </c>
      <c r="W126" s="20">
        <f t="shared" si="77"/>
        <v>51</v>
      </c>
      <c r="X126" s="20">
        <f t="shared" si="78"/>
        <v>57</v>
      </c>
      <c r="Y126" s="20" t="s">
        <v>401</v>
      </c>
      <c r="Z126" s="25">
        <v>1</v>
      </c>
      <c r="AA126" s="25">
        <v>1</v>
      </c>
      <c r="AB126" s="25" t="s">
        <v>398</v>
      </c>
      <c r="AC126" s="20" t="s">
        <v>683</v>
      </c>
    </row>
    <row r="127" spans="1:29" ht="51">
      <c r="A127" s="20" t="s">
        <v>376</v>
      </c>
      <c r="B127" s="24" t="str">
        <f>'Lambda-Relay'!A56</f>
        <v>Closure of any front contact at the same time as any back contact (transient or continuous)</v>
      </c>
      <c r="C127" s="22">
        <f>'Lambda-Relay'!B$28</f>
        <v>4.0085551309765821E-6</v>
      </c>
      <c r="D127" s="23">
        <f>'Lambda-Relay'!C56</f>
        <v>0</v>
      </c>
      <c r="E127" s="20">
        <f>'Lambda-Relay'!D56</f>
        <v>0</v>
      </c>
      <c r="F127" s="21" t="s">
        <v>558</v>
      </c>
      <c r="G127" s="21" t="s">
        <v>558</v>
      </c>
      <c r="H127" s="20" t="s">
        <v>43</v>
      </c>
      <c r="I127" s="20" t="s">
        <v>393</v>
      </c>
      <c r="J127" s="20" t="s">
        <v>393</v>
      </c>
      <c r="K127" s="20" t="s">
        <v>677</v>
      </c>
      <c r="L127" s="20" t="s">
        <v>677</v>
      </c>
      <c r="M127" s="20">
        <v>3.2724899999999999</v>
      </c>
      <c r="N127" s="20">
        <v>3.2719999999999998</v>
      </c>
      <c r="O127" s="20">
        <v>3.2749999999999999</v>
      </c>
      <c r="P127" s="20">
        <v>4.3130000000000002E-2</v>
      </c>
      <c r="Q127" s="20">
        <v>4.095E-2</v>
      </c>
      <c r="R127" s="20">
        <v>4.53E-2</v>
      </c>
      <c r="S127" s="20">
        <f t="shared" si="73"/>
        <v>4092</v>
      </c>
      <c r="T127" s="20">
        <f t="shared" si="74"/>
        <v>4091</v>
      </c>
      <c r="U127" s="20">
        <f t="shared" si="75"/>
        <v>4095</v>
      </c>
      <c r="V127" s="20">
        <f t="shared" si="76"/>
        <v>54</v>
      </c>
      <c r="W127" s="20">
        <f t="shared" si="77"/>
        <v>51</v>
      </c>
      <c r="X127" s="20">
        <f t="shared" si="78"/>
        <v>57</v>
      </c>
      <c r="Y127" s="20" t="s">
        <v>401</v>
      </c>
      <c r="Z127" s="25">
        <v>0</v>
      </c>
      <c r="AA127" s="25">
        <v>1</v>
      </c>
      <c r="AB127" s="25" t="s">
        <v>401</v>
      </c>
      <c r="AC127" s="20" t="s">
        <v>683</v>
      </c>
    </row>
    <row r="128" spans="1:29" ht="51">
      <c r="A128" s="20" t="s">
        <v>376</v>
      </c>
      <c r="B128" s="24" t="str">
        <f>'Lambda-Relay'!A57</f>
        <v>Non-correspondence between front contacts</v>
      </c>
      <c r="C128" s="22">
        <f>'Lambda-Relay'!B$28</f>
        <v>4.0085551309765821E-6</v>
      </c>
      <c r="D128" s="23">
        <f>'Lambda-Relay'!C57</f>
        <v>0</v>
      </c>
      <c r="E128" s="20">
        <f>'Lambda-Relay'!D57</f>
        <v>0</v>
      </c>
      <c r="F128" s="21" t="s">
        <v>558</v>
      </c>
      <c r="G128" s="21" t="s">
        <v>558</v>
      </c>
      <c r="H128" s="20" t="s">
        <v>43</v>
      </c>
      <c r="I128" s="20" t="s">
        <v>393</v>
      </c>
      <c r="J128" s="20" t="s">
        <v>393</v>
      </c>
      <c r="K128" s="20" t="s">
        <v>677</v>
      </c>
      <c r="L128" s="20" t="s">
        <v>677</v>
      </c>
      <c r="M128" s="20">
        <v>3.2724899999999999</v>
      </c>
      <c r="N128" s="20">
        <v>3.2719999999999998</v>
      </c>
      <c r="O128" s="20">
        <v>3.2749999999999999</v>
      </c>
      <c r="P128" s="20">
        <v>4.3130000000000002E-2</v>
      </c>
      <c r="Q128" s="20">
        <v>4.095E-2</v>
      </c>
      <c r="R128" s="20">
        <v>4.53E-2</v>
      </c>
      <c r="S128" s="20">
        <f t="shared" si="73"/>
        <v>4092</v>
      </c>
      <c r="T128" s="20">
        <f t="shared" si="74"/>
        <v>4091</v>
      </c>
      <c r="U128" s="20">
        <f t="shared" si="75"/>
        <v>4095</v>
      </c>
      <c r="V128" s="20">
        <f t="shared" si="76"/>
        <v>54</v>
      </c>
      <c r="W128" s="20">
        <f t="shared" si="77"/>
        <v>51</v>
      </c>
      <c r="X128" s="20">
        <f t="shared" si="78"/>
        <v>57</v>
      </c>
      <c r="Y128" s="20" t="s">
        <v>401</v>
      </c>
      <c r="Z128" s="25">
        <v>0</v>
      </c>
      <c r="AA128" s="25">
        <v>1</v>
      </c>
      <c r="AB128" s="25" t="s">
        <v>401</v>
      </c>
      <c r="AC128" s="20" t="s">
        <v>683</v>
      </c>
    </row>
    <row r="129" spans="1:29" ht="51">
      <c r="A129" s="20" t="s">
        <v>376</v>
      </c>
      <c r="B129" s="24" t="str">
        <f>'Lambda-Relay'!A58</f>
        <v>Non-correspondence between back contacts</v>
      </c>
      <c r="C129" s="22">
        <f>'Lambda-Relay'!B$28</f>
        <v>4.0085551309765821E-6</v>
      </c>
      <c r="D129" s="23">
        <f>'Lambda-Relay'!C58</f>
        <v>0</v>
      </c>
      <c r="E129" s="20">
        <f>'Lambda-Relay'!D58</f>
        <v>0</v>
      </c>
      <c r="F129" s="21" t="s">
        <v>558</v>
      </c>
      <c r="G129" s="21" t="s">
        <v>558</v>
      </c>
      <c r="H129" s="20" t="s">
        <v>43</v>
      </c>
      <c r="I129" s="20" t="s">
        <v>393</v>
      </c>
      <c r="J129" s="20" t="s">
        <v>393</v>
      </c>
      <c r="K129" s="20" t="s">
        <v>677</v>
      </c>
      <c r="L129" s="20" t="s">
        <v>677</v>
      </c>
      <c r="M129" s="20">
        <v>3.2724899999999999</v>
      </c>
      <c r="N129" s="20">
        <v>3.2719999999999998</v>
      </c>
      <c r="O129" s="20">
        <v>3.2749999999999999</v>
      </c>
      <c r="P129" s="20">
        <v>4.3130000000000002E-2</v>
      </c>
      <c r="Q129" s="20">
        <v>4.095E-2</v>
      </c>
      <c r="R129" s="20">
        <v>4.53E-2</v>
      </c>
      <c r="S129" s="20">
        <f t="shared" si="73"/>
        <v>4092</v>
      </c>
      <c r="T129" s="20">
        <f t="shared" si="74"/>
        <v>4091</v>
      </c>
      <c r="U129" s="20">
        <f t="shared" si="75"/>
        <v>4095</v>
      </c>
      <c r="V129" s="20">
        <f t="shared" si="76"/>
        <v>54</v>
      </c>
      <c r="W129" s="20">
        <f t="shared" si="77"/>
        <v>51</v>
      </c>
      <c r="X129" s="20">
        <f t="shared" si="78"/>
        <v>57</v>
      </c>
      <c r="Y129" s="20" t="s">
        <v>401</v>
      </c>
      <c r="Z129" s="25">
        <v>0</v>
      </c>
      <c r="AA129" s="25">
        <v>1</v>
      </c>
      <c r="AB129" s="25" t="s">
        <v>401</v>
      </c>
      <c r="AC129" s="20" t="s">
        <v>683</v>
      </c>
    </row>
    <row r="130" spans="1:29" ht="76.5">
      <c r="A130" s="20" t="s">
        <v>345</v>
      </c>
      <c r="B130" s="24" t="str">
        <f>'Lambda-OR Gate'!A34</f>
        <v>VCC Supply open</v>
      </c>
      <c r="C130" s="22">
        <f>'Lambda-OR Gate'!B$31</f>
        <v>1.4113349307798921E-8</v>
      </c>
      <c r="D130" s="23">
        <f>'Lambda-OR Gate'!C34</f>
        <v>0.06</v>
      </c>
      <c r="E130" s="20">
        <f>'Lambda-OR Gate'!D34</f>
        <v>8.468009584679352E-10</v>
      </c>
      <c r="F130" s="21" t="s">
        <v>567</v>
      </c>
      <c r="G130" s="21" t="s">
        <v>569</v>
      </c>
      <c r="H130" s="25" t="s">
        <v>43</v>
      </c>
      <c r="I130" s="20" t="s">
        <v>392</v>
      </c>
      <c r="J130" s="20" t="s">
        <v>574</v>
      </c>
      <c r="K130" s="20" t="s">
        <v>676</v>
      </c>
      <c r="L130" s="20" t="s">
        <v>675</v>
      </c>
      <c r="M130" s="20">
        <v>3.27305</v>
      </c>
      <c r="N130" s="20">
        <v>3.2730299999999999</v>
      </c>
      <c r="O130" s="20">
        <v>3.2730600000000001</v>
      </c>
      <c r="P130" s="20">
        <v>3.2723450000000001</v>
      </c>
      <c r="Q130" s="20">
        <v>3.272335</v>
      </c>
      <c r="R130" s="20">
        <v>3.2723550000000001</v>
      </c>
      <c r="S130" s="20">
        <f t="shared" ref="S130:S131" si="79">ROUND(((M130-MIN($M$3:$R$212))/(MAX($M$3:$R$212)-MIN($M$3:$R$212)))*((2^12)-1), 0)</f>
        <v>4093</v>
      </c>
      <c r="T130" s="20">
        <f t="shared" ref="T130:T131" si="80">ROUND(((N130-MIN($M$3:$R$212))/(MAX($M$3:$R$212)-MIN($M$3:$R$212)))*((2^12)-1), 0)</f>
        <v>4093</v>
      </c>
      <c r="U130" s="20">
        <f t="shared" ref="U130:U131" si="81">ROUND(((O130-MIN($M$3:$R$212))/(MAX($M$3:$R$212)-MIN($M$3:$R$212)))*((2^12)-1), 0)</f>
        <v>4093</v>
      </c>
      <c r="V130" s="20">
        <f t="shared" ref="V130:V131" si="82">ROUND(((P130-MIN($M$3:$R$212))/(MAX($M$3:$R$212)-MIN($M$3:$R$212)))*((2^12)-1), 0)</f>
        <v>4092</v>
      </c>
      <c r="W130" s="20">
        <f t="shared" ref="W130:W131" si="83">ROUND(((Q130-MIN($M$3:$R$212))/(MAX($M$3:$R$212)-MIN($M$3:$R$212)))*((2^12)-1), 0)</f>
        <v>4092</v>
      </c>
      <c r="X130" s="20">
        <f t="shared" ref="X130:X131" si="84">ROUND(((R130-MIN($M$3:$R$212))/(MAX($M$3:$R$212)-MIN($M$3:$R$212)))*((2^12)-1), 0)</f>
        <v>4092</v>
      </c>
      <c r="Y130" s="20" t="s">
        <v>467</v>
      </c>
      <c r="Z130" s="25">
        <v>0</v>
      </c>
      <c r="AA130" s="25">
        <v>1</v>
      </c>
      <c r="AB130" s="25" t="s">
        <v>401</v>
      </c>
      <c r="AC130" s="20" t="s">
        <v>683</v>
      </c>
    </row>
    <row r="131" spans="1:29" ht="76.5">
      <c r="A131" s="20" t="s">
        <v>345</v>
      </c>
      <c r="B131" s="24" t="str">
        <f>'Lambda-OR Gate'!A35</f>
        <v>GND Supply open</v>
      </c>
      <c r="C131" s="22">
        <f>'Lambda-OR Gate'!B$31</f>
        <v>1.4113349307798921E-8</v>
      </c>
      <c r="D131" s="23">
        <f>'Lambda-OR Gate'!C35</f>
        <v>0.06</v>
      </c>
      <c r="E131" s="20">
        <f>'Lambda-OR Gate'!D35</f>
        <v>8.468009584679352E-10</v>
      </c>
      <c r="F131" s="21" t="s">
        <v>568</v>
      </c>
      <c r="G131" s="21" t="s">
        <v>570</v>
      </c>
      <c r="H131" s="20" t="s">
        <v>43</v>
      </c>
      <c r="I131" s="20" t="s">
        <v>392</v>
      </c>
      <c r="J131" s="20" t="s">
        <v>572</v>
      </c>
      <c r="K131" s="20" t="s">
        <v>676</v>
      </c>
      <c r="L131" s="20" t="s">
        <v>675</v>
      </c>
      <c r="M131" s="20">
        <v>3.1999999999999999E-6</v>
      </c>
      <c r="N131" s="20">
        <v>3.1999999999999999E-6</v>
      </c>
      <c r="O131" s="20">
        <v>3.1999999999999999E-6</v>
      </c>
      <c r="P131" s="20">
        <v>3.1999999999999999E-6</v>
      </c>
      <c r="Q131" s="20">
        <v>3.1999999999999999E-6</v>
      </c>
      <c r="R131" s="20">
        <v>3.1999999999999999E-6</v>
      </c>
      <c r="S131" s="20">
        <f t="shared" si="79"/>
        <v>0</v>
      </c>
      <c r="T131" s="20">
        <f t="shared" si="80"/>
        <v>0</v>
      </c>
      <c r="U131" s="20">
        <f t="shared" si="81"/>
        <v>0</v>
      </c>
      <c r="V131" s="20">
        <f t="shared" si="82"/>
        <v>0</v>
      </c>
      <c r="W131" s="20">
        <f t="shared" si="83"/>
        <v>0</v>
      </c>
      <c r="X131" s="20">
        <f t="shared" si="84"/>
        <v>0</v>
      </c>
      <c r="Y131" s="20" t="s">
        <v>398</v>
      </c>
      <c r="Z131" s="25">
        <v>0</v>
      </c>
      <c r="AA131" s="25">
        <v>1</v>
      </c>
      <c r="AB131" s="25" t="s">
        <v>401</v>
      </c>
      <c r="AC131" s="20" t="s">
        <v>683</v>
      </c>
    </row>
    <row r="132" spans="1:29" ht="76.5">
      <c r="A132" s="20" t="s">
        <v>345</v>
      </c>
      <c r="B132" s="24" t="str">
        <f>'Lambda-OR Gate'!A36</f>
        <v>Output 'Y' open</v>
      </c>
      <c r="C132" s="22">
        <f>'Lambda-OR Gate'!B$31</f>
        <v>1.4113349307798921E-8</v>
      </c>
      <c r="D132" s="23">
        <f>'Lambda-OR Gate'!C36</f>
        <v>0.36</v>
      </c>
      <c r="E132" s="20">
        <f>'Lambda-OR Gate'!D36</f>
        <v>5.0808057508076114E-9</v>
      </c>
      <c r="F132" s="21" t="s">
        <v>580</v>
      </c>
      <c r="G132" s="21" t="s">
        <v>569</v>
      </c>
      <c r="H132" s="25" t="s">
        <v>43</v>
      </c>
      <c r="I132" s="20" t="s">
        <v>392</v>
      </c>
      <c r="J132" s="20" t="s">
        <v>574</v>
      </c>
      <c r="K132" s="20" t="s">
        <v>676</v>
      </c>
      <c r="L132" s="20" t="s">
        <v>675</v>
      </c>
      <c r="M132" s="20">
        <v>3.27305</v>
      </c>
      <c r="N132" s="20">
        <v>3.2730299999999999</v>
      </c>
      <c r="O132" s="20">
        <v>3.2730600000000001</v>
      </c>
      <c r="P132" s="20">
        <v>3.2723450000000001</v>
      </c>
      <c r="Q132" s="20">
        <v>3.272335</v>
      </c>
      <c r="R132" s="20">
        <v>3.2723550000000001</v>
      </c>
      <c r="S132" s="20">
        <f t="shared" ref="S132:X138" si="85">ROUND(((M132-MIN($M$3:$R$212))/(MAX($M$3:$R$212)-MIN($M$3:$R$212)))*((2^12)-1), 0)</f>
        <v>4093</v>
      </c>
      <c r="T132" s="20">
        <f t="shared" si="85"/>
        <v>4093</v>
      </c>
      <c r="U132" s="20">
        <f t="shared" si="85"/>
        <v>4093</v>
      </c>
      <c r="V132" s="20">
        <f t="shared" si="85"/>
        <v>4092</v>
      </c>
      <c r="W132" s="20">
        <f t="shared" si="85"/>
        <v>4092</v>
      </c>
      <c r="X132" s="20">
        <f t="shared" si="85"/>
        <v>4092</v>
      </c>
      <c r="Y132" s="20" t="s">
        <v>467</v>
      </c>
      <c r="Z132" s="25">
        <v>0</v>
      </c>
      <c r="AA132" s="25">
        <v>1</v>
      </c>
      <c r="AB132" s="25" t="s">
        <v>401</v>
      </c>
      <c r="AC132" s="20" t="s">
        <v>683</v>
      </c>
    </row>
    <row r="133" spans="1:29" ht="76.5">
      <c r="A133" s="20" t="s">
        <v>345</v>
      </c>
      <c r="B133" s="24" t="str">
        <f>'Lambda-OR Gate'!A37</f>
        <v>Output 'Y' stuck low</v>
      </c>
      <c r="C133" s="22">
        <f>'Lambda-OR Gate'!B$31</f>
        <v>1.4113349307798921E-8</v>
      </c>
      <c r="D133" s="23">
        <f>'Lambda-OR Gate'!C37</f>
        <v>0.09</v>
      </c>
      <c r="E133" s="20">
        <f>'Lambda-OR Gate'!D37</f>
        <v>1.2702014377019029E-9</v>
      </c>
      <c r="F133" s="21" t="s">
        <v>579</v>
      </c>
      <c r="G133" s="21" t="s">
        <v>569</v>
      </c>
      <c r="H133" s="25" t="s">
        <v>43</v>
      </c>
      <c r="I133" s="20" t="s">
        <v>392</v>
      </c>
      <c r="J133" s="20" t="s">
        <v>574</v>
      </c>
      <c r="K133" s="20" t="s">
        <v>676</v>
      </c>
      <c r="L133" s="20" t="s">
        <v>675</v>
      </c>
      <c r="M133" s="20">
        <v>3.27305</v>
      </c>
      <c r="N133" s="20">
        <v>3.2730299999999999</v>
      </c>
      <c r="O133" s="20">
        <v>3.2730600000000001</v>
      </c>
      <c r="P133" s="20">
        <v>3.2723450000000001</v>
      </c>
      <c r="Q133" s="20">
        <v>3.272335</v>
      </c>
      <c r="R133" s="20">
        <v>3.2723550000000001</v>
      </c>
      <c r="S133" s="20">
        <f t="shared" si="85"/>
        <v>4093</v>
      </c>
      <c r="T133" s="20">
        <f t="shared" si="85"/>
        <v>4093</v>
      </c>
      <c r="U133" s="20">
        <f t="shared" si="85"/>
        <v>4093</v>
      </c>
      <c r="V133" s="20">
        <f t="shared" si="85"/>
        <v>4092</v>
      </c>
      <c r="W133" s="20">
        <f t="shared" si="85"/>
        <v>4092</v>
      </c>
      <c r="X133" s="20">
        <f t="shared" si="85"/>
        <v>4092</v>
      </c>
      <c r="Y133" s="20" t="s">
        <v>467</v>
      </c>
      <c r="Z133" s="25">
        <v>0</v>
      </c>
      <c r="AA133" s="25">
        <v>1</v>
      </c>
      <c r="AB133" s="25" t="s">
        <v>401</v>
      </c>
      <c r="AC133" s="20" t="s">
        <v>683</v>
      </c>
    </row>
    <row r="134" spans="1:29" ht="38.25">
      <c r="A134" s="20" t="s">
        <v>345</v>
      </c>
      <c r="B134" s="24" t="str">
        <f>'Lambda-OR Gate'!A38</f>
        <v>Output 'Y' stuck high</v>
      </c>
      <c r="C134" s="22">
        <f>'Lambda-OR Gate'!B$31</f>
        <v>1.4113349307798921E-8</v>
      </c>
      <c r="D134" s="23">
        <f>'Lambda-OR Gate'!C38</f>
        <v>0.08</v>
      </c>
      <c r="E134" s="20">
        <f>'Lambda-OR Gate'!D38</f>
        <v>1.1290679446239138E-9</v>
      </c>
      <c r="F134" s="21" t="s">
        <v>581</v>
      </c>
      <c r="G134" s="21" t="s">
        <v>395</v>
      </c>
      <c r="H134" s="20" t="s">
        <v>43</v>
      </c>
      <c r="I134" s="20" t="s">
        <v>392</v>
      </c>
      <c r="J134" s="20" t="s">
        <v>573</v>
      </c>
      <c r="K134" s="20" t="s">
        <v>676</v>
      </c>
      <c r="L134" s="20" t="s">
        <v>675</v>
      </c>
      <c r="M134" s="20">
        <v>3.1999999999999999E-6</v>
      </c>
      <c r="N134" s="20">
        <v>3.1999999999999999E-6</v>
      </c>
      <c r="O134" s="20">
        <v>3.1999999999999999E-6</v>
      </c>
      <c r="P134" s="20">
        <v>3.1999999999999999E-6</v>
      </c>
      <c r="Q134" s="20">
        <v>3.1999999999999999E-6</v>
      </c>
      <c r="R134" s="20">
        <v>3.1999999999999999E-6</v>
      </c>
      <c r="S134" s="20">
        <f t="shared" si="85"/>
        <v>0</v>
      </c>
      <c r="T134" s="20">
        <f t="shared" si="85"/>
        <v>0</v>
      </c>
      <c r="U134" s="20">
        <f t="shared" si="85"/>
        <v>0</v>
      </c>
      <c r="V134" s="20">
        <f t="shared" si="85"/>
        <v>0</v>
      </c>
      <c r="W134" s="20">
        <f t="shared" si="85"/>
        <v>0</v>
      </c>
      <c r="X134" s="20">
        <f t="shared" si="85"/>
        <v>0</v>
      </c>
      <c r="Y134" s="20" t="s">
        <v>398</v>
      </c>
      <c r="Z134" s="25">
        <v>0</v>
      </c>
      <c r="AA134" s="25">
        <v>1</v>
      </c>
      <c r="AB134" s="25" t="s">
        <v>401</v>
      </c>
      <c r="AC134" s="20" t="s">
        <v>683</v>
      </c>
    </row>
    <row r="135" spans="1:29" ht="76.5">
      <c r="A135" s="20" t="s">
        <v>345</v>
      </c>
      <c r="B135" s="24" t="str">
        <f>'Lambda-OR Gate'!A39</f>
        <v>Input 'A' open</v>
      </c>
      <c r="C135" s="22">
        <f>'Lambda-OR Gate'!B$31</f>
        <v>1.4113349307798921E-8</v>
      </c>
      <c r="D135" s="23">
        <f>'Lambda-OR Gate'!C39</f>
        <v>0.12</v>
      </c>
      <c r="E135" s="20">
        <f>'Lambda-OR Gate'!D39</f>
        <v>1.6936019169358704E-9</v>
      </c>
      <c r="F135" s="21" t="s">
        <v>582</v>
      </c>
      <c r="G135" s="21" t="s">
        <v>583</v>
      </c>
      <c r="H135" s="25" t="s">
        <v>43</v>
      </c>
      <c r="I135" s="20" t="s">
        <v>392</v>
      </c>
      <c r="J135" s="20" t="s">
        <v>574</v>
      </c>
      <c r="K135" s="20" t="s">
        <v>676</v>
      </c>
      <c r="L135" s="20" t="s">
        <v>675</v>
      </c>
      <c r="M135" s="20">
        <v>3.27305</v>
      </c>
      <c r="N135" s="20">
        <v>3.2730299999999999</v>
      </c>
      <c r="O135" s="20">
        <v>3.2730600000000001</v>
      </c>
      <c r="P135" s="20">
        <v>3.2723450000000001</v>
      </c>
      <c r="Q135" s="20">
        <v>3.272335</v>
      </c>
      <c r="R135" s="20">
        <v>3.2723550000000001</v>
      </c>
      <c r="S135" s="20">
        <f t="shared" si="85"/>
        <v>4093</v>
      </c>
      <c r="T135" s="20">
        <f t="shared" si="85"/>
        <v>4093</v>
      </c>
      <c r="U135" s="20">
        <f t="shared" si="85"/>
        <v>4093</v>
      </c>
      <c r="V135" s="20">
        <f t="shared" si="85"/>
        <v>4092</v>
      </c>
      <c r="W135" s="20">
        <f t="shared" si="85"/>
        <v>4092</v>
      </c>
      <c r="X135" s="20">
        <f t="shared" si="85"/>
        <v>4092</v>
      </c>
      <c r="Y135" s="20" t="s">
        <v>467</v>
      </c>
      <c r="Z135" s="25">
        <v>0</v>
      </c>
      <c r="AA135" s="25">
        <v>1</v>
      </c>
      <c r="AB135" s="25" t="s">
        <v>401</v>
      </c>
      <c r="AC135" s="20" t="s">
        <v>683</v>
      </c>
    </row>
    <row r="136" spans="1:29" ht="76.5">
      <c r="A136" s="20" t="s">
        <v>345</v>
      </c>
      <c r="B136" s="24" t="str">
        <f>'Lambda-OR Gate'!A40</f>
        <v>Input 'B' open</v>
      </c>
      <c r="C136" s="22">
        <f>'Lambda-OR Gate'!B$31</f>
        <v>1.4113349307798921E-8</v>
      </c>
      <c r="D136" s="23">
        <f>'Lambda-OR Gate'!C40</f>
        <v>0.12</v>
      </c>
      <c r="E136" s="20">
        <f>'Lambda-OR Gate'!D40</f>
        <v>1.6936019169358704E-9</v>
      </c>
      <c r="F136" s="21" t="s">
        <v>582</v>
      </c>
      <c r="G136" s="21" t="s">
        <v>583</v>
      </c>
      <c r="H136" s="25" t="s">
        <v>43</v>
      </c>
      <c r="I136" s="20" t="s">
        <v>392</v>
      </c>
      <c r="J136" s="20" t="s">
        <v>574</v>
      </c>
      <c r="K136" s="20" t="s">
        <v>676</v>
      </c>
      <c r="L136" s="20" t="s">
        <v>675</v>
      </c>
      <c r="M136" s="20">
        <v>3.27305</v>
      </c>
      <c r="N136" s="20">
        <v>3.2730299999999999</v>
      </c>
      <c r="O136" s="20">
        <v>3.2730600000000001</v>
      </c>
      <c r="P136" s="20">
        <v>3.2723450000000001</v>
      </c>
      <c r="Q136" s="20">
        <v>3.272335</v>
      </c>
      <c r="R136" s="20">
        <v>3.2723550000000001</v>
      </c>
      <c r="S136" s="20">
        <f t="shared" si="85"/>
        <v>4093</v>
      </c>
      <c r="T136" s="20">
        <f t="shared" si="85"/>
        <v>4093</v>
      </c>
      <c r="U136" s="20">
        <f t="shared" si="85"/>
        <v>4093</v>
      </c>
      <c r="V136" s="20">
        <f t="shared" si="85"/>
        <v>4092</v>
      </c>
      <c r="W136" s="20">
        <f t="shared" si="85"/>
        <v>4092</v>
      </c>
      <c r="X136" s="20">
        <f t="shared" si="85"/>
        <v>4092</v>
      </c>
      <c r="Y136" s="20" t="s">
        <v>467</v>
      </c>
      <c r="Z136" s="25">
        <v>0</v>
      </c>
      <c r="AA136" s="25">
        <v>1</v>
      </c>
      <c r="AB136" s="25" t="s">
        <v>401</v>
      </c>
      <c r="AC136" s="20" t="s">
        <v>683</v>
      </c>
    </row>
    <row r="137" spans="1:29" ht="76.5">
      <c r="A137" s="20" t="s">
        <v>345</v>
      </c>
      <c r="B137" s="24" t="str">
        <f>'Lambda-OR Gate'!A41</f>
        <v>Input 'C' open</v>
      </c>
      <c r="C137" s="22">
        <f>'Lambda-OR Gate'!B$31</f>
        <v>1.4113349307798921E-8</v>
      </c>
      <c r="D137" s="23">
        <f>'Lambda-OR Gate'!C41</f>
        <v>0.12</v>
      </c>
      <c r="E137" s="20">
        <f>'Lambda-OR Gate'!D41</f>
        <v>1.6936019169358704E-9</v>
      </c>
      <c r="F137" s="21" t="s">
        <v>582</v>
      </c>
      <c r="G137" s="21" t="s">
        <v>583</v>
      </c>
      <c r="H137" s="25" t="s">
        <v>43</v>
      </c>
      <c r="I137" s="20" t="s">
        <v>392</v>
      </c>
      <c r="J137" s="20" t="s">
        <v>574</v>
      </c>
      <c r="K137" s="20" t="s">
        <v>676</v>
      </c>
      <c r="L137" s="20" t="s">
        <v>675</v>
      </c>
      <c r="M137" s="20">
        <v>3.27305</v>
      </c>
      <c r="N137" s="20">
        <v>3.2730299999999999</v>
      </c>
      <c r="O137" s="20">
        <v>3.2730600000000001</v>
      </c>
      <c r="P137" s="20">
        <v>3.2723450000000001</v>
      </c>
      <c r="Q137" s="20">
        <v>3.272335</v>
      </c>
      <c r="R137" s="20">
        <v>3.2723550000000001</v>
      </c>
      <c r="S137" s="20">
        <f t="shared" si="85"/>
        <v>4093</v>
      </c>
      <c r="T137" s="20">
        <f t="shared" si="85"/>
        <v>4093</v>
      </c>
      <c r="U137" s="20">
        <f t="shared" si="85"/>
        <v>4093</v>
      </c>
      <c r="V137" s="20">
        <f t="shared" si="85"/>
        <v>4092</v>
      </c>
      <c r="W137" s="20">
        <f t="shared" si="85"/>
        <v>4092</v>
      </c>
      <c r="X137" s="20">
        <f t="shared" si="85"/>
        <v>4092</v>
      </c>
      <c r="Y137" s="20" t="s">
        <v>467</v>
      </c>
      <c r="Z137" s="25">
        <v>0</v>
      </c>
      <c r="AA137" s="25">
        <v>1</v>
      </c>
      <c r="AB137" s="25" t="s">
        <v>401</v>
      </c>
      <c r="AC137" s="20" t="s">
        <v>683</v>
      </c>
    </row>
    <row r="138" spans="1:29" ht="38.25">
      <c r="A138" s="20" t="s">
        <v>377</v>
      </c>
      <c r="B138" s="24" t="str">
        <f>'Lambda-Resistor (All)'!A35</f>
        <v>Open</v>
      </c>
      <c r="C138" s="22">
        <f>'Lambda-Resistor (All)'!B$32</f>
        <v>4.1612004167966296E-9</v>
      </c>
      <c r="D138" s="23">
        <f>'Lambda-Resistor (All)'!C35</f>
        <v>0.59</v>
      </c>
      <c r="E138" s="20">
        <f>'Lambda-Resistor (All)'!D35</f>
        <v>2.4551082459100113E-9</v>
      </c>
      <c r="F138" s="21" t="s">
        <v>584</v>
      </c>
      <c r="G138" s="21" t="s">
        <v>474</v>
      </c>
      <c r="H138" s="20" t="s">
        <v>43</v>
      </c>
      <c r="I138" s="20" t="s">
        <v>392</v>
      </c>
      <c r="J138" s="20" t="s">
        <v>573</v>
      </c>
      <c r="K138" s="20" t="s">
        <v>676</v>
      </c>
      <c r="L138" s="20" t="s">
        <v>675</v>
      </c>
      <c r="M138" s="20">
        <v>0</v>
      </c>
      <c r="N138" s="20">
        <v>0</v>
      </c>
      <c r="O138" s="20">
        <v>0</v>
      </c>
      <c r="P138" s="20">
        <v>0</v>
      </c>
      <c r="Q138" s="20">
        <v>0</v>
      </c>
      <c r="R138" s="20">
        <v>0</v>
      </c>
      <c r="S138" s="20">
        <f t="shared" si="85"/>
        <v>0</v>
      </c>
      <c r="T138" s="20">
        <f t="shared" si="85"/>
        <v>0</v>
      </c>
      <c r="U138" s="20">
        <f t="shared" si="85"/>
        <v>0</v>
      </c>
      <c r="V138" s="20">
        <f t="shared" si="85"/>
        <v>0</v>
      </c>
      <c r="W138" s="20">
        <f t="shared" si="85"/>
        <v>0</v>
      </c>
      <c r="X138" s="20">
        <f t="shared" si="85"/>
        <v>0</v>
      </c>
      <c r="Y138" s="20" t="s">
        <v>397</v>
      </c>
      <c r="Z138" s="25">
        <v>0</v>
      </c>
      <c r="AA138" s="25">
        <v>1</v>
      </c>
      <c r="AB138" s="25" t="s">
        <v>401</v>
      </c>
      <c r="AC138" s="20" t="s">
        <v>683</v>
      </c>
    </row>
    <row r="139" spans="1:29" ht="63.75">
      <c r="A139" s="20" t="s">
        <v>377</v>
      </c>
      <c r="B139" s="24" t="str">
        <f>'Lambda-Resistor (All)'!A36</f>
        <v>Short-Circuit</v>
      </c>
      <c r="C139" s="22">
        <f>'Lambda-Resistor (All)'!B$32</f>
        <v>4.1612004167966296E-9</v>
      </c>
      <c r="D139" s="23">
        <f>'Lambda-Resistor (All)'!C36</f>
        <v>0.05</v>
      </c>
      <c r="E139" s="20">
        <f>'Lambda-Resistor (All)'!D36</f>
        <v>2.080600208398315E-10</v>
      </c>
      <c r="F139" s="21" t="s">
        <v>586</v>
      </c>
      <c r="G139" s="21" t="s">
        <v>585</v>
      </c>
      <c r="H139" s="20" t="s">
        <v>43</v>
      </c>
      <c r="I139" s="20" t="s">
        <v>392</v>
      </c>
      <c r="J139" s="20" t="s">
        <v>574</v>
      </c>
      <c r="K139" s="20" t="s">
        <v>676</v>
      </c>
      <c r="L139" s="20" t="s">
        <v>675</v>
      </c>
      <c r="M139" s="20">
        <v>3.1999999999999999E-6</v>
      </c>
      <c r="N139" s="20">
        <v>3.1999999999999999E-6</v>
      </c>
      <c r="O139" s="20">
        <v>3.1999999999999999E-6</v>
      </c>
      <c r="P139" s="20">
        <v>3.1999999999999999E-6</v>
      </c>
      <c r="Q139" s="20">
        <v>3.1999999999999999E-6</v>
      </c>
      <c r="R139" s="20">
        <v>3.1999999999999999E-6</v>
      </c>
      <c r="S139" s="20">
        <f t="shared" ref="S139" si="86">ROUND(((M139-MIN($M$3:$R$212))/(MAX($M$3:$R$212)-MIN($M$3:$R$212)))*((2^12)-1), 0)</f>
        <v>0</v>
      </c>
      <c r="T139" s="20">
        <f t="shared" ref="T139" si="87">ROUND(((N139-MIN($M$3:$R$212))/(MAX($M$3:$R$212)-MIN($M$3:$R$212)))*((2^12)-1), 0)</f>
        <v>0</v>
      </c>
      <c r="U139" s="20">
        <f t="shared" ref="U139" si="88">ROUND(((O139-MIN($M$3:$R$212))/(MAX($M$3:$R$212)-MIN($M$3:$R$212)))*((2^12)-1), 0)</f>
        <v>0</v>
      </c>
      <c r="V139" s="20">
        <f t="shared" ref="V139" si="89">ROUND(((P139-MIN($M$3:$R$212))/(MAX($M$3:$R$212)-MIN($M$3:$R$212)))*((2^12)-1), 0)</f>
        <v>0</v>
      </c>
      <c r="W139" s="20">
        <f t="shared" ref="W139" si="90">ROUND(((Q139-MIN($M$3:$R$212))/(MAX($M$3:$R$212)-MIN($M$3:$R$212)))*((2^12)-1), 0)</f>
        <v>0</v>
      </c>
      <c r="X139" s="20">
        <f t="shared" ref="X139" si="91">ROUND(((R139-MIN($M$3:$R$212))/(MAX($M$3:$R$212)-MIN($M$3:$R$212)))*((2^12)-1), 0)</f>
        <v>0</v>
      </c>
      <c r="Y139" s="20" t="s">
        <v>398</v>
      </c>
      <c r="Z139" s="25">
        <v>0</v>
      </c>
      <c r="AA139" s="25">
        <v>1</v>
      </c>
      <c r="AB139" s="25" t="s">
        <v>401</v>
      </c>
      <c r="AC139" s="20" t="s">
        <v>683</v>
      </c>
    </row>
    <row r="140" spans="1:29" ht="76.5">
      <c r="A140" s="20" t="s">
        <v>377</v>
      </c>
      <c r="B140" s="24" t="str">
        <f>'Lambda-Resistor (All)'!A37</f>
        <v>Increase of Resistance Value</v>
      </c>
      <c r="C140" s="22">
        <f>'Lambda-Resistor (All)'!B$32</f>
        <v>4.1612004167966296E-9</v>
      </c>
      <c r="D140" s="23">
        <f>'Lambda-Resistor (All)'!C37</f>
        <v>0.18</v>
      </c>
      <c r="E140" s="20">
        <f>'Lambda-Resistor (All)'!D37</f>
        <v>7.4901607502339334E-10</v>
      </c>
      <c r="F140" s="21" t="s">
        <v>380</v>
      </c>
      <c r="G140" s="21" t="s">
        <v>680</v>
      </c>
      <c r="H140" s="20" t="s">
        <v>43</v>
      </c>
      <c r="I140" s="20" t="s">
        <v>45</v>
      </c>
      <c r="J140" s="20" t="s">
        <v>571</v>
      </c>
      <c r="K140" s="20" t="s">
        <v>672</v>
      </c>
      <c r="L140" s="20" t="s">
        <v>675</v>
      </c>
      <c r="M140" s="20">
        <v>1.63</v>
      </c>
      <c r="N140" s="20">
        <v>0.4</v>
      </c>
      <c r="O140" s="20">
        <v>3.27</v>
      </c>
      <c r="P140" s="20">
        <v>2.1999999999999999E-2</v>
      </c>
      <c r="Q140" s="20">
        <v>0</v>
      </c>
      <c r="R140" s="20">
        <v>4.3999999999999997E-2</v>
      </c>
      <c r="S140" s="20">
        <f t="shared" ref="S140:S200" si="92">ROUND(((M140-MIN($M$3:$R$212))/(MAX($M$3:$R$212)-MIN($M$3:$R$212)))*((2^12)-1), 0)</f>
        <v>2038</v>
      </c>
      <c r="T140" s="20">
        <f t="shared" ref="T140:T200" si="93">ROUND(((N140-MIN($M$3:$R$212))/(MAX($M$3:$R$212)-MIN($M$3:$R$212)))*((2^12)-1), 0)</f>
        <v>500</v>
      </c>
      <c r="U140" s="20">
        <f t="shared" ref="U140:U200" si="94">ROUND(((O140-MIN($M$3:$R$212))/(MAX($M$3:$R$212)-MIN($M$3:$R$212)))*((2^12)-1), 0)</f>
        <v>4089</v>
      </c>
      <c r="V140" s="20">
        <f t="shared" ref="V140:V200" si="95">ROUND(((P140-MIN($M$3:$R$212))/(MAX($M$3:$R$212)-MIN($M$3:$R$212)))*((2^12)-1), 0)</f>
        <v>28</v>
      </c>
      <c r="W140" s="20">
        <f t="shared" ref="W140:W200" si="96">ROUND(((Q140-MIN($M$3:$R$212))/(MAX($M$3:$R$212)-MIN($M$3:$R$212)))*((2^12)-1), 0)</f>
        <v>0</v>
      </c>
      <c r="X140" s="20">
        <f t="shared" ref="X140:X200" si="97">ROUND(((R140-MIN($M$3:$R$212))/(MAX($M$3:$R$212)-MIN($M$3:$R$212)))*((2^12)-1), 0)</f>
        <v>55</v>
      </c>
      <c r="Y140" s="20" t="s">
        <v>667</v>
      </c>
      <c r="Z140" s="25">
        <v>0</v>
      </c>
      <c r="AA140" s="25">
        <v>1</v>
      </c>
      <c r="AB140" s="25" t="s">
        <v>401</v>
      </c>
      <c r="AC140" s="20" t="s">
        <v>681</v>
      </c>
    </row>
    <row r="141" spans="1:29" ht="38.25">
      <c r="A141" s="20" t="s">
        <v>377</v>
      </c>
      <c r="B141" s="24" t="str">
        <f>'Lambda-Resistor (All)'!A38</f>
        <v>Decrease of Resistance Value</v>
      </c>
      <c r="C141" s="22">
        <f>'Lambda-Resistor (All)'!B$32</f>
        <v>4.1612004167966296E-9</v>
      </c>
      <c r="D141" s="23">
        <f>'Lambda-Resistor (All)'!C38</f>
        <v>0.18</v>
      </c>
      <c r="E141" s="20">
        <f>'Lambda-Resistor (All)'!D38</f>
        <v>7.4901607502339334E-10</v>
      </c>
      <c r="F141" s="21" t="s">
        <v>381</v>
      </c>
      <c r="G141" s="21" t="s">
        <v>381</v>
      </c>
      <c r="H141" s="20" t="s">
        <v>43</v>
      </c>
      <c r="I141" s="20" t="s">
        <v>392</v>
      </c>
      <c r="J141" s="20" t="s">
        <v>574</v>
      </c>
      <c r="K141" s="20" t="s">
        <v>676</v>
      </c>
      <c r="L141" s="20" t="s">
        <v>675</v>
      </c>
      <c r="M141" s="20">
        <v>3.1999999999999999E-6</v>
      </c>
      <c r="N141" s="20">
        <v>3.1999999999999999E-6</v>
      </c>
      <c r="O141" s="20">
        <v>3.1999999999999999E-6</v>
      </c>
      <c r="P141" s="20">
        <v>3.1999999999999999E-6</v>
      </c>
      <c r="Q141" s="20">
        <v>3.1999999999999999E-6</v>
      </c>
      <c r="R141" s="20">
        <v>3.1999999999999999E-6</v>
      </c>
      <c r="S141" s="20">
        <f t="shared" si="92"/>
        <v>0</v>
      </c>
      <c r="T141" s="20">
        <f t="shared" si="93"/>
        <v>0</v>
      </c>
      <c r="U141" s="20">
        <f t="shared" si="94"/>
        <v>0</v>
      </c>
      <c r="V141" s="20">
        <f t="shared" si="95"/>
        <v>0</v>
      </c>
      <c r="W141" s="20">
        <f t="shared" si="96"/>
        <v>0</v>
      </c>
      <c r="X141" s="20">
        <f t="shared" si="97"/>
        <v>0</v>
      </c>
      <c r="Y141" s="20" t="s">
        <v>398</v>
      </c>
      <c r="Z141" s="25">
        <v>0</v>
      </c>
      <c r="AA141" s="25">
        <v>1</v>
      </c>
      <c r="AB141" s="25" t="s">
        <v>401</v>
      </c>
      <c r="AC141" s="20" t="s">
        <v>683</v>
      </c>
    </row>
    <row r="142" spans="1:29" ht="38.25">
      <c r="A142" s="20" t="s">
        <v>377</v>
      </c>
      <c r="B142" s="24" t="str">
        <f>'Lambda-Resistor (All)'!A39</f>
        <v>Short-Circuit to Casing</v>
      </c>
      <c r="C142" s="22">
        <f>'Lambda-Resistor (All)'!B$32</f>
        <v>4.1612004167966296E-9</v>
      </c>
      <c r="D142" s="23">
        <f>'Lambda-Resistor (All)'!C39</f>
        <v>0</v>
      </c>
      <c r="E142" s="20">
        <f>'Lambda-Resistor (All)'!D39</f>
        <v>0</v>
      </c>
      <c r="F142" s="21" t="s">
        <v>382</v>
      </c>
      <c r="G142" s="26" t="s">
        <v>382</v>
      </c>
      <c r="H142" s="20" t="s">
        <v>43</v>
      </c>
      <c r="I142" s="20" t="s">
        <v>393</v>
      </c>
      <c r="J142" s="20" t="s">
        <v>393</v>
      </c>
      <c r="K142" s="20" t="s">
        <v>677</v>
      </c>
      <c r="L142" s="20" t="s">
        <v>677</v>
      </c>
      <c r="M142" s="20">
        <v>3.2724899999999999</v>
      </c>
      <c r="N142" s="20">
        <v>3.2719999999999998</v>
      </c>
      <c r="O142" s="20">
        <v>3.2749999999999999</v>
      </c>
      <c r="P142" s="20">
        <v>4.3130000000000002E-2</v>
      </c>
      <c r="Q142" s="20">
        <v>4.095E-2</v>
      </c>
      <c r="R142" s="20">
        <v>4.53E-2</v>
      </c>
      <c r="S142" s="20">
        <f t="shared" si="92"/>
        <v>4092</v>
      </c>
      <c r="T142" s="20">
        <f t="shared" si="93"/>
        <v>4091</v>
      </c>
      <c r="U142" s="20">
        <f t="shared" si="94"/>
        <v>4095</v>
      </c>
      <c r="V142" s="20">
        <f t="shared" si="95"/>
        <v>54</v>
      </c>
      <c r="W142" s="20">
        <f t="shared" si="96"/>
        <v>51</v>
      </c>
      <c r="X142" s="20">
        <f t="shared" si="97"/>
        <v>57</v>
      </c>
      <c r="Y142" s="20" t="s">
        <v>401</v>
      </c>
      <c r="Z142" s="25">
        <v>0</v>
      </c>
      <c r="AA142" s="25">
        <v>1</v>
      </c>
      <c r="AB142" s="25" t="s">
        <v>401</v>
      </c>
      <c r="AC142" s="20" t="s">
        <v>683</v>
      </c>
    </row>
    <row r="143" spans="1:29" ht="38.25">
      <c r="A143" s="20" t="s">
        <v>378</v>
      </c>
      <c r="B143" s="24" t="str">
        <f>'Lambda-Fuse'!A10</f>
        <v>Interruption</v>
      </c>
      <c r="C143" s="22">
        <f>'Lambda-Fuse'!B$7</f>
        <v>1E-8</v>
      </c>
      <c r="D143" s="23">
        <f>'Lambda-Fuse'!C10</f>
        <v>0.08</v>
      </c>
      <c r="E143" s="20">
        <f>'Lambda-Fuse'!D10</f>
        <v>8.0000000000000003E-10</v>
      </c>
      <c r="F143" s="21" t="s">
        <v>584</v>
      </c>
      <c r="G143" s="21" t="s">
        <v>474</v>
      </c>
      <c r="H143" s="20" t="s">
        <v>43</v>
      </c>
      <c r="I143" s="20" t="s">
        <v>392</v>
      </c>
      <c r="J143" s="20" t="s">
        <v>573</v>
      </c>
      <c r="K143" s="20" t="s">
        <v>676</v>
      </c>
      <c r="L143" s="20" t="s">
        <v>675</v>
      </c>
      <c r="M143" s="20">
        <v>0</v>
      </c>
      <c r="N143" s="20">
        <v>0</v>
      </c>
      <c r="O143" s="20">
        <v>0</v>
      </c>
      <c r="P143" s="20">
        <v>0</v>
      </c>
      <c r="Q143" s="20">
        <v>0</v>
      </c>
      <c r="R143" s="20">
        <v>0</v>
      </c>
      <c r="S143" s="20">
        <f t="shared" si="92"/>
        <v>0</v>
      </c>
      <c r="T143" s="20">
        <f t="shared" si="93"/>
        <v>0</v>
      </c>
      <c r="U143" s="20">
        <f t="shared" si="94"/>
        <v>0</v>
      </c>
      <c r="V143" s="20">
        <f t="shared" si="95"/>
        <v>0</v>
      </c>
      <c r="W143" s="20">
        <f t="shared" si="96"/>
        <v>0</v>
      </c>
      <c r="X143" s="20">
        <f t="shared" si="97"/>
        <v>0</v>
      </c>
      <c r="Y143" s="20" t="s">
        <v>397</v>
      </c>
      <c r="Z143" s="25">
        <v>0</v>
      </c>
      <c r="AA143" s="25">
        <v>1</v>
      </c>
      <c r="AB143" s="25" t="s">
        <v>401</v>
      </c>
      <c r="AC143" s="20" t="s">
        <v>683</v>
      </c>
    </row>
    <row r="144" spans="1:29" ht="76.5">
      <c r="A144" s="20" t="s">
        <v>378</v>
      </c>
      <c r="B144" s="24" t="str">
        <f>'Lambda-Fuse'!A11</f>
        <v>Parallel short-circuit</v>
      </c>
      <c r="C144" s="22">
        <f>'Lambda-Fuse'!B$7</f>
        <v>1E-8</v>
      </c>
      <c r="D144" s="23">
        <f>'Lambda-Fuse'!C11</f>
        <v>0.16333333333333333</v>
      </c>
      <c r="E144" s="20">
        <f>'Lambda-Fuse'!D11</f>
        <v>1.6333333333333333E-9</v>
      </c>
      <c r="F144" s="21" t="s">
        <v>587</v>
      </c>
      <c r="G144" s="21" t="s">
        <v>588</v>
      </c>
      <c r="H144" s="20" t="s">
        <v>43</v>
      </c>
      <c r="I144" s="20" t="s">
        <v>45</v>
      </c>
      <c r="J144" s="20" t="s">
        <v>571</v>
      </c>
      <c r="K144" s="20" t="s">
        <v>675</v>
      </c>
      <c r="L144" s="20" t="s">
        <v>675</v>
      </c>
      <c r="M144" s="20">
        <v>3.2724899999999999</v>
      </c>
      <c r="N144" s="20">
        <v>3.2719999999999998</v>
      </c>
      <c r="O144" s="20">
        <v>3.2749999999999999</v>
      </c>
      <c r="P144" s="20">
        <v>4.3130000000000002E-2</v>
      </c>
      <c r="Q144" s="20">
        <v>4.095E-2</v>
      </c>
      <c r="R144" s="20">
        <v>4.53E-2</v>
      </c>
      <c r="S144" s="20">
        <f t="shared" ref="S144:S147" si="98">ROUND(((M144-MIN($M$3:$R$212))/(MAX($M$3:$R$212)-MIN($M$3:$R$212)))*((2^12)-1), 0)</f>
        <v>4092</v>
      </c>
      <c r="T144" s="20">
        <f t="shared" ref="T144:T147" si="99">ROUND(((N144-MIN($M$3:$R$212))/(MAX($M$3:$R$212)-MIN($M$3:$R$212)))*((2^12)-1), 0)</f>
        <v>4091</v>
      </c>
      <c r="U144" s="20">
        <f t="shared" ref="U144:U147" si="100">ROUND(((O144-MIN($M$3:$R$212))/(MAX($M$3:$R$212)-MIN($M$3:$R$212)))*((2^12)-1), 0)</f>
        <v>4095</v>
      </c>
      <c r="V144" s="20">
        <f t="shared" ref="V144:V147" si="101">ROUND(((P144-MIN($M$3:$R$212))/(MAX($M$3:$R$212)-MIN($M$3:$R$212)))*((2^12)-1), 0)</f>
        <v>54</v>
      </c>
      <c r="W144" s="20">
        <f t="shared" ref="W144:W147" si="102">ROUND(((Q144-MIN($M$3:$R$212))/(MAX($M$3:$R$212)-MIN($M$3:$R$212)))*((2^12)-1), 0)</f>
        <v>51</v>
      </c>
      <c r="X144" s="20">
        <f t="shared" ref="X144:X147" si="103">ROUND(((R144-MIN($M$3:$R$212))/(MAX($M$3:$R$212)-MIN($M$3:$R$212)))*((2^12)-1), 0)</f>
        <v>57</v>
      </c>
      <c r="Y144" s="20" t="s">
        <v>401</v>
      </c>
      <c r="Z144" s="25">
        <v>0</v>
      </c>
      <c r="AA144" s="25">
        <v>1</v>
      </c>
      <c r="AB144" s="25" t="s">
        <v>401</v>
      </c>
      <c r="AC144" s="20" t="s">
        <v>681</v>
      </c>
    </row>
    <row r="145" spans="1:29" ht="76.5">
      <c r="A145" s="20" t="s">
        <v>378</v>
      </c>
      <c r="B145" s="24" t="str">
        <f>'Lambda-Fuse'!A12</f>
        <v>Increase of rupture current</v>
      </c>
      <c r="C145" s="22">
        <f>'Lambda-Fuse'!B$7</f>
        <v>1E-8</v>
      </c>
      <c r="D145" s="23">
        <f>'Lambda-Fuse'!C12</f>
        <v>0.16333333333333333</v>
      </c>
      <c r="E145" s="20">
        <f>'Lambda-Fuse'!D12</f>
        <v>1.6333333333333333E-9</v>
      </c>
      <c r="F145" s="21" t="s">
        <v>651</v>
      </c>
      <c r="G145" s="21" t="s">
        <v>652</v>
      </c>
      <c r="H145" s="20" t="s">
        <v>43</v>
      </c>
      <c r="I145" s="20" t="s">
        <v>45</v>
      </c>
      <c r="J145" s="20" t="s">
        <v>571</v>
      </c>
      <c r="K145" s="20" t="s">
        <v>675</v>
      </c>
      <c r="L145" s="20" t="s">
        <v>675</v>
      </c>
      <c r="M145" s="20">
        <v>3.2724899999999999</v>
      </c>
      <c r="N145" s="20">
        <v>3.2719999999999998</v>
      </c>
      <c r="O145" s="20">
        <v>3.2749999999999999</v>
      </c>
      <c r="P145" s="20">
        <v>4.3130000000000002E-2</v>
      </c>
      <c r="Q145" s="20">
        <v>4.095E-2</v>
      </c>
      <c r="R145" s="20">
        <v>4.53E-2</v>
      </c>
      <c r="S145" s="20">
        <f t="shared" si="98"/>
        <v>4092</v>
      </c>
      <c r="T145" s="20">
        <f t="shared" si="99"/>
        <v>4091</v>
      </c>
      <c r="U145" s="20">
        <f t="shared" si="100"/>
        <v>4095</v>
      </c>
      <c r="V145" s="20">
        <f t="shared" si="101"/>
        <v>54</v>
      </c>
      <c r="W145" s="20">
        <f t="shared" si="102"/>
        <v>51</v>
      </c>
      <c r="X145" s="20">
        <f t="shared" si="103"/>
        <v>57</v>
      </c>
      <c r="Y145" s="20" t="s">
        <v>401</v>
      </c>
      <c r="Z145" s="25">
        <v>0</v>
      </c>
      <c r="AA145" s="25">
        <v>1</v>
      </c>
      <c r="AB145" s="25" t="s">
        <v>401</v>
      </c>
      <c r="AC145" s="20" t="s">
        <v>681</v>
      </c>
    </row>
    <row r="146" spans="1:29" ht="76.5">
      <c r="A146" s="20" t="s">
        <v>378</v>
      </c>
      <c r="B146" s="24" t="str">
        <f>'Lambda-Fuse'!A13</f>
        <v>Increase of rupture time</v>
      </c>
      <c r="C146" s="22">
        <f>'Lambda-Fuse'!B$7</f>
        <v>1E-8</v>
      </c>
      <c r="D146" s="23">
        <f>'Lambda-Fuse'!C13</f>
        <v>0.43</v>
      </c>
      <c r="E146" s="20">
        <f>'Lambda-Fuse'!D13</f>
        <v>4.2999999999999996E-9</v>
      </c>
      <c r="F146" s="21" t="s">
        <v>651</v>
      </c>
      <c r="G146" s="21" t="s">
        <v>652</v>
      </c>
      <c r="H146" s="20" t="s">
        <v>43</v>
      </c>
      <c r="I146" s="20" t="s">
        <v>45</v>
      </c>
      <c r="J146" s="20" t="s">
        <v>571</v>
      </c>
      <c r="K146" s="20" t="s">
        <v>675</v>
      </c>
      <c r="L146" s="20" t="s">
        <v>675</v>
      </c>
      <c r="M146" s="20">
        <v>3.2724899999999999</v>
      </c>
      <c r="N146" s="20">
        <v>3.2719999999999998</v>
      </c>
      <c r="O146" s="20">
        <v>3.2749999999999999</v>
      </c>
      <c r="P146" s="20">
        <v>4.3130000000000002E-2</v>
      </c>
      <c r="Q146" s="20">
        <v>4.095E-2</v>
      </c>
      <c r="R146" s="20">
        <v>4.53E-2</v>
      </c>
      <c r="S146" s="20">
        <f t="shared" si="98"/>
        <v>4092</v>
      </c>
      <c r="T146" s="20">
        <f t="shared" si="99"/>
        <v>4091</v>
      </c>
      <c r="U146" s="20">
        <f t="shared" si="100"/>
        <v>4095</v>
      </c>
      <c r="V146" s="20">
        <f t="shared" si="101"/>
        <v>54</v>
      </c>
      <c r="W146" s="20">
        <f t="shared" si="102"/>
        <v>51</v>
      </c>
      <c r="X146" s="20">
        <f t="shared" si="103"/>
        <v>57</v>
      </c>
      <c r="Y146" s="20" t="s">
        <v>401</v>
      </c>
      <c r="Z146" s="25">
        <v>0</v>
      </c>
      <c r="AA146" s="25">
        <v>1</v>
      </c>
      <c r="AB146" s="25" t="s">
        <v>401</v>
      </c>
      <c r="AC146" s="20" t="s">
        <v>681</v>
      </c>
    </row>
    <row r="147" spans="1:29" ht="76.5">
      <c r="A147" s="20" t="s">
        <v>378</v>
      </c>
      <c r="B147" s="24" t="str">
        <f>'Lambda-Fuse'!A14</f>
        <v>Reconnection after rupture</v>
      </c>
      <c r="C147" s="22">
        <f>'Lambda-Fuse'!B$7</f>
        <v>1E-8</v>
      </c>
      <c r="D147" s="23">
        <f>'Lambda-Fuse'!C14</f>
        <v>0.16333333333333333</v>
      </c>
      <c r="E147" s="20">
        <f>'Lambda-Fuse'!D14</f>
        <v>1.6333333333333333E-9</v>
      </c>
      <c r="F147" s="21" t="s">
        <v>653</v>
      </c>
      <c r="G147" s="21" t="s">
        <v>652</v>
      </c>
      <c r="H147" s="20" t="s">
        <v>43</v>
      </c>
      <c r="I147" s="20" t="s">
        <v>45</v>
      </c>
      <c r="J147" s="20" t="s">
        <v>571</v>
      </c>
      <c r="K147" s="20" t="s">
        <v>675</v>
      </c>
      <c r="L147" s="20" t="s">
        <v>675</v>
      </c>
      <c r="M147" s="20">
        <v>3.2724899999999999</v>
      </c>
      <c r="N147" s="20">
        <v>3.2719999999999998</v>
      </c>
      <c r="O147" s="20">
        <v>3.2749999999999999</v>
      </c>
      <c r="P147" s="20">
        <v>4.3130000000000002E-2</v>
      </c>
      <c r="Q147" s="20">
        <v>4.095E-2</v>
      </c>
      <c r="R147" s="20">
        <v>4.53E-2</v>
      </c>
      <c r="S147" s="20">
        <f t="shared" si="98"/>
        <v>4092</v>
      </c>
      <c r="T147" s="20">
        <f t="shared" si="99"/>
        <v>4091</v>
      </c>
      <c r="U147" s="20">
        <f t="shared" si="100"/>
        <v>4095</v>
      </c>
      <c r="V147" s="20">
        <f t="shared" si="101"/>
        <v>54</v>
      </c>
      <c r="W147" s="20">
        <f t="shared" si="102"/>
        <v>51</v>
      </c>
      <c r="X147" s="20">
        <f t="shared" si="103"/>
        <v>57</v>
      </c>
      <c r="Y147" s="20" t="s">
        <v>401</v>
      </c>
      <c r="Z147" s="25">
        <v>0</v>
      </c>
      <c r="AA147" s="25">
        <v>1</v>
      </c>
      <c r="AB147" s="25" t="s">
        <v>401</v>
      </c>
      <c r="AC147" s="20" t="s">
        <v>681</v>
      </c>
    </row>
    <row r="148" spans="1:29" ht="76.5">
      <c r="A148" s="20" t="s">
        <v>379</v>
      </c>
      <c r="B148" s="24" t="str">
        <f>'Lambda-MOSFET'!A33</f>
        <v>Interruption of Gate</v>
      </c>
      <c r="C148" s="22">
        <f>'Lambda-MOSFET'!B$30</f>
        <v>2.4667019701711612E-8</v>
      </c>
      <c r="D148" s="23">
        <f>'Lambda-MOSFET'!C33</f>
        <v>2.642857142857143E-2</v>
      </c>
      <c r="E148" s="20">
        <f>'Lambda-MOSFET'!D33</f>
        <v>6.5191409211666409E-10</v>
      </c>
      <c r="F148" s="21" t="s">
        <v>654</v>
      </c>
      <c r="G148" s="21" t="s">
        <v>655</v>
      </c>
      <c r="H148" s="20" t="s">
        <v>43</v>
      </c>
      <c r="I148" s="20" t="s">
        <v>392</v>
      </c>
      <c r="J148" s="20" t="s">
        <v>574</v>
      </c>
      <c r="K148" s="20" t="s">
        <v>676</v>
      </c>
      <c r="L148" s="20" t="s">
        <v>676</v>
      </c>
      <c r="M148" s="20">
        <v>3.27305</v>
      </c>
      <c r="N148" s="20">
        <v>3.2730299999999999</v>
      </c>
      <c r="O148" s="20">
        <v>3.2730600000000001</v>
      </c>
      <c r="P148" s="20">
        <v>3.2723450000000001</v>
      </c>
      <c r="Q148" s="20">
        <v>3.272335</v>
      </c>
      <c r="R148" s="20">
        <v>3.2723550000000001</v>
      </c>
      <c r="S148" s="20">
        <f t="shared" si="92"/>
        <v>4093</v>
      </c>
      <c r="T148" s="20">
        <f t="shared" ref="T148" si="104">ROUND(((N148-MIN($M$3:$R$212))/(MAX($M$3:$R$212)-MIN($M$3:$R$212)))*((2^12)-1), 0)</f>
        <v>4093</v>
      </c>
      <c r="U148" s="20">
        <f t="shared" ref="U148" si="105">ROUND(((O148-MIN($M$3:$R$212))/(MAX($M$3:$R$212)-MIN($M$3:$R$212)))*((2^12)-1), 0)</f>
        <v>4093</v>
      </c>
      <c r="V148" s="20">
        <f t="shared" ref="V148" si="106">ROUND(((P148-MIN($M$3:$R$212))/(MAX($M$3:$R$212)-MIN($M$3:$R$212)))*((2^12)-1), 0)</f>
        <v>4092</v>
      </c>
      <c r="W148" s="20">
        <f t="shared" ref="W148" si="107">ROUND(((Q148-MIN($M$3:$R$212))/(MAX($M$3:$R$212)-MIN($M$3:$R$212)))*((2^12)-1), 0)</f>
        <v>4092</v>
      </c>
      <c r="X148" s="20">
        <f t="shared" ref="X148" si="108">ROUND(((R148-MIN($M$3:$R$212))/(MAX($M$3:$R$212)-MIN($M$3:$R$212)))*((2^12)-1), 0)</f>
        <v>4092</v>
      </c>
      <c r="Y148" s="20" t="s">
        <v>467</v>
      </c>
      <c r="Z148" s="25">
        <v>0</v>
      </c>
      <c r="AA148" s="25">
        <v>1</v>
      </c>
      <c r="AB148" s="25" t="s">
        <v>397</v>
      </c>
      <c r="AC148" s="20" t="s">
        <v>683</v>
      </c>
    </row>
    <row r="149" spans="1:29" ht="76.5">
      <c r="A149" s="20" t="s">
        <v>379</v>
      </c>
      <c r="B149" s="24" t="str">
        <f>'Lambda-MOSFET'!A34</f>
        <v>Interruption of Source</v>
      </c>
      <c r="C149" s="22">
        <f>'Lambda-MOSFET'!B$30</f>
        <v>2.4667019701711612E-8</v>
      </c>
      <c r="D149" s="23">
        <f>'Lambda-MOSFET'!C34</f>
        <v>2.642857142857143E-2</v>
      </c>
      <c r="E149" s="20">
        <f>'Lambda-MOSFET'!D34</f>
        <v>6.5191409211666409E-10</v>
      </c>
      <c r="F149" s="21" t="s">
        <v>654</v>
      </c>
      <c r="G149" s="21" t="s">
        <v>655</v>
      </c>
      <c r="H149" s="20" t="s">
        <v>43</v>
      </c>
      <c r="I149" s="20" t="s">
        <v>392</v>
      </c>
      <c r="J149" s="20" t="s">
        <v>574</v>
      </c>
      <c r="K149" s="20" t="s">
        <v>676</v>
      </c>
      <c r="L149" s="20" t="s">
        <v>676</v>
      </c>
      <c r="M149" s="20">
        <v>3.27305</v>
      </c>
      <c r="N149" s="20">
        <v>3.2730299999999999</v>
      </c>
      <c r="O149" s="20">
        <v>3.2730600000000001</v>
      </c>
      <c r="P149" s="20">
        <v>3.2723450000000001</v>
      </c>
      <c r="Q149" s="20">
        <v>3.272335</v>
      </c>
      <c r="R149" s="20">
        <v>3.2723550000000001</v>
      </c>
      <c r="S149" s="20">
        <f t="shared" si="92"/>
        <v>4093</v>
      </c>
      <c r="T149" s="20">
        <f t="shared" ref="T149:T154" si="109">ROUND(((N149-MIN($M$3:$R$212))/(MAX($M$3:$R$212)-MIN($M$3:$R$212)))*((2^12)-1), 0)</f>
        <v>4093</v>
      </c>
      <c r="U149" s="20">
        <f t="shared" ref="U149:U154" si="110">ROUND(((O149-MIN($M$3:$R$212))/(MAX($M$3:$R$212)-MIN($M$3:$R$212)))*((2^12)-1), 0)</f>
        <v>4093</v>
      </c>
      <c r="V149" s="20">
        <f t="shared" ref="V149:V154" si="111">ROUND(((P149-MIN($M$3:$R$212))/(MAX($M$3:$R$212)-MIN($M$3:$R$212)))*((2^12)-1), 0)</f>
        <v>4092</v>
      </c>
      <c r="W149" s="20">
        <f t="shared" ref="W149:W154" si="112">ROUND(((Q149-MIN($M$3:$R$212))/(MAX($M$3:$R$212)-MIN($M$3:$R$212)))*((2^12)-1), 0)</f>
        <v>4092</v>
      </c>
      <c r="X149" s="20">
        <f t="shared" ref="X149:X154" si="113">ROUND(((R149-MIN($M$3:$R$212))/(MAX($M$3:$R$212)-MIN($M$3:$R$212)))*((2^12)-1), 0)</f>
        <v>4092</v>
      </c>
      <c r="Y149" s="20" t="s">
        <v>467</v>
      </c>
      <c r="Z149" s="25">
        <v>0</v>
      </c>
      <c r="AA149" s="25">
        <v>1</v>
      </c>
      <c r="AB149" s="25" t="s">
        <v>397</v>
      </c>
      <c r="AC149" s="20" t="s">
        <v>683</v>
      </c>
    </row>
    <row r="150" spans="1:29" ht="76.5">
      <c r="A150" s="20" t="s">
        <v>379</v>
      </c>
      <c r="B150" s="24" t="str">
        <f>'Lambda-MOSFET'!A35</f>
        <v>Interruption of Drain</v>
      </c>
      <c r="C150" s="22">
        <f>'Lambda-MOSFET'!B$30</f>
        <v>2.4667019701711612E-8</v>
      </c>
      <c r="D150" s="23">
        <f>'Lambda-MOSFET'!C35</f>
        <v>2.642857142857143E-2</v>
      </c>
      <c r="E150" s="20">
        <f>'Lambda-MOSFET'!D35</f>
        <v>6.5191409211666409E-10</v>
      </c>
      <c r="F150" s="21" t="s">
        <v>654</v>
      </c>
      <c r="G150" s="21" t="s">
        <v>655</v>
      </c>
      <c r="H150" s="20" t="s">
        <v>43</v>
      </c>
      <c r="I150" s="20" t="s">
        <v>392</v>
      </c>
      <c r="J150" s="20" t="s">
        <v>574</v>
      </c>
      <c r="K150" s="20" t="s">
        <v>676</v>
      </c>
      <c r="L150" s="20" t="s">
        <v>676</v>
      </c>
      <c r="M150" s="20">
        <v>3.27305</v>
      </c>
      <c r="N150" s="20">
        <v>3.2730299999999999</v>
      </c>
      <c r="O150" s="20">
        <v>3.2730600000000001</v>
      </c>
      <c r="P150" s="20">
        <v>3.2723450000000001</v>
      </c>
      <c r="Q150" s="20">
        <v>3.272335</v>
      </c>
      <c r="R150" s="20">
        <v>3.2723550000000001</v>
      </c>
      <c r="S150" s="20">
        <f t="shared" si="92"/>
        <v>4093</v>
      </c>
      <c r="T150" s="20">
        <f t="shared" si="109"/>
        <v>4093</v>
      </c>
      <c r="U150" s="20">
        <f t="shared" si="110"/>
        <v>4093</v>
      </c>
      <c r="V150" s="20">
        <f t="shared" si="111"/>
        <v>4092</v>
      </c>
      <c r="W150" s="20">
        <f t="shared" si="112"/>
        <v>4092</v>
      </c>
      <c r="X150" s="20">
        <f t="shared" si="113"/>
        <v>4092</v>
      </c>
      <c r="Y150" s="20" t="s">
        <v>467</v>
      </c>
      <c r="Z150" s="25">
        <v>0</v>
      </c>
      <c r="AA150" s="25">
        <v>1</v>
      </c>
      <c r="AB150" s="25" t="s">
        <v>397</v>
      </c>
      <c r="AC150" s="20" t="s">
        <v>683</v>
      </c>
    </row>
    <row r="151" spans="1:29" ht="76.5">
      <c r="A151" s="20" t="s">
        <v>379</v>
      </c>
      <c r="B151" s="24" t="str">
        <f>'Lambda-MOSFET'!A36</f>
        <v>Interruption of Gate and Source</v>
      </c>
      <c r="C151" s="22">
        <f>'Lambda-MOSFET'!B$30</f>
        <v>2.4667019701711612E-8</v>
      </c>
      <c r="D151" s="23">
        <f>'Lambda-MOSFET'!C36</f>
        <v>2.642857142857143E-2</v>
      </c>
      <c r="E151" s="20">
        <f>'Lambda-MOSFET'!D36</f>
        <v>6.5191409211666409E-10</v>
      </c>
      <c r="F151" s="21" t="s">
        <v>654</v>
      </c>
      <c r="G151" s="21" t="s">
        <v>655</v>
      </c>
      <c r="H151" s="20" t="s">
        <v>43</v>
      </c>
      <c r="I151" s="20" t="s">
        <v>392</v>
      </c>
      <c r="J151" s="20" t="s">
        <v>574</v>
      </c>
      <c r="K151" s="20" t="s">
        <v>676</v>
      </c>
      <c r="L151" s="20" t="s">
        <v>676</v>
      </c>
      <c r="M151" s="20">
        <v>3.27305</v>
      </c>
      <c r="N151" s="20">
        <v>3.2730299999999999</v>
      </c>
      <c r="O151" s="20">
        <v>3.2730600000000001</v>
      </c>
      <c r="P151" s="20">
        <v>3.2723450000000001</v>
      </c>
      <c r="Q151" s="20">
        <v>3.272335</v>
      </c>
      <c r="R151" s="20">
        <v>3.2723550000000001</v>
      </c>
      <c r="S151" s="20">
        <f t="shared" si="92"/>
        <v>4093</v>
      </c>
      <c r="T151" s="20">
        <f t="shared" si="109"/>
        <v>4093</v>
      </c>
      <c r="U151" s="20">
        <f t="shared" si="110"/>
        <v>4093</v>
      </c>
      <c r="V151" s="20">
        <f t="shared" si="111"/>
        <v>4092</v>
      </c>
      <c r="W151" s="20">
        <f t="shared" si="112"/>
        <v>4092</v>
      </c>
      <c r="X151" s="20">
        <f t="shared" si="113"/>
        <v>4092</v>
      </c>
      <c r="Y151" s="20" t="s">
        <v>467</v>
      </c>
      <c r="Z151" s="25">
        <v>0</v>
      </c>
      <c r="AA151" s="25">
        <v>1</v>
      </c>
      <c r="AB151" s="25" t="s">
        <v>397</v>
      </c>
      <c r="AC151" s="20" t="s">
        <v>683</v>
      </c>
    </row>
    <row r="152" spans="1:29" ht="76.5">
      <c r="A152" s="20" t="s">
        <v>379</v>
      </c>
      <c r="B152" s="24" t="str">
        <f>'Lambda-MOSFET'!A37</f>
        <v>Interruption of Gate and Drain</v>
      </c>
      <c r="C152" s="22">
        <f>'Lambda-MOSFET'!B$30</f>
        <v>2.4667019701711612E-8</v>
      </c>
      <c r="D152" s="23">
        <f>'Lambda-MOSFET'!C37</f>
        <v>2.642857142857143E-2</v>
      </c>
      <c r="E152" s="20">
        <f>'Lambda-MOSFET'!D37</f>
        <v>6.5191409211666409E-10</v>
      </c>
      <c r="F152" s="21" t="s">
        <v>654</v>
      </c>
      <c r="G152" s="21" t="s">
        <v>655</v>
      </c>
      <c r="H152" s="20" t="s">
        <v>43</v>
      </c>
      <c r="I152" s="20" t="s">
        <v>392</v>
      </c>
      <c r="J152" s="20" t="s">
        <v>574</v>
      </c>
      <c r="K152" s="20" t="s">
        <v>676</v>
      </c>
      <c r="L152" s="20" t="s">
        <v>676</v>
      </c>
      <c r="M152" s="20">
        <v>3.27305</v>
      </c>
      <c r="N152" s="20">
        <v>3.2730299999999999</v>
      </c>
      <c r="O152" s="20">
        <v>3.2730600000000001</v>
      </c>
      <c r="P152" s="20">
        <v>3.2723450000000001</v>
      </c>
      <c r="Q152" s="20">
        <v>3.272335</v>
      </c>
      <c r="R152" s="20">
        <v>3.2723550000000001</v>
      </c>
      <c r="S152" s="20">
        <f t="shared" si="92"/>
        <v>4093</v>
      </c>
      <c r="T152" s="20">
        <f t="shared" si="109"/>
        <v>4093</v>
      </c>
      <c r="U152" s="20">
        <f t="shared" si="110"/>
        <v>4093</v>
      </c>
      <c r="V152" s="20">
        <f t="shared" si="111"/>
        <v>4092</v>
      </c>
      <c r="W152" s="20">
        <f t="shared" si="112"/>
        <v>4092</v>
      </c>
      <c r="X152" s="20">
        <f t="shared" si="113"/>
        <v>4092</v>
      </c>
      <c r="Y152" s="20" t="s">
        <v>467</v>
      </c>
      <c r="Z152" s="25">
        <v>0</v>
      </c>
      <c r="AA152" s="25">
        <v>1</v>
      </c>
      <c r="AB152" s="25" t="s">
        <v>397</v>
      </c>
      <c r="AC152" s="20" t="s">
        <v>683</v>
      </c>
    </row>
    <row r="153" spans="1:29" ht="76.5">
      <c r="A153" s="20" t="s">
        <v>379</v>
      </c>
      <c r="B153" s="24" t="str">
        <f>'Lambda-MOSFET'!A38</f>
        <v>Interruption of Source and Drain</v>
      </c>
      <c r="C153" s="22">
        <f>'Lambda-MOSFET'!B$30</f>
        <v>2.4667019701711612E-8</v>
      </c>
      <c r="D153" s="23">
        <f>'Lambda-MOSFET'!C38</f>
        <v>2.642857142857143E-2</v>
      </c>
      <c r="E153" s="20">
        <f>'Lambda-MOSFET'!D38</f>
        <v>6.5191409211666409E-10</v>
      </c>
      <c r="F153" s="21" t="s">
        <v>654</v>
      </c>
      <c r="G153" s="21" t="s">
        <v>655</v>
      </c>
      <c r="H153" s="20" t="s">
        <v>43</v>
      </c>
      <c r="I153" s="20" t="s">
        <v>392</v>
      </c>
      <c r="J153" s="20" t="s">
        <v>574</v>
      </c>
      <c r="K153" s="20" t="s">
        <v>676</v>
      </c>
      <c r="L153" s="20" t="s">
        <v>676</v>
      </c>
      <c r="M153" s="20">
        <v>3.27305</v>
      </c>
      <c r="N153" s="20">
        <v>3.2730299999999999</v>
      </c>
      <c r="O153" s="20">
        <v>3.2730600000000001</v>
      </c>
      <c r="P153" s="20">
        <v>3.2723450000000001</v>
      </c>
      <c r="Q153" s="20">
        <v>3.272335</v>
      </c>
      <c r="R153" s="20">
        <v>3.2723550000000001</v>
      </c>
      <c r="S153" s="20">
        <f t="shared" si="92"/>
        <v>4093</v>
      </c>
      <c r="T153" s="20">
        <f t="shared" si="109"/>
        <v>4093</v>
      </c>
      <c r="U153" s="20">
        <f t="shared" si="110"/>
        <v>4093</v>
      </c>
      <c r="V153" s="20">
        <f t="shared" si="111"/>
        <v>4092</v>
      </c>
      <c r="W153" s="20">
        <f t="shared" si="112"/>
        <v>4092</v>
      </c>
      <c r="X153" s="20">
        <f t="shared" si="113"/>
        <v>4092</v>
      </c>
      <c r="Y153" s="20" t="s">
        <v>467</v>
      </c>
      <c r="Z153" s="25">
        <v>0</v>
      </c>
      <c r="AA153" s="25">
        <v>1</v>
      </c>
      <c r="AB153" s="25" t="s">
        <v>397</v>
      </c>
      <c r="AC153" s="20" t="s">
        <v>683</v>
      </c>
    </row>
    <row r="154" spans="1:29" ht="76.5">
      <c r="A154" s="20" t="s">
        <v>379</v>
      </c>
      <c r="B154" s="24" t="str">
        <f>'Lambda-MOSFET'!A39</f>
        <v>Interruption of Gate, Source and Drain</v>
      </c>
      <c r="C154" s="22">
        <f>'Lambda-MOSFET'!B$30</f>
        <v>2.4667019701711612E-8</v>
      </c>
      <c r="D154" s="23">
        <f>'Lambda-MOSFET'!C39</f>
        <v>2.642857142857143E-2</v>
      </c>
      <c r="E154" s="20">
        <f>'Lambda-MOSFET'!D39</f>
        <v>6.5191409211666409E-10</v>
      </c>
      <c r="F154" s="21" t="s">
        <v>654</v>
      </c>
      <c r="G154" s="21" t="s">
        <v>655</v>
      </c>
      <c r="H154" s="20" t="s">
        <v>43</v>
      </c>
      <c r="I154" s="20" t="s">
        <v>392</v>
      </c>
      <c r="J154" s="20" t="s">
        <v>574</v>
      </c>
      <c r="K154" s="20" t="s">
        <v>676</v>
      </c>
      <c r="L154" s="20" t="s">
        <v>676</v>
      </c>
      <c r="M154" s="20">
        <v>3.27305</v>
      </c>
      <c r="N154" s="20">
        <v>3.2730299999999999</v>
      </c>
      <c r="O154" s="20">
        <v>3.2730600000000001</v>
      </c>
      <c r="P154" s="20">
        <v>3.2723450000000001</v>
      </c>
      <c r="Q154" s="20">
        <v>3.272335</v>
      </c>
      <c r="R154" s="20">
        <v>3.2723550000000001</v>
      </c>
      <c r="S154" s="20">
        <f t="shared" si="92"/>
        <v>4093</v>
      </c>
      <c r="T154" s="20">
        <f t="shared" si="109"/>
        <v>4093</v>
      </c>
      <c r="U154" s="20">
        <f t="shared" si="110"/>
        <v>4093</v>
      </c>
      <c r="V154" s="20">
        <f t="shared" si="111"/>
        <v>4092</v>
      </c>
      <c r="W154" s="20">
        <f t="shared" si="112"/>
        <v>4092</v>
      </c>
      <c r="X154" s="20">
        <f t="shared" si="113"/>
        <v>4092</v>
      </c>
      <c r="Y154" s="20" t="s">
        <v>467</v>
      </c>
      <c r="Z154" s="25">
        <v>0</v>
      </c>
      <c r="AA154" s="25">
        <v>1</v>
      </c>
      <c r="AB154" s="25" t="s">
        <v>397</v>
      </c>
      <c r="AC154" s="20" t="s">
        <v>683</v>
      </c>
    </row>
    <row r="155" spans="1:29" ht="38.25">
      <c r="A155" s="20" t="s">
        <v>379</v>
      </c>
      <c r="B155" s="24" t="str">
        <f>'Lambda-MOSFET'!A40</f>
        <v>Short-Circuit Between Source and Drain</v>
      </c>
      <c r="C155" s="22">
        <f>'Lambda-MOSFET'!B$30</f>
        <v>2.4667019701711612E-8</v>
      </c>
      <c r="D155" s="23">
        <f>'Lambda-MOSFET'!C40</f>
        <v>9.2142857142857151E-2</v>
      </c>
      <c r="E155" s="20">
        <f>'Lambda-MOSFET'!D40</f>
        <v>2.2728896725148557E-9</v>
      </c>
      <c r="F155" s="21" t="s">
        <v>590</v>
      </c>
      <c r="G155" s="21" t="s">
        <v>591</v>
      </c>
      <c r="H155" s="20" t="s">
        <v>43</v>
      </c>
      <c r="I155" s="20" t="s">
        <v>392</v>
      </c>
      <c r="J155" s="20" t="s">
        <v>573</v>
      </c>
      <c r="K155" s="20" t="s">
        <v>676</v>
      </c>
      <c r="L155" s="20" t="s">
        <v>675</v>
      </c>
      <c r="M155" s="20">
        <v>0</v>
      </c>
      <c r="N155" s="20">
        <v>0</v>
      </c>
      <c r="O155" s="20">
        <v>0</v>
      </c>
      <c r="P155" s="20">
        <v>0</v>
      </c>
      <c r="Q155" s="20">
        <v>0</v>
      </c>
      <c r="R155" s="20">
        <v>0</v>
      </c>
      <c r="S155" s="20">
        <f t="shared" ref="S155" si="114">ROUND(((M155-MIN($M$3:$R$212))/(MAX($M$3:$R$212)-MIN($M$3:$R$212)))*((2^12)-1), 0)</f>
        <v>0</v>
      </c>
      <c r="T155" s="20">
        <f t="shared" ref="T155" si="115">ROUND(((N155-MIN($M$3:$R$212))/(MAX($M$3:$R$212)-MIN($M$3:$R$212)))*((2^12)-1), 0)</f>
        <v>0</v>
      </c>
      <c r="U155" s="20">
        <f t="shared" ref="U155" si="116">ROUND(((O155-MIN($M$3:$R$212))/(MAX($M$3:$R$212)-MIN($M$3:$R$212)))*((2^12)-1), 0)</f>
        <v>0</v>
      </c>
      <c r="V155" s="20">
        <f t="shared" ref="V155" si="117">ROUND(((P155-MIN($M$3:$R$212))/(MAX($M$3:$R$212)-MIN($M$3:$R$212)))*((2^12)-1), 0)</f>
        <v>0</v>
      </c>
      <c r="W155" s="20">
        <f t="shared" ref="W155" si="118">ROUND(((Q155-MIN($M$3:$R$212))/(MAX($M$3:$R$212)-MIN($M$3:$R$212)))*((2^12)-1), 0)</f>
        <v>0</v>
      </c>
      <c r="X155" s="20">
        <f t="shared" ref="X155" si="119">ROUND(((R155-MIN($M$3:$R$212))/(MAX($M$3:$R$212)-MIN($M$3:$R$212)))*((2^12)-1), 0)</f>
        <v>0</v>
      </c>
      <c r="Y155" s="20" t="s">
        <v>397</v>
      </c>
      <c r="Z155" s="25">
        <v>0</v>
      </c>
      <c r="AA155" s="25">
        <v>1</v>
      </c>
      <c r="AB155" s="25" t="s">
        <v>401</v>
      </c>
      <c r="AC155" s="20" t="s">
        <v>683</v>
      </c>
    </row>
    <row r="156" spans="1:29" ht="63.75">
      <c r="A156" s="20" t="s">
        <v>379</v>
      </c>
      <c r="B156" s="24" t="str">
        <f>'Lambda-MOSFET'!A41</f>
        <v>Short-Circuit Between Gate and Drain</v>
      </c>
      <c r="C156" s="22">
        <f>'Lambda-MOSFET'!B$30</f>
        <v>2.4667019701711612E-8</v>
      </c>
      <c r="D156" s="23">
        <f>'Lambda-MOSFET'!C41</f>
        <v>9.2142857142857151E-2</v>
      </c>
      <c r="E156" s="20">
        <f>'Lambda-MOSFET'!D41</f>
        <v>2.2728896725148557E-9</v>
      </c>
      <c r="F156" s="21" t="s">
        <v>589</v>
      </c>
      <c r="G156" s="21" t="s">
        <v>490</v>
      </c>
      <c r="H156" s="20" t="s">
        <v>43</v>
      </c>
      <c r="I156" s="20" t="s">
        <v>392</v>
      </c>
      <c r="J156" s="20" t="s">
        <v>576</v>
      </c>
      <c r="K156" s="20" t="s">
        <v>676</v>
      </c>
      <c r="L156" s="20" t="s">
        <v>675</v>
      </c>
      <c r="M156" s="20">
        <v>3.1999999999999999E-6</v>
      </c>
      <c r="N156" s="20">
        <v>3.1999999999999999E-6</v>
      </c>
      <c r="O156" s="20">
        <v>3.1999999999999999E-6</v>
      </c>
      <c r="P156" s="20">
        <v>3.1999999999999999E-6</v>
      </c>
      <c r="Q156" s="20">
        <v>3.1999999999999999E-6</v>
      </c>
      <c r="R156" s="20">
        <v>3.1999999999999999E-6</v>
      </c>
      <c r="S156" s="20">
        <f t="shared" ref="S156:S159" si="120">ROUND(((M156-MIN($M$3:$R$212))/(MAX($M$3:$R$212)-MIN($M$3:$R$212)))*((2^12)-1), 0)</f>
        <v>0</v>
      </c>
      <c r="T156" s="20">
        <f t="shared" ref="T156:T159" si="121">ROUND(((N156-MIN($M$3:$R$212))/(MAX($M$3:$R$212)-MIN($M$3:$R$212)))*((2^12)-1), 0)</f>
        <v>0</v>
      </c>
      <c r="U156" s="20">
        <f t="shared" ref="U156:U159" si="122">ROUND(((O156-MIN($M$3:$R$212))/(MAX($M$3:$R$212)-MIN($M$3:$R$212)))*((2^12)-1), 0)</f>
        <v>0</v>
      </c>
      <c r="V156" s="20">
        <f t="shared" ref="V156:V159" si="123">ROUND(((P156-MIN($M$3:$R$212))/(MAX($M$3:$R$212)-MIN($M$3:$R$212)))*((2^12)-1), 0)</f>
        <v>0</v>
      </c>
      <c r="W156" s="20">
        <f t="shared" ref="W156:W159" si="124">ROUND(((Q156-MIN($M$3:$R$212))/(MAX($M$3:$R$212)-MIN($M$3:$R$212)))*((2^12)-1), 0)</f>
        <v>0</v>
      </c>
      <c r="X156" s="20">
        <f t="shared" ref="X156:X159" si="125">ROUND(((R156-MIN($M$3:$R$212))/(MAX($M$3:$R$212)-MIN($M$3:$R$212)))*((2^12)-1), 0)</f>
        <v>0</v>
      </c>
      <c r="Y156" s="20" t="s">
        <v>398</v>
      </c>
      <c r="Z156" s="25">
        <v>0</v>
      </c>
      <c r="AA156" s="25">
        <v>1</v>
      </c>
      <c r="AB156" s="25" t="s">
        <v>401</v>
      </c>
      <c r="AC156" s="20" t="s">
        <v>683</v>
      </c>
    </row>
    <row r="157" spans="1:29" ht="76.5">
      <c r="A157" s="20" t="s">
        <v>379</v>
      </c>
      <c r="B157" s="24" t="str">
        <f>'Lambda-MOSFET'!A42</f>
        <v>Short-Circuit Between Source and Gate</v>
      </c>
      <c r="C157" s="22">
        <f>'Lambda-MOSFET'!B$30</f>
        <v>2.4667019701711612E-8</v>
      </c>
      <c r="D157" s="23">
        <f>'Lambda-MOSFET'!C42</f>
        <v>9.2142857142857151E-2</v>
      </c>
      <c r="E157" s="20">
        <f>'Lambda-MOSFET'!D42</f>
        <v>2.2728896725148557E-9</v>
      </c>
      <c r="F157" s="21" t="s">
        <v>654</v>
      </c>
      <c r="G157" s="21" t="s">
        <v>655</v>
      </c>
      <c r="H157" s="20" t="s">
        <v>43</v>
      </c>
      <c r="I157" s="20" t="s">
        <v>392</v>
      </c>
      <c r="J157" s="20" t="s">
        <v>574</v>
      </c>
      <c r="K157" s="20" t="s">
        <v>676</v>
      </c>
      <c r="L157" s="20" t="s">
        <v>676</v>
      </c>
      <c r="M157" s="20">
        <v>3.27305</v>
      </c>
      <c r="N157" s="20">
        <v>3.2730299999999999</v>
      </c>
      <c r="O157" s="20">
        <v>3.2730600000000001</v>
      </c>
      <c r="P157" s="20">
        <v>3.2723450000000001</v>
      </c>
      <c r="Q157" s="20">
        <v>3.272335</v>
      </c>
      <c r="R157" s="20">
        <v>3.2723550000000001</v>
      </c>
      <c r="S157" s="20">
        <f t="shared" si="92"/>
        <v>4093</v>
      </c>
      <c r="T157" s="20">
        <f t="shared" si="121"/>
        <v>4093</v>
      </c>
      <c r="U157" s="20">
        <f t="shared" si="122"/>
        <v>4093</v>
      </c>
      <c r="V157" s="20">
        <f t="shared" si="123"/>
        <v>4092</v>
      </c>
      <c r="W157" s="20">
        <f t="shared" si="124"/>
        <v>4092</v>
      </c>
      <c r="X157" s="20">
        <f t="shared" si="125"/>
        <v>4092</v>
      </c>
      <c r="Y157" s="20" t="s">
        <v>467</v>
      </c>
      <c r="Z157" s="25">
        <v>0</v>
      </c>
      <c r="AA157" s="25">
        <v>1</v>
      </c>
      <c r="AB157" s="25" t="s">
        <v>397</v>
      </c>
      <c r="AC157" s="20" t="s">
        <v>683</v>
      </c>
    </row>
    <row r="158" spans="1:29" ht="38.25">
      <c r="A158" s="20" t="s">
        <v>379</v>
      </c>
      <c r="B158" s="24" t="str">
        <f>'Lambda-MOSFET'!A43</f>
        <v>Short-Circuit Between Source, Gate and Drain</v>
      </c>
      <c r="C158" s="22">
        <f>'Lambda-MOSFET'!B$30</f>
        <v>2.4667019701711612E-8</v>
      </c>
      <c r="D158" s="23">
        <f>'Lambda-MOSFET'!C43</f>
        <v>9.2142857142857151E-2</v>
      </c>
      <c r="E158" s="20">
        <f>'Lambda-MOSFET'!D43</f>
        <v>2.2728896725148557E-9</v>
      </c>
      <c r="F158" s="21" t="s">
        <v>590</v>
      </c>
      <c r="G158" s="21" t="s">
        <v>591</v>
      </c>
      <c r="H158" s="20" t="s">
        <v>43</v>
      </c>
      <c r="I158" s="20" t="s">
        <v>392</v>
      </c>
      <c r="J158" s="20" t="s">
        <v>573</v>
      </c>
      <c r="K158" s="20" t="s">
        <v>676</v>
      </c>
      <c r="L158" s="20" t="s">
        <v>675</v>
      </c>
      <c r="M158" s="20">
        <v>0</v>
      </c>
      <c r="N158" s="20">
        <v>0</v>
      </c>
      <c r="O158" s="20">
        <v>0</v>
      </c>
      <c r="P158" s="20">
        <v>0</v>
      </c>
      <c r="Q158" s="20">
        <v>0</v>
      </c>
      <c r="R158" s="20">
        <v>0</v>
      </c>
      <c r="S158" s="20">
        <f t="shared" si="120"/>
        <v>0</v>
      </c>
      <c r="T158" s="20">
        <f t="shared" si="121"/>
        <v>0</v>
      </c>
      <c r="U158" s="20">
        <f t="shared" si="122"/>
        <v>0</v>
      </c>
      <c r="V158" s="20">
        <f t="shared" si="123"/>
        <v>0</v>
      </c>
      <c r="W158" s="20">
        <f t="shared" si="124"/>
        <v>0</v>
      </c>
      <c r="X158" s="20">
        <f t="shared" si="125"/>
        <v>0</v>
      </c>
      <c r="Y158" s="20" t="s">
        <v>397</v>
      </c>
      <c r="Z158" s="25">
        <v>0</v>
      </c>
      <c r="AA158" s="25">
        <v>1</v>
      </c>
      <c r="AB158" s="25" t="s">
        <v>401</v>
      </c>
      <c r="AC158" s="20" t="s">
        <v>683</v>
      </c>
    </row>
    <row r="159" spans="1:29" ht="38.25">
      <c r="A159" s="20" t="s">
        <v>379</v>
      </c>
      <c r="B159" s="24" t="str">
        <f>'Lambda-MOSFET'!A44</f>
        <v>Short-Circuit Between Source and Drain with Interruption of Gate</v>
      </c>
      <c r="C159" s="22">
        <f>'Lambda-MOSFET'!B$30</f>
        <v>2.4667019701711612E-8</v>
      </c>
      <c r="D159" s="23">
        <f>'Lambda-MOSFET'!C44</f>
        <v>9.2142857142857151E-2</v>
      </c>
      <c r="E159" s="20">
        <f>'Lambda-MOSFET'!D44</f>
        <v>2.2728896725148557E-9</v>
      </c>
      <c r="F159" s="21" t="s">
        <v>590</v>
      </c>
      <c r="G159" s="21" t="s">
        <v>591</v>
      </c>
      <c r="H159" s="20" t="s">
        <v>43</v>
      </c>
      <c r="I159" s="20" t="s">
        <v>392</v>
      </c>
      <c r="J159" s="20" t="s">
        <v>573</v>
      </c>
      <c r="K159" s="20" t="s">
        <v>676</v>
      </c>
      <c r="L159" s="20" t="s">
        <v>675</v>
      </c>
      <c r="M159" s="20">
        <v>0</v>
      </c>
      <c r="N159" s="20">
        <v>0</v>
      </c>
      <c r="O159" s="20">
        <v>0</v>
      </c>
      <c r="P159" s="20">
        <v>0</v>
      </c>
      <c r="Q159" s="20">
        <v>0</v>
      </c>
      <c r="R159" s="20">
        <v>0</v>
      </c>
      <c r="S159" s="20">
        <f t="shared" si="120"/>
        <v>0</v>
      </c>
      <c r="T159" s="20">
        <f t="shared" si="121"/>
        <v>0</v>
      </c>
      <c r="U159" s="20">
        <f t="shared" si="122"/>
        <v>0</v>
      </c>
      <c r="V159" s="20">
        <f t="shared" si="123"/>
        <v>0</v>
      </c>
      <c r="W159" s="20">
        <f t="shared" si="124"/>
        <v>0</v>
      </c>
      <c r="X159" s="20">
        <f t="shared" si="125"/>
        <v>0</v>
      </c>
      <c r="Y159" s="20" t="s">
        <v>397</v>
      </c>
      <c r="Z159" s="25">
        <v>0</v>
      </c>
      <c r="AA159" s="25">
        <v>1</v>
      </c>
      <c r="AB159" s="25" t="s">
        <v>401</v>
      </c>
      <c r="AC159" s="20" t="s">
        <v>683</v>
      </c>
    </row>
    <row r="160" spans="1:29" ht="63.75">
      <c r="A160" s="20" t="s">
        <v>379</v>
      </c>
      <c r="B160" s="24" t="str">
        <f>'Lambda-MOSFET'!A45</f>
        <v>Short-Circuit Between Gate and Drain with Interruption of Source</v>
      </c>
      <c r="C160" s="22">
        <f>'Lambda-MOSFET'!B$30</f>
        <v>2.4667019701711612E-8</v>
      </c>
      <c r="D160" s="23">
        <f>'Lambda-MOSFET'!C45</f>
        <v>9.2142857142857151E-2</v>
      </c>
      <c r="E160" s="20">
        <f>'Lambda-MOSFET'!D45</f>
        <v>2.2728896725148557E-9</v>
      </c>
      <c r="F160" s="21" t="s">
        <v>589</v>
      </c>
      <c r="G160" s="21" t="s">
        <v>490</v>
      </c>
      <c r="H160" s="20" t="s">
        <v>43</v>
      </c>
      <c r="I160" s="20" t="s">
        <v>392</v>
      </c>
      <c r="J160" s="20" t="s">
        <v>576</v>
      </c>
      <c r="K160" s="20" t="s">
        <v>676</v>
      </c>
      <c r="L160" s="20" t="s">
        <v>675</v>
      </c>
      <c r="M160" s="20">
        <v>3.1999999999999999E-6</v>
      </c>
      <c r="N160" s="20">
        <v>3.1999999999999999E-6</v>
      </c>
      <c r="O160" s="20">
        <v>3.1999999999999999E-6</v>
      </c>
      <c r="P160" s="20">
        <v>3.1999999999999999E-6</v>
      </c>
      <c r="Q160" s="20">
        <v>3.1999999999999999E-6</v>
      </c>
      <c r="R160" s="20">
        <v>3.1999999999999999E-6</v>
      </c>
      <c r="S160" s="20">
        <f t="shared" ref="S160:S165" si="126">ROUND(((M160-MIN($M$3:$R$212))/(MAX($M$3:$R$212)-MIN($M$3:$R$212)))*((2^12)-1), 0)</f>
        <v>0</v>
      </c>
      <c r="T160" s="20">
        <f t="shared" ref="T160:T167" si="127">ROUND(((N160-MIN($M$3:$R$212))/(MAX($M$3:$R$212)-MIN($M$3:$R$212)))*((2^12)-1), 0)</f>
        <v>0</v>
      </c>
      <c r="U160" s="20">
        <f t="shared" ref="U160:U167" si="128">ROUND(((O160-MIN($M$3:$R$212))/(MAX($M$3:$R$212)-MIN($M$3:$R$212)))*((2^12)-1), 0)</f>
        <v>0</v>
      </c>
      <c r="V160" s="20">
        <f t="shared" ref="V160:V167" si="129">ROUND(((P160-MIN($M$3:$R$212))/(MAX($M$3:$R$212)-MIN($M$3:$R$212)))*((2^12)-1), 0)</f>
        <v>0</v>
      </c>
      <c r="W160" s="20">
        <f t="shared" ref="W160:W167" si="130">ROUND(((Q160-MIN($M$3:$R$212))/(MAX($M$3:$R$212)-MIN($M$3:$R$212)))*((2^12)-1), 0)</f>
        <v>0</v>
      </c>
      <c r="X160" s="20">
        <f t="shared" ref="X160:X167" si="131">ROUND(((R160-MIN($M$3:$R$212))/(MAX($M$3:$R$212)-MIN($M$3:$R$212)))*((2^12)-1), 0)</f>
        <v>0</v>
      </c>
      <c r="Y160" s="20" t="s">
        <v>398</v>
      </c>
      <c r="Z160" s="25">
        <v>0</v>
      </c>
      <c r="AA160" s="25">
        <v>1</v>
      </c>
      <c r="AB160" s="25" t="s">
        <v>401</v>
      </c>
      <c r="AC160" s="20" t="s">
        <v>683</v>
      </c>
    </row>
    <row r="161" spans="1:29" ht="76.5">
      <c r="A161" s="20" t="s">
        <v>379</v>
      </c>
      <c r="B161" s="24" t="str">
        <f>'Lambda-MOSFET'!A46</f>
        <v>Short-Circuit Between Source and Gate with Interruption of Drain</v>
      </c>
      <c r="C161" s="22">
        <f>'Lambda-MOSFET'!B$30</f>
        <v>2.4667019701711612E-8</v>
      </c>
      <c r="D161" s="23">
        <f>'Lambda-MOSFET'!C46</f>
        <v>9.2142857142857151E-2</v>
      </c>
      <c r="E161" s="20">
        <f>'Lambda-MOSFET'!D46</f>
        <v>2.2728896725148557E-9</v>
      </c>
      <c r="F161" s="21" t="s">
        <v>654</v>
      </c>
      <c r="G161" s="21" t="s">
        <v>655</v>
      </c>
      <c r="H161" s="20" t="s">
        <v>43</v>
      </c>
      <c r="I161" s="20" t="s">
        <v>392</v>
      </c>
      <c r="J161" s="20" t="s">
        <v>574</v>
      </c>
      <c r="K161" s="20" t="s">
        <v>676</v>
      </c>
      <c r="L161" s="20" t="s">
        <v>676</v>
      </c>
      <c r="M161" s="20">
        <v>3.27305</v>
      </c>
      <c r="N161" s="20">
        <v>3.2730299999999999</v>
      </c>
      <c r="O161" s="20">
        <v>3.2730600000000001</v>
      </c>
      <c r="P161" s="20">
        <v>3.2723450000000001</v>
      </c>
      <c r="Q161" s="20">
        <v>3.272335</v>
      </c>
      <c r="R161" s="20">
        <v>3.2723550000000001</v>
      </c>
      <c r="S161" s="20">
        <f t="shared" si="92"/>
        <v>4093</v>
      </c>
      <c r="T161" s="20">
        <f t="shared" si="127"/>
        <v>4093</v>
      </c>
      <c r="U161" s="20">
        <f t="shared" si="128"/>
        <v>4093</v>
      </c>
      <c r="V161" s="20">
        <f t="shared" si="129"/>
        <v>4092</v>
      </c>
      <c r="W161" s="20">
        <f t="shared" si="130"/>
        <v>4092</v>
      </c>
      <c r="X161" s="20">
        <f t="shared" si="131"/>
        <v>4092</v>
      </c>
      <c r="Y161" s="20" t="s">
        <v>467</v>
      </c>
      <c r="Z161" s="25">
        <v>0</v>
      </c>
      <c r="AA161" s="25">
        <v>1</v>
      </c>
      <c r="AB161" s="25" t="s">
        <v>397</v>
      </c>
      <c r="AC161" s="20" t="s">
        <v>683</v>
      </c>
    </row>
    <row r="162" spans="1:29" ht="38.25">
      <c r="A162" s="20" t="s">
        <v>379</v>
      </c>
      <c r="B162" s="24" t="str">
        <f>'Lambda-MOSFET'!A47</f>
        <v>Short-Circuit Between Casing and Source</v>
      </c>
      <c r="C162" s="22">
        <f>'Lambda-MOSFET'!B$30</f>
        <v>2.4667019701711612E-8</v>
      </c>
      <c r="D162" s="23">
        <f>'Lambda-MOSFET'!C47</f>
        <v>0</v>
      </c>
      <c r="E162" s="20">
        <f>'Lambda-MOSFET'!D47</f>
        <v>0</v>
      </c>
      <c r="F162" s="21" t="s">
        <v>382</v>
      </c>
      <c r="G162" s="21" t="s">
        <v>382</v>
      </c>
      <c r="H162" s="20" t="s">
        <v>43</v>
      </c>
      <c r="I162" s="20" t="s">
        <v>393</v>
      </c>
      <c r="J162" s="20" t="s">
        <v>393</v>
      </c>
      <c r="K162" s="20" t="s">
        <v>677</v>
      </c>
      <c r="L162" s="20" t="s">
        <v>677</v>
      </c>
      <c r="M162" s="20">
        <v>3.2724899999999999</v>
      </c>
      <c r="N162" s="20">
        <v>3.2719999999999998</v>
      </c>
      <c r="O162" s="20">
        <v>3.2749999999999999</v>
      </c>
      <c r="P162" s="20">
        <v>4.3130000000000002E-2</v>
      </c>
      <c r="Q162" s="20">
        <v>4.095E-2</v>
      </c>
      <c r="R162" s="20">
        <v>4.53E-2</v>
      </c>
      <c r="S162" s="20">
        <f t="shared" si="126"/>
        <v>4092</v>
      </c>
      <c r="T162" s="20">
        <f t="shared" si="127"/>
        <v>4091</v>
      </c>
      <c r="U162" s="20">
        <f t="shared" si="128"/>
        <v>4095</v>
      </c>
      <c r="V162" s="20">
        <f t="shared" si="129"/>
        <v>54</v>
      </c>
      <c r="W162" s="20">
        <f t="shared" si="130"/>
        <v>51</v>
      </c>
      <c r="X162" s="20">
        <f t="shared" si="131"/>
        <v>57</v>
      </c>
      <c r="Y162" s="20" t="s">
        <v>401</v>
      </c>
      <c r="Z162" s="25">
        <v>0</v>
      </c>
      <c r="AA162" s="25">
        <v>1</v>
      </c>
      <c r="AB162" s="25" t="s">
        <v>401</v>
      </c>
      <c r="AC162" s="20" t="s">
        <v>683</v>
      </c>
    </row>
    <row r="163" spans="1:29" ht="38.25">
      <c r="A163" s="20" t="s">
        <v>379</v>
      </c>
      <c r="B163" s="24" t="str">
        <f>'Lambda-MOSFET'!A48</f>
        <v>Short-Circuit Between Casing and Gate</v>
      </c>
      <c r="C163" s="22">
        <f>'Lambda-MOSFET'!B$30</f>
        <v>2.4667019701711612E-8</v>
      </c>
      <c r="D163" s="23">
        <f>'Lambda-MOSFET'!C48</f>
        <v>0</v>
      </c>
      <c r="E163" s="20">
        <f>'Lambda-MOSFET'!D48</f>
        <v>0</v>
      </c>
      <c r="F163" s="21" t="s">
        <v>382</v>
      </c>
      <c r="G163" s="21" t="s">
        <v>382</v>
      </c>
      <c r="H163" s="20" t="s">
        <v>43</v>
      </c>
      <c r="I163" s="20" t="s">
        <v>393</v>
      </c>
      <c r="J163" s="20" t="s">
        <v>393</v>
      </c>
      <c r="K163" s="20" t="s">
        <v>677</v>
      </c>
      <c r="L163" s="20" t="s">
        <v>677</v>
      </c>
      <c r="M163" s="20">
        <v>3.2724899999999999</v>
      </c>
      <c r="N163" s="20">
        <v>3.2719999999999998</v>
      </c>
      <c r="O163" s="20">
        <v>3.2749999999999999</v>
      </c>
      <c r="P163" s="20">
        <v>4.3130000000000002E-2</v>
      </c>
      <c r="Q163" s="20">
        <v>4.095E-2</v>
      </c>
      <c r="R163" s="20">
        <v>4.53E-2</v>
      </c>
      <c r="S163" s="20">
        <f t="shared" si="126"/>
        <v>4092</v>
      </c>
      <c r="T163" s="20">
        <f t="shared" si="127"/>
        <v>4091</v>
      </c>
      <c r="U163" s="20">
        <f t="shared" si="128"/>
        <v>4095</v>
      </c>
      <c r="V163" s="20">
        <f t="shared" si="129"/>
        <v>54</v>
      </c>
      <c r="W163" s="20">
        <f t="shared" si="130"/>
        <v>51</v>
      </c>
      <c r="X163" s="20">
        <f t="shared" si="131"/>
        <v>57</v>
      </c>
      <c r="Y163" s="20" t="s">
        <v>401</v>
      </c>
      <c r="Z163" s="25">
        <v>0</v>
      </c>
      <c r="AA163" s="25">
        <v>1</v>
      </c>
      <c r="AB163" s="25" t="s">
        <v>401</v>
      </c>
      <c r="AC163" s="20" t="s">
        <v>683</v>
      </c>
    </row>
    <row r="164" spans="1:29" ht="38.25">
      <c r="A164" s="20" t="s">
        <v>379</v>
      </c>
      <c r="B164" s="24" t="str">
        <f>'Lambda-MOSFET'!A49</f>
        <v>Short-Circuit Between Casing and Drain</v>
      </c>
      <c r="C164" s="22">
        <f>'Lambda-MOSFET'!B$30</f>
        <v>2.4667019701711612E-8</v>
      </c>
      <c r="D164" s="23">
        <f>'Lambda-MOSFET'!C49</f>
        <v>0</v>
      </c>
      <c r="E164" s="20">
        <f>'Lambda-MOSFET'!D49</f>
        <v>0</v>
      </c>
      <c r="F164" s="21" t="s">
        <v>382</v>
      </c>
      <c r="G164" s="21" t="s">
        <v>382</v>
      </c>
      <c r="H164" s="20" t="s">
        <v>43</v>
      </c>
      <c r="I164" s="20" t="s">
        <v>393</v>
      </c>
      <c r="J164" s="20" t="s">
        <v>393</v>
      </c>
      <c r="K164" s="20" t="s">
        <v>677</v>
      </c>
      <c r="L164" s="20" t="s">
        <v>677</v>
      </c>
      <c r="M164" s="20">
        <v>3.2724899999999999</v>
      </c>
      <c r="N164" s="20">
        <v>3.2719999999999998</v>
      </c>
      <c r="O164" s="20">
        <v>3.2749999999999999</v>
      </c>
      <c r="P164" s="20">
        <v>4.3130000000000002E-2</v>
      </c>
      <c r="Q164" s="20">
        <v>4.095E-2</v>
      </c>
      <c r="R164" s="20">
        <v>4.53E-2</v>
      </c>
      <c r="S164" s="20">
        <f t="shared" si="126"/>
        <v>4092</v>
      </c>
      <c r="T164" s="20">
        <f t="shared" si="127"/>
        <v>4091</v>
      </c>
      <c r="U164" s="20">
        <f t="shared" si="128"/>
        <v>4095</v>
      </c>
      <c r="V164" s="20">
        <f t="shared" si="129"/>
        <v>54</v>
      </c>
      <c r="W164" s="20">
        <f t="shared" si="130"/>
        <v>51</v>
      </c>
      <c r="X164" s="20">
        <f t="shared" si="131"/>
        <v>57</v>
      </c>
      <c r="Y164" s="20" t="s">
        <v>401</v>
      </c>
      <c r="Z164" s="25">
        <v>0</v>
      </c>
      <c r="AA164" s="25">
        <v>1</v>
      </c>
      <c r="AB164" s="25" t="s">
        <v>401</v>
      </c>
      <c r="AC164" s="20" t="s">
        <v>683</v>
      </c>
    </row>
    <row r="165" spans="1:29" ht="38.25">
      <c r="A165" s="20" t="s">
        <v>379</v>
      </c>
      <c r="B165" s="24" t="str">
        <f>'Lambda-MOSFET'!A50</f>
        <v>Increase of Forward Transcondutance</v>
      </c>
      <c r="C165" s="22">
        <f>'Lambda-MOSFET'!B$30</f>
        <v>2.4667019701711612E-8</v>
      </c>
      <c r="D165" s="23">
        <f>'Lambda-MOSFET'!C50</f>
        <v>1.3076923076923078E-2</v>
      </c>
      <c r="E165" s="20">
        <f>'Lambda-MOSFET'!D50</f>
        <v>3.2256871917622881E-10</v>
      </c>
      <c r="F165" s="21" t="s">
        <v>592</v>
      </c>
      <c r="G165" s="21" t="s">
        <v>592</v>
      </c>
      <c r="H165" s="20" t="s">
        <v>43</v>
      </c>
      <c r="I165" s="20" t="s">
        <v>393</v>
      </c>
      <c r="J165" s="20" t="s">
        <v>393</v>
      </c>
      <c r="K165" s="20" t="s">
        <v>677</v>
      </c>
      <c r="L165" s="20" t="s">
        <v>677</v>
      </c>
      <c r="M165" s="20">
        <v>3.2724899999999999</v>
      </c>
      <c r="N165" s="20">
        <v>3.2719999999999998</v>
      </c>
      <c r="O165" s="20">
        <v>3.2749999999999999</v>
      </c>
      <c r="P165" s="20">
        <v>4.3130000000000002E-2</v>
      </c>
      <c r="Q165" s="20">
        <v>4.095E-2</v>
      </c>
      <c r="R165" s="20">
        <v>4.53E-2</v>
      </c>
      <c r="S165" s="20">
        <f t="shared" si="126"/>
        <v>4092</v>
      </c>
      <c r="T165" s="20">
        <f t="shared" si="127"/>
        <v>4091</v>
      </c>
      <c r="U165" s="20">
        <f t="shared" si="128"/>
        <v>4095</v>
      </c>
      <c r="V165" s="20">
        <f t="shared" si="129"/>
        <v>54</v>
      </c>
      <c r="W165" s="20">
        <f t="shared" si="130"/>
        <v>51</v>
      </c>
      <c r="X165" s="20">
        <f t="shared" si="131"/>
        <v>57</v>
      </c>
      <c r="Y165" s="20" t="s">
        <v>401</v>
      </c>
      <c r="Z165" s="25">
        <v>0</v>
      </c>
      <c r="AA165" s="25">
        <v>1</v>
      </c>
      <c r="AB165" s="25" t="s">
        <v>401</v>
      </c>
      <c r="AC165" s="20" t="s">
        <v>683</v>
      </c>
    </row>
    <row r="166" spans="1:29" ht="38.25">
      <c r="A166" s="20" t="s">
        <v>379</v>
      </c>
      <c r="B166" s="24" t="str">
        <f>'Lambda-MOSFET'!A51</f>
        <v>Decrease of Forward Transcondutance</v>
      </c>
      <c r="C166" s="22">
        <f>'Lambda-MOSFET'!B$30</f>
        <v>2.4667019701711612E-8</v>
      </c>
      <c r="D166" s="23">
        <f>'Lambda-MOSFET'!C51</f>
        <v>1.3076923076923078E-2</v>
      </c>
      <c r="E166" s="20">
        <f>'Lambda-MOSFET'!D51</f>
        <v>3.2256871917622881E-10</v>
      </c>
      <c r="F166" s="21" t="s">
        <v>593</v>
      </c>
      <c r="G166" s="21" t="s">
        <v>659</v>
      </c>
      <c r="H166" s="20" t="s">
        <v>43</v>
      </c>
      <c r="I166" s="20" t="s">
        <v>392</v>
      </c>
      <c r="J166" s="20" t="s">
        <v>574</v>
      </c>
      <c r="K166" s="20" t="s">
        <v>676</v>
      </c>
      <c r="L166" s="20" t="s">
        <v>676</v>
      </c>
      <c r="M166" s="20">
        <v>3.27305</v>
      </c>
      <c r="N166" s="20">
        <v>3.2730299999999999</v>
      </c>
      <c r="O166" s="20">
        <v>3.2730600000000001</v>
      </c>
      <c r="P166" s="20">
        <v>1.63</v>
      </c>
      <c r="Q166" s="20">
        <v>4.095E-2</v>
      </c>
      <c r="R166" s="20">
        <v>3.2723550000000001</v>
      </c>
      <c r="S166" s="20">
        <f t="shared" si="92"/>
        <v>4093</v>
      </c>
      <c r="T166" s="20">
        <f t="shared" si="127"/>
        <v>4093</v>
      </c>
      <c r="U166" s="20">
        <f t="shared" si="128"/>
        <v>4093</v>
      </c>
      <c r="V166" s="20">
        <f t="shared" si="129"/>
        <v>2038</v>
      </c>
      <c r="W166" s="20">
        <f t="shared" si="130"/>
        <v>51</v>
      </c>
      <c r="X166" s="20">
        <f t="shared" si="131"/>
        <v>4092</v>
      </c>
      <c r="Y166" s="20" t="s">
        <v>467</v>
      </c>
      <c r="Z166" s="25">
        <v>0</v>
      </c>
      <c r="AA166" s="25">
        <v>1</v>
      </c>
      <c r="AB166" s="25" t="s">
        <v>397</v>
      </c>
      <c r="AC166" s="20" t="s">
        <v>683</v>
      </c>
    </row>
    <row r="167" spans="1:29" ht="38.25">
      <c r="A167" s="20" t="s">
        <v>379</v>
      </c>
      <c r="B167" s="24" t="str">
        <f>'Lambda-MOSFET'!A52</f>
        <v>Increase of Gate Threshold Voltage</v>
      </c>
      <c r="C167" s="22">
        <f>'Lambda-MOSFET'!B$30</f>
        <v>2.4667019701711612E-8</v>
      </c>
      <c r="D167" s="23">
        <f>'Lambda-MOSFET'!C52</f>
        <v>1.3076923076923078E-2</v>
      </c>
      <c r="E167" s="20">
        <f>'Lambda-MOSFET'!D52</f>
        <v>3.2256871917622881E-10</v>
      </c>
      <c r="F167" s="21" t="s">
        <v>594</v>
      </c>
      <c r="G167" s="21" t="s">
        <v>594</v>
      </c>
      <c r="H167" s="20" t="s">
        <v>43</v>
      </c>
      <c r="I167" s="20" t="s">
        <v>392</v>
      </c>
      <c r="J167" s="20" t="s">
        <v>574</v>
      </c>
      <c r="K167" s="20" t="s">
        <v>676</v>
      </c>
      <c r="L167" s="20" t="s">
        <v>676</v>
      </c>
      <c r="M167" s="20">
        <v>3.27305</v>
      </c>
      <c r="N167" s="20">
        <v>3.2730299999999999</v>
      </c>
      <c r="O167" s="20">
        <v>3.2730600000000001</v>
      </c>
      <c r="P167" s="20">
        <v>1.63</v>
      </c>
      <c r="Q167" s="20">
        <v>4.095E-2</v>
      </c>
      <c r="R167" s="20">
        <v>3.2723550000000001</v>
      </c>
      <c r="S167" s="20">
        <f t="shared" si="92"/>
        <v>4093</v>
      </c>
      <c r="T167" s="20">
        <f t="shared" si="127"/>
        <v>4093</v>
      </c>
      <c r="U167" s="20">
        <f t="shared" si="128"/>
        <v>4093</v>
      </c>
      <c r="V167" s="20">
        <f t="shared" si="129"/>
        <v>2038</v>
      </c>
      <c r="W167" s="20">
        <f t="shared" si="130"/>
        <v>51</v>
      </c>
      <c r="X167" s="20">
        <f t="shared" si="131"/>
        <v>4092</v>
      </c>
      <c r="Y167" s="20" t="s">
        <v>467</v>
      </c>
      <c r="Z167" s="25">
        <v>0</v>
      </c>
      <c r="AA167" s="25">
        <v>1</v>
      </c>
      <c r="AB167" s="25" t="s">
        <v>397</v>
      </c>
      <c r="AC167" s="20" t="s">
        <v>683</v>
      </c>
    </row>
    <row r="168" spans="1:29" ht="51">
      <c r="A168" s="20" t="s">
        <v>379</v>
      </c>
      <c r="B168" s="24" t="str">
        <f>'Lambda-MOSFET'!A53</f>
        <v>Decrease of Gate Threshold Voltage</v>
      </c>
      <c r="C168" s="22">
        <f>'Lambda-MOSFET'!B$30</f>
        <v>2.4667019701711612E-8</v>
      </c>
      <c r="D168" s="23">
        <f>'Lambda-MOSFET'!C53</f>
        <v>1.3076923076923078E-2</v>
      </c>
      <c r="E168" s="20">
        <f>'Lambda-MOSFET'!D53</f>
        <v>3.2256871917622881E-10</v>
      </c>
      <c r="F168" s="21" t="s">
        <v>595</v>
      </c>
      <c r="G168" s="21" t="s">
        <v>595</v>
      </c>
      <c r="H168" s="20" t="s">
        <v>43</v>
      </c>
      <c r="I168" s="20" t="s">
        <v>392</v>
      </c>
      <c r="J168" s="20" t="s">
        <v>573</v>
      </c>
      <c r="K168" s="20" t="s">
        <v>672</v>
      </c>
      <c r="L168" s="20" t="s">
        <v>675</v>
      </c>
      <c r="M168" s="20">
        <v>1.63</v>
      </c>
      <c r="N168" s="20">
        <v>0</v>
      </c>
      <c r="O168" s="20">
        <v>3.27305</v>
      </c>
      <c r="P168" s="20">
        <v>3.1999999999999999E-6</v>
      </c>
      <c r="Q168" s="20">
        <v>0</v>
      </c>
      <c r="R168" s="20">
        <v>3.1999999999999999E-6</v>
      </c>
      <c r="S168" s="20">
        <f t="shared" ref="S168" si="132">ROUND(((M168-MIN($M$3:$R$212))/(MAX($M$3:$R$212)-MIN($M$3:$R$212)))*((2^12)-1), 0)</f>
        <v>2038</v>
      </c>
      <c r="T168" s="20">
        <f t="shared" ref="T168" si="133">ROUND(((N168-MIN($M$3:$R$212))/(MAX($M$3:$R$212)-MIN($M$3:$R$212)))*((2^12)-1), 0)</f>
        <v>0</v>
      </c>
      <c r="U168" s="20">
        <f t="shared" ref="U168" si="134">ROUND(((O168-MIN($M$3:$R$212))/(MAX($M$3:$R$212)-MIN($M$3:$R$212)))*((2^12)-1), 0)</f>
        <v>4093</v>
      </c>
      <c r="V168" s="20">
        <f t="shared" ref="V168" si="135">ROUND(((P168-MIN($M$3:$R$212))/(MAX($M$3:$R$212)-MIN($M$3:$R$212)))*((2^12)-1), 0)</f>
        <v>0</v>
      </c>
      <c r="W168" s="20">
        <f t="shared" ref="W168" si="136">ROUND(((Q168-MIN($M$3:$R$212))/(MAX($M$3:$R$212)-MIN($M$3:$R$212)))*((2^12)-1), 0)</f>
        <v>0</v>
      </c>
      <c r="X168" s="20">
        <f t="shared" ref="X168" si="137">ROUND(((R168-MIN($M$3:$R$212))/(MAX($M$3:$R$212)-MIN($M$3:$R$212)))*((2^12)-1), 0)</f>
        <v>0</v>
      </c>
      <c r="Y168" s="20" t="s">
        <v>397</v>
      </c>
      <c r="Z168" s="25">
        <v>0</v>
      </c>
      <c r="AA168" s="25">
        <v>1</v>
      </c>
      <c r="AB168" s="25" t="s">
        <v>401</v>
      </c>
      <c r="AC168" s="25" t="s">
        <v>681</v>
      </c>
    </row>
    <row r="169" spans="1:29" ht="51">
      <c r="A169" s="20" t="s">
        <v>379</v>
      </c>
      <c r="B169" s="24" t="str">
        <f>'Lambda-MOSFET'!A54</f>
        <v>Decrease of Drain-Source Breakdown Voltage</v>
      </c>
      <c r="C169" s="22">
        <f>'Lambda-MOSFET'!B$30</f>
        <v>2.4667019701711612E-8</v>
      </c>
      <c r="D169" s="23">
        <f>'Lambda-MOSFET'!C54</f>
        <v>1.3076923076923078E-2</v>
      </c>
      <c r="E169" s="20">
        <f>'Lambda-MOSFET'!D54</f>
        <v>3.2256871917622881E-10</v>
      </c>
      <c r="F169" s="21" t="s">
        <v>595</v>
      </c>
      <c r="G169" s="21" t="s">
        <v>595</v>
      </c>
      <c r="H169" s="20" t="s">
        <v>43</v>
      </c>
      <c r="I169" s="20" t="s">
        <v>392</v>
      </c>
      <c r="J169" s="20" t="s">
        <v>573</v>
      </c>
      <c r="K169" s="20" t="s">
        <v>672</v>
      </c>
      <c r="L169" s="20" t="s">
        <v>675</v>
      </c>
      <c r="M169" s="20">
        <v>1.63</v>
      </c>
      <c r="N169" s="20">
        <v>0</v>
      </c>
      <c r="O169" s="20">
        <v>3.27305</v>
      </c>
      <c r="P169" s="20">
        <v>3.1999999999999999E-6</v>
      </c>
      <c r="Q169" s="20">
        <v>0</v>
      </c>
      <c r="R169" s="20">
        <v>3.1999999999999999E-6</v>
      </c>
      <c r="S169" s="20">
        <f t="shared" ref="S169:S171" si="138">ROUND(((M169-MIN($M$3:$R$212))/(MAX($M$3:$R$212)-MIN($M$3:$R$212)))*((2^12)-1), 0)</f>
        <v>2038</v>
      </c>
      <c r="T169" s="20">
        <f t="shared" ref="T169:T174" si="139">ROUND(((N169-MIN($M$3:$R$212))/(MAX($M$3:$R$212)-MIN($M$3:$R$212)))*((2^12)-1), 0)</f>
        <v>0</v>
      </c>
      <c r="U169" s="20">
        <f t="shared" ref="U169:U174" si="140">ROUND(((O169-MIN($M$3:$R$212))/(MAX($M$3:$R$212)-MIN($M$3:$R$212)))*((2^12)-1), 0)</f>
        <v>4093</v>
      </c>
      <c r="V169" s="20">
        <f t="shared" ref="V169:V174" si="141">ROUND(((P169-MIN($M$3:$R$212))/(MAX($M$3:$R$212)-MIN($M$3:$R$212)))*((2^12)-1), 0)</f>
        <v>0</v>
      </c>
      <c r="W169" s="20">
        <f t="shared" ref="W169:W174" si="142">ROUND(((Q169-MIN($M$3:$R$212))/(MAX($M$3:$R$212)-MIN($M$3:$R$212)))*((2^12)-1), 0)</f>
        <v>0</v>
      </c>
      <c r="X169" s="20">
        <f t="shared" ref="X169:X174" si="143">ROUND(((R169-MIN($M$3:$R$212))/(MAX($M$3:$R$212)-MIN($M$3:$R$212)))*((2^12)-1), 0)</f>
        <v>0</v>
      </c>
      <c r="Y169" s="20" t="s">
        <v>397</v>
      </c>
      <c r="Z169" s="25">
        <v>0</v>
      </c>
      <c r="AA169" s="25">
        <v>1</v>
      </c>
      <c r="AB169" s="25" t="s">
        <v>401</v>
      </c>
      <c r="AC169" s="25" t="s">
        <v>681</v>
      </c>
    </row>
    <row r="170" spans="1:29" ht="38.25">
      <c r="A170" s="20" t="s">
        <v>379</v>
      </c>
      <c r="B170" s="24" t="str">
        <f>'Lambda-MOSFET'!A55</f>
        <v>Decrease of Gate-Source Maximum Rated Voltage</v>
      </c>
      <c r="C170" s="22">
        <f>'Lambda-MOSFET'!B$30</f>
        <v>2.4667019701711612E-8</v>
      </c>
      <c r="D170" s="23">
        <f>'Lambda-MOSFET'!C55</f>
        <v>1.3076923076923078E-2</v>
      </c>
      <c r="E170" s="20">
        <f>'Lambda-MOSFET'!D55</f>
        <v>3.2256871917622881E-10</v>
      </c>
      <c r="F170" s="21" t="s">
        <v>596</v>
      </c>
      <c r="G170" s="21" t="s">
        <v>596</v>
      </c>
      <c r="H170" s="20" t="s">
        <v>43</v>
      </c>
      <c r="I170" s="20" t="s">
        <v>392</v>
      </c>
      <c r="J170" s="20" t="s">
        <v>574</v>
      </c>
      <c r="K170" s="20" t="s">
        <v>676</v>
      </c>
      <c r="L170" s="20" t="s">
        <v>676</v>
      </c>
      <c r="M170" s="20">
        <v>3.27305</v>
      </c>
      <c r="N170" s="20">
        <v>3.2730299999999999</v>
      </c>
      <c r="O170" s="20">
        <v>3.2730600000000001</v>
      </c>
      <c r="P170" s="20">
        <v>1.63</v>
      </c>
      <c r="Q170" s="20">
        <v>4.095E-2</v>
      </c>
      <c r="R170" s="20">
        <v>3.2723550000000001</v>
      </c>
      <c r="S170" s="20">
        <f t="shared" si="92"/>
        <v>4093</v>
      </c>
      <c r="T170" s="20">
        <f t="shared" si="139"/>
        <v>4093</v>
      </c>
      <c r="U170" s="20">
        <f t="shared" si="140"/>
        <v>4093</v>
      </c>
      <c r="V170" s="20">
        <f t="shared" si="141"/>
        <v>2038</v>
      </c>
      <c r="W170" s="20">
        <f t="shared" si="142"/>
        <v>51</v>
      </c>
      <c r="X170" s="20">
        <f t="shared" si="143"/>
        <v>4092</v>
      </c>
      <c r="Y170" s="20" t="s">
        <v>467</v>
      </c>
      <c r="Z170" s="25">
        <v>0</v>
      </c>
      <c r="AA170" s="25">
        <v>1</v>
      </c>
      <c r="AB170" s="25" t="s">
        <v>397</v>
      </c>
      <c r="AC170" s="20" t="s">
        <v>683</v>
      </c>
    </row>
    <row r="171" spans="1:29" ht="51">
      <c r="A171" s="20" t="s">
        <v>379</v>
      </c>
      <c r="B171" s="24" t="str">
        <f>'Lambda-MOSFET'!A56</f>
        <v>Decrease of Drain-Gate Maximum Rated Voltage</v>
      </c>
      <c r="C171" s="22">
        <f>'Lambda-MOSFET'!B$30</f>
        <v>2.4667019701711612E-8</v>
      </c>
      <c r="D171" s="23">
        <f>'Lambda-MOSFET'!C56</f>
        <v>1.3076923076923078E-2</v>
      </c>
      <c r="E171" s="20">
        <f>'Lambda-MOSFET'!D56</f>
        <v>3.2256871917622881E-10</v>
      </c>
      <c r="F171" s="21" t="s">
        <v>597</v>
      </c>
      <c r="G171" s="21" t="s">
        <v>597</v>
      </c>
      <c r="H171" s="20" t="s">
        <v>43</v>
      </c>
      <c r="I171" s="20" t="s">
        <v>392</v>
      </c>
      <c r="J171" s="20" t="s">
        <v>576</v>
      </c>
      <c r="K171" s="20" t="s">
        <v>672</v>
      </c>
      <c r="L171" s="20" t="s">
        <v>675</v>
      </c>
      <c r="M171" s="20">
        <v>1.63</v>
      </c>
      <c r="N171" s="20">
        <v>3.1999999999999999E-6</v>
      </c>
      <c r="O171" s="20">
        <v>3.27305</v>
      </c>
      <c r="P171" s="20">
        <v>1.63</v>
      </c>
      <c r="Q171" s="20">
        <v>3.1999999999999999E-6</v>
      </c>
      <c r="R171" s="20">
        <v>3.27305</v>
      </c>
      <c r="S171" s="20">
        <f t="shared" si="138"/>
        <v>2038</v>
      </c>
      <c r="T171" s="20">
        <f t="shared" si="139"/>
        <v>0</v>
      </c>
      <c r="U171" s="20">
        <f t="shared" si="140"/>
        <v>4093</v>
      </c>
      <c r="V171" s="20">
        <f t="shared" si="141"/>
        <v>2038</v>
      </c>
      <c r="W171" s="20">
        <f t="shared" si="142"/>
        <v>0</v>
      </c>
      <c r="X171" s="20">
        <f t="shared" si="143"/>
        <v>4093</v>
      </c>
      <c r="Y171" s="20" t="s">
        <v>398</v>
      </c>
      <c r="Z171" s="25">
        <v>0</v>
      </c>
      <c r="AA171" s="25">
        <v>1</v>
      </c>
      <c r="AB171" s="25" t="s">
        <v>401</v>
      </c>
      <c r="AC171" s="25" t="s">
        <v>681</v>
      </c>
    </row>
    <row r="172" spans="1:29" ht="63.75">
      <c r="A172" s="20" t="s">
        <v>379</v>
      </c>
      <c r="B172" s="24" t="str">
        <f>'Lambda-MOSFET'!A57</f>
        <v>Change of Turn-On Time</v>
      </c>
      <c r="C172" s="22">
        <f>'Lambda-MOSFET'!B$30</f>
        <v>2.4667019701711612E-8</v>
      </c>
      <c r="D172" s="23">
        <f>'Lambda-MOSFET'!C57</f>
        <v>1.3076923076923078E-2</v>
      </c>
      <c r="E172" s="20">
        <f>'Lambda-MOSFET'!D57</f>
        <v>3.2256871917622881E-10</v>
      </c>
      <c r="F172" s="21" t="s">
        <v>599</v>
      </c>
      <c r="G172" s="21" t="s">
        <v>601</v>
      </c>
      <c r="H172" s="20" t="s">
        <v>43</v>
      </c>
      <c r="I172" s="20" t="s">
        <v>392</v>
      </c>
      <c r="J172" s="20" t="s">
        <v>574</v>
      </c>
      <c r="K172" s="20" t="s">
        <v>676</v>
      </c>
      <c r="L172" s="20" t="s">
        <v>675</v>
      </c>
      <c r="M172" s="20">
        <v>0</v>
      </c>
      <c r="N172" s="20">
        <v>0</v>
      </c>
      <c r="O172" s="20">
        <v>0</v>
      </c>
      <c r="P172" s="20">
        <v>0</v>
      </c>
      <c r="Q172" s="20">
        <v>0</v>
      </c>
      <c r="R172" s="20">
        <v>0</v>
      </c>
      <c r="S172" s="20">
        <f t="shared" si="92"/>
        <v>0</v>
      </c>
      <c r="T172" s="20">
        <f t="shared" si="139"/>
        <v>0</v>
      </c>
      <c r="U172" s="20">
        <f t="shared" si="140"/>
        <v>0</v>
      </c>
      <c r="V172" s="20">
        <f t="shared" si="141"/>
        <v>0</v>
      </c>
      <c r="W172" s="20">
        <f t="shared" si="142"/>
        <v>0</v>
      </c>
      <c r="X172" s="20">
        <f t="shared" si="143"/>
        <v>0</v>
      </c>
      <c r="Y172" s="20" t="s">
        <v>397</v>
      </c>
      <c r="Z172" s="25">
        <v>0</v>
      </c>
      <c r="AA172" s="25">
        <v>1</v>
      </c>
      <c r="AB172" s="25" t="s">
        <v>401</v>
      </c>
      <c r="AC172" s="20" t="s">
        <v>683</v>
      </c>
    </row>
    <row r="173" spans="1:29" ht="63.75">
      <c r="A173" s="20" t="s">
        <v>379</v>
      </c>
      <c r="B173" s="24" t="str">
        <f>'Lambda-MOSFET'!A58</f>
        <v>Change of Turn-Off Time</v>
      </c>
      <c r="C173" s="22">
        <f>'Lambda-MOSFET'!B$30</f>
        <v>2.4667019701711612E-8</v>
      </c>
      <c r="D173" s="23">
        <f>'Lambda-MOSFET'!C58</f>
        <v>1.3076923076923078E-2</v>
      </c>
      <c r="E173" s="20">
        <f>'Lambda-MOSFET'!D58</f>
        <v>3.2256871917622881E-10</v>
      </c>
      <c r="F173" s="21" t="s">
        <v>598</v>
      </c>
      <c r="G173" s="21" t="s">
        <v>600</v>
      </c>
      <c r="H173" s="20" t="s">
        <v>43</v>
      </c>
      <c r="I173" s="20" t="s">
        <v>392</v>
      </c>
      <c r="J173" s="20" t="s">
        <v>574</v>
      </c>
      <c r="K173" s="20" t="s">
        <v>676</v>
      </c>
      <c r="L173" s="20" t="s">
        <v>675</v>
      </c>
      <c r="M173" s="20">
        <v>3.1999999999999999E-6</v>
      </c>
      <c r="N173" s="20">
        <v>3.1999999999999999E-6</v>
      </c>
      <c r="O173" s="20">
        <v>3.1999999999999999E-6</v>
      </c>
      <c r="P173" s="20">
        <v>3.1999999999999999E-6</v>
      </c>
      <c r="Q173" s="20">
        <v>3.1999999999999999E-6</v>
      </c>
      <c r="R173" s="20">
        <v>3.1999999999999999E-6</v>
      </c>
      <c r="S173" s="20">
        <f t="shared" si="92"/>
        <v>0</v>
      </c>
      <c r="T173" s="20">
        <f t="shared" si="139"/>
        <v>0</v>
      </c>
      <c r="U173" s="20">
        <f t="shared" si="140"/>
        <v>0</v>
      </c>
      <c r="V173" s="20">
        <f t="shared" si="141"/>
        <v>0</v>
      </c>
      <c r="W173" s="20">
        <f t="shared" si="142"/>
        <v>0</v>
      </c>
      <c r="X173" s="20">
        <f t="shared" si="143"/>
        <v>0</v>
      </c>
      <c r="Y173" s="20" t="s">
        <v>398</v>
      </c>
      <c r="Z173" s="25">
        <v>0</v>
      </c>
      <c r="AA173" s="25">
        <v>1</v>
      </c>
      <c r="AB173" s="25" t="s">
        <v>401</v>
      </c>
      <c r="AC173" s="20" t="s">
        <v>683</v>
      </c>
    </row>
    <row r="174" spans="1:29" ht="38.25">
      <c r="A174" s="20" t="s">
        <v>379</v>
      </c>
      <c r="B174" s="24" t="str">
        <f>'Lambda-MOSFET'!A59</f>
        <v>Increase of Leakage Current IGS</v>
      </c>
      <c r="C174" s="22">
        <f>'Lambda-MOSFET'!B$30</f>
        <v>2.4667019701711612E-8</v>
      </c>
      <c r="D174" s="23">
        <f>'Lambda-MOSFET'!C59</f>
        <v>1.3076923076923078E-2</v>
      </c>
      <c r="E174" s="20">
        <f>'Lambda-MOSFET'!D59</f>
        <v>3.2256871917622881E-10</v>
      </c>
      <c r="F174" s="21" t="s">
        <v>596</v>
      </c>
      <c r="G174" s="21" t="s">
        <v>596</v>
      </c>
      <c r="H174" s="20" t="s">
        <v>43</v>
      </c>
      <c r="I174" s="20" t="s">
        <v>392</v>
      </c>
      <c r="J174" s="20" t="s">
        <v>574</v>
      </c>
      <c r="K174" s="20" t="s">
        <v>676</v>
      </c>
      <c r="L174" s="20" t="s">
        <v>676</v>
      </c>
      <c r="M174" s="20">
        <v>3.27305</v>
      </c>
      <c r="N174" s="20">
        <v>3.2730299999999999</v>
      </c>
      <c r="O174" s="20">
        <v>3.2730600000000001</v>
      </c>
      <c r="P174" s="20">
        <v>1.63</v>
      </c>
      <c r="Q174" s="20">
        <v>4.095E-2</v>
      </c>
      <c r="R174" s="20">
        <v>3.2723550000000001</v>
      </c>
      <c r="S174" s="20">
        <f t="shared" si="92"/>
        <v>4093</v>
      </c>
      <c r="T174" s="20">
        <f t="shared" si="139"/>
        <v>4093</v>
      </c>
      <c r="U174" s="20">
        <f t="shared" si="140"/>
        <v>4093</v>
      </c>
      <c r="V174" s="20">
        <f t="shared" si="141"/>
        <v>2038</v>
      </c>
      <c r="W174" s="20">
        <f t="shared" si="142"/>
        <v>51</v>
      </c>
      <c r="X174" s="20">
        <f t="shared" si="143"/>
        <v>4092</v>
      </c>
      <c r="Y174" s="20" t="s">
        <v>467</v>
      </c>
      <c r="Z174" s="25">
        <v>0</v>
      </c>
      <c r="AA174" s="25">
        <v>1</v>
      </c>
      <c r="AB174" s="25" t="s">
        <v>397</v>
      </c>
      <c r="AC174" s="20" t="s">
        <v>683</v>
      </c>
    </row>
    <row r="175" spans="1:29" ht="51">
      <c r="A175" s="20" t="s">
        <v>379</v>
      </c>
      <c r="B175" s="24" t="str">
        <f>'Lambda-MOSFET'!A60</f>
        <v>Increase of Leakage Current IDS</v>
      </c>
      <c r="C175" s="22">
        <f>'Lambda-MOSFET'!B$30</f>
        <v>2.4667019701711612E-8</v>
      </c>
      <c r="D175" s="23">
        <f>'Lambda-MOSFET'!C60</f>
        <v>1.3076923076923078E-2</v>
      </c>
      <c r="E175" s="20">
        <f>'Lambda-MOSFET'!D60</f>
        <v>3.2256871917622881E-10</v>
      </c>
      <c r="F175" s="21" t="s">
        <v>595</v>
      </c>
      <c r="G175" s="21" t="s">
        <v>595</v>
      </c>
      <c r="H175" s="20" t="s">
        <v>43</v>
      </c>
      <c r="I175" s="20" t="s">
        <v>392</v>
      </c>
      <c r="J175" s="20" t="s">
        <v>573</v>
      </c>
      <c r="K175" s="20" t="s">
        <v>672</v>
      </c>
      <c r="L175" s="20" t="s">
        <v>675</v>
      </c>
      <c r="M175" s="20">
        <v>1.63</v>
      </c>
      <c r="N175" s="20">
        <v>0</v>
      </c>
      <c r="O175" s="20">
        <v>3.27305</v>
      </c>
      <c r="P175" s="20">
        <v>3.1999999999999999E-6</v>
      </c>
      <c r="Q175" s="20">
        <v>0</v>
      </c>
      <c r="R175" s="20">
        <v>3.1999999999999999E-6</v>
      </c>
      <c r="S175" s="20">
        <f t="shared" si="92"/>
        <v>2038</v>
      </c>
      <c r="T175" s="20">
        <f t="shared" si="93"/>
        <v>0</v>
      </c>
      <c r="U175" s="20">
        <f t="shared" si="94"/>
        <v>4093</v>
      </c>
      <c r="V175" s="20">
        <f t="shared" si="95"/>
        <v>0</v>
      </c>
      <c r="W175" s="20">
        <f t="shared" si="96"/>
        <v>0</v>
      </c>
      <c r="X175" s="20">
        <f t="shared" si="97"/>
        <v>0</v>
      </c>
      <c r="Y175" s="20" t="s">
        <v>397</v>
      </c>
      <c r="Z175" s="25">
        <v>0</v>
      </c>
      <c r="AA175" s="25">
        <v>1</v>
      </c>
      <c r="AB175" s="25" t="s">
        <v>401</v>
      </c>
      <c r="AC175" s="25" t="s">
        <v>681</v>
      </c>
    </row>
    <row r="176" spans="1:29" ht="51">
      <c r="A176" s="20" t="s">
        <v>379</v>
      </c>
      <c r="B176" s="24" t="str">
        <f>'Lambda-MOSFET'!A61</f>
        <v>Increase of Leakage Current IGD</v>
      </c>
      <c r="C176" s="22">
        <f>'Lambda-MOSFET'!B$30</f>
        <v>2.4667019701711612E-8</v>
      </c>
      <c r="D176" s="23">
        <f>'Lambda-MOSFET'!C61</f>
        <v>1.3076923076923078E-2</v>
      </c>
      <c r="E176" s="20">
        <f>'Lambda-MOSFET'!D61</f>
        <v>3.2256871917622881E-10</v>
      </c>
      <c r="F176" s="21" t="s">
        <v>384</v>
      </c>
      <c r="G176" s="21" t="s">
        <v>384</v>
      </c>
      <c r="H176" s="20" t="s">
        <v>43</v>
      </c>
      <c r="I176" s="20" t="s">
        <v>392</v>
      </c>
      <c r="J176" s="20" t="s">
        <v>576</v>
      </c>
      <c r="K176" s="20" t="s">
        <v>672</v>
      </c>
      <c r="L176" s="20" t="s">
        <v>675</v>
      </c>
      <c r="M176" s="20">
        <v>1.63</v>
      </c>
      <c r="N176" s="20">
        <v>3.1999999999999999E-6</v>
      </c>
      <c r="O176" s="20">
        <v>3.27305</v>
      </c>
      <c r="P176" s="20">
        <v>1.63</v>
      </c>
      <c r="Q176" s="20">
        <v>3.1999999999999999E-6</v>
      </c>
      <c r="R176" s="20">
        <v>3.27305</v>
      </c>
      <c r="S176" s="20">
        <f t="shared" si="92"/>
        <v>2038</v>
      </c>
      <c r="T176" s="20">
        <f t="shared" si="93"/>
        <v>0</v>
      </c>
      <c r="U176" s="20">
        <f t="shared" si="94"/>
        <v>4093</v>
      </c>
      <c r="V176" s="20">
        <f t="shared" si="95"/>
        <v>2038</v>
      </c>
      <c r="W176" s="20">
        <f t="shared" si="96"/>
        <v>0</v>
      </c>
      <c r="X176" s="20">
        <f t="shared" si="97"/>
        <v>4093</v>
      </c>
      <c r="Y176" s="20" t="s">
        <v>398</v>
      </c>
      <c r="Z176" s="25">
        <v>0</v>
      </c>
      <c r="AA176" s="25">
        <v>1</v>
      </c>
      <c r="AB176" s="25" t="s">
        <v>401</v>
      </c>
      <c r="AC176" s="25" t="s">
        <v>681</v>
      </c>
    </row>
    <row r="177" spans="1:29" ht="63.75">
      <c r="A177" s="20" t="s">
        <v>379</v>
      </c>
      <c r="B177" s="24" t="str">
        <f>'Lambda-MOSFET'!A62</f>
        <v>Change of Static Drain to Source On-State Resistance</v>
      </c>
      <c r="C177" s="22">
        <f>'Lambda-MOSFET'!B$30</f>
        <v>2.4667019701711612E-8</v>
      </c>
      <c r="D177" s="23">
        <f>'Lambda-MOSFET'!C62</f>
        <v>1.3076923076923078E-2</v>
      </c>
      <c r="E177" s="20">
        <f>'Lambda-MOSFET'!D62</f>
        <v>3.2256871917622881E-10</v>
      </c>
      <c r="F177" s="24" t="s">
        <v>602</v>
      </c>
      <c r="G177" s="24" t="s">
        <v>657</v>
      </c>
      <c r="H177" s="25" t="s">
        <v>43</v>
      </c>
      <c r="I177" s="20" t="s">
        <v>392</v>
      </c>
      <c r="J177" s="20" t="s">
        <v>574</v>
      </c>
      <c r="K177" s="20" t="s">
        <v>672</v>
      </c>
      <c r="L177" s="20" t="s">
        <v>675</v>
      </c>
      <c r="M177" s="20">
        <v>3.2724899999999999</v>
      </c>
      <c r="N177" s="20">
        <v>3.2719999999999998</v>
      </c>
      <c r="O177" s="20">
        <v>3.2749999999999999</v>
      </c>
      <c r="P177" s="20">
        <v>1.65</v>
      </c>
      <c r="Q177" s="20">
        <v>8.8400000000000006E-2</v>
      </c>
      <c r="R177" s="20">
        <v>3.2685</v>
      </c>
      <c r="S177" s="20">
        <f t="shared" si="92"/>
        <v>4092</v>
      </c>
      <c r="T177" s="20">
        <f t="shared" si="93"/>
        <v>4091</v>
      </c>
      <c r="U177" s="20">
        <f t="shared" si="94"/>
        <v>4095</v>
      </c>
      <c r="V177" s="20">
        <f t="shared" si="95"/>
        <v>2063</v>
      </c>
      <c r="W177" s="20">
        <f t="shared" si="96"/>
        <v>111</v>
      </c>
      <c r="X177" s="20">
        <f t="shared" si="97"/>
        <v>4087</v>
      </c>
      <c r="Y177" s="20" t="s">
        <v>397</v>
      </c>
      <c r="Z177" s="25">
        <v>0</v>
      </c>
      <c r="AA177" s="25">
        <v>1</v>
      </c>
      <c r="AB177" s="25" t="s">
        <v>401</v>
      </c>
      <c r="AC177" s="25" t="s">
        <v>681</v>
      </c>
    </row>
    <row r="178" spans="1:29" ht="102">
      <c r="A178" s="20" t="s">
        <v>441</v>
      </c>
      <c r="B178" s="24" t="str">
        <f>'Lambda-Zener'!A35</f>
        <v>Open</v>
      </c>
      <c r="C178" s="22">
        <f>'Lambda-Zener'!B$32</f>
        <v>4.0133343232122108E-6</v>
      </c>
      <c r="D178" s="23">
        <f>'Lambda-Zener'!C35</f>
        <v>0.45</v>
      </c>
      <c r="E178" s="20">
        <f>'Lambda-Zener'!D35</f>
        <v>1.8060004454454948E-6</v>
      </c>
      <c r="F178" s="21" t="s">
        <v>603</v>
      </c>
      <c r="G178" s="26" t="s">
        <v>505</v>
      </c>
      <c r="H178" s="20" t="s">
        <v>43</v>
      </c>
      <c r="I178" s="20" t="s">
        <v>392</v>
      </c>
      <c r="J178" s="25" t="s">
        <v>504</v>
      </c>
      <c r="K178" s="25" t="s">
        <v>673</v>
      </c>
      <c r="L178" s="20" t="s">
        <v>675</v>
      </c>
      <c r="M178" s="20">
        <v>3.1999999999999999E-6</v>
      </c>
      <c r="N178" s="20">
        <v>3.1999999999999999E-6</v>
      </c>
      <c r="O178" s="20">
        <v>3.1999999999999999E-6</v>
      </c>
      <c r="P178" s="20">
        <v>3.1999999999999999E-6</v>
      </c>
      <c r="Q178" s="20">
        <v>3.1999999999999999E-6</v>
      </c>
      <c r="R178" s="20">
        <v>3.1999999999999999E-6</v>
      </c>
      <c r="S178" s="20">
        <f t="shared" si="92"/>
        <v>0</v>
      </c>
      <c r="T178" s="20">
        <f t="shared" si="93"/>
        <v>0</v>
      </c>
      <c r="U178" s="20">
        <f t="shared" si="94"/>
        <v>0</v>
      </c>
      <c r="V178" s="20">
        <f t="shared" si="95"/>
        <v>0</v>
      </c>
      <c r="W178" s="20">
        <f t="shared" si="96"/>
        <v>0</v>
      </c>
      <c r="X178" s="20">
        <f t="shared" si="97"/>
        <v>0</v>
      </c>
      <c r="Y178" s="20" t="s">
        <v>398</v>
      </c>
      <c r="Z178" s="25">
        <v>0</v>
      </c>
      <c r="AA178" s="25">
        <v>1</v>
      </c>
      <c r="AB178" s="25" t="s">
        <v>453</v>
      </c>
      <c r="AC178" s="20" t="s">
        <v>683</v>
      </c>
    </row>
    <row r="179" spans="1:29" ht="51">
      <c r="A179" s="20" t="s">
        <v>441</v>
      </c>
      <c r="B179" s="21" t="str">
        <f>'Lambda-Zener'!A36</f>
        <v>Short-Circuit</v>
      </c>
      <c r="C179" s="22">
        <f>'Lambda-Zener'!B$32</f>
        <v>4.0133343232122108E-6</v>
      </c>
      <c r="D179" s="23">
        <f>'Lambda-Zener'!C36</f>
        <v>0.2</v>
      </c>
      <c r="E179" s="20">
        <f>'Lambda-Zener'!D36</f>
        <v>8.0266686464244223E-7</v>
      </c>
      <c r="F179" s="21" t="s">
        <v>604</v>
      </c>
      <c r="G179" s="21" t="s">
        <v>601</v>
      </c>
      <c r="H179" s="20" t="s">
        <v>43</v>
      </c>
      <c r="I179" s="20" t="s">
        <v>392</v>
      </c>
      <c r="J179" s="20" t="s">
        <v>574</v>
      </c>
      <c r="K179" s="20" t="s">
        <v>676</v>
      </c>
      <c r="L179" s="20" t="s">
        <v>675</v>
      </c>
      <c r="M179" s="20">
        <v>0</v>
      </c>
      <c r="N179" s="20">
        <v>0</v>
      </c>
      <c r="O179" s="20">
        <v>0</v>
      </c>
      <c r="P179" s="20">
        <v>0</v>
      </c>
      <c r="Q179" s="20">
        <v>0</v>
      </c>
      <c r="R179" s="20">
        <v>0</v>
      </c>
      <c r="S179" s="20">
        <f t="shared" si="92"/>
        <v>0</v>
      </c>
      <c r="T179" s="20">
        <f t="shared" si="93"/>
        <v>0</v>
      </c>
      <c r="U179" s="20">
        <f t="shared" si="94"/>
        <v>0</v>
      </c>
      <c r="V179" s="20">
        <f t="shared" si="95"/>
        <v>0</v>
      </c>
      <c r="W179" s="20">
        <f t="shared" si="96"/>
        <v>0</v>
      </c>
      <c r="X179" s="20">
        <f t="shared" si="97"/>
        <v>0</v>
      </c>
      <c r="Y179" s="20" t="s">
        <v>397</v>
      </c>
      <c r="Z179" s="25">
        <v>0</v>
      </c>
      <c r="AA179" s="25">
        <v>1</v>
      </c>
      <c r="AB179" s="25" t="s">
        <v>401</v>
      </c>
      <c r="AC179" s="20" t="s">
        <v>683</v>
      </c>
    </row>
    <row r="180" spans="1:29" ht="102">
      <c r="A180" s="20" t="s">
        <v>441</v>
      </c>
      <c r="B180" s="24" t="str">
        <f>'Lambda-Zener'!A37</f>
        <v>Increase of Zener Voltage</v>
      </c>
      <c r="C180" s="22">
        <f>'Lambda-Zener'!B$32</f>
        <v>4.0133343232122108E-6</v>
      </c>
      <c r="D180" s="23">
        <f>'Lambda-Zener'!C37</f>
        <v>4.3749999999999997E-2</v>
      </c>
      <c r="E180" s="20">
        <f>'Lambda-Zener'!D37</f>
        <v>1.7558337664053421E-7</v>
      </c>
      <c r="F180" s="21" t="s">
        <v>605</v>
      </c>
      <c r="G180" s="26" t="s">
        <v>505</v>
      </c>
      <c r="H180" s="20" t="s">
        <v>43</v>
      </c>
      <c r="I180" s="20" t="s">
        <v>392</v>
      </c>
      <c r="J180" s="25" t="s">
        <v>504</v>
      </c>
      <c r="K180" s="25" t="s">
        <v>673</v>
      </c>
      <c r="L180" s="20" t="s">
        <v>675</v>
      </c>
      <c r="M180" s="20">
        <v>3.1999999999999999E-6</v>
      </c>
      <c r="N180" s="20">
        <v>3.1999999999999999E-6</v>
      </c>
      <c r="O180" s="20">
        <v>3.1999999999999999E-6</v>
      </c>
      <c r="P180" s="20">
        <v>3.1999999999999999E-6</v>
      </c>
      <c r="Q180" s="20">
        <v>3.1999999999999999E-6</v>
      </c>
      <c r="R180" s="20">
        <v>3.1999999999999999E-6</v>
      </c>
      <c r="S180" s="20">
        <f t="shared" ref="S180:S188" si="144">ROUND(((M180-MIN($M$3:$R$212))/(MAX($M$3:$R$212)-MIN($M$3:$R$212)))*((2^12)-1), 0)</f>
        <v>0</v>
      </c>
      <c r="T180" s="20">
        <f t="shared" ref="T180:T188" si="145">ROUND(((N180-MIN($M$3:$R$212))/(MAX($M$3:$R$212)-MIN($M$3:$R$212)))*((2^12)-1), 0)</f>
        <v>0</v>
      </c>
      <c r="U180" s="20">
        <f t="shared" ref="U180:U188" si="146">ROUND(((O180-MIN($M$3:$R$212))/(MAX($M$3:$R$212)-MIN($M$3:$R$212)))*((2^12)-1), 0)</f>
        <v>0</v>
      </c>
      <c r="V180" s="20">
        <f t="shared" ref="V180:V188" si="147">ROUND(((P180-MIN($M$3:$R$212))/(MAX($M$3:$R$212)-MIN($M$3:$R$212)))*((2^12)-1), 0)</f>
        <v>0</v>
      </c>
      <c r="W180" s="20">
        <f t="shared" ref="W180:W188" si="148">ROUND(((Q180-MIN($M$3:$R$212))/(MAX($M$3:$R$212)-MIN($M$3:$R$212)))*((2^12)-1), 0)</f>
        <v>0</v>
      </c>
      <c r="X180" s="20">
        <f t="shared" ref="X180:X188" si="149">ROUND(((R180-MIN($M$3:$R$212))/(MAX($M$3:$R$212)-MIN($M$3:$R$212)))*((2^12)-1), 0)</f>
        <v>0</v>
      </c>
      <c r="Y180" s="20" t="s">
        <v>398</v>
      </c>
      <c r="Z180" s="25">
        <v>0</v>
      </c>
      <c r="AA180" s="25">
        <v>1</v>
      </c>
      <c r="AB180" s="25" t="s">
        <v>453</v>
      </c>
      <c r="AC180" s="20" t="s">
        <v>683</v>
      </c>
    </row>
    <row r="181" spans="1:29" ht="51">
      <c r="A181" s="20" t="s">
        <v>441</v>
      </c>
      <c r="B181" s="24" t="str">
        <f>'Lambda-Zener'!A38</f>
        <v>Decrease of Zener Voltage</v>
      </c>
      <c r="C181" s="22">
        <f>'Lambda-Zener'!B$32</f>
        <v>4.0133343232122108E-6</v>
      </c>
      <c r="D181" s="23">
        <f>'Lambda-Zener'!C38</f>
        <v>4.3749999999999997E-2</v>
      </c>
      <c r="E181" s="20">
        <f>'Lambda-Zener'!D38</f>
        <v>1.7558337664053421E-7</v>
      </c>
      <c r="F181" s="21" t="s">
        <v>606</v>
      </c>
      <c r="G181" s="21" t="s">
        <v>601</v>
      </c>
      <c r="H181" s="20" t="s">
        <v>43</v>
      </c>
      <c r="I181" s="20" t="s">
        <v>392</v>
      </c>
      <c r="J181" s="20" t="s">
        <v>574</v>
      </c>
      <c r="K181" s="20" t="s">
        <v>672</v>
      </c>
      <c r="L181" s="20" t="s">
        <v>675</v>
      </c>
      <c r="M181" s="20">
        <v>1.63</v>
      </c>
      <c r="N181" s="20">
        <v>0</v>
      </c>
      <c r="O181" s="20">
        <v>3.2749999999999999</v>
      </c>
      <c r="P181" s="20">
        <v>0</v>
      </c>
      <c r="Q181" s="20">
        <v>0</v>
      </c>
      <c r="R181" s="20">
        <v>0</v>
      </c>
      <c r="S181" s="20">
        <f t="shared" si="144"/>
        <v>2038</v>
      </c>
      <c r="T181" s="20">
        <f t="shared" si="145"/>
        <v>0</v>
      </c>
      <c r="U181" s="20">
        <f t="shared" si="146"/>
        <v>4095</v>
      </c>
      <c r="V181" s="20">
        <f t="shared" si="147"/>
        <v>0</v>
      </c>
      <c r="W181" s="20">
        <f t="shared" si="148"/>
        <v>0</v>
      </c>
      <c r="X181" s="20">
        <f t="shared" si="149"/>
        <v>0</v>
      </c>
      <c r="Y181" s="20" t="s">
        <v>397</v>
      </c>
      <c r="Z181" s="25">
        <v>0</v>
      </c>
      <c r="AA181" s="25">
        <v>1</v>
      </c>
      <c r="AB181" s="25" t="s">
        <v>401</v>
      </c>
      <c r="AC181" s="25" t="s">
        <v>681</v>
      </c>
    </row>
    <row r="182" spans="1:29" ht="51">
      <c r="A182" s="20" t="s">
        <v>441</v>
      </c>
      <c r="B182" s="24" t="str">
        <f>'Lambda-Zener'!A39</f>
        <v>Increase of Leakage Current</v>
      </c>
      <c r="C182" s="22">
        <f>'Lambda-Zener'!B$32</f>
        <v>4.0133343232122108E-6</v>
      </c>
      <c r="D182" s="23">
        <f>'Lambda-Zener'!C39</f>
        <v>4.3749999999999997E-2</v>
      </c>
      <c r="E182" s="20">
        <f>'Lambda-Zener'!D39</f>
        <v>1.7558337664053421E-7</v>
      </c>
      <c r="F182" s="21" t="s">
        <v>381</v>
      </c>
      <c r="G182" s="21" t="s">
        <v>381</v>
      </c>
      <c r="H182" s="20" t="s">
        <v>43</v>
      </c>
      <c r="I182" s="20" t="s">
        <v>392</v>
      </c>
      <c r="J182" s="20" t="s">
        <v>574</v>
      </c>
      <c r="K182" s="20" t="s">
        <v>672</v>
      </c>
      <c r="L182" s="20" t="s">
        <v>675</v>
      </c>
      <c r="M182" s="20">
        <v>1.63</v>
      </c>
      <c r="N182" s="20">
        <v>0</v>
      </c>
      <c r="O182" s="20">
        <v>3.2749999999999999</v>
      </c>
      <c r="P182" s="20">
        <v>0</v>
      </c>
      <c r="Q182" s="20">
        <v>0</v>
      </c>
      <c r="R182" s="20">
        <v>0</v>
      </c>
      <c r="S182" s="20">
        <f t="shared" si="144"/>
        <v>2038</v>
      </c>
      <c r="T182" s="20">
        <f t="shared" si="145"/>
        <v>0</v>
      </c>
      <c r="U182" s="20">
        <f t="shared" si="146"/>
        <v>4095</v>
      </c>
      <c r="V182" s="20">
        <f t="shared" si="147"/>
        <v>0</v>
      </c>
      <c r="W182" s="20">
        <f t="shared" si="148"/>
        <v>0</v>
      </c>
      <c r="X182" s="20">
        <f t="shared" si="149"/>
        <v>0</v>
      </c>
      <c r="Y182" s="20" t="s">
        <v>397</v>
      </c>
      <c r="Z182" s="25">
        <v>0</v>
      </c>
      <c r="AA182" s="25">
        <v>1</v>
      </c>
      <c r="AB182" s="25" t="s">
        <v>401</v>
      </c>
      <c r="AC182" s="25" t="s">
        <v>681</v>
      </c>
    </row>
    <row r="183" spans="1:29" ht="51">
      <c r="A183" s="20" t="s">
        <v>441</v>
      </c>
      <c r="B183" s="24" t="str">
        <f>'Lambda-Zener'!A40</f>
        <v>Change of Differential Resistance</v>
      </c>
      <c r="C183" s="22">
        <f>'Lambda-Zener'!B$32</f>
        <v>4.0133343232122108E-6</v>
      </c>
      <c r="D183" s="23">
        <f>'Lambda-Zener'!C40</f>
        <v>4.3749999999999997E-2</v>
      </c>
      <c r="E183" s="20">
        <f>'Lambda-Zener'!D40</f>
        <v>1.7558337664053421E-7</v>
      </c>
      <c r="F183" s="21" t="s">
        <v>380</v>
      </c>
      <c r="G183" s="21" t="s">
        <v>380</v>
      </c>
      <c r="H183" s="20" t="s">
        <v>43</v>
      </c>
      <c r="I183" s="20" t="s">
        <v>392</v>
      </c>
      <c r="J183" s="25" t="s">
        <v>504</v>
      </c>
      <c r="K183" s="25" t="s">
        <v>673</v>
      </c>
      <c r="L183" s="20" t="s">
        <v>675</v>
      </c>
      <c r="M183" s="20">
        <v>3.1999999999999999E-6</v>
      </c>
      <c r="N183" s="20">
        <v>3.1999999999999999E-6</v>
      </c>
      <c r="O183" s="20">
        <v>3.1999999999999999E-6</v>
      </c>
      <c r="P183" s="20">
        <v>3.1999999999999999E-6</v>
      </c>
      <c r="Q183" s="20">
        <v>3.1999999999999999E-6</v>
      </c>
      <c r="R183" s="20">
        <v>3.1999999999999999E-6</v>
      </c>
      <c r="S183" s="20">
        <f t="shared" si="144"/>
        <v>0</v>
      </c>
      <c r="T183" s="20">
        <f t="shared" si="145"/>
        <v>0</v>
      </c>
      <c r="U183" s="20">
        <f t="shared" si="146"/>
        <v>0</v>
      </c>
      <c r="V183" s="20">
        <f t="shared" si="147"/>
        <v>0</v>
      </c>
      <c r="W183" s="20">
        <f t="shared" si="148"/>
        <v>0</v>
      </c>
      <c r="X183" s="20">
        <f t="shared" si="149"/>
        <v>0</v>
      </c>
      <c r="Y183" s="20" t="s">
        <v>398</v>
      </c>
      <c r="Z183" s="25">
        <v>0</v>
      </c>
      <c r="AA183" s="25">
        <v>1</v>
      </c>
      <c r="AB183" s="25" t="s">
        <v>453</v>
      </c>
      <c r="AC183" s="20" t="s">
        <v>683</v>
      </c>
    </row>
    <row r="184" spans="1:29" ht="38.25">
      <c r="A184" s="20" t="s">
        <v>441</v>
      </c>
      <c r="B184" s="21" t="str">
        <f>'Lambda-Zener'!A41</f>
        <v>Increase of Forward Conducting-State Voltage</v>
      </c>
      <c r="C184" s="22">
        <f>'Lambda-Zener'!B$32</f>
        <v>4.0133343232122108E-6</v>
      </c>
      <c r="D184" s="23">
        <f>'Lambda-Zener'!C41</f>
        <v>4.3749999999999997E-2</v>
      </c>
      <c r="E184" s="20">
        <f>'Lambda-Zener'!D41</f>
        <v>1.7558337664053421E-7</v>
      </c>
      <c r="F184" s="21" t="s">
        <v>383</v>
      </c>
      <c r="G184" s="21" t="s">
        <v>383</v>
      </c>
      <c r="H184" s="20" t="s">
        <v>43</v>
      </c>
      <c r="I184" s="20" t="s">
        <v>393</v>
      </c>
      <c r="J184" s="20" t="s">
        <v>393</v>
      </c>
      <c r="K184" s="20" t="s">
        <v>677</v>
      </c>
      <c r="L184" s="20" t="s">
        <v>677</v>
      </c>
      <c r="M184" s="20">
        <v>3.2724899999999999</v>
      </c>
      <c r="N184" s="20">
        <v>3.2719999999999998</v>
      </c>
      <c r="O184" s="20">
        <v>3.2749999999999999</v>
      </c>
      <c r="P184" s="20">
        <v>4.3130000000000002E-2</v>
      </c>
      <c r="Q184" s="20">
        <v>4.095E-2</v>
      </c>
      <c r="R184" s="20">
        <v>4.53E-2</v>
      </c>
      <c r="S184" s="20">
        <f t="shared" si="144"/>
        <v>4092</v>
      </c>
      <c r="T184" s="20">
        <f t="shared" si="145"/>
        <v>4091</v>
      </c>
      <c r="U184" s="20">
        <f t="shared" si="146"/>
        <v>4095</v>
      </c>
      <c r="V184" s="20">
        <f t="shared" si="147"/>
        <v>54</v>
      </c>
      <c r="W184" s="20">
        <f t="shared" si="148"/>
        <v>51</v>
      </c>
      <c r="X184" s="20">
        <f t="shared" si="149"/>
        <v>57</v>
      </c>
      <c r="Y184" s="20" t="s">
        <v>401</v>
      </c>
      <c r="Z184" s="25">
        <v>0</v>
      </c>
      <c r="AA184" s="25">
        <v>1</v>
      </c>
      <c r="AB184" s="25" t="s">
        <v>401</v>
      </c>
      <c r="AC184" s="20" t="s">
        <v>683</v>
      </c>
    </row>
    <row r="185" spans="1:29" ht="38.25">
      <c r="A185" s="20" t="s">
        <v>441</v>
      </c>
      <c r="B185" s="21" t="str">
        <f>'Lambda-Zener'!A42</f>
        <v>Decrease of Forward Conducting-State Voltage</v>
      </c>
      <c r="C185" s="22">
        <f>'Lambda-Zener'!B$32</f>
        <v>4.0133343232122108E-6</v>
      </c>
      <c r="D185" s="23">
        <f>'Lambda-Zener'!C42</f>
        <v>4.3749999999999997E-2</v>
      </c>
      <c r="E185" s="20">
        <f>'Lambda-Zener'!D42</f>
        <v>1.7558337664053421E-7</v>
      </c>
      <c r="F185" s="21" t="s">
        <v>383</v>
      </c>
      <c r="G185" s="26" t="s">
        <v>383</v>
      </c>
      <c r="H185" s="20" t="s">
        <v>43</v>
      </c>
      <c r="I185" s="20" t="s">
        <v>393</v>
      </c>
      <c r="J185" s="20" t="s">
        <v>393</v>
      </c>
      <c r="K185" s="20" t="s">
        <v>677</v>
      </c>
      <c r="L185" s="20" t="s">
        <v>677</v>
      </c>
      <c r="M185" s="20">
        <v>3.2724899999999999</v>
      </c>
      <c r="N185" s="20">
        <v>3.2719999999999998</v>
      </c>
      <c r="O185" s="20">
        <v>3.2749999999999999</v>
      </c>
      <c r="P185" s="20">
        <v>4.3130000000000002E-2</v>
      </c>
      <c r="Q185" s="20">
        <v>4.095E-2</v>
      </c>
      <c r="R185" s="20">
        <v>4.53E-2</v>
      </c>
      <c r="S185" s="20">
        <f t="shared" si="144"/>
        <v>4092</v>
      </c>
      <c r="T185" s="20">
        <f t="shared" si="145"/>
        <v>4091</v>
      </c>
      <c r="U185" s="20">
        <f t="shared" si="146"/>
        <v>4095</v>
      </c>
      <c r="V185" s="20">
        <f t="shared" si="147"/>
        <v>54</v>
      </c>
      <c r="W185" s="20">
        <f t="shared" si="148"/>
        <v>51</v>
      </c>
      <c r="X185" s="20">
        <f t="shared" si="149"/>
        <v>57</v>
      </c>
      <c r="Y185" s="20" t="s">
        <v>401</v>
      </c>
      <c r="Z185" s="25">
        <v>0</v>
      </c>
      <c r="AA185" s="25">
        <v>1</v>
      </c>
      <c r="AB185" s="25" t="s">
        <v>401</v>
      </c>
      <c r="AC185" s="20" t="s">
        <v>683</v>
      </c>
    </row>
    <row r="186" spans="1:29" ht="38.25">
      <c r="A186" s="20" t="s">
        <v>441</v>
      </c>
      <c r="B186" s="21" t="str">
        <f>'Lambda-Zener'!A43</f>
        <v>Increase of Forward Threshold Voltage</v>
      </c>
      <c r="C186" s="22">
        <f>'Lambda-Zener'!B$32</f>
        <v>4.0133343232122108E-6</v>
      </c>
      <c r="D186" s="23">
        <f>'Lambda-Zener'!C43</f>
        <v>4.3749999999999997E-2</v>
      </c>
      <c r="E186" s="20">
        <f>'Lambda-Zener'!D43</f>
        <v>1.7558337664053421E-7</v>
      </c>
      <c r="F186" s="21" t="s">
        <v>383</v>
      </c>
      <c r="G186" s="21" t="s">
        <v>383</v>
      </c>
      <c r="H186" s="20" t="s">
        <v>43</v>
      </c>
      <c r="I186" s="20" t="s">
        <v>393</v>
      </c>
      <c r="J186" s="20" t="s">
        <v>393</v>
      </c>
      <c r="K186" s="20" t="s">
        <v>677</v>
      </c>
      <c r="L186" s="20" t="s">
        <v>677</v>
      </c>
      <c r="M186" s="20">
        <v>3.2724899999999999</v>
      </c>
      <c r="N186" s="20">
        <v>3.2719999999999998</v>
      </c>
      <c r="O186" s="20">
        <v>3.2749999999999999</v>
      </c>
      <c r="P186" s="20">
        <v>4.3130000000000002E-2</v>
      </c>
      <c r="Q186" s="20">
        <v>4.095E-2</v>
      </c>
      <c r="R186" s="20">
        <v>4.53E-2</v>
      </c>
      <c r="S186" s="20">
        <f t="shared" si="144"/>
        <v>4092</v>
      </c>
      <c r="T186" s="20">
        <f t="shared" si="145"/>
        <v>4091</v>
      </c>
      <c r="U186" s="20">
        <f t="shared" si="146"/>
        <v>4095</v>
      </c>
      <c r="V186" s="20">
        <f t="shared" si="147"/>
        <v>54</v>
      </c>
      <c r="W186" s="20">
        <f t="shared" si="148"/>
        <v>51</v>
      </c>
      <c r="X186" s="20">
        <f t="shared" si="149"/>
        <v>57</v>
      </c>
      <c r="Y186" s="20" t="s">
        <v>401</v>
      </c>
      <c r="Z186" s="25">
        <v>0</v>
      </c>
      <c r="AA186" s="25">
        <v>1</v>
      </c>
      <c r="AB186" s="25" t="s">
        <v>401</v>
      </c>
      <c r="AC186" s="20" t="s">
        <v>683</v>
      </c>
    </row>
    <row r="187" spans="1:29" ht="38.25">
      <c r="A187" s="20" t="s">
        <v>441</v>
      </c>
      <c r="B187" s="21" t="str">
        <f>'Lambda-Zener'!A44</f>
        <v>Decrease of Forward Threshold Voltage</v>
      </c>
      <c r="C187" s="22">
        <f>'Lambda-Zener'!B$32</f>
        <v>4.0133343232122108E-6</v>
      </c>
      <c r="D187" s="23">
        <f>'Lambda-Zener'!C44</f>
        <v>4.3749999999999997E-2</v>
      </c>
      <c r="E187" s="20">
        <f>'Lambda-Zener'!D44</f>
        <v>1.7558337664053421E-7</v>
      </c>
      <c r="F187" s="21" t="s">
        <v>383</v>
      </c>
      <c r="G187" s="21" t="s">
        <v>383</v>
      </c>
      <c r="H187" s="20" t="s">
        <v>43</v>
      </c>
      <c r="I187" s="20" t="s">
        <v>393</v>
      </c>
      <c r="J187" s="20" t="s">
        <v>393</v>
      </c>
      <c r="K187" s="20" t="s">
        <v>677</v>
      </c>
      <c r="L187" s="20" t="s">
        <v>677</v>
      </c>
      <c r="M187" s="20">
        <v>3.2724899999999999</v>
      </c>
      <c r="N187" s="20">
        <v>3.2719999999999998</v>
      </c>
      <c r="O187" s="20">
        <v>3.2749999999999999</v>
      </c>
      <c r="P187" s="20">
        <v>4.3130000000000002E-2</v>
      </c>
      <c r="Q187" s="20">
        <v>4.095E-2</v>
      </c>
      <c r="R187" s="20">
        <v>4.53E-2</v>
      </c>
      <c r="S187" s="20">
        <f t="shared" si="144"/>
        <v>4092</v>
      </c>
      <c r="T187" s="20">
        <f t="shared" si="145"/>
        <v>4091</v>
      </c>
      <c r="U187" s="20">
        <f t="shared" si="146"/>
        <v>4095</v>
      </c>
      <c r="V187" s="20">
        <f t="shared" si="147"/>
        <v>54</v>
      </c>
      <c r="W187" s="20">
        <f t="shared" si="148"/>
        <v>51</v>
      </c>
      <c r="X187" s="20">
        <f t="shared" si="149"/>
        <v>57</v>
      </c>
      <c r="Y187" s="20" t="s">
        <v>401</v>
      </c>
      <c r="Z187" s="25">
        <v>0</v>
      </c>
      <c r="AA187" s="25">
        <v>1</v>
      </c>
      <c r="AB187" s="25" t="s">
        <v>401</v>
      </c>
      <c r="AC187" s="20" t="s">
        <v>683</v>
      </c>
    </row>
    <row r="188" spans="1:29" ht="38.25">
      <c r="A188" s="20" t="s">
        <v>441</v>
      </c>
      <c r="B188" s="21" t="str">
        <f>'Lambda-Zener'!A45</f>
        <v>Short-Circuit to Conductive Casing</v>
      </c>
      <c r="C188" s="22">
        <f>'Lambda-Zener'!B$32</f>
        <v>4.0133343232122108E-6</v>
      </c>
      <c r="D188" s="23">
        <f>'Lambda-Zener'!C45</f>
        <v>0</v>
      </c>
      <c r="E188" s="20">
        <f>'Lambda-Zener'!D45</f>
        <v>0</v>
      </c>
      <c r="F188" s="21" t="s">
        <v>382</v>
      </c>
      <c r="G188" s="21" t="s">
        <v>382</v>
      </c>
      <c r="H188" s="20" t="s">
        <v>43</v>
      </c>
      <c r="I188" s="20" t="s">
        <v>393</v>
      </c>
      <c r="J188" s="20" t="s">
        <v>393</v>
      </c>
      <c r="K188" s="20" t="s">
        <v>677</v>
      </c>
      <c r="L188" s="20" t="s">
        <v>677</v>
      </c>
      <c r="M188" s="20">
        <v>3.2724899999999999</v>
      </c>
      <c r="N188" s="20">
        <v>3.2719999999999998</v>
      </c>
      <c r="O188" s="20">
        <v>3.2749999999999999</v>
      </c>
      <c r="P188" s="20">
        <v>4.3130000000000002E-2</v>
      </c>
      <c r="Q188" s="20">
        <v>4.095E-2</v>
      </c>
      <c r="R188" s="20">
        <v>4.53E-2</v>
      </c>
      <c r="S188" s="20">
        <f t="shared" si="144"/>
        <v>4092</v>
      </c>
      <c r="T188" s="20">
        <f t="shared" si="145"/>
        <v>4091</v>
      </c>
      <c r="U188" s="20">
        <f t="shared" si="146"/>
        <v>4095</v>
      </c>
      <c r="V188" s="20">
        <f t="shared" si="147"/>
        <v>54</v>
      </c>
      <c r="W188" s="20">
        <f t="shared" si="148"/>
        <v>51</v>
      </c>
      <c r="X188" s="20">
        <f t="shared" si="149"/>
        <v>57</v>
      </c>
      <c r="Y188" s="20" t="s">
        <v>401</v>
      </c>
      <c r="Z188" s="25">
        <v>0</v>
      </c>
      <c r="AA188" s="25">
        <v>1</v>
      </c>
      <c r="AB188" s="25" t="s">
        <v>401</v>
      </c>
      <c r="AC188" s="20" t="s">
        <v>683</v>
      </c>
    </row>
    <row r="189" spans="1:29" ht="38.25">
      <c r="A189" s="20" t="s">
        <v>442</v>
      </c>
      <c r="B189" s="21" t="str">
        <f>'Lambda-Resistor (All)'!A35</f>
        <v>Open</v>
      </c>
      <c r="C189" s="22">
        <f>'Lambda-Resistor (All)'!B$32</f>
        <v>4.1612004167966296E-9</v>
      </c>
      <c r="D189" s="23">
        <f>'Lambda-Resistor (All)'!C35</f>
        <v>0.59</v>
      </c>
      <c r="E189" s="20">
        <f>'Lambda-Resistor (All)'!D35</f>
        <v>2.4551082459100113E-9</v>
      </c>
      <c r="F189" s="21" t="s">
        <v>410</v>
      </c>
      <c r="G189" s="21" t="s">
        <v>411</v>
      </c>
      <c r="H189" s="20" t="s">
        <v>43</v>
      </c>
      <c r="I189" s="20" t="s">
        <v>392</v>
      </c>
      <c r="J189" s="20" t="s">
        <v>574</v>
      </c>
      <c r="K189" s="20" t="s">
        <v>676</v>
      </c>
      <c r="L189" s="20" t="s">
        <v>675</v>
      </c>
      <c r="M189" s="25">
        <v>0.20713999999999999</v>
      </c>
      <c r="N189" s="25">
        <v>0.15332499999999999</v>
      </c>
      <c r="O189" s="25">
        <v>0.25198999999999999</v>
      </c>
      <c r="P189" s="25">
        <v>0.20713999999999999</v>
      </c>
      <c r="Q189" s="25">
        <v>0.15332499999999999</v>
      </c>
      <c r="R189" s="25">
        <v>0.25198999999999999</v>
      </c>
      <c r="S189" s="20">
        <f t="shared" si="92"/>
        <v>259</v>
      </c>
      <c r="T189" s="20">
        <f t="shared" si="93"/>
        <v>192</v>
      </c>
      <c r="U189" s="20">
        <f t="shared" si="94"/>
        <v>315</v>
      </c>
      <c r="V189" s="20">
        <f t="shared" si="95"/>
        <v>259</v>
      </c>
      <c r="W189" s="20">
        <f t="shared" si="96"/>
        <v>192</v>
      </c>
      <c r="X189" s="20">
        <f t="shared" si="97"/>
        <v>315</v>
      </c>
      <c r="Y189" s="25" t="s">
        <v>412</v>
      </c>
      <c r="Z189" s="25">
        <v>0</v>
      </c>
      <c r="AA189" s="25">
        <v>1</v>
      </c>
      <c r="AB189" s="25" t="s">
        <v>401</v>
      </c>
      <c r="AC189" s="20" t="s">
        <v>683</v>
      </c>
    </row>
    <row r="190" spans="1:29" ht="76.5">
      <c r="A190" s="20" t="s">
        <v>442</v>
      </c>
      <c r="B190" s="24" t="str">
        <f>'Lambda-Resistor (All)'!A36</f>
        <v>Short-Circuit</v>
      </c>
      <c r="C190" s="22">
        <f>'Lambda-Resistor (All)'!B$32</f>
        <v>4.1612004167966296E-9</v>
      </c>
      <c r="D190" s="23">
        <f>'Lambda-Resistor (All)'!C36</f>
        <v>0.05</v>
      </c>
      <c r="E190" s="20">
        <f>'Lambda-Resistor (All)'!D36</f>
        <v>2.080600208398315E-10</v>
      </c>
      <c r="F190" s="21" t="s">
        <v>611</v>
      </c>
      <c r="G190" s="21" t="s">
        <v>612</v>
      </c>
      <c r="H190" s="20" t="s">
        <v>43</v>
      </c>
      <c r="I190" s="20" t="s">
        <v>392</v>
      </c>
      <c r="J190" s="20" t="s">
        <v>574</v>
      </c>
      <c r="K190" s="20" t="s">
        <v>676</v>
      </c>
      <c r="L190" s="20" t="s">
        <v>675</v>
      </c>
      <c r="M190" s="20">
        <v>0</v>
      </c>
      <c r="N190" s="20">
        <v>0</v>
      </c>
      <c r="O190" s="20">
        <v>0</v>
      </c>
      <c r="P190" s="20">
        <v>0</v>
      </c>
      <c r="Q190" s="20">
        <v>0</v>
      </c>
      <c r="R190" s="20">
        <v>0</v>
      </c>
      <c r="S190" s="20">
        <f t="shared" si="92"/>
        <v>0</v>
      </c>
      <c r="T190" s="20">
        <f t="shared" si="93"/>
        <v>0</v>
      </c>
      <c r="U190" s="20">
        <f t="shared" si="94"/>
        <v>0</v>
      </c>
      <c r="V190" s="20">
        <f t="shared" si="95"/>
        <v>0</v>
      </c>
      <c r="W190" s="20">
        <f t="shared" si="96"/>
        <v>0</v>
      </c>
      <c r="X190" s="20">
        <f t="shared" si="97"/>
        <v>0</v>
      </c>
      <c r="Y190" s="20" t="s">
        <v>397</v>
      </c>
      <c r="Z190" s="25">
        <v>0</v>
      </c>
      <c r="AA190" s="25">
        <v>1</v>
      </c>
      <c r="AB190" s="25" t="s">
        <v>401</v>
      </c>
      <c r="AC190" s="20" t="s">
        <v>683</v>
      </c>
    </row>
    <row r="191" spans="1:29" ht="38.25">
      <c r="A191" s="20" t="s">
        <v>442</v>
      </c>
      <c r="B191" s="24" t="str">
        <f>'Lambda-Resistor (All)'!A37</f>
        <v>Increase of Resistance Value</v>
      </c>
      <c r="C191" s="22">
        <f>'Lambda-Resistor (All)'!B$32</f>
        <v>4.1612004167966296E-9</v>
      </c>
      <c r="D191" s="23">
        <f>'Lambda-Resistor (All)'!C37</f>
        <v>0.18</v>
      </c>
      <c r="E191" s="20">
        <f>'Lambda-Resistor (All)'!D37</f>
        <v>7.4901607502339334E-10</v>
      </c>
      <c r="F191" s="21" t="s">
        <v>380</v>
      </c>
      <c r="G191" s="21" t="s">
        <v>380</v>
      </c>
      <c r="H191" s="20" t="s">
        <v>43</v>
      </c>
      <c r="I191" s="20" t="s">
        <v>392</v>
      </c>
      <c r="J191" s="20" t="s">
        <v>574</v>
      </c>
      <c r="K191" s="20" t="s">
        <v>676</v>
      </c>
      <c r="L191" s="20" t="s">
        <v>675</v>
      </c>
      <c r="M191" s="25">
        <v>0.20713999999999999</v>
      </c>
      <c r="N191" s="25">
        <v>0.15332499999999999</v>
      </c>
      <c r="O191" s="25">
        <v>0.25198999999999999</v>
      </c>
      <c r="P191" s="25">
        <v>0.20713999999999999</v>
      </c>
      <c r="Q191" s="25">
        <v>0.15332499999999999</v>
      </c>
      <c r="R191" s="25">
        <v>0.25198999999999999</v>
      </c>
      <c r="S191" s="20">
        <f t="shared" ref="S191:S193" si="150">ROUND(((M191-MIN($M$3:$R$212))/(MAX($M$3:$R$212)-MIN($M$3:$R$212)))*((2^12)-1), 0)</f>
        <v>259</v>
      </c>
      <c r="T191" s="20">
        <f t="shared" ref="T191:T193" si="151">ROUND(((N191-MIN($M$3:$R$212))/(MAX($M$3:$R$212)-MIN($M$3:$R$212)))*((2^12)-1), 0)</f>
        <v>192</v>
      </c>
      <c r="U191" s="20">
        <f t="shared" ref="U191:U193" si="152">ROUND(((O191-MIN($M$3:$R$212))/(MAX($M$3:$R$212)-MIN($M$3:$R$212)))*((2^12)-1), 0)</f>
        <v>315</v>
      </c>
      <c r="V191" s="20">
        <f t="shared" ref="V191:V193" si="153">ROUND(((P191-MIN($M$3:$R$212))/(MAX($M$3:$R$212)-MIN($M$3:$R$212)))*((2^12)-1), 0)</f>
        <v>259</v>
      </c>
      <c r="W191" s="20">
        <f t="shared" ref="W191:W193" si="154">ROUND(((Q191-MIN($M$3:$R$212))/(MAX($M$3:$R$212)-MIN($M$3:$R$212)))*((2^12)-1), 0)</f>
        <v>192</v>
      </c>
      <c r="X191" s="20">
        <f t="shared" ref="X191:X193" si="155">ROUND(((R191-MIN($M$3:$R$212))/(MAX($M$3:$R$212)-MIN($M$3:$R$212)))*((2^12)-1), 0)</f>
        <v>315</v>
      </c>
      <c r="Y191" s="25" t="s">
        <v>412</v>
      </c>
      <c r="Z191" s="25">
        <v>0</v>
      </c>
      <c r="AA191" s="25">
        <v>1</v>
      </c>
      <c r="AB191" s="25" t="s">
        <v>401</v>
      </c>
      <c r="AC191" s="20" t="s">
        <v>683</v>
      </c>
    </row>
    <row r="192" spans="1:29" ht="38.25">
      <c r="A192" s="20" t="s">
        <v>442</v>
      </c>
      <c r="B192" s="24" t="str">
        <f>'Lambda-Resistor (All)'!A38</f>
        <v>Decrease of Resistance Value</v>
      </c>
      <c r="C192" s="22">
        <f>'Lambda-Resistor (All)'!B$32</f>
        <v>4.1612004167966296E-9</v>
      </c>
      <c r="D192" s="23">
        <f>'Lambda-Resistor (All)'!C38</f>
        <v>0.18</v>
      </c>
      <c r="E192" s="20">
        <f>'Lambda-Resistor (All)'!D38</f>
        <v>7.4901607502339334E-10</v>
      </c>
      <c r="F192" s="21" t="s">
        <v>381</v>
      </c>
      <c r="G192" s="21" t="s">
        <v>381</v>
      </c>
      <c r="H192" s="20" t="s">
        <v>43</v>
      </c>
      <c r="I192" s="20" t="s">
        <v>392</v>
      </c>
      <c r="J192" s="20" t="s">
        <v>574</v>
      </c>
      <c r="K192" s="20" t="s">
        <v>676</v>
      </c>
      <c r="L192" s="20" t="s">
        <v>675</v>
      </c>
      <c r="M192" s="20">
        <v>0</v>
      </c>
      <c r="N192" s="20">
        <v>0</v>
      </c>
      <c r="O192" s="20">
        <v>0</v>
      </c>
      <c r="P192" s="20">
        <v>0</v>
      </c>
      <c r="Q192" s="20">
        <v>0</v>
      </c>
      <c r="R192" s="20">
        <v>0</v>
      </c>
      <c r="S192" s="20">
        <f t="shared" si="150"/>
        <v>0</v>
      </c>
      <c r="T192" s="20">
        <f t="shared" si="151"/>
        <v>0</v>
      </c>
      <c r="U192" s="20">
        <f t="shared" si="152"/>
        <v>0</v>
      </c>
      <c r="V192" s="20">
        <f t="shared" si="153"/>
        <v>0</v>
      </c>
      <c r="W192" s="20">
        <f t="shared" si="154"/>
        <v>0</v>
      </c>
      <c r="X192" s="20">
        <f t="shared" si="155"/>
        <v>0</v>
      </c>
      <c r="Y192" s="20" t="s">
        <v>397</v>
      </c>
      <c r="Z192" s="25">
        <v>0</v>
      </c>
      <c r="AA192" s="25">
        <v>1</v>
      </c>
      <c r="AB192" s="25" t="s">
        <v>401</v>
      </c>
      <c r="AC192" s="20" t="s">
        <v>683</v>
      </c>
    </row>
    <row r="193" spans="1:29" ht="38.25">
      <c r="A193" s="20" t="s">
        <v>442</v>
      </c>
      <c r="B193" s="21" t="str">
        <f>'Lambda-Resistor (All)'!A39</f>
        <v>Short-Circuit to Casing</v>
      </c>
      <c r="C193" s="22">
        <f>'Lambda-Resistor (All)'!B$32</f>
        <v>4.1612004167966296E-9</v>
      </c>
      <c r="D193" s="23">
        <f>'Lambda-Resistor (All)'!C39</f>
        <v>0</v>
      </c>
      <c r="E193" s="20">
        <f>'Lambda-Resistor (All)'!D39</f>
        <v>0</v>
      </c>
      <c r="F193" s="21" t="s">
        <v>382</v>
      </c>
      <c r="G193" s="26" t="s">
        <v>382</v>
      </c>
      <c r="H193" s="20" t="s">
        <v>43</v>
      </c>
      <c r="I193" s="20" t="s">
        <v>393</v>
      </c>
      <c r="J193" s="20" t="s">
        <v>393</v>
      </c>
      <c r="K193" s="20" t="s">
        <v>677</v>
      </c>
      <c r="L193" s="20" t="s">
        <v>677</v>
      </c>
      <c r="M193" s="20">
        <v>3.2724899999999999</v>
      </c>
      <c r="N193" s="20">
        <v>3.2719999999999998</v>
      </c>
      <c r="O193" s="20">
        <v>3.2749999999999999</v>
      </c>
      <c r="P193" s="20">
        <v>4.3130000000000002E-2</v>
      </c>
      <c r="Q193" s="20">
        <v>4.095E-2</v>
      </c>
      <c r="R193" s="20">
        <v>4.53E-2</v>
      </c>
      <c r="S193" s="20">
        <f t="shared" si="150"/>
        <v>4092</v>
      </c>
      <c r="T193" s="20">
        <f t="shared" si="151"/>
        <v>4091</v>
      </c>
      <c r="U193" s="20">
        <f t="shared" si="152"/>
        <v>4095</v>
      </c>
      <c r="V193" s="20">
        <f t="shared" si="153"/>
        <v>54</v>
      </c>
      <c r="W193" s="20">
        <f t="shared" si="154"/>
        <v>51</v>
      </c>
      <c r="X193" s="20">
        <f t="shared" si="155"/>
        <v>57</v>
      </c>
      <c r="Y193" s="20" t="s">
        <v>401</v>
      </c>
      <c r="Z193" s="25">
        <v>0</v>
      </c>
      <c r="AA193" s="25">
        <v>1</v>
      </c>
      <c r="AB193" s="25" t="s">
        <v>401</v>
      </c>
      <c r="AC193" s="20" t="s">
        <v>683</v>
      </c>
    </row>
    <row r="194" spans="1:29" ht="51">
      <c r="A194" s="20" t="s">
        <v>342</v>
      </c>
      <c r="B194" s="24" t="str">
        <f>'Lambda-UC_Sys'!A34</f>
        <v>Supply open</v>
      </c>
      <c r="C194" s="22">
        <f>'Lambda-UC_Sys'!B$31</f>
        <v>1.7731485820300208E-8</v>
      </c>
      <c r="D194" s="23">
        <f>'Lambda-UC_Sys'!C34</f>
        <v>0.12</v>
      </c>
      <c r="E194" s="20">
        <f>'Lambda-UC_Sys'!D34</f>
        <v>2.1277782984360249E-9</v>
      </c>
      <c r="F194" s="21" t="s">
        <v>614</v>
      </c>
      <c r="G194" s="21" t="s">
        <v>615</v>
      </c>
      <c r="H194" s="20" t="s">
        <v>43</v>
      </c>
      <c r="I194" s="20" t="s">
        <v>392</v>
      </c>
      <c r="J194" s="25" t="s">
        <v>504</v>
      </c>
      <c r="K194" s="25" t="s">
        <v>673</v>
      </c>
      <c r="L194" s="20" t="s">
        <v>675</v>
      </c>
      <c r="M194" s="20">
        <v>3.1999999999999999E-6</v>
      </c>
      <c r="N194" s="20">
        <v>3.1999999999999999E-6</v>
      </c>
      <c r="O194" s="20">
        <v>3.1999999999999999E-6</v>
      </c>
      <c r="P194" s="20">
        <v>3.1999999999999999E-6</v>
      </c>
      <c r="Q194" s="20">
        <v>3.1999999999999999E-6</v>
      </c>
      <c r="R194" s="20">
        <v>3.1999999999999999E-6</v>
      </c>
      <c r="S194" s="20">
        <f t="shared" si="92"/>
        <v>0</v>
      </c>
      <c r="T194" s="20">
        <f t="shared" si="93"/>
        <v>0</v>
      </c>
      <c r="U194" s="20">
        <f t="shared" si="94"/>
        <v>0</v>
      </c>
      <c r="V194" s="20">
        <f t="shared" si="95"/>
        <v>0</v>
      </c>
      <c r="W194" s="20">
        <f t="shared" si="96"/>
        <v>0</v>
      </c>
      <c r="X194" s="20">
        <f t="shared" si="97"/>
        <v>0</v>
      </c>
      <c r="Y194" s="20" t="s">
        <v>398</v>
      </c>
      <c r="Z194" s="25">
        <v>0</v>
      </c>
      <c r="AA194" s="25">
        <v>1</v>
      </c>
      <c r="AB194" s="25" t="s">
        <v>401</v>
      </c>
      <c r="AC194" s="20" t="s">
        <v>683</v>
      </c>
    </row>
    <row r="195" spans="1:29" ht="89.25">
      <c r="A195" s="20" t="s">
        <v>342</v>
      </c>
      <c r="B195" s="24" t="str">
        <f>'Lambda-UC_Sys'!A35</f>
        <v>Output 'Dig_Out1' open</v>
      </c>
      <c r="C195" s="22">
        <f>'Lambda-UC_Sys'!B$31</f>
        <v>1.7731485820300208E-8</v>
      </c>
      <c r="D195" s="23">
        <f>'Lambda-UC_Sys'!C35</f>
        <v>0.12</v>
      </c>
      <c r="E195" s="20">
        <f>'Lambda-UC_Sys'!D35</f>
        <v>2.1277782984360249E-9</v>
      </c>
      <c r="F195" s="21" t="s">
        <v>616</v>
      </c>
      <c r="G195" s="21" t="s">
        <v>618</v>
      </c>
      <c r="H195" s="20" t="s">
        <v>43</v>
      </c>
      <c r="I195" s="20" t="s">
        <v>392</v>
      </c>
      <c r="J195" s="25" t="s">
        <v>504</v>
      </c>
      <c r="K195" s="25" t="s">
        <v>673</v>
      </c>
      <c r="L195" s="20" t="s">
        <v>675</v>
      </c>
      <c r="M195" s="20">
        <v>3.2724899999999999</v>
      </c>
      <c r="N195" s="20">
        <v>3.2719999999999998</v>
      </c>
      <c r="O195" s="20">
        <v>3.2749999999999999</v>
      </c>
      <c r="P195" s="20">
        <v>4.3130000000000002E-2</v>
      </c>
      <c r="Q195" s="20">
        <v>4.095E-2</v>
      </c>
      <c r="R195" s="20">
        <v>4.53E-2</v>
      </c>
      <c r="S195" s="20">
        <f t="shared" si="92"/>
        <v>4092</v>
      </c>
      <c r="T195" s="20">
        <f t="shared" si="93"/>
        <v>4091</v>
      </c>
      <c r="U195" s="20">
        <f t="shared" si="94"/>
        <v>4095</v>
      </c>
      <c r="V195" s="20">
        <f t="shared" si="95"/>
        <v>54</v>
      </c>
      <c r="W195" s="20">
        <f t="shared" si="96"/>
        <v>51</v>
      </c>
      <c r="X195" s="20">
        <f t="shared" si="97"/>
        <v>57</v>
      </c>
      <c r="Y195" s="20" t="s">
        <v>401</v>
      </c>
      <c r="Z195" s="25">
        <v>0</v>
      </c>
      <c r="AA195" s="25">
        <v>1</v>
      </c>
      <c r="AB195" s="25" t="s">
        <v>401</v>
      </c>
      <c r="AC195" s="20" t="s">
        <v>683</v>
      </c>
    </row>
    <row r="196" spans="1:29" ht="102">
      <c r="A196" s="20" t="s">
        <v>342</v>
      </c>
      <c r="B196" s="24" t="str">
        <f>'Lambda-UC_Sys'!A36</f>
        <v>Output 'Dig_Out2' open</v>
      </c>
      <c r="C196" s="22">
        <f>'Lambda-UC_Sys'!B$31</f>
        <v>1.7731485820300208E-8</v>
      </c>
      <c r="D196" s="23">
        <f>'Lambda-UC_Sys'!C36</f>
        <v>0.12</v>
      </c>
      <c r="E196" s="20">
        <f>'Lambda-UC_Sys'!D36</f>
        <v>2.1277782984360249E-9</v>
      </c>
      <c r="F196" s="21" t="s">
        <v>617</v>
      </c>
      <c r="G196" s="21" t="s">
        <v>619</v>
      </c>
      <c r="H196" s="20" t="s">
        <v>43</v>
      </c>
      <c r="I196" s="20" t="s">
        <v>392</v>
      </c>
      <c r="J196" s="20" t="s">
        <v>620</v>
      </c>
      <c r="K196" s="25" t="s">
        <v>673</v>
      </c>
      <c r="L196" s="20" t="s">
        <v>675</v>
      </c>
      <c r="M196" s="20">
        <v>3.2724899999999999</v>
      </c>
      <c r="N196" s="20">
        <v>3.2719999999999998</v>
      </c>
      <c r="O196" s="20">
        <v>3.2749999999999999</v>
      </c>
      <c r="P196" s="20">
        <v>4.3130000000000002E-2</v>
      </c>
      <c r="Q196" s="20">
        <v>4.095E-2</v>
      </c>
      <c r="R196" s="20">
        <v>4.53E-2</v>
      </c>
      <c r="S196" s="20">
        <f t="shared" si="92"/>
        <v>4092</v>
      </c>
      <c r="T196" s="20">
        <f t="shared" si="93"/>
        <v>4091</v>
      </c>
      <c r="U196" s="20">
        <f t="shared" si="94"/>
        <v>4095</v>
      </c>
      <c r="V196" s="20">
        <f t="shared" si="95"/>
        <v>54</v>
      </c>
      <c r="W196" s="20">
        <f t="shared" si="96"/>
        <v>51</v>
      </c>
      <c r="X196" s="20">
        <f t="shared" si="97"/>
        <v>57</v>
      </c>
      <c r="Y196" s="20" t="s">
        <v>401</v>
      </c>
      <c r="Z196" s="25">
        <v>0</v>
      </c>
      <c r="AA196" s="25">
        <v>1</v>
      </c>
      <c r="AB196" s="25" t="s">
        <v>401</v>
      </c>
      <c r="AC196" s="20" t="s">
        <v>683</v>
      </c>
    </row>
    <row r="197" spans="1:29" ht="63.75">
      <c r="A197" s="20" t="s">
        <v>342</v>
      </c>
      <c r="B197" s="24" t="str">
        <f>'Lambda-UC_Sys'!A37</f>
        <v>Bidirectional Pin 'SPI' open</v>
      </c>
      <c r="C197" s="22">
        <f>'Lambda-UC_Sys'!B$31</f>
        <v>1.7731485820300208E-8</v>
      </c>
      <c r="D197" s="23">
        <f>'Lambda-UC_Sys'!C37</f>
        <v>0.3</v>
      </c>
      <c r="E197" s="20">
        <f>'Lambda-UC_Sys'!D37</f>
        <v>5.3194457460900622E-9</v>
      </c>
      <c r="F197" s="21" t="s">
        <v>400</v>
      </c>
      <c r="G197" s="21" t="s">
        <v>621</v>
      </c>
      <c r="H197" s="20" t="s">
        <v>43</v>
      </c>
      <c r="I197" s="20" t="s">
        <v>392</v>
      </c>
      <c r="J197" s="25" t="s">
        <v>504</v>
      </c>
      <c r="K197" s="25" t="s">
        <v>673</v>
      </c>
      <c r="L197" s="20" t="s">
        <v>675</v>
      </c>
      <c r="M197" s="20">
        <v>3.2724899999999999</v>
      </c>
      <c r="N197" s="20">
        <v>3.2719999999999998</v>
      </c>
      <c r="O197" s="20">
        <v>3.2749999999999999</v>
      </c>
      <c r="P197" s="20">
        <v>4.3130000000000002E-2</v>
      </c>
      <c r="Q197" s="20">
        <v>4.095E-2</v>
      </c>
      <c r="R197" s="20">
        <v>4.53E-2</v>
      </c>
      <c r="S197" s="20">
        <f t="shared" si="92"/>
        <v>4092</v>
      </c>
      <c r="T197" s="20">
        <f t="shared" si="93"/>
        <v>4091</v>
      </c>
      <c r="U197" s="20">
        <f t="shared" si="94"/>
        <v>4095</v>
      </c>
      <c r="V197" s="20">
        <f t="shared" si="95"/>
        <v>54</v>
      </c>
      <c r="W197" s="20">
        <f t="shared" si="96"/>
        <v>51</v>
      </c>
      <c r="X197" s="20">
        <f t="shared" si="97"/>
        <v>57</v>
      </c>
      <c r="Y197" s="20" t="s">
        <v>401</v>
      </c>
      <c r="Z197" s="25">
        <v>0</v>
      </c>
      <c r="AA197" s="25">
        <v>1</v>
      </c>
      <c r="AB197" s="25" t="s">
        <v>401</v>
      </c>
      <c r="AC197" s="20" t="s">
        <v>683</v>
      </c>
    </row>
    <row r="198" spans="1:29" ht="89.25">
      <c r="A198" s="20" t="s">
        <v>342</v>
      </c>
      <c r="B198" s="24" t="str">
        <f>'Lambda-UC_Sys'!A38</f>
        <v>Output 'Dig_Out1' stuck low</v>
      </c>
      <c r="C198" s="22">
        <f>'Lambda-UC_Sys'!B$31</f>
        <v>1.7731485820300208E-8</v>
      </c>
      <c r="D198" s="23">
        <f>'Lambda-UC_Sys'!C38</f>
        <v>0.03</v>
      </c>
      <c r="E198" s="20">
        <f>'Lambda-UC_Sys'!D38</f>
        <v>5.3194457460900624E-10</v>
      </c>
      <c r="F198" s="21" t="s">
        <v>622</v>
      </c>
      <c r="G198" s="21" t="s">
        <v>618</v>
      </c>
      <c r="H198" s="20" t="s">
        <v>43</v>
      </c>
      <c r="I198" s="20" t="s">
        <v>392</v>
      </c>
      <c r="J198" s="25" t="s">
        <v>504</v>
      </c>
      <c r="K198" s="25" t="s">
        <v>673</v>
      </c>
      <c r="L198" s="20" t="s">
        <v>675</v>
      </c>
      <c r="M198" s="20">
        <v>3.2724899999999999</v>
      </c>
      <c r="N198" s="20">
        <v>3.2719999999999998</v>
      </c>
      <c r="O198" s="20">
        <v>3.2749999999999999</v>
      </c>
      <c r="P198" s="20">
        <v>4.3130000000000002E-2</v>
      </c>
      <c r="Q198" s="20">
        <v>4.095E-2</v>
      </c>
      <c r="R198" s="20">
        <v>4.53E-2</v>
      </c>
      <c r="S198" s="20">
        <f t="shared" si="92"/>
        <v>4092</v>
      </c>
      <c r="T198" s="20">
        <f t="shared" si="93"/>
        <v>4091</v>
      </c>
      <c r="U198" s="20">
        <f t="shared" si="94"/>
        <v>4095</v>
      </c>
      <c r="V198" s="20">
        <f t="shared" si="95"/>
        <v>54</v>
      </c>
      <c r="W198" s="20">
        <f t="shared" si="96"/>
        <v>51</v>
      </c>
      <c r="X198" s="20">
        <f t="shared" si="97"/>
        <v>57</v>
      </c>
      <c r="Y198" s="20" t="s">
        <v>401</v>
      </c>
      <c r="Z198" s="25">
        <v>0</v>
      </c>
      <c r="AA198" s="25">
        <v>1</v>
      </c>
      <c r="AB198" s="25" t="s">
        <v>401</v>
      </c>
      <c r="AC198" s="20" t="s">
        <v>683</v>
      </c>
    </row>
    <row r="199" spans="1:29" ht="51">
      <c r="A199" s="20" t="s">
        <v>342</v>
      </c>
      <c r="B199" s="24" t="str">
        <f>'Lambda-UC_Sys'!A39</f>
        <v>Output 'Dig_Out2' stuck low</v>
      </c>
      <c r="C199" s="22">
        <f>'Lambda-UC_Sys'!B$31</f>
        <v>1.7731485820300208E-8</v>
      </c>
      <c r="D199" s="23">
        <f>'Lambda-UC_Sys'!C39</f>
        <v>0.03</v>
      </c>
      <c r="E199" s="20">
        <f>'Lambda-UC_Sys'!D39</f>
        <v>5.3194457460900624E-10</v>
      </c>
      <c r="F199" s="21" t="s">
        <v>623</v>
      </c>
      <c r="G199" s="21" t="s">
        <v>624</v>
      </c>
      <c r="H199" s="20" t="s">
        <v>43</v>
      </c>
      <c r="I199" s="20" t="s">
        <v>392</v>
      </c>
      <c r="J199" s="20" t="s">
        <v>573</v>
      </c>
      <c r="K199" s="25" t="s">
        <v>673</v>
      </c>
      <c r="L199" s="20" t="s">
        <v>675</v>
      </c>
      <c r="M199" s="20">
        <v>3.2724899999999999</v>
      </c>
      <c r="N199" s="20">
        <v>3.2719999999999998</v>
      </c>
      <c r="O199" s="20">
        <v>3.2749999999999999</v>
      </c>
      <c r="P199" s="20">
        <v>4.3130000000000002E-2</v>
      </c>
      <c r="Q199" s="20">
        <v>4.095E-2</v>
      </c>
      <c r="R199" s="20">
        <v>4.53E-2</v>
      </c>
      <c r="S199" s="20">
        <f t="shared" si="92"/>
        <v>4092</v>
      </c>
      <c r="T199" s="20">
        <f t="shared" si="93"/>
        <v>4091</v>
      </c>
      <c r="U199" s="20">
        <f t="shared" si="94"/>
        <v>4095</v>
      </c>
      <c r="V199" s="20">
        <f t="shared" si="95"/>
        <v>54</v>
      </c>
      <c r="W199" s="20">
        <f t="shared" si="96"/>
        <v>51</v>
      </c>
      <c r="X199" s="20">
        <f t="shared" si="97"/>
        <v>57</v>
      </c>
      <c r="Y199" s="20" t="s">
        <v>401</v>
      </c>
      <c r="Z199" s="25">
        <v>0</v>
      </c>
      <c r="AA199" s="25">
        <v>1</v>
      </c>
      <c r="AB199" s="25" t="s">
        <v>401</v>
      </c>
      <c r="AC199" s="20" t="s">
        <v>683</v>
      </c>
    </row>
    <row r="200" spans="1:29" ht="63.75">
      <c r="A200" s="20" t="s">
        <v>342</v>
      </c>
      <c r="B200" s="24" t="str">
        <f>'Lambda-UC_Sys'!A40</f>
        <v>Bidirectional Pin 'SPI' stuck low</v>
      </c>
      <c r="C200" s="22">
        <f>'Lambda-UC_Sys'!B$31</f>
        <v>1.7731485820300208E-8</v>
      </c>
      <c r="D200" s="23">
        <f>'Lambda-UC_Sys'!C40</f>
        <v>0.03</v>
      </c>
      <c r="E200" s="20">
        <f>'Lambda-UC_Sys'!D40</f>
        <v>5.3194457460900624E-10</v>
      </c>
      <c r="F200" s="21" t="s">
        <v>625</v>
      </c>
      <c r="G200" s="21" t="s">
        <v>621</v>
      </c>
      <c r="H200" s="20" t="s">
        <v>43</v>
      </c>
      <c r="I200" s="20" t="s">
        <v>392</v>
      </c>
      <c r="J200" s="25" t="s">
        <v>504</v>
      </c>
      <c r="K200" s="25" t="s">
        <v>673</v>
      </c>
      <c r="L200" s="20" t="s">
        <v>675</v>
      </c>
      <c r="M200" s="20">
        <v>3.2724899999999999</v>
      </c>
      <c r="N200" s="20">
        <v>3.2719999999999998</v>
      </c>
      <c r="O200" s="20">
        <v>3.2749999999999999</v>
      </c>
      <c r="P200" s="20">
        <v>4.3130000000000002E-2</v>
      </c>
      <c r="Q200" s="20">
        <v>4.095E-2</v>
      </c>
      <c r="R200" s="20">
        <v>4.53E-2</v>
      </c>
      <c r="S200" s="20">
        <f t="shared" si="92"/>
        <v>4092</v>
      </c>
      <c r="T200" s="20">
        <f t="shared" si="93"/>
        <v>4091</v>
      </c>
      <c r="U200" s="20">
        <f t="shared" si="94"/>
        <v>4095</v>
      </c>
      <c r="V200" s="20">
        <f t="shared" si="95"/>
        <v>54</v>
      </c>
      <c r="W200" s="20">
        <f t="shared" si="96"/>
        <v>51</v>
      </c>
      <c r="X200" s="20">
        <f t="shared" si="97"/>
        <v>57</v>
      </c>
      <c r="Y200" s="20" t="s">
        <v>401</v>
      </c>
      <c r="Z200" s="25">
        <v>0</v>
      </c>
      <c r="AA200" s="25">
        <v>1</v>
      </c>
      <c r="AB200" s="25" t="s">
        <v>401</v>
      </c>
      <c r="AC200" s="20" t="s">
        <v>683</v>
      </c>
    </row>
    <row r="201" spans="1:29" ht="38.25">
      <c r="A201" s="20" t="s">
        <v>342</v>
      </c>
      <c r="B201" s="24" t="str">
        <f>'Lambda-UC_Sys'!A41</f>
        <v>Output 'Dig_Out1' stuck high</v>
      </c>
      <c r="C201" s="22">
        <f>'Lambda-UC_Sys'!B$31</f>
        <v>1.7731485820300208E-8</v>
      </c>
      <c r="D201" s="23">
        <f>'Lambda-UC_Sys'!C41</f>
        <v>2.6666666666666668E-2</v>
      </c>
      <c r="E201" s="20">
        <f>'Lambda-UC_Sys'!D41</f>
        <v>4.7283962187467226E-10</v>
      </c>
      <c r="F201" s="21" t="s">
        <v>626</v>
      </c>
      <c r="G201" s="21" t="s">
        <v>627</v>
      </c>
      <c r="H201" s="20" t="s">
        <v>43</v>
      </c>
      <c r="I201" s="20" t="s">
        <v>392</v>
      </c>
      <c r="J201" s="20" t="s">
        <v>573</v>
      </c>
      <c r="K201" s="20" t="s">
        <v>676</v>
      </c>
      <c r="L201" s="20" t="s">
        <v>675</v>
      </c>
      <c r="M201" s="20">
        <v>3.1999999999999999E-6</v>
      </c>
      <c r="N201" s="20">
        <v>3.1999999999999999E-6</v>
      </c>
      <c r="O201" s="20">
        <v>3.1999999999999999E-6</v>
      </c>
      <c r="P201" s="20">
        <v>3.1999999999999999E-6</v>
      </c>
      <c r="Q201" s="20">
        <v>3.1999999999999999E-6</v>
      </c>
      <c r="R201" s="20">
        <v>3.1999999999999999E-6</v>
      </c>
      <c r="S201" s="20">
        <f t="shared" ref="S201:S208" si="156">ROUND(((M201-MIN($M$3:$R$212))/(MAX($M$3:$R$212)-MIN($M$3:$R$212)))*((2^12)-1), 0)</f>
        <v>0</v>
      </c>
      <c r="T201" s="20">
        <f t="shared" ref="T201:T208" si="157">ROUND(((N201-MIN($M$3:$R$212))/(MAX($M$3:$R$212)-MIN($M$3:$R$212)))*((2^12)-1), 0)</f>
        <v>0</v>
      </c>
      <c r="U201" s="20">
        <f t="shared" ref="U201:U208" si="158">ROUND(((O201-MIN($M$3:$R$212))/(MAX($M$3:$R$212)-MIN($M$3:$R$212)))*((2^12)-1), 0)</f>
        <v>0</v>
      </c>
      <c r="V201" s="20">
        <f t="shared" ref="V201:V208" si="159">ROUND(((P201-MIN($M$3:$R$212))/(MAX($M$3:$R$212)-MIN($M$3:$R$212)))*((2^12)-1), 0)</f>
        <v>0</v>
      </c>
      <c r="W201" s="20">
        <f t="shared" ref="W201:W208" si="160">ROUND(((Q201-MIN($M$3:$R$212))/(MAX($M$3:$R$212)-MIN($M$3:$R$212)))*((2^12)-1), 0)</f>
        <v>0</v>
      </c>
      <c r="X201" s="20">
        <f t="shared" ref="X201:X208" si="161">ROUND(((R201-MIN($M$3:$R$212))/(MAX($M$3:$R$212)-MIN($M$3:$R$212)))*((2^12)-1), 0)</f>
        <v>0</v>
      </c>
      <c r="Y201" s="20" t="s">
        <v>398</v>
      </c>
      <c r="Z201" s="25">
        <v>0</v>
      </c>
      <c r="AA201" s="25">
        <v>1</v>
      </c>
      <c r="AB201" s="25" t="s">
        <v>401</v>
      </c>
      <c r="AC201" s="20" t="s">
        <v>683</v>
      </c>
    </row>
    <row r="202" spans="1:29" ht="102">
      <c r="A202" s="20" t="s">
        <v>342</v>
      </c>
      <c r="B202" s="24" t="str">
        <f>'Lambda-UC_Sys'!A42</f>
        <v>Output 'Dig_Out2' stuck high</v>
      </c>
      <c r="C202" s="22">
        <f>'Lambda-UC_Sys'!B$31</f>
        <v>1.7731485820300208E-8</v>
      </c>
      <c r="D202" s="23">
        <f>'Lambda-UC_Sys'!C42</f>
        <v>2.6666666666666668E-2</v>
      </c>
      <c r="E202" s="20">
        <f>'Lambda-UC_Sys'!D42</f>
        <v>4.7283962187467226E-10</v>
      </c>
      <c r="F202" s="21" t="s">
        <v>628</v>
      </c>
      <c r="G202" s="21" t="s">
        <v>619</v>
      </c>
      <c r="H202" s="20" t="s">
        <v>43</v>
      </c>
      <c r="I202" s="20" t="s">
        <v>392</v>
      </c>
      <c r="J202" s="20" t="s">
        <v>620</v>
      </c>
      <c r="K202" s="25" t="s">
        <v>673</v>
      </c>
      <c r="L202" s="20" t="s">
        <v>675</v>
      </c>
      <c r="M202" s="20">
        <v>3.2724899999999999</v>
      </c>
      <c r="N202" s="20">
        <v>3.2719999999999998</v>
      </c>
      <c r="O202" s="20">
        <v>3.2749999999999999</v>
      </c>
      <c r="P202" s="20">
        <v>4.3130000000000002E-2</v>
      </c>
      <c r="Q202" s="20">
        <v>4.095E-2</v>
      </c>
      <c r="R202" s="20">
        <v>4.53E-2</v>
      </c>
      <c r="S202" s="20">
        <f t="shared" si="156"/>
        <v>4092</v>
      </c>
      <c r="T202" s="20">
        <f t="shared" si="157"/>
        <v>4091</v>
      </c>
      <c r="U202" s="20">
        <f t="shared" si="158"/>
        <v>4095</v>
      </c>
      <c r="V202" s="20">
        <f t="shared" si="159"/>
        <v>54</v>
      </c>
      <c r="W202" s="20">
        <f t="shared" si="160"/>
        <v>51</v>
      </c>
      <c r="X202" s="20">
        <f t="shared" si="161"/>
        <v>57</v>
      </c>
      <c r="Y202" s="20" t="s">
        <v>401</v>
      </c>
      <c r="Z202" s="25">
        <v>0</v>
      </c>
      <c r="AA202" s="25">
        <v>1</v>
      </c>
      <c r="AB202" s="25" t="s">
        <v>401</v>
      </c>
      <c r="AC202" s="20" t="s">
        <v>683</v>
      </c>
    </row>
    <row r="203" spans="1:29" ht="63.75">
      <c r="A203" s="20" t="s">
        <v>342</v>
      </c>
      <c r="B203" s="24" t="str">
        <f>'Lambda-UC_Sys'!A43</f>
        <v>Bidirectional 'SPI' Pin stuck high</v>
      </c>
      <c r="C203" s="22">
        <f>'Lambda-UC_Sys'!B$31</f>
        <v>1.7731485820300208E-8</v>
      </c>
      <c r="D203" s="23">
        <f>'Lambda-UC_Sys'!C43</f>
        <v>2.6666666666666668E-2</v>
      </c>
      <c r="E203" s="20">
        <f>'Lambda-UC_Sys'!D43</f>
        <v>4.7283962187467226E-10</v>
      </c>
      <c r="F203" s="21" t="s">
        <v>625</v>
      </c>
      <c r="G203" s="21" t="s">
        <v>621</v>
      </c>
      <c r="H203" s="20" t="s">
        <v>43</v>
      </c>
      <c r="I203" s="20" t="s">
        <v>392</v>
      </c>
      <c r="J203" s="25" t="s">
        <v>504</v>
      </c>
      <c r="K203" s="25" t="s">
        <v>673</v>
      </c>
      <c r="L203" s="20" t="s">
        <v>675</v>
      </c>
      <c r="M203" s="20">
        <v>3.2724899999999999</v>
      </c>
      <c r="N203" s="20">
        <v>3.2719999999999998</v>
      </c>
      <c r="O203" s="20">
        <v>3.2749999999999999</v>
      </c>
      <c r="P203" s="20">
        <v>4.3130000000000002E-2</v>
      </c>
      <c r="Q203" s="20">
        <v>4.095E-2</v>
      </c>
      <c r="R203" s="20">
        <v>4.53E-2</v>
      </c>
      <c r="S203" s="20">
        <f t="shared" si="156"/>
        <v>4092</v>
      </c>
      <c r="T203" s="20">
        <f t="shared" si="157"/>
        <v>4091</v>
      </c>
      <c r="U203" s="20">
        <f t="shared" si="158"/>
        <v>4095</v>
      </c>
      <c r="V203" s="20">
        <f t="shared" si="159"/>
        <v>54</v>
      </c>
      <c r="W203" s="20">
        <f t="shared" si="160"/>
        <v>51</v>
      </c>
      <c r="X203" s="20">
        <f t="shared" si="161"/>
        <v>57</v>
      </c>
      <c r="Y203" s="20" t="s">
        <v>401</v>
      </c>
      <c r="Z203" s="25">
        <v>0</v>
      </c>
      <c r="AA203" s="25">
        <v>1</v>
      </c>
      <c r="AB203" s="25" t="s">
        <v>401</v>
      </c>
      <c r="AC203" s="20" t="s">
        <v>683</v>
      </c>
    </row>
    <row r="204" spans="1:29" ht="63.75">
      <c r="A204" s="20" t="s">
        <v>342</v>
      </c>
      <c r="B204" s="24" t="str">
        <f>'Lambda-UC_Sys'!A44</f>
        <v>Input open</v>
      </c>
      <c r="C204" s="22">
        <f>'Lambda-UC_Sys'!B$31</f>
        <v>1.7731485820300208E-8</v>
      </c>
      <c r="D204" s="23">
        <f>'Lambda-UC_Sys'!C44</f>
        <v>0.18</v>
      </c>
      <c r="E204" s="20">
        <f>'Lambda-UC_Sys'!D44</f>
        <v>3.1916674476540372E-9</v>
      </c>
      <c r="F204" s="21" t="s">
        <v>629</v>
      </c>
      <c r="G204" s="21" t="s">
        <v>630</v>
      </c>
      <c r="H204" s="20" t="s">
        <v>43</v>
      </c>
      <c r="I204" s="20" t="s">
        <v>392</v>
      </c>
      <c r="J204" s="25" t="s">
        <v>504</v>
      </c>
      <c r="K204" s="25" t="s">
        <v>673</v>
      </c>
      <c r="L204" s="20" t="s">
        <v>675</v>
      </c>
      <c r="M204" s="20">
        <v>3.2724899999999999</v>
      </c>
      <c r="N204" s="20">
        <v>3.2719999999999998</v>
      </c>
      <c r="O204" s="20">
        <v>3.2749999999999999</v>
      </c>
      <c r="P204" s="20">
        <v>4.3130000000000002E-2</v>
      </c>
      <c r="Q204" s="20">
        <v>4.095E-2</v>
      </c>
      <c r="R204" s="20">
        <v>4.53E-2</v>
      </c>
      <c r="S204" s="20">
        <f t="shared" si="156"/>
        <v>4092</v>
      </c>
      <c r="T204" s="20">
        <f t="shared" si="157"/>
        <v>4091</v>
      </c>
      <c r="U204" s="20">
        <f t="shared" si="158"/>
        <v>4095</v>
      </c>
      <c r="V204" s="20">
        <f t="shared" si="159"/>
        <v>54</v>
      </c>
      <c r="W204" s="20">
        <f t="shared" si="160"/>
        <v>51</v>
      </c>
      <c r="X204" s="20">
        <f t="shared" si="161"/>
        <v>57</v>
      </c>
      <c r="Y204" s="20" t="s">
        <v>401</v>
      </c>
      <c r="Z204" s="25">
        <v>0</v>
      </c>
      <c r="AA204" s="25">
        <v>1</v>
      </c>
      <c r="AB204" s="25" t="s">
        <v>401</v>
      </c>
      <c r="AC204" s="20" t="s">
        <v>683</v>
      </c>
    </row>
    <row r="205" spans="1:29" ht="63.75">
      <c r="A205" s="20" t="s">
        <v>343</v>
      </c>
      <c r="B205" s="24" t="str">
        <f>'Lambda-Flash (All)'!A34</f>
        <v>Data bit loss</v>
      </c>
      <c r="C205" s="22">
        <f>'Lambda-Flash (All)'!B$31</f>
        <v>1.7732043349975445E-8</v>
      </c>
      <c r="D205" s="23">
        <f>'Lambda-Flash (All)'!C34</f>
        <v>0.34</v>
      </c>
      <c r="E205" s="20">
        <f>'Lambda-Flash (All)'!D34</f>
        <v>6.0288947389916522E-9</v>
      </c>
      <c r="F205" s="21" t="s">
        <v>625</v>
      </c>
      <c r="G205" s="21" t="s">
        <v>621</v>
      </c>
      <c r="H205" s="20" t="s">
        <v>43</v>
      </c>
      <c r="I205" s="20" t="s">
        <v>392</v>
      </c>
      <c r="J205" s="25" t="s">
        <v>504</v>
      </c>
      <c r="K205" s="25" t="s">
        <v>673</v>
      </c>
      <c r="L205" s="20" t="s">
        <v>675</v>
      </c>
      <c r="M205" s="20">
        <v>3.2724899999999999</v>
      </c>
      <c r="N205" s="20">
        <v>3.2719999999999998</v>
      </c>
      <c r="O205" s="20">
        <v>3.2749999999999999</v>
      </c>
      <c r="P205" s="20">
        <v>4.3130000000000002E-2</v>
      </c>
      <c r="Q205" s="20">
        <v>4.095E-2</v>
      </c>
      <c r="R205" s="20">
        <v>4.53E-2</v>
      </c>
      <c r="S205" s="20">
        <f t="shared" si="156"/>
        <v>4092</v>
      </c>
      <c r="T205" s="20">
        <f t="shared" si="157"/>
        <v>4091</v>
      </c>
      <c r="U205" s="20">
        <f t="shared" si="158"/>
        <v>4095</v>
      </c>
      <c r="V205" s="20">
        <f t="shared" si="159"/>
        <v>54</v>
      </c>
      <c r="W205" s="20">
        <f t="shared" si="160"/>
        <v>51</v>
      </c>
      <c r="X205" s="20">
        <f t="shared" si="161"/>
        <v>57</v>
      </c>
      <c r="Y205" s="20" t="s">
        <v>401</v>
      </c>
      <c r="Z205" s="25">
        <v>0</v>
      </c>
      <c r="AA205" s="25">
        <v>1</v>
      </c>
      <c r="AB205" s="25" t="s">
        <v>401</v>
      </c>
      <c r="AC205" s="20" t="s">
        <v>683</v>
      </c>
    </row>
    <row r="206" spans="1:29" ht="63.75">
      <c r="A206" s="20" t="s">
        <v>343</v>
      </c>
      <c r="B206" s="24" t="str">
        <f>'Lambda-Flash (All)'!A35</f>
        <v>Slow transfer of data</v>
      </c>
      <c r="C206" s="22">
        <f>'Lambda-Flash (All)'!B$31</f>
        <v>1.7732043349975445E-8</v>
      </c>
      <c r="D206" s="23">
        <f>'Lambda-Flash (All)'!C35</f>
        <v>0.17</v>
      </c>
      <c r="E206" s="20">
        <f>'Lambda-Flash (All)'!D35</f>
        <v>3.0144473694958261E-9</v>
      </c>
      <c r="F206" s="21" t="s">
        <v>625</v>
      </c>
      <c r="G206" s="21" t="s">
        <v>621</v>
      </c>
      <c r="H206" s="20" t="s">
        <v>43</v>
      </c>
      <c r="I206" s="20" t="s">
        <v>392</v>
      </c>
      <c r="J206" s="25" t="s">
        <v>504</v>
      </c>
      <c r="K206" s="25" t="s">
        <v>673</v>
      </c>
      <c r="L206" s="20" t="s">
        <v>675</v>
      </c>
      <c r="M206" s="20">
        <v>3.2724899999999999</v>
      </c>
      <c r="N206" s="20">
        <v>3.2719999999999998</v>
      </c>
      <c r="O206" s="20">
        <v>3.2749999999999999</v>
      </c>
      <c r="P206" s="20">
        <v>4.3130000000000002E-2</v>
      </c>
      <c r="Q206" s="20">
        <v>4.095E-2</v>
      </c>
      <c r="R206" s="20">
        <v>4.53E-2</v>
      </c>
      <c r="S206" s="20">
        <f t="shared" si="156"/>
        <v>4092</v>
      </c>
      <c r="T206" s="20">
        <f t="shared" si="157"/>
        <v>4091</v>
      </c>
      <c r="U206" s="20">
        <f t="shared" si="158"/>
        <v>4095</v>
      </c>
      <c r="V206" s="20">
        <f t="shared" si="159"/>
        <v>54</v>
      </c>
      <c r="W206" s="20">
        <f t="shared" si="160"/>
        <v>51</v>
      </c>
      <c r="X206" s="20">
        <f t="shared" si="161"/>
        <v>57</v>
      </c>
      <c r="Y206" s="20" t="s">
        <v>401</v>
      </c>
      <c r="Z206" s="25">
        <v>0</v>
      </c>
      <c r="AA206" s="25">
        <v>1</v>
      </c>
      <c r="AB206" s="25" t="s">
        <v>401</v>
      </c>
      <c r="AC206" s="20" t="s">
        <v>683</v>
      </c>
    </row>
    <row r="207" spans="1:29" ht="63.75">
      <c r="A207" s="20" t="s">
        <v>343</v>
      </c>
      <c r="B207" s="24" t="str">
        <f>'Lambda-Flash (All)'!A36</f>
        <v>Open</v>
      </c>
      <c r="C207" s="22">
        <f>'Lambda-Flash (All)'!B$31</f>
        <v>1.7732043349975445E-8</v>
      </c>
      <c r="D207" s="23">
        <f>'Lambda-Flash (All)'!C36</f>
        <v>0.23</v>
      </c>
      <c r="E207" s="20">
        <f>'Lambda-Flash (All)'!D36</f>
        <v>4.0783699704943524E-9</v>
      </c>
      <c r="F207" s="21" t="s">
        <v>625</v>
      </c>
      <c r="G207" s="21" t="s">
        <v>621</v>
      </c>
      <c r="H207" s="20" t="s">
        <v>43</v>
      </c>
      <c r="I207" s="20" t="s">
        <v>392</v>
      </c>
      <c r="J207" s="25" t="s">
        <v>504</v>
      </c>
      <c r="K207" s="25" t="s">
        <v>673</v>
      </c>
      <c r="L207" s="20" t="s">
        <v>675</v>
      </c>
      <c r="M207" s="20">
        <v>3.2724899999999999</v>
      </c>
      <c r="N207" s="20">
        <v>3.2719999999999998</v>
      </c>
      <c r="O207" s="20">
        <v>3.2749999999999999</v>
      </c>
      <c r="P207" s="20">
        <v>4.3130000000000002E-2</v>
      </c>
      <c r="Q207" s="20">
        <v>4.095E-2</v>
      </c>
      <c r="R207" s="20">
        <v>4.53E-2</v>
      </c>
      <c r="S207" s="20">
        <f t="shared" si="156"/>
        <v>4092</v>
      </c>
      <c r="T207" s="20">
        <f t="shared" si="157"/>
        <v>4091</v>
      </c>
      <c r="U207" s="20">
        <f t="shared" si="158"/>
        <v>4095</v>
      </c>
      <c r="V207" s="20">
        <f t="shared" si="159"/>
        <v>54</v>
      </c>
      <c r="W207" s="20">
        <f t="shared" si="160"/>
        <v>51</v>
      </c>
      <c r="X207" s="20">
        <f t="shared" si="161"/>
        <v>57</v>
      </c>
      <c r="Y207" s="20" t="s">
        <v>401</v>
      </c>
      <c r="Z207" s="25">
        <v>0</v>
      </c>
      <c r="AA207" s="25">
        <v>1</v>
      </c>
      <c r="AB207" s="25" t="s">
        <v>401</v>
      </c>
      <c r="AC207" s="20" t="s">
        <v>683</v>
      </c>
    </row>
    <row r="208" spans="1:29" ht="63.75">
      <c r="A208" s="20" t="s">
        <v>343</v>
      </c>
      <c r="B208" s="24" t="str">
        <f>'Lambda-Flash (All)'!A37</f>
        <v>Short-circuit</v>
      </c>
      <c r="C208" s="22">
        <f>'Lambda-Flash (All)'!B$31</f>
        <v>1.7732043349975445E-8</v>
      </c>
      <c r="D208" s="23">
        <f>'Lambda-Flash (All)'!C37</f>
        <v>0.26</v>
      </c>
      <c r="E208" s="20">
        <f>'Lambda-Flash (All)'!D37</f>
        <v>4.6103312709936158E-9</v>
      </c>
      <c r="F208" s="21" t="s">
        <v>625</v>
      </c>
      <c r="G208" s="21" t="s">
        <v>621</v>
      </c>
      <c r="H208" s="20" t="s">
        <v>43</v>
      </c>
      <c r="I208" s="20" t="s">
        <v>392</v>
      </c>
      <c r="J208" s="25" t="s">
        <v>504</v>
      </c>
      <c r="K208" s="25" t="s">
        <v>673</v>
      </c>
      <c r="L208" s="20" t="s">
        <v>675</v>
      </c>
      <c r="M208" s="20">
        <v>3.2724899999999999</v>
      </c>
      <c r="N208" s="20">
        <v>3.2719999999999998</v>
      </c>
      <c r="O208" s="20">
        <v>3.2749999999999999</v>
      </c>
      <c r="P208" s="20">
        <v>4.3130000000000002E-2</v>
      </c>
      <c r="Q208" s="20">
        <v>4.095E-2</v>
      </c>
      <c r="R208" s="20">
        <v>4.53E-2</v>
      </c>
      <c r="S208" s="20">
        <f t="shared" si="156"/>
        <v>4092</v>
      </c>
      <c r="T208" s="20">
        <f t="shared" si="157"/>
        <v>4091</v>
      </c>
      <c r="U208" s="20">
        <f t="shared" si="158"/>
        <v>4095</v>
      </c>
      <c r="V208" s="20">
        <f t="shared" si="159"/>
        <v>54</v>
      </c>
      <c r="W208" s="20">
        <f t="shared" si="160"/>
        <v>51</v>
      </c>
      <c r="X208" s="20">
        <f t="shared" si="161"/>
        <v>57</v>
      </c>
      <c r="Y208" s="20" t="s">
        <v>401</v>
      </c>
      <c r="Z208" s="25">
        <v>0</v>
      </c>
      <c r="AA208" s="25">
        <v>1</v>
      </c>
      <c r="AB208" s="25" t="s">
        <v>401</v>
      </c>
      <c r="AC208" s="20" t="s">
        <v>683</v>
      </c>
    </row>
    <row r="209" spans="1:29" ht="51">
      <c r="A209" s="20" t="s">
        <v>344</v>
      </c>
      <c r="B209" s="24" t="str">
        <f>'Lambda-DC DC Converter (All)'!A34</f>
        <v>No Output</v>
      </c>
      <c r="C209" s="22">
        <f>'Lambda-DC DC Converter (All)'!B$31</f>
        <v>2.1388134027995368E-8</v>
      </c>
      <c r="D209" s="23">
        <f>'Lambda-DC DC Converter (All)'!C34</f>
        <v>0.23</v>
      </c>
      <c r="E209" s="20">
        <f>'Lambda-DC DC Converter (All)'!D34</f>
        <v>4.9192708264389344E-9</v>
      </c>
      <c r="F209" s="21" t="s">
        <v>631</v>
      </c>
      <c r="G209" s="21" t="s">
        <v>632</v>
      </c>
      <c r="H209" s="20" t="s">
        <v>43</v>
      </c>
      <c r="I209" s="20" t="s">
        <v>392</v>
      </c>
      <c r="J209" s="20" t="s">
        <v>573</v>
      </c>
      <c r="K209" s="20" t="s">
        <v>676</v>
      </c>
      <c r="L209" s="20" t="s">
        <v>675</v>
      </c>
      <c r="M209" s="20">
        <v>3.27305</v>
      </c>
      <c r="N209" s="20">
        <v>3.2730299999999999</v>
      </c>
      <c r="O209" s="20">
        <v>3.2730600000000001</v>
      </c>
      <c r="P209" s="20">
        <v>3.2723450000000001</v>
      </c>
      <c r="Q209" s="20">
        <v>3.272335</v>
      </c>
      <c r="R209" s="20">
        <v>3.2723550000000001</v>
      </c>
      <c r="S209" s="20">
        <f t="shared" ref="S209" si="162">ROUND(((M209-MIN($M$3:$R$212))/(MAX($M$3:$R$212)-MIN($M$3:$R$212)))*((2^12)-1), 0)</f>
        <v>4093</v>
      </c>
      <c r="T209" s="20">
        <f t="shared" ref="T209" si="163">ROUND(((N209-MIN($M$3:$R$212))/(MAX($M$3:$R$212)-MIN($M$3:$R$212)))*((2^12)-1), 0)</f>
        <v>4093</v>
      </c>
      <c r="U209" s="20">
        <f t="shared" ref="U209" si="164">ROUND(((O209-MIN($M$3:$R$212))/(MAX($M$3:$R$212)-MIN($M$3:$R$212)))*((2^12)-1), 0)</f>
        <v>4093</v>
      </c>
      <c r="V209" s="20">
        <f t="shared" ref="V209" si="165">ROUND(((P209-MIN($M$3:$R$212))/(MAX($M$3:$R$212)-MIN($M$3:$R$212)))*((2^12)-1), 0)</f>
        <v>4092</v>
      </c>
      <c r="W209" s="20">
        <f t="shared" ref="W209" si="166">ROUND(((Q209-MIN($M$3:$R$212))/(MAX($M$3:$R$212)-MIN($M$3:$R$212)))*((2^12)-1), 0)</f>
        <v>4092</v>
      </c>
      <c r="X209" s="20">
        <f t="shared" ref="X209" si="167">ROUND(((R209-MIN($M$3:$R$212))/(MAX($M$3:$R$212)-MIN($M$3:$R$212)))*((2^12)-1), 0)</f>
        <v>4092</v>
      </c>
      <c r="Y209" s="20" t="s">
        <v>467</v>
      </c>
      <c r="Z209" s="25">
        <v>0</v>
      </c>
      <c r="AA209" s="25">
        <v>1</v>
      </c>
      <c r="AB209" s="25" t="s">
        <v>401</v>
      </c>
      <c r="AC209" s="20" t="s">
        <v>683</v>
      </c>
    </row>
    <row r="210" spans="1:29" ht="76.5">
      <c r="A210" s="20" t="s">
        <v>344</v>
      </c>
      <c r="B210" s="24" t="str">
        <f>'Lambda-DC DC Converter (All)'!A35</f>
        <v>Increase in Output Voltage</v>
      </c>
      <c r="C210" s="22">
        <f>'Lambda-DC DC Converter (All)'!B$31</f>
        <v>2.1388134027995368E-8</v>
      </c>
      <c r="D210" s="23">
        <f>'Lambda-DC DC Converter (All)'!C35</f>
        <v>0.25666666666666665</v>
      </c>
      <c r="E210" s="20">
        <f>'Lambda-DC DC Converter (All)'!D35</f>
        <v>5.4896210671854778E-9</v>
      </c>
      <c r="F210" s="21" t="s">
        <v>635</v>
      </c>
      <c r="G210" s="21" t="s">
        <v>633</v>
      </c>
      <c r="H210" s="20" t="s">
        <v>44</v>
      </c>
      <c r="I210" s="20" t="s">
        <v>45</v>
      </c>
      <c r="J210" s="20" t="s">
        <v>571</v>
      </c>
      <c r="K210" s="20" t="s">
        <v>675</v>
      </c>
      <c r="L210" s="20" t="s">
        <v>675</v>
      </c>
      <c r="M210" s="20">
        <v>3.2724899999999999</v>
      </c>
      <c r="N210" s="20">
        <v>3.2719999999999998</v>
      </c>
      <c r="O210" s="20">
        <v>3.2749999999999999</v>
      </c>
      <c r="P210" s="20">
        <v>4.3130000000000002E-2</v>
      </c>
      <c r="Q210" s="20">
        <v>4.095E-2</v>
      </c>
      <c r="R210" s="20">
        <v>4.53E-2</v>
      </c>
      <c r="S210" s="20">
        <f t="shared" ref="S210:S220" si="168">ROUND(((M210-MIN($M$3:$R$212))/(MAX($M$3:$R$212)-MIN($M$3:$R$212)))*((2^12)-1), 0)</f>
        <v>4092</v>
      </c>
      <c r="T210" s="20">
        <f t="shared" ref="T210:T220" si="169">ROUND(((N210-MIN($M$3:$R$212))/(MAX($M$3:$R$212)-MIN($M$3:$R$212)))*((2^12)-1), 0)</f>
        <v>4091</v>
      </c>
      <c r="U210" s="20">
        <f t="shared" ref="U210:U220" si="170">ROUND(((O210-MIN($M$3:$R$212))/(MAX($M$3:$R$212)-MIN($M$3:$R$212)))*((2^12)-1), 0)</f>
        <v>4095</v>
      </c>
      <c r="V210" s="20">
        <f t="shared" ref="V210:V220" si="171">ROUND(((P210-MIN($M$3:$R$212))/(MAX($M$3:$R$212)-MIN($M$3:$R$212)))*((2^12)-1), 0)</f>
        <v>54</v>
      </c>
      <c r="W210" s="20">
        <f t="shared" ref="W210:W220" si="172">ROUND(((Q210-MIN($M$3:$R$212))/(MAX($M$3:$R$212)-MIN($M$3:$R$212)))*((2^12)-1), 0)</f>
        <v>51</v>
      </c>
      <c r="X210" s="20">
        <f t="shared" ref="X210:X220" si="173">ROUND(((R210-MIN($M$3:$R$212))/(MAX($M$3:$R$212)-MIN($M$3:$R$212)))*((2^12)-1), 0)</f>
        <v>57</v>
      </c>
      <c r="Y210" s="20" t="s">
        <v>453</v>
      </c>
      <c r="Z210" s="25">
        <v>0</v>
      </c>
      <c r="AA210" s="25">
        <v>1</v>
      </c>
      <c r="AB210" s="25" t="s">
        <v>453</v>
      </c>
      <c r="AC210" s="20" t="s">
        <v>682</v>
      </c>
    </row>
    <row r="211" spans="1:29" ht="76.5">
      <c r="A211" s="20" t="s">
        <v>344</v>
      </c>
      <c r="B211" s="24" t="str">
        <f>'Lambda-DC DC Converter (All)'!A36</f>
        <v>Decrease in Output Voltage</v>
      </c>
      <c r="C211" s="22">
        <f>'Lambda-DC DC Converter (All)'!B$31</f>
        <v>2.1388134027995368E-8</v>
      </c>
      <c r="D211" s="23">
        <f>'Lambda-DC DC Converter (All)'!C36</f>
        <v>0.25666666666666665</v>
      </c>
      <c r="E211" s="20">
        <f>'Lambda-DC DC Converter (All)'!D36</f>
        <v>5.4896210671854778E-9</v>
      </c>
      <c r="F211" s="21" t="s">
        <v>665</v>
      </c>
      <c r="G211" s="21" t="s">
        <v>633</v>
      </c>
      <c r="H211" s="20" t="s">
        <v>44</v>
      </c>
      <c r="I211" s="20" t="s">
        <v>45</v>
      </c>
      <c r="J211" s="20" t="s">
        <v>571</v>
      </c>
      <c r="K211" s="20" t="s">
        <v>675</v>
      </c>
      <c r="L211" s="20" t="s">
        <v>675</v>
      </c>
      <c r="M211" s="20">
        <v>3.2724899999999999</v>
      </c>
      <c r="N211" s="20">
        <v>3.2719999999999998</v>
      </c>
      <c r="O211" s="20">
        <v>3.2749999999999999</v>
      </c>
      <c r="P211" s="20">
        <v>4.3130000000000002E-2</v>
      </c>
      <c r="Q211" s="20">
        <v>4.095E-2</v>
      </c>
      <c r="R211" s="20">
        <v>4.53E-2</v>
      </c>
      <c r="S211" s="20">
        <f t="shared" ref="S211" si="174">ROUND(((M211-MIN($M$3:$R$212))/(MAX($M$3:$R$212)-MIN($M$3:$R$212)))*((2^12)-1), 0)</f>
        <v>4092</v>
      </c>
      <c r="T211" s="20">
        <f t="shared" ref="T211" si="175">ROUND(((N211-MIN($M$3:$R$212))/(MAX($M$3:$R$212)-MIN($M$3:$R$212)))*((2^12)-1), 0)</f>
        <v>4091</v>
      </c>
      <c r="U211" s="20">
        <f t="shared" ref="U211" si="176">ROUND(((O211-MIN($M$3:$R$212))/(MAX($M$3:$R$212)-MIN($M$3:$R$212)))*((2^12)-1), 0)</f>
        <v>4095</v>
      </c>
      <c r="V211" s="20">
        <f t="shared" ref="V211" si="177">ROUND(((P211-MIN($M$3:$R$212))/(MAX($M$3:$R$212)-MIN($M$3:$R$212)))*((2^12)-1), 0)</f>
        <v>54</v>
      </c>
      <c r="W211" s="20">
        <f t="shared" ref="W211" si="178">ROUND(((Q211-MIN($M$3:$R$212))/(MAX($M$3:$R$212)-MIN($M$3:$R$212)))*((2^12)-1), 0)</f>
        <v>51</v>
      </c>
      <c r="X211" s="20">
        <f t="shared" ref="X211" si="179">ROUND(((R211-MIN($M$3:$R$212))/(MAX($M$3:$R$212)-MIN($M$3:$R$212)))*((2^12)-1), 0)</f>
        <v>57</v>
      </c>
      <c r="Y211" s="20" t="s">
        <v>453</v>
      </c>
      <c r="Z211" s="25">
        <v>0</v>
      </c>
      <c r="AA211" s="25">
        <v>1</v>
      </c>
      <c r="AB211" s="25" t="s">
        <v>453</v>
      </c>
      <c r="AC211" s="20" t="s">
        <v>682</v>
      </c>
    </row>
    <row r="212" spans="1:29" ht="76.5">
      <c r="A212" s="20" t="s">
        <v>344</v>
      </c>
      <c r="B212" s="24" t="str">
        <f>'Lambda-DC DC Converter (All)'!A37</f>
        <v>Noisy Output</v>
      </c>
      <c r="C212" s="22">
        <f>'Lambda-DC DC Converter (All)'!B$31</f>
        <v>2.1388134027995368E-8</v>
      </c>
      <c r="D212" s="23">
        <f>'Lambda-DC DC Converter (All)'!C37</f>
        <v>0.25666666666666665</v>
      </c>
      <c r="E212" s="20">
        <f>'Lambda-DC DC Converter (All)'!D37</f>
        <v>5.4896210671854778E-9</v>
      </c>
      <c r="F212" s="21" t="s">
        <v>634</v>
      </c>
      <c r="G212" s="21" t="s">
        <v>633</v>
      </c>
      <c r="H212" s="20" t="s">
        <v>44</v>
      </c>
      <c r="I212" s="20" t="s">
        <v>45</v>
      </c>
      <c r="J212" s="20" t="s">
        <v>571</v>
      </c>
      <c r="K212" s="20" t="s">
        <v>675</v>
      </c>
      <c r="L212" s="20" t="s">
        <v>675</v>
      </c>
      <c r="M212" s="20">
        <v>3.2724899999999999</v>
      </c>
      <c r="N212" s="20">
        <v>3.2719999999999998</v>
      </c>
      <c r="O212" s="20">
        <v>3.2749999999999999</v>
      </c>
      <c r="P212" s="20">
        <v>4.3130000000000002E-2</v>
      </c>
      <c r="Q212" s="20">
        <v>4.095E-2</v>
      </c>
      <c r="R212" s="20">
        <v>4.53E-2</v>
      </c>
      <c r="S212" s="20">
        <f t="shared" ref="S212:S214" si="180">ROUND(((M212-MIN($M$3:$R$212))/(MAX($M$3:$R$212)-MIN($M$3:$R$212)))*((2^12)-1), 0)</f>
        <v>4092</v>
      </c>
      <c r="T212" s="20">
        <f t="shared" ref="T212:T214" si="181">ROUND(((N212-MIN($M$3:$R$212))/(MAX($M$3:$R$212)-MIN($M$3:$R$212)))*((2^12)-1), 0)</f>
        <v>4091</v>
      </c>
      <c r="U212" s="20">
        <f t="shared" ref="U212:U214" si="182">ROUND(((O212-MIN($M$3:$R$212))/(MAX($M$3:$R$212)-MIN($M$3:$R$212)))*((2^12)-1), 0)</f>
        <v>4095</v>
      </c>
      <c r="V212" s="20">
        <f t="shared" ref="V212:V214" si="183">ROUND(((P212-MIN($M$3:$R$212))/(MAX($M$3:$R$212)-MIN($M$3:$R$212)))*((2^12)-1), 0)</f>
        <v>54</v>
      </c>
      <c r="W212" s="20">
        <f t="shared" ref="W212:W214" si="184">ROUND(((Q212-MIN($M$3:$R$212))/(MAX($M$3:$R$212)-MIN($M$3:$R$212)))*((2^12)-1), 0)</f>
        <v>51</v>
      </c>
      <c r="X212" s="20">
        <f t="shared" ref="X212:X214" si="185">ROUND(((R212-MIN($M$3:$R$212))/(MAX($M$3:$R$212)-MIN($M$3:$R$212)))*((2^12)-1), 0)</f>
        <v>57</v>
      </c>
      <c r="Y212" s="20" t="s">
        <v>453</v>
      </c>
      <c r="Z212" s="25">
        <v>0</v>
      </c>
      <c r="AA212" s="25">
        <v>1</v>
      </c>
      <c r="AB212" s="25" t="s">
        <v>453</v>
      </c>
      <c r="AC212" s="20" t="s">
        <v>682</v>
      </c>
    </row>
    <row r="213" spans="1:29" ht="51">
      <c r="A213" s="20" t="s">
        <v>439</v>
      </c>
      <c r="B213" s="24" t="str">
        <f>'Lambda-Capacitor'!A40</f>
        <v>Open</v>
      </c>
      <c r="C213" s="22">
        <f>'Lambda-Capacitor'!B$37</f>
        <v>2.4864713937390443E-9</v>
      </c>
      <c r="D213" s="23">
        <f>'Lambda-Capacitor'!C40</f>
        <v>0.35</v>
      </c>
      <c r="E213" s="20">
        <f>'Lambda-Capacitor'!D40</f>
        <v>8.7026498780866543E-10</v>
      </c>
      <c r="F213" s="21" t="s">
        <v>636</v>
      </c>
      <c r="G213" s="21" t="s">
        <v>637</v>
      </c>
      <c r="H213" s="20" t="s">
        <v>43</v>
      </c>
      <c r="I213" s="20" t="s">
        <v>392</v>
      </c>
      <c r="J213" s="25" t="s">
        <v>504</v>
      </c>
      <c r="K213" s="25" t="s">
        <v>673</v>
      </c>
      <c r="L213" s="20" t="s">
        <v>675</v>
      </c>
      <c r="M213" s="20">
        <v>3.2724899999999999</v>
      </c>
      <c r="N213" s="20">
        <v>3.2719999999999998</v>
      </c>
      <c r="O213" s="20">
        <v>3.2749999999999999</v>
      </c>
      <c r="P213" s="20">
        <v>4.3130000000000002E-2</v>
      </c>
      <c r="Q213" s="20">
        <v>4.095E-2</v>
      </c>
      <c r="R213" s="20">
        <v>4.53E-2</v>
      </c>
      <c r="S213" s="20">
        <f t="shared" si="180"/>
        <v>4092</v>
      </c>
      <c r="T213" s="20">
        <f t="shared" si="181"/>
        <v>4091</v>
      </c>
      <c r="U213" s="20">
        <f t="shared" si="182"/>
        <v>4095</v>
      </c>
      <c r="V213" s="20">
        <f t="shared" si="183"/>
        <v>54</v>
      </c>
      <c r="W213" s="20">
        <f t="shared" si="184"/>
        <v>51</v>
      </c>
      <c r="X213" s="20">
        <f t="shared" si="185"/>
        <v>57</v>
      </c>
      <c r="Y213" s="20" t="s">
        <v>401</v>
      </c>
      <c r="Z213" s="25">
        <v>0</v>
      </c>
      <c r="AA213" s="25">
        <v>1</v>
      </c>
      <c r="AB213" s="25" t="s">
        <v>401</v>
      </c>
      <c r="AC213" s="20" t="s">
        <v>683</v>
      </c>
    </row>
    <row r="214" spans="1:29" ht="38.25">
      <c r="A214" s="20" t="s">
        <v>439</v>
      </c>
      <c r="B214" s="24" t="str">
        <f>'Lambda-Capacitor'!A41</f>
        <v>Short-Circuit</v>
      </c>
      <c r="C214" s="22">
        <f>'Lambda-Capacitor'!B$37</f>
        <v>2.4864713937390443E-9</v>
      </c>
      <c r="D214" s="23">
        <f>'Lambda-Capacitor'!C41</f>
        <v>0.53</v>
      </c>
      <c r="E214" s="20">
        <f>'Lambda-Capacitor'!D41</f>
        <v>1.3178298386816936E-9</v>
      </c>
      <c r="F214" s="21" t="s">
        <v>638</v>
      </c>
      <c r="G214" s="21" t="s">
        <v>395</v>
      </c>
      <c r="H214" s="20" t="s">
        <v>43</v>
      </c>
      <c r="I214" s="20" t="s">
        <v>392</v>
      </c>
      <c r="J214" s="20" t="s">
        <v>573</v>
      </c>
      <c r="K214" s="20" t="s">
        <v>676</v>
      </c>
      <c r="L214" s="20" t="s">
        <v>675</v>
      </c>
      <c r="M214" s="20">
        <v>3.1999999999999999E-6</v>
      </c>
      <c r="N214" s="20">
        <v>3.1999999999999999E-6</v>
      </c>
      <c r="O214" s="20">
        <v>3.1999999999999999E-6</v>
      </c>
      <c r="P214" s="20">
        <v>3.1999999999999999E-6</v>
      </c>
      <c r="Q214" s="20">
        <v>3.1999999999999999E-6</v>
      </c>
      <c r="R214" s="20">
        <v>3.1999999999999999E-6</v>
      </c>
      <c r="S214" s="20">
        <f t="shared" si="180"/>
        <v>0</v>
      </c>
      <c r="T214" s="20">
        <f t="shared" si="181"/>
        <v>0</v>
      </c>
      <c r="U214" s="20">
        <f t="shared" si="182"/>
        <v>0</v>
      </c>
      <c r="V214" s="20">
        <f t="shared" si="183"/>
        <v>0</v>
      </c>
      <c r="W214" s="20">
        <f t="shared" si="184"/>
        <v>0</v>
      </c>
      <c r="X214" s="20">
        <f t="shared" si="185"/>
        <v>0</v>
      </c>
      <c r="Y214" s="20" t="s">
        <v>398</v>
      </c>
      <c r="Z214" s="25">
        <v>0</v>
      </c>
      <c r="AA214" s="25">
        <v>1</v>
      </c>
      <c r="AB214" s="25" t="s">
        <v>401</v>
      </c>
      <c r="AC214" s="20" t="s">
        <v>683</v>
      </c>
    </row>
    <row r="215" spans="1:29" ht="38.25">
      <c r="A215" s="20" t="s">
        <v>439</v>
      </c>
      <c r="B215" s="24" t="str">
        <f>'Lambda-Capacitor'!A42</f>
        <v>Decrease of Parallel Resistance</v>
      </c>
      <c r="C215" s="22">
        <f>'Lambda-Capacitor'!B$37</f>
        <v>2.4864713937390443E-9</v>
      </c>
      <c r="D215" s="23">
        <f>'Lambda-Capacitor'!C42</f>
        <v>0</v>
      </c>
      <c r="E215" s="20">
        <f>'Lambda-Capacitor'!D42</f>
        <v>0</v>
      </c>
      <c r="F215" s="21" t="s">
        <v>381</v>
      </c>
      <c r="G215" s="21" t="s">
        <v>381</v>
      </c>
      <c r="H215" s="20" t="s">
        <v>43</v>
      </c>
      <c r="I215" s="20" t="s">
        <v>392</v>
      </c>
      <c r="J215" s="20" t="s">
        <v>573</v>
      </c>
      <c r="K215" s="20" t="s">
        <v>676</v>
      </c>
      <c r="L215" s="20" t="s">
        <v>675</v>
      </c>
      <c r="M215" s="20">
        <v>3.1999999999999999E-6</v>
      </c>
      <c r="N215" s="20">
        <v>3.1999999999999999E-6</v>
      </c>
      <c r="O215" s="20">
        <v>3.1999999999999999E-6</v>
      </c>
      <c r="P215" s="20">
        <v>3.1999999999999999E-6</v>
      </c>
      <c r="Q215" s="20">
        <v>3.1999999999999999E-6</v>
      </c>
      <c r="R215" s="20">
        <v>3.1999999999999999E-6</v>
      </c>
      <c r="S215" s="20">
        <f t="shared" ref="S215:S216" si="186">ROUND(((M215-MIN($M$3:$R$212))/(MAX($M$3:$R$212)-MIN($M$3:$R$212)))*((2^12)-1), 0)</f>
        <v>0</v>
      </c>
      <c r="T215" s="20">
        <f t="shared" ref="T215:T216" si="187">ROUND(((N215-MIN($M$3:$R$212))/(MAX($M$3:$R$212)-MIN($M$3:$R$212)))*((2^12)-1), 0)</f>
        <v>0</v>
      </c>
      <c r="U215" s="20">
        <f t="shared" ref="U215:U216" si="188">ROUND(((O215-MIN($M$3:$R$212))/(MAX($M$3:$R$212)-MIN($M$3:$R$212)))*((2^12)-1), 0)</f>
        <v>0</v>
      </c>
      <c r="V215" s="20">
        <f t="shared" ref="V215:V216" si="189">ROUND(((P215-MIN($M$3:$R$212))/(MAX($M$3:$R$212)-MIN($M$3:$R$212)))*((2^12)-1), 0)</f>
        <v>0</v>
      </c>
      <c r="W215" s="20">
        <f t="shared" ref="W215:W216" si="190">ROUND(((Q215-MIN($M$3:$R$212))/(MAX($M$3:$R$212)-MIN($M$3:$R$212)))*((2^12)-1), 0)</f>
        <v>0</v>
      </c>
      <c r="X215" s="20">
        <f t="shared" ref="X215:X216" si="191">ROUND(((R215-MIN($M$3:$R$212))/(MAX($M$3:$R$212)-MIN($M$3:$R$212)))*((2^12)-1), 0)</f>
        <v>0</v>
      </c>
      <c r="Y215" s="20" t="s">
        <v>398</v>
      </c>
      <c r="Z215" s="25">
        <v>0</v>
      </c>
      <c r="AA215" s="25">
        <v>1</v>
      </c>
      <c r="AB215" s="25" t="s">
        <v>401</v>
      </c>
      <c r="AC215" s="20" t="s">
        <v>683</v>
      </c>
    </row>
    <row r="216" spans="1:29" ht="51">
      <c r="A216" s="20" t="s">
        <v>439</v>
      </c>
      <c r="B216" s="24" t="str">
        <f>'Lambda-Capacitor'!A43</f>
        <v>Increased Dissipation Factor</v>
      </c>
      <c r="C216" s="22">
        <f>'Lambda-Capacitor'!B$37</f>
        <v>2.4864713937390443E-9</v>
      </c>
      <c r="D216" s="23">
        <f>'Lambda-Capacitor'!C43</f>
        <v>3.3333333333333333E-2</v>
      </c>
      <c r="E216" s="20">
        <f>'Lambda-Capacitor'!D43</f>
        <v>8.2882379791301472E-11</v>
      </c>
      <c r="F216" s="21" t="s">
        <v>440</v>
      </c>
      <c r="G216" s="21" t="s">
        <v>440</v>
      </c>
      <c r="H216" s="20" t="s">
        <v>43</v>
      </c>
      <c r="I216" s="20" t="s">
        <v>392</v>
      </c>
      <c r="J216" s="25" t="s">
        <v>504</v>
      </c>
      <c r="K216" s="25" t="s">
        <v>673</v>
      </c>
      <c r="L216" s="20" t="s">
        <v>675</v>
      </c>
      <c r="M216" s="20">
        <v>3.2724899999999999</v>
      </c>
      <c r="N216" s="20">
        <v>3.2719999999999998</v>
      </c>
      <c r="O216" s="20">
        <v>3.2749999999999999</v>
      </c>
      <c r="P216" s="20">
        <v>4.3130000000000002E-2</v>
      </c>
      <c r="Q216" s="20">
        <v>4.095E-2</v>
      </c>
      <c r="R216" s="20">
        <v>4.53E-2</v>
      </c>
      <c r="S216" s="20">
        <f t="shared" si="186"/>
        <v>4092</v>
      </c>
      <c r="T216" s="20">
        <f t="shared" si="187"/>
        <v>4091</v>
      </c>
      <c r="U216" s="20">
        <f t="shared" si="188"/>
        <v>4095</v>
      </c>
      <c r="V216" s="20">
        <f t="shared" si="189"/>
        <v>54</v>
      </c>
      <c r="W216" s="20">
        <f t="shared" si="190"/>
        <v>51</v>
      </c>
      <c r="X216" s="20">
        <f t="shared" si="191"/>
        <v>57</v>
      </c>
      <c r="Y216" s="20" t="s">
        <v>401</v>
      </c>
      <c r="Z216" s="25">
        <v>0</v>
      </c>
      <c r="AA216" s="25">
        <v>1</v>
      </c>
      <c r="AB216" s="25" t="s">
        <v>401</v>
      </c>
      <c r="AC216" s="20" t="s">
        <v>683</v>
      </c>
    </row>
    <row r="217" spans="1:29" ht="38.25">
      <c r="A217" s="20" t="s">
        <v>439</v>
      </c>
      <c r="B217" s="24" t="str">
        <f>'Lambda-Capacitor'!A44</f>
        <v>Increase of Capacitance</v>
      </c>
      <c r="C217" s="22">
        <f>'Lambda-Capacitor'!B$37</f>
        <v>2.4864713937390443E-9</v>
      </c>
      <c r="D217" s="23">
        <f>'Lambda-Capacitor'!C44</f>
        <v>0</v>
      </c>
      <c r="E217" s="20">
        <f>'Lambda-Capacitor'!D44</f>
        <v>0</v>
      </c>
      <c r="F217" s="21" t="s">
        <v>381</v>
      </c>
      <c r="G217" s="21" t="s">
        <v>381</v>
      </c>
      <c r="H217" s="20" t="s">
        <v>43</v>
      </c>
      <c r="I217" s="20" t="s">
        <v>392</v>
      </c>
      <c r="J217" s="20" t="s">
        <v>573</v>
      </c>
      <c r="K217" s="20" t="s">
        <v>676</v>
      </c>
      <c r="L217" s="20" t="s">
        <v>675</v>
      </c>
      <c r="M217" s="20">
        <v>3.1999999999999999E-6</v>
      </c>
      <c r="N217" s="20">
        <v>3.1999999999999999E-6</v>
      </c>
      <c r="O217" s="20">
        <v>3.1999999999999999E-6</v>
      </c>
      <c r="P217" s="20">
        <v>3.1999999999999999E-6</v>
      </c>
      <c r="Q217" s="20">
        <v>3.1999999999999999E-6</v>
      </c>
      <c r="R217" s="20">
        <v>3.1999999999999999E-6</v>
      </c>
      <c r="S217" s="20">
        <f t="shared" si="168"/>
        <v>0</v>
      </c>
      <c r="T217" s="20">
        <f t="shared" si="169"/>
        <v>0</v>
      </c>
      <c r="U217" s="20">
        <f t="shared" si="170"/>
        <v>0</v>
      </c>
      <c r="V217" s="20">
        <f t="shared" si="171"/>
        <v>0</v>
      </c>
      <c r="W217" s="20">
        <f t="shared" si="172"/>
        <v>0</v>
      </c>
      <c r="X217" s="20">
        <f t="shared" si="173"/>
        <v>0</v>
      </c>
      <c r="Y217" s="20" t="s">
        <v>398</v>
      </c>
      <c r="Z217" s="25">
        <v>0</v>
      </c>
      <c r="AA217" s="25">
        <v>1</v>
      </c>
      <c r="AB217" s="25" t="s">
        <v>401</v>
      </c>
      <c r="AC217" s="20" t="s">
        <v>683</v>
      </c>
    </row>
    <row r="218" spans="1:29" ht="51">
      <c r="A218" s="20" t="s">
        <v>439</v>
      </c>
      <c r="B218" s="24" t="str">
        <f>'Lambda-Capacitor'!A45</f>
        <v>Decrease of Capacitance</v>
      </c>
      <c r="C218" s="22">
        <f>'Lambda-Capacitor'!B$37</f>
        <v>2.4864713937390443E-9</v>
      </c>
      <c r="D218" s="23">
        <f>'Lambda-Capacitor'!C45</f>
        <v>5.333333333333333E-2</v>
      </c>
      <c r="E218" s="20">
        <f>'Lambda-Capacitor'!D45</f>
        <v>1.3261180766608236E-10</v>
      </c>
      <c r="F218" s="21" t="s">
        <v>380</v>
      </c>
      <c r="G218" s="21" t="s">
        <v>380</v>
      </c>
      <c r="H218" s="20" t="s">
        <v>43</v>
      </c>
      <c r="I218" s="20" t="s">
        <v>392</v>
      </c>
      <c r="J218" s="25" t="s">
        <v>504</v>
      </c>
      <c r="K218" s="25" t="s">
        <v>673</v>
      </c>
      <c r="L218" s="20" t="s">
        <v>675</v>
      </c>
      <c r="M218" s="20">
        <v>3.2724899999999999</v>
      </c>
      <c r="N218" s="20">
        <v>3.2719999999999998</v>
      </c>
      <c r="O218" s="20">
        <v>3.2749999999999999</v>
      </c>
      <c r="P218" s="20">
        <v>4.3130000000000002E-2</v>
      </c>
      <c r="Q218" s="20">
        <v>4.095E-2</v>
      </c>
      <c r="R218" s="20">
        <v>4.53E-2</v>
      </c>
      <c r="S218" s="20">
        <f t="shared" si="168"/>
        <v>4092</v>
      </c>
      <c r="T218" s="20">
        <f t="shared" si="169"/>
        <v>4091</v>
      </c>
      <c r="U218" s="20">
        <f t="shared" si="170"/>
        <v>4095</v>
      </c>
      <c r="V218" s="20">
        <f t="shared" si="171"/>
        <v>54</v>
      </c>
      <c r="W218" s="20">
        <f t="shared" si="172"/>
        <v>51</v>
      </c>
      <c r="X218" s="20">
        <f t="shared" si="173"/>
        <v>57</v>
      </c>
      <c r="Y218" s="20" t="s">
        <v>401</v>
      </c>
      <c r="Z218" s="25">
        <v>0</v>
      </c>
      <c r="AA218" s="25">
        <v>1</v>
      </c>
      <c r="AB218" s="25" t="s">
        <v>401</v>
      </c>
      <c r="AC218" s="20" t="s">
        <v>683</v>
      </c>
    </row>
    <row r="219" spans="1:29" ht="51">
      <c r="A219" s="20" t="s">
        <v>439</v>
      </c>
      <c r="B219" s="24" t="str">
        <f>'Lambda-Capacitor'!A46</f>
        <v>Increase of Series Resistance</v>
      </c>
      <c r="C219" s="22">
        <f>'Lambda-Capacitor'!B$37</f>
        <v>2.4864713937390443E-9</v>
      </c>
      <c r="D219" s="23">
        <f>'Lambda-Capacitor'!C46</f>
        <v>3.3333333333333333E-2</v>
      </c>
      <c r="E219" s="20">
        <f>'Lambda-Capacitor'!D46</f>
        <v>8.2882379791301472E-11</v>
      </c>
      <c r="F219" s="21" t="s">
        <v>380</v>
      </c>
      <c r="G219" s="21" t="s">
        <v>380</v>
      </c>
      <c r="H219" s="20" t="s">
        <v>43</v>
      </c>
      <c r="I219" s="20" t="s">
        <v>392</v>
      </c>
      <c r="J219" s="25" t="s">
        <v>504</v>
      </c>
      <c r="K219" s="25" t="s">
        <v>673</v>
      </c>
      <c r="L219" s="20" t="s">
        <v>675</v>
      </c>
      <c r="M219" s="20">
        <v>3.2724899999999999</v>
      </c>
      <c r="N219" s="20">
        <v>3.2719999999999998</v>
      </c>
      <c r="O219" s="20">
        <v>3.2749999999999999</v>
      </c>
      <c r="P219" s="20">
        <v>4.3130000000000002E-2</v>
      </c>
      <c r="Q219" s="20">
        <v>4.095E-2</v>
      </c>
      <c r="R219" s="20">
        <v>4.53E-2</v>
      </c>
      <c r="S219" s="20">
        <f t="shared" si="168"/>
        <v>4092</v>
      </c>
      <c r="T219" s="20">
        <f t="shared" si="169"/>
        <v>4091</v>
      </c>
      <c r="U219" s="20">
        <f t="shared" si="170"/>
        <v>4095</v>
      </c>
      <c r="V219" s="20">
        <f t="shared" si="171"/>
        <v>54</v>
      </c>
      <c r="W219" s="20">
        <f t="shared" si="172"/>
        <v>51</v>
      </c>
      <c r="X219" s="20">
        <f t="shared" si="173"/>
        <v>57</v>
      </c>
      <c r="Y219" s="20" t="s">
        <v>401</v>
      </c>
      <c r="Z219" s="25">
        <v>0</v>
      </c>
      <c r="AA219" s="25">
        <v>1</v>
      </c>
      <c r="AB219" s="25" t="s">
        <v>401</v>
      </c>
      <c r="AC219" s="20" t="s">
        <v>683</v>
      </c>
    </row>
    <row r="220" spans="1:29" ht="38.25">
      <c r="A220" s="20" t="s">
        <v>439</v>
      </c>
      <c r="B220" s="24" t="str">
        <f>'Lambda-Capacitor'!A47</f>
        <v>Short-Circuit to Casing</v>
      </c>
      <c r="C220" s="22">
        <f>'Lambda-Capacitor'!B$37</f>
        <v>2.4864713937390443E-9</v>
      </c>
      <c r="D220" s="23">
        <f>'Lambda-Capacitor'!C47</f>
        <v>0</v>
      </c>
      <c r="E220" s="20">
        <f>'Lambda-Capacitor'!D47</f>
        <v>0</v>
      </c>
      <c r="F220" s="21" t="s">
        <v>382</v>
      </c>
      <c r="G220" s="21" t="s">
        <v>382</v>
      </c>
      <c r="H220" s="20" t="s">
        <v>43</v>
      </c>
      <c r="I220" s="20" t="s">
        <v>393</v>
      </c>
      <c r="J220" s="20" t="s">
        <v>393</v>
      </c>
      <c r="K220" s="20" t="s">
        <v>677</v>
      </c>
      <c r="L220" s="20" t="s">
        <v>677</v>
      </c>
      <c r="M220" s="20">
        <v>3.2724899999999999</v>
      </c>
      <c r="N220" s="20">
        <v>3.2719999999999998</v>
      </c>
      <c r="O220" s="20">
        <v>3.2749999999999999</v>
      </c>
      <c r="P220" s="20">
        <v>4.3130000000000002E-2</v>
      </c>
      <c r="Q220" s="20">
        <v>4.095E-2</v>
      </c>
      <c r="R220" s="20">
        <v>4.53E-2</v>
      </c>
      <c r="S220" s="20">
        <f t="shared" si="168"/>
        <v>4092</v>
      </c>
      <c r="T220" s="20">
        <f t="shared" si="169"/>
        <v>4091</v>
      </c>
      <c r="U220" s="20">
        <f t="shared" si="170"/>
        <v>4095</v>
      </c>
      <c r="V220" s="20">
        <f t="shared" si="171"/>
        <v>54</v>
      </c>
      <c r="W220" s="20">
        <f t="shared" si="172"/>
        <v>51</v>
      </c>
      <c r="X220" s="20">
        <f t="shared" si="173"/>
        <v>57</v>
      </c>
      <c r="Y220" s="20" t="s">
        <v>401</v>
      </c>
      <c r="Z220" s="20">
        <v>0</v>
      </c>
      <c r="AA220" s="20">
        <v>1</v>
      </c>
      <c r="AB220" s="20" t="s">
        <v>401</v>
      </c>
      <c r="AC220" s="20" t="s">
        <v>683</v>
      </c>
    </row>
  </sheetData>
  <autoFilter ref="A2:AC220"/>
  <mergeCells count="18">
    <mergeCell ref="F1:F2"/>
    <mergeCell ref="G1:G2"/>
    <mergeCell ref="H1:H2"/>
    <mergeCell ref="I1:I2"/>
    <mergeCell ref="M1:R1"/>
    <mergeCell ref="A1:A2"/>
    <mergeCell ref="B1:B2"/>
    <mergeCell ref="C1:C2"/>
    <mergeCell ref="D1:D2"/>
    <mergeCell ref="E1:E2"/>
    <mergeCell ref="Z1:AA1"/>
    <mergeCell ref="J1:J2"/>
    <mergeCell ref="K1:K2"/>
    <mergeCell ref="L1:L2"/>
    <mergeCell ref="AC1:AC2"/>
    <mergeCell ref="AB1:AB2"/>
    <mergeCell ref="Y1:Y2"/>
    <mergeCell ref="S1:X1"/>
  </mergeCells>
  <pageMargins left="0.511811024" right="0.511811024" top="0.78740157499999996" bottom="0.78740157499999996" header="0.31496062000000002" footer="0.31496062000000002"/>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9"/>
  <sheetViews>
    <sheetView workbookViewId="0">
      <pane ySplit="1" topLeftCell="A2" activePane="bottomLeft" state="frozen"/>
      <selection activeCell="C1" sqref="C1"/>
      <selection pane="bottomLeft"/>
    </sheetView>
  </sheetViews>
  <sheetFormatPr defaultRowHeight="12"/>
  <cols>
    <col min="1" max="1" width="15.5703125" style="46" customWidth="1"/>
    <col min="2" max="3" width="21.140625" style="46" customWidth="1"/>
    <col min="4" max="4" width="21.5703125" style="46" customWidth="1"/>
    <col min="5" max="5" width="17.140625" style="46" customWidth="1"/>
    <col min="6" max="6" width="17.85546875" style="46" customWidth="1"/>
    <col min="7" max="7" width="24.140625" style="46" customWidth="1"/>
    <col min="8" max="8" width="34.140625" style="46" customWidth="1"/>
    <col min="9" max="10" width="10.28515625" style="46" bestFit="1" customWidth="1"/>
    <col min="11" max="11" width="11" style="46" bestFit="1" customWidth="1"/>
    <col min="12" max="17" width="10.28515625" style="46" bestFit="1" customWidth="1"/>
    <col min="18" max="16384" width="9.140625" style="46"/>
  </cols>
  <sheetData>
    <row r="1" spans="1:17" ht="24">
      <c r="A1" s="45" t="s">
        <v>361</v>
      </c>
      <c r="B1" s="45" t="s">
        <v>666</v>
      </c>
      <c r="C1" s="45" t="s">
        <v>363</v>
      </c>
      <c r="D1" s="45" t="s">
        <v>684</v>
      </c>
      <c r="E1" s="45" t="s">
        <v>685</v>
      </c>
      <c r="F1" s="45" t="s">
        <v>720</v>
      </c>
      <c r="G1" s="45" t="s">
        <v>686</v>
      </c>
      <c r="H1" s="45" t="s">
        <v>687</v>
      </c>
      <c r="I1" s="45" t="s">
        <v>724</v>
      </c>
      <c r="J1" s="45" t="s">
        <v>723</v>
      </c>
      <c r="K1" s="45" t="s">
        <v>722</v>
      </c>
      <c r="L1" s="45" t="s">
        <v>721</v>
      </c>
      <c r="M1" s="45" t="s">
        <v>725</v>
      </c>
      <c r="N1" s="45" t="s">
        <v>726</v>
      </c>
      <c r="O1" s="45" t="s">
        <v>727</v>
      </c>
      <c r="P1" s="45" t="s">
        <v>728</v>
      </c>
      <c r="Q1" s="45" t="s">
        <v>729</v>
      </c>
    </row>
    <row r="2" spans="1:17">
      <c r="A2" s="47" t="str">
        <f>FMECA!A4</f>
        <v>UC_Diag</v>
      </c>
      <c r="B2" s="48" t="str">
        <f>FMECA!B4</f>
        <v>Supply open</v>
      </c>
      <c r="C2" s="48">
        <f>FMECA!E4</f>
        <v>2.1277782984360249E-9</v>
      </c>
      <c r="D2" s="47" t="str">
        <f>FMECA!H4</f>
        <v>Safe</v>
      </c>
      <c r="E2" s="47" t="str">
        <f>IF(ISNUMBER(SEARCH("Yes",FMECA!K4)),"Yes",IF(FMECA!K4="No","No",IF(ISNUMBER(SEARCH("No; impactless.",FMECA!K4)),"Impactless",IF(ISNUMBER(SEARCH("Outside the scope",FMECA!K4)),"Outside Scope",IF(ISNUMBER(SEARCH("Maybe",FMECA!K4)),"Maybe","Not Applicable")))))</f>
        <v>Yes</v>
      </c>
      <c r="F2" s="47" t="s">
        <v>675</v>
      </c>
      <c r="G2" s="47" t="str">
        <f>IF(ISNUMBER(SEARCH("Yes",FMECA!L4)),"Yes",IF(FMECA!L4="No","No",IF(ISNUMBER(SEARCH("No; impactless.",FMECA!L4)),"Impactless","Not Applicable")))</f>
        <v>Yes</v>
      </c>
      <c r="H2" s="47" t="str">
        <f>IF(ISNUMBER(SEARCH("CM0", FMECA!AC4)), "CM0", IF(ISNUMBER(SEARCH("CM1", FMECA!AC4)), "CM1", IF(ISNUMBER(SEARCH("CM2", FMECA!AC4)), "CM2", IF(ISNUMBER(SEARCH("CM3", FMECA!AC4)), "CM3", "Not Applicable"))))</f>
        <v>Not Applicable</v>
      </c>
      <c r="I2" s="49">
        <f>IF(AND(E2 = "Yes", G2 = "No"), C2, 0)</f>
        <v>0</v>
      </c>
      <c r="J2" s="49">
        <f>IF(AND(OR(E2 = "No", E2 = "Maybe"), G2 = "Yes"), C2, 0)</f>
        <v>0</v>
      </c>
      <c r="K2" s="49">
        <f>IF(AND(E2="Yes",G2="Yes"), C2, 0)</f>
        <v>2.1277782984360249E-9</v>
      </c>
      <c r="L2" s="49">
        <f>IF(E2="Outside Scope", C2, 0)</f>
        <v>0</v>
      </c>
      <c r="M2" s="49">
        <f>IF(AND(E2 = "Maybe", F2 = "Yes", G2 = "No"), C2, 0)</f>
        <v>0</v>
      </c>
      <c r="N2" s="49">
        <f>IF(AND(E2 = "Maybe", F2 = "No", G2 = "No"), C2, 0)</f>
        <v>0</v>
      </c>
      <c r="O2" s="49">
        <f>IF(H2 = "CM1", C2, 0)</f>
        <v>0</v>
      </c>
      <c r="P2" s="49">
        <f>IF(AND(E2&lt;&gt; "Maybe", H2 = "CM2"), C2, 0)</f>
        <v>0</v>
      </c>
      <c r="Q2" s="49">
        <f>IF(H2 = "CM3", C2, 0)</f>
        <v>0</v>
      </c>
    </row>
    <row r="3" spans="1:17">
      <c r="A3" s="47" t="str">
        <f>FMECA!A5</f>
        <v>UC_Diag</v>
      </c>
      <c r="B3" s="48" t="str">
        <f>FMECA!B5</f>
        <v>Output 'Dig_Out1' open</v>
      </c>
      <c r="C3" s="48">
        <f>FMECA!E5</f>
        <v>2.1277782984360249E-9</v>
      </c>
      <c r="D3" s="47" t="str">
        <f>FMECA!H5</f>
        <v>Safe</v>
      </c>
      <c r="E3" s="47" t="str">
        <f>IF(ISNUMBER(SEARCH("Yes",FMECA!K5)),"Yes",IF(FMECA!K5="No","No",IF(ISNUMBER(SEARCH("No; impactless.",FMECA!K5)),"Impactless",IF(ISNUMBER(SEARCH("Outside the scope",FMECA!K5)),"Outside Scope",IF(ISNUMBER(SEARCH("Maybe",FMECA!K5)),"Maybe","Not Applicable")))))</f>
        <v>Yes</v>
      </c>
      <c r="F3" s="47" t="s">
        <v>675</v>
      </c>
      <c r="G3" s="47" t="str">
        <f>IF(ISNUMBER(SEARCH("Yes",FMECA!L5)),"Yes",IF(FMECA!L5="No","No",IF(ISNUMBER(SEARCH("No; impactless.",FMECA!L5)),"Impactless","Not Applicable")))</f>
        <v>No</v>
      </c>
      <c r="H3" s="47" t="str">
        <f>IF(ISNUMBER(SEARCH("CM0", FMECA!AC5)), "CM0", IF(ISNUMBER(SEARCH("CM1", FMECA!AC5)), "CM1", IF(ISNUMBER(SEARCH("CM2", FMECA!AC5)), "CM2", IF(ISNUMBER(SEARCH("CM3", FMECA!AC5)), "CM3", "Not Applicable"))))</f>
        <v>Not Applicable</v>
      </c>
      <c r="I3" s="49">
        <f t="shared" ref="I3:I66" si="0">IF(AND(E3 = "Yes", G3 = "No"), C3, 0)</f>
        <v>2.1277782984360249E-9</v>
      </c>
      <c r="J3" s="49">
        <f t="shared" ref="J3:J66" si="1">IF(AND(OR(E3 = "No", E3 = "Maybe"), G3 = "Yes"), C3, 0)</f>
        <v>0</v>
      </c>
      <c r="K3" s="49">
        <f t="shared" ref="K3:K66" si="2">IF(AND(E3="Yes",G3="Yes"), C3, 0)</f>
        <v>0</v>
      </c>
      <c r="L3" s="49">
        <f t="shared" ref="L3:L66" si="3">IF(E3="Outside Scope", C3, 0)</f>
        <v>0</v>
      </c>
      <c r="M3" s="49">
        <f t="shared" ref="M3:M66" si="4">IF(AND(E3 = "Maybe", F3 = "Yes", G3 = "No"), C3, 0)</f>
        <v>0</v>
      </c>
      <c r="N3" s="49">
        <f t="shared" ref="N3:N66" si="5">IF(AND(E3 = "Maybe", F3 = "No", G3 = "No"), C3, 0)</f>
        <v>0</v>
      </c>
      <c r="O3" s="49">
        <f t="shared" ref="O3:O66" si="6">IF(H3 = "CM1", C3, 0)</f>
        <v>0</v>
      </c>
      <c r="P3" s="49">
        <f t="shared" ref="P3:P66" si="7">IF(AND(E3&lt;&gt; "Maybe", H3 = "CM2"), C3, 0)</f>
        <v>0</v>
      </c>
      <c r="Q3" s="49">
        <f t="shared" ref="Q3:Q66" si="8">IF(H3 = "CM3", C3, 0)</f>
        <v>0</v>
      </c>
    </row>
    <row r="4" spans="1:17">
      <c r="A4" s="47" t="str">
        <f>FMECA!A6</f>
        <v>UC_Diag</v>
      </c>
      <c r="B4" s="48" t="str">
        <f>FMECA!B6</f>
        <v>Output 'Dig_Out2' open</v>
      </c>
      <c r="C4" s="48">
        <f>FMECA!E6</f>
        <v>2.1277782984360249E-9</v>
      </c>
      <c r="D4" s="47" t="str">
        <f>FMECA!H6</f>
        <v>Safe</v>
      </c>
      <c r="E4" s="47" t="str">
        <f>IF(ISNUMBER(SEARCH("Yes",FMECA!K6)),"Yes",IF(FMECA!K6="No","No",IF(ISNUMBER(SEARCH("No; impactless.",FMECA!K6)),"Impactless",IF(ISNUMBER(SEARCH("Outside the scope",FMECA!K6)),"Outside Scope",IF(ISNUMBER(SEARCH("Maybe",FMECA!K6)),"Maybe","Not Applicable")))))</f>
        <v>Yes</v>
      </c>
      <c r="F4" s="47" t="s">
        <v>675</v>
      </c>
      <c r="G4" s="47" t="str">
        <f>IF(ISNUMBER(SEARCH("Yes",FMECA!L6)),"Yes",IF(FMECA!L6="No","No",IF(ISNUMBER(SEARCH("No; impactless.",FMECA!L6)),"Impactless","Not Applicable")))</f>
        <v>Yes</v>
      </c>
      <c r="H4" s="47" t="str">
        <f>IF(ISNUMBER(SEARCH("CM0", FMECA!AC6)), "CM0", IF(ISNUMBER(SEARCH("CM1", FMECA!AC6)), "CM1", IF(ISNUMBER(SEARCH("CM2", FMECA!AC6)), "CM2", IF(ISNUMBER(SEARCH("CM3", FMECA!AC6)), "CM3", "Not Applicable"))))</f>
        <v>Not Applicable</v>
      </c>
      <c r="I4" s="49">
        <f t="shared" si="0"/>
        <v>0</v>
      </c>
      <c r="J4" s="49">
        <f t="shared" si="1"/>
        <v>0</v>
      </c>
      <c r="K4" s="49">
        <f t="shared" si="2"/>
        <v>2.1277782984360249E-9</v>
      </c>
      <c r="L4" s="49">
        <f t="shared" si="3"/>
        <v>0</v>
      </c>
      <c r="M4" s="49">
        <f t="shared" si="4"/>
        <v>0</v>
      </c>
      <c r="N4" s="49">
        <f t="shared" si="5"/>
        <v>0</v>
      </c>
      <c r="O4" s="49">
        <f t="shared" si="6"/>
        <v>0</v>
      </c>
      <c r="P4" s="49">
        <f t="shared" si="7"/>
        <v>0</v>
      </c>
      <c r="Q4" s="49">
        <f t="shared" si="8"/>
        <v>0</v>
      </c>
    </row>
    <row r="5" spans="1:17">
      <c r="A5" s="47" t="str">
        <f>FMECA!A7</f>
        <v>UC_Diag</v>
      </c>
      <c r="B5" s="48" t="str">
        <f>FMECA!B7</f>
        <v>Bidirectional Pin 'SPI' open</v>
      </c>
      <c r="C5" s="48">
        <f>FMECA!E7</f>
        <v>4.2555565968720499E-9</v>
      </c>
      <c r="D5" s="47" t="str">
        <f>FMECA!H7</f>
        <v>Safe</v>
      </c>
      <c r="E5" s="47" t="str">
        <f>IF(ISNUMBER(SEARCH("Yes",FMECA!K7)),"Yes",IF(FMECA!K7="No","No",IF(ISNUMBER(SEARCH("No; impactless.",FMECA!K7)),"Impactless",IF(ISNUMBER(SEARCH("Outside the scope",FMECA!K7)),"Outside Scope",IF(ISNUMBER(SEARCH("Maybe",FMECA!K7)),"Maybe","Not Applicable")))))</f>
        <v>No</v>
      </c>
      <c r="F5" s="47" t="s">
        <v>675</v>
      </c>
      <c r="G5" s="47" t="str">
        <f>IF(ISNUMBER(SEARCH("Yes",FMECA!L7)),"Yes",IF(FMECA!L7="No","No",IF(ISNUMBER(SEARCH("No; impactless.",FMECA!L7)),"Impactless","Not Applicable")))</f>
        <v>No</v>
      </c>
      <c r="H5" s="47" t="str">
        <f>IF(ISNUMBER(SEARCH("CM0", FMECA!AC7)), "CM0", IF(ISNUMBER(SEARCH("CM1", FMECA!AC7)), "CM1", IF(ISNUMBER(SEARCH("CM2", FMECA!AC7)), "CM2", IF(ISNUMBER(SEARCH("CM3", FMECA!AC7)), "CM3", "Not Applicable"))))</f>
        <v>CM0</v>
      </c>
      <c r="I5" s="49">
        <f t="shared" si="0"/>
        <v>0</v>
      </c>
      <c r="J5" s="49">
        <f t="shared" si="1"/>
        <v>0</v>
      </c>
      <c r="K5" s="49">
        <f t="shared" si="2"/>
        <v>0</v>
      </c>
      <c r="L5" s="49">
        <f t="shared" si="3"/>
        <v>0</v>
      </c>
      <c r="M5" s="49">
        <f t="shared" si="4"/>
        <v>0</v>
      </c>
      <c r="N5" s="49">
        <f t="shared" si="5"/>
        <v>0</v>
      </c>
      <c r="O5" s="49">
        <f t="shared" si="6"/>
        <v>0</v>
      </c>
      <c r="P5" s="49">
        <f t="shared" si="7"/>
        <v>0</v>
      </c>
      <c r="Q5" s="49">
        <f t="shared" si="8"/>
        <v>0</v>
      </c>
    </row>
    <row r="6" spans="1:17">
      <c r="A6" s="47" t="str">
        <f>FMECA!A8</f>
        <v>UC_Diag</v>
      </c>
      <c r="B6" s="48" t="str">
        <f>FMECA!B8</f>
        <v>Output 'Dig_Out1' stuck low</v>
      </c>
      <c r="C6" s="48">
        <f>FMECA!E8</f>
        <v>5.3194457460900624E-10</v>
      </c>
      <c r="D6" s="47" t="str">
        <f>FMECA!H8</f>
        <v>Safe</v>
      </c>
      <c r="E6" s="47" t="str">
        <f>IF(ISNUMBER(SEARCH("Yes",FMECA!K8)),"Yes",IF(FMECA!K8="No","No",IF(ISNUMBER(SEARCH("No; impactless.",FMECA!K8)),"Impactless",IF(ISNUMBER(SEARCH("Outside the scope",FMECA!K8)),"Outside Scope",IF(ISNUMBER(SEARCH("Maybe",FMECA!K8)),"Maybe","Not Applicable")))))</f>
        <v>Yes</v>
      </c>
      <c r="F6" s="47" t="s">
        <v>675</v>
      </c>
      <c r="G6" s="47" t="str">
        <f>IF(ISNUMBER(SEARCH("Yes",FMECA!L8)),"Yes",IF(FMECA!L8="No","No",IF(ISNUMBER(SEARCH("No; impactless.",FMECA!L8)),"Impactless","Not Applicable")))</f>
        <v>Yes</v>
      </c>
      <c r="H6" s="47" t="str">
        <f>IF(ISNUMBER(SEARCH("CM0", FMECA!AC8)), "CM0", IF(ISNUMBER(SEARCH("CM1", FMECA!AC8)), "CM1", IF(ISNUMBER(SEARCH("CM2", FMECA!AC8)), "CM2", IF(ISNUMBER(SEARCH("CM3", FMECA!AC8)), "CM3", "Not Applicable"))))</f>
        <v>Not Applicable</v>
      </c>
      <c r="I6" s="49">
        <f t="shared" si="0"/>
        <v>0</v>
      </c>
      <c r="J6" s="49">
        <f t="shared" si="1"/>
        <v>0</v>
      </c>
      <c r="K6" s="49">
        <f t="shared" si="2"/>
        <v>5.3194457460900624E-10</v>
      </c>
      <c r="L6" s="49">
        <f t="shared" si="3"/>
        <v>0</v>
      </c>
      <c r="M6" s="49">
        <f t="shared" si="4"/>
        <v>0</v>
      </c>
      <c r="N6" s="49">
        <f t="shared" si="5"/>
        <v>0</v>
      </c>
      <c r="O6" s="49">
        <f t="shared" si="6"/>
        <v>0</v>
      </c>
      <c r="P6" s="49">
        <f t="shared" si="7"/>
        <v>0</v>
      </c>
      <c r="Q6" s="49">
        <f t="shared" si="8"/>
        <v>0</v>
      </c>
    </row>
    <row r="7" spans="1:17">
      <c r="A7" s="47" t="str">
        <f>FMECA!A9</f>
        <v>UC_Diag</v>
      </c>
      <c r="B7" s="48" t="str">
        <f>FMECA!B9</f>
        <v>Output 'Dig_Out2' stuck low</v>
      </c>
      <c r="C7" s="48">
        <f>FMECA!E9</f>
        <v>5.3194457460900624E-10</v>
      </c>
      <c r="D7" s="47" t="str">
        <f>FMECA!H9</f>
        <v>Safe</v>
      </c>
      <c r="E7" s="47" t="str">
        <f>IF(ISNUMBER(SEARCH("Yes",FMECA!K9)),"Yes",IF(FMECA!K9="No","No",IF(ISNUMBER(SEARCH("No; impactless.",FMECA!K9)),"Impactless",IF(ISNUMBER(SEARCH("Outside the scope",FMECA!K9)),"Outside Scope",IF(ISNUMBER(SEARCH("Maybe",FMECA!K9)),"Maybe","Not Applicable")))))</f>
        <v>Yes</v>
      </c>
      <c r="F7" s="47" t="s">
        <v>675</v>
      </c>
      <c r="G7" s="47" t="str">
        <f>IF(ISNUMBER(SEARCH("Yes",FMECA!L9)),"Yes",IF(FMECA!L9="No","No",IF(ISNUMBER(SEARCH("No; impactless.",FMECA!L9)),"Impactless","Not Applicable")))</f>
        <v>Yes</v>
      </c>
      <c r="H7" s="47" t="str">
        <f>IF(ISNUMBER(SEARCH("CM0", FMECA!AC9)), "CM0", IF(ISNUMBER(SEARCH("CM1", FMECA!AC9)), "CM1", IF(ISNUMBER(SEARCH("CM2", FMECA!AC9)), "CM2", IF(ISNUMBER(SEARCH("CM3", FMECA!AC9)), "CM3", "Not Applicable"))))</f>
        <v>Not Applicable</v>
      </c>
      <c r="I7" s="49">
        <f t="shared" si="0"/>
        <v>0</v>
      </c>
      <c r="J7" s="49">
        <f t="shared" si="1"/>
        <v>0</v>
      </c>
      <c r="K7" s="49">
        <f t="shared" si="2"/>
        <v>5.3194457460900624E-10</v>
      </c>
      <c r="L7" s="49">
        <f t="shared" si="3"/>
        <v>0</v>
      </c>
      <c r="M7" s="49">
        <f t="shared" si="4"/>
        <v>0</v>
      </c>
      <c r="N7" s="49">
        <f t="shared" si="5"/>
        <v>0</v>
      </c>
      <c r="O7" s="49">
        <f t="shared" si="6"/>
        <v>0</v>
      </c>
      <c r="P7" s="49">
        <f t="shared" si="7"/>
        <v>0</v>
      </c>
      <c r="Q7" s="49">
        <f t="shared" si="8"/>
        <v>0</v>
      </c>
    </row>
    <row r="8" spans="1:17">
      <c r="A8" s="47" t="str">
        <f>FMECA!A10</f>
        <v>UC_Diag</v>
      </c>
      <c r="B8" s="48" t="str">
        <f>FMECA!B10</f>
        <v>Bidirectional Pin 'SPI' stuck low</v>
      </c>
      <c r="C8" s="48">
        <f>FMECA!E10</f>
        <v>5.3194457460900624E-10</v>
      </c>
      <c r="D8" s="47" t="str">
        <f>FMECA!H10</f>
        <v>Safe</v>
      </c>
      <c r="E8" s="47" t="str">
        <f>IF(ISNUMBER(SEARCH("Yes",FMECA!K10)),"Yes",IF(FMECA!K10="No","No",IF(ISNUMBER(SEARCH("No; impactless.",FMECA!K10)),"Impactless",IF(ISNUMBER(SEARCH("Outside the scope",FMECA!K10)),"Outside Scope",IF(ISNUMBER(SEARCH("Maybe",FMECA!K10)),"Maybe","Not Applicable")))))</f>
        <v>No</v>
      </c>
      <c r="F8" s="47" t="s">
        <v>675</v>
      </c>
      <c r="G8" s="47" t="str">
        <f>IF(ISNUMBER(SEARCH("Yes",FMECA!L10)),"Yes",IF(FMECA!L10="No","No",IF(ISNUMBER(SEARCH("No; impactless.",FMECA!L10)),"Impactless","Not Applicable")))</f>
        <v>No</v>
      </c>
      <c r="H8" s="47" t="str">
        <f>IF(ISNUMBER(SEARCH("CM0", FMECA!AC10)), "CM0", IF(ISNUMBER(SEARCH("CM1", FMECA!AC10)), "CM1", IF(ISNUMBER(SEARCH("CM2", FMECA!AC10)), "CM2", IF(ISNUMBER(SEARCH("CM3", FMECA!AC10)), "CM3", "Not Applicable"))))</f>
        <v>CM0</v>
      </c>
      <c r="I8" s="49">
        <f t="shared" si="0"/>
        <v>0</v>
      </c>
      <c r="J8" s="49">
        <f t="shared" si="1"/>
        <v>0</v>
      </c>
      <c r="K8" s="49">
        <f t="shared" si="2"/>
        <v>0</v>
      </c>
      <c r="L8" s="49">
        <f t="shared" si="3"/>
        <v>0</v>
      </c>
      <c r="M8" s="49">
        <f t="shared" si="4"/>
        <v>0</v>
      </c>
      <c r="N8" s="49">
        <f t="shared" si="5"/>
        <v>0</v>
      </c>
      <c r="O8" s="49">
        <f t="shared" si="6"/>
        <v>0</v>
      </c>
      <c r="P8" s="49">
        <f t="shared" si="7"/>
        <v>0</v>
      </c>
      <c r="Q8" s="49">
        <f t="shared" si="8"/>
        <v>0</v>
      </c>
    </row>
    <row r="9" spans="1:17">
      <c r="A9" s="47" t="str">
        <f>FMECA!A11</f>
        <v>UC_Diag</v>
      </c>
      <c r="B9" s="48" t="str">
        <f>FMECA!B11</f>
        <v>Output 'Dig_Out1' stuck high</v>
      </c>
      <c r="C9" s="48">
        <f>FMECA!E11</f>
        <v>4.7283962187467226E-10</v>
      </c>
      <c r="D9" s="47" t="str">
        <f>FMECA!H11</f>
        <v>Safe</v>
      </c>
      <c r="E9" s="47" t="str">
        <f>IF(ISNUMBER(SEARCH("Yes",FMECA!K11)),"Yes",IF(FMECA!K11="No","No",IF(ISNUMBER(SEARCH("No; impactless.",FMECA!K11)),"Impactless",IF(ISNUMBER(SEARCH("Outside the scope",FMECA!K11)),"Outside Scope",IF(ISNUMBER(SEARCH("Maybe",FMECA!K11)),"Maybe","Not Applicable")))))</f>
        <v>Yes</v>
      </c>
      <c r="F9" s="47" t="s">
        <v>675</v>
      </c>
      <c r="G9" s="47" t="str">
        <f>IF(ISNUMBER(SEARCH("Yes",FMECA!L11)),"Yes",IF(FMECA!L11="No","No",IF(ISNUMBER(SEARCH("No; impactless.",FMECA!L11)),"Impactless","Not Applicable")))</f>
        <v>No</v>
      </c>
      <c r="H9" s="47" t="str">
        <f>IF(ISNUMBER(SEARCH("CM0", FMECA!AC11)), "CM0", IF(ISNUMBER(SEARCH("CM1", FMECA!AC11)), "CM1", IF(ISNUMBER(SEARCH("CM2", FMECA!AC11)), "CM2", IF(ISNUMBER(SEARCH("CM3", FMECA!AC11)), "CM3", "Not Applicable"))))</f>
        <v>Not Applicable</v>
      </c>
      <c r="I9" s="49">
        <f t="shared" si="0"/>
        <v>4.7283962187467226E-10</v>
      </c>
      <c r="J9" s="49">
        <f t="shared" si="1"/>
        <v>0</v>
      </c>
      <c r="K9" s="49">
        <f t="shared" si="2"/>
        <v>0</v>
      </c>
      <c r="L9" s="49">
        <f t="shared" si="3"/>
        <v>0</v>
      </c>
      <c r="M9" s="49">
        <f t="shared" si="4"/>
        <v>0</v>
      </c>
      <c r="N9" s="49">
        <f t="shared" si="5"/>
        <v>0</v>
      </c>
      <c r="O9" s="49">
        <f t="shared" si="6"/>
        <v>0</v>
      </c>
      <c r="P9" s="49">
        <f t="shared" si="7"/>
        <v>0</v>
      </c>
      <c r="Q9" s="49">
        <f t="shared" si="8"/>
        <v>0</v>
      </c>
    </row>
    <row r="10" spans="1:17">
      <c r="A10" s="47" t="str">
        <f>FMECA!A12</f>
        <v>UC_Diag</v>
      </c>
      <c r="B10" s="48" t="str">
        <f>FMECA!B12</f>
        <v>Output 'Dig_Out2' stuck high</v>
      </c>
      <c r="C10" s="48">
        <f>FMECA!E12</f>
        <v>4.7283962187467226E-10</v>
      </c>
      <c r="D10" s="47" t="str">
        <f>FMECA!H12</f>
        <v>Safe</v>
      </c>
      <c r="E10" s="47" t="str">
        <f>IF(ISNUMBER(SEARCH("Yes",FMECA!K12)),"Yes",IF(FMECA!K12="No","No",IF(ISNUMBER(SEARCH("No; impactless.",FMECA!K12)),"Impactless",IF(ISNUMBER(SEARCH("Outside the scope",FMECA!K12)),"Outside Scope",IF(ISNUMBER(SEARCH("Maybe",FMECA!K12)),"Maybe","Not Applicable")))))</f>
        <v>No</v>
      </c>
      <c r="F10" s="47" t="s">
        <v>675</v>
      </c>
      <c r="G10" s="47" t="str">
        <f>IF(ISNUMBER(SEARCH("Yes",FMECA!L12)),"Yes",IF(FMECA!L12="No","No",IF(ISNUMBER(SEARCH("No; impactless.",FMECA!L12)),"Impactless","Not Applicable")))</f>
        <v>Yes</v>
      </c>
      <c r="H10" s="47" t="str">
        <f>IF(ISNUMBER(SEARCH("CM0", FMECA!AC12)), "CM0", IF(ISNUMBER(SEARCH("CM1", FMECA!AC12)), "CM1", IF(ISNUMBER(SEARCH("CM2", FMECA!AC12)), "CM2", IF(ISNUMBER(SEARCH("CM3", FMECA!AC12)), "CM3", "Not Applicable"))))</f>
        <v>Not Applicable</v>
      </c>
      <c r="I10" s="49">
        <f t="shared" si="0"/>
        <v>0</v>
      </c>
      <c r="J10" s="49">
        <f t="shared" si="1"/>
        <v>4.7283962187467226E-10</v>
      </c>
      <c r="K10" s="49">
        <f t="shared" si="2"/>
        <v>0</v>
      </c>
      <c r="L10" s="49">
        <f t="shared" si="3"/>
        <v>0</v>
      </c>
      <c r="M10" s="49">
        <f t="shared" si="4"/>
        <v>0</v>
      </c>
      <c r="N10" s="49">
        <f t="shared" si="5"/>
        <v>0</v>
      </c>
      <c r="O10" s="49">
        <f t="shared" si="6"/>
        <v>0</v>
      </c>
      <c r="P10" s="49">
        <f t="shared" si="7"/>
        <v>0</v>
      </c>
      <c r="Q10" s="49">
        <f t="shared" si="8"/>
        <v>0</v>
      </c>
    </row>
    <row r="11" spans="1:17">
      <c r="A11" s="47" t="str">
        <f>FMECA!A13</f>
        <v>UC_Diag</v>
      </c>
      <c r="B11" s="48" t="str">
        <f>FMECA!B13</f>
        <v>Bidirectional 'SPI' Pin stuck high</v>
      </c>
      <c r="C11" s="48">
        <f>FMECA!E13</f>
        <v>4.7283962187467226E-10</v>
      </c>
      <c r="D11" s="47" t="str">
        <f>FMECA!H13</f>
        <v>Safe</v>
      </c>
      <c r="E11" s="47" t="str">
        <f>IF(ISNUMBER(SEARCH("Yes",FMECA!K13)),"Yes",IF(FMECA!K13="No","No",IF(ISNUMBER(SEARCH("No; impactless.",FMECA!K13)),"Impactless",IF(ISNUMBER(SEARCH("Outside the scope",FMECA!K13)),"Outside Scope",IF(ISNUMBER(SEARCH("Maybe",FMECA!K13)),"Maybe","Not Applicable")))))</f>
        <v>No</v>
      </c>
      <c r="F11" s="47" t="s">
        <v>675</v>
      </c>
      <c r="G11" s="47" t="str">
        <f>IF(ISNUMBER(SEARCH("Yes",FMECA!L13)),"Yes",IF(FMECA!L13="No","No",IF(ISNUMBER(SEARCH("No; impactless.",FMECA!L13)),"Impactless","Not Applicable")))</f>
        <v>No</v>
      </c>
      <c r="H11" s="47" t="str">
        <f>IF(ISNUMBER(SEARCH("CM0", FMECA!AC13)), "CM0", IF(ISNUMBER(SEARCH("CM1", FMECA!AC13)), "CM1", IF(ISNUMBER(SEARCH("CM2", FMECA!AC13)), "CM2", IF(ISNUMBER(SEARCH("CM3", FMECA!AC13)), "CM3", "Not Applicable"))))</f>
        <v>CM0</v>
      </c>
      <c r="I11" s="49">
        <f t="shared" si="0"/>
        <v>0</v>
      </c>
      <c r="J11" s="49">
        <f t="shared" si="1"/>
        <v>0</v>
      </c>
      <c r="K11" s="49">
        <f t="shared" si="2"/>
        <v>0</v>
      </c>
      <c r="L11" s="49">
        <f t="shared" si="3"/>
        <v>0</v>
      </c>
      <c r="M11" s="49">
        <f t="shared" si="4"/>
        <v>0</v>
      </c>
      <c r="N11" s="49">
        <f t="shared" si="5"/>
        <v>0</v>
      </c>
      <c r="O11" s="49">
        <f t="shared" si="6"/>
        <v>0</v>
      </c>
      <c r="P11" s="49">
        <f t="shared" si="7"/>
        <v>0</v>
      </c>
      <c r="Q11" s="49">
        <f t="shared" si="8"/>
        <v>0</v>
      </c>
    </row>
    <row r="12" spans="1:17">
      <c r="A12" s="47" t="str">
        <f>FMECA!A14</f>
        <v>UC_Diag</v>
      </c>
      <c r="B12" s="48" t="str">
        <f>FMECA!B14</f>
        <v>Input 'Anal_In1' open</v>
      </c>
      <c r="C12" s="48">
        <f>FMECA!E14</f>
        <v>2.1277782984360249E-9</v>
      </c>
      <c r="D12" s="47" t="str">
        <f>FMECA!H14</f>
        <v>Safe</v>
      </c>
      <c r="E12" s="47" t="str">
        <f>IF(ISNUMBER(SEARCH("Yes",FMECA!K14)),"Yes",IF(FMECA!K14="No","No",IF(ISNUMBER(SEARCH("No; impactless.",FMECA!K14)),"Impactless",IF(ISNUMBER(SEARCH("Outside the scope",FMECA!K14)),"Outside Scope",IF(ISNUMBER(SEARCH("Maybe",FMECA!K14)),"Maybe","Not Applicable")))))</f>
        <v>Yes</v>
      </c>
      <c r="F12" s="47" t="s">
        <v>675</v>
      </c>
      <c r="G12" s="47" t="str">
        <f>IF(ISNUMBER(SEARCH("Yes",FMECA!L14)),"Yes",IF(FMECA!L14="No","No",IF(ISNUMBER(SEARCH("No; impactless.",FMECA!L14)),"Impactless","Not Applicable")))</f>
        <v>No</v>
      </c>
      <c r="H12" s="47" t="str">
        <f>IF(ISNUMBER(SEARCH("CM0", FMECA!AC14)), "CM0", IF(ISNUMBER(SEARCH("CM1", FMECA!AC14)), "CM1", IF(ISNUMBER(SEARCH("CM2", FMECA!AC14)), "CM2", IF(ISNUMBER(SEARCH("CM3", FMECA!AC14)), "CM3", "Not Applicable"))))</f>
        <v>Not Applicable</v>
      </c>
      <c r="I12" s="49">
        <f t="shared" si="0"/>
        <v>2.1277782984360249E-9</v>
      </c>
      <c r="J12" s="49">
        <f t="shared" si="1"/>
        <v>0</v>
      </c>
      <c r="K12" s="49">
        <f t="shared" si="2"/>
        <v>0</v>
      </c>
      <c r="L12" s="49">
        <f t="shared" si="3"/>
        <v>0</v>
      </c>
      <c r="M12" s="49">
        <f t="shared" si="4"/>
        <v>0</v>
      </c>
      <c r="N12" s="49">
        <f t="shared" si="5"/>
        <v>0</v>
      </c>
      <c r="O12" s="49">
        <f t="shared" si="6"/>
        <v>0</v>
      </c>
      <c r="P12" s="49">
        <f t="shared" si="7"/>
        <v>0</v>
      </c>
      <c r="Q12" s="49">
        <f t="shared" si="8"/>
        <v>0</v>
      </c>
    </row>
    <row r="13" spans="1:17">
      <c r="A13" s="47" t="str">
        <f>FMECA!A15</f>
        <v>UC_Diag</v>
      </c>
      <c r="B13" s="48" t="str">
        <f>FMECA!B15</f>
        <v>Input 'Dig_In1' open</v>
      </c>
      <c r="C13" s="48">
        <f>FMECA!E15</f>
        <v>2.1277782984360249E-9</v>
      </c>
      <c r="D13" s="47" t="str">
        <f>FMECA!H15</f>
        <v>Safe</v>
      </c>
      <c r="E13" s="47" t="str">
        <f>IF(ISNUMBER(SEARCH("Yes",FMECA!K15)),"Yes",IF(FMECA!K15="No","No",IF(ISNUMBER(SEARCH("No; impactless.",FMECA!K15)),"Impactless",IF(ISNUMBER(SEARCH("Outside the scope",FMECA!K15)),"Outside Scope",IF(ISNUMBER(SEARCH("Maybe",FMECA!K15)),"Maybe","Not Applicable")))))</f>
        <v>No</v>
      </c>
      <c r="F13" s="47" t="s">
        <v>675</v>
      </c>
      <c r="G13" s="47" t="str">
        <f>IF(ISNUMBER(SEARCH("Yes",FMECA!L15)),"Yes",IF(FMECA!L15="No","No",IF(ISNUMBER(SEARCH("No; impactless.",FMECA!L15)),"Impactless","Not Applicable")))</f>
        <v>No</v>
      </c>
      <c r="H13" s="47" t="str">
        <f>IF(ISNUMBER(SEARCH("CM0", FMECA!AC15)), "CM0", IF(ISNUMBER(SEARCH("CM1", FMECA!AC15)), "CM1", IF(ISNUMBER(SEARCH("CM2", FMECA!AC15)), "CM2", IF(ISNUMBER(SEARCH("CM3", FMECA!AC15)), "CM3", "Not Applicable"))))</f>
        <v>CM1</v>
      </c>
      <c r="I13" s="49">
        <f t="shared" si="0"/>
        <v>0</v>
      </c>
      <c r="J13" s="49">
        <f t="shared" si="1"/>
        <v>0</v>
      </c>
      <c r="K13" s="49">
        <f t="shared" si="2"/>
        <v>0</v>
      </c>
      <c r="L13" s="49">
        <f t="shared" si="3"/>
        <v>0</v>
      </c>
      <c r="M13" s="49">
        <f t="shared" si="4"/>
        <v>0</v>
      </c>
      <c r="N13" s="49">
        <f t="shared" si="5"/>
        <v>0</v>
      </c>
      <c r="O13" s="49">
        <f t="shared" si="6"/>
        <v>2.1277782984360249E-9</v>
      </c>
      <c r="P13" s="49">
        <f t="shared" si="7"/>
        <v>0</v>
      </c>
      <c r="Q13" s="49">
        <f t="shared" si="8"/>
        <v>0</v>
      </c>
    </row>
    <row r="14" spans="1:17">
      <c r="A14" s="47" t="str">
        <f>FMECA!A16</f>
        <v>Flash_Diag</v>
      </c>
      <c r="B14" s="48" t="str">
        <f>FMECA!B16</f>
        <v>Data bit loss</v>
      </c>
      <c r="C14" s="48">
        <f>FMECA!E16</f>
        <v>6.0288947389916522E-9</v>
      </c>
      <c r="D14" s="47" t="str">
        <f>FMECA!H16</f>
        <v>Safe</v>
      </c>
      <c r="E14" s="47" t="str">
        <f>IF(ISNUMBER(SEARCH("Yes",FMECA!K16)),"Yes",IF(FMECA!K16="No","No",IF(ISNUMBER(SEARCH("No; impactless.",FMECA!K16)),"Impactless",IF(ISNUMBER(SEARCH("Outside the scope",FMECA!K16)),"Outside Scope",IF(ISNUMBER(SEARCH("Maybe",FMECA!K16)),"Maybe","Not Applicable")))))</f>
        <v>No</v>
      </c>
      <c r="F14" s="47" t="s">
        <v>675</v>
      </c>
      <c r="G14" s="47" t="str">
        <f>IF(ISNUMBER(SEARCH("Yes",FMECA!L16)),"Yes",IF(FMECA!L16="No","No",IF(ISNUMBER(SEARCH("No; impactless.",FMECA!L16)),"Impactless","Not Applicable")))</f>
        <v>No</v>
      </c>
      <c r="H14" s="47" t="str">
        <f>IF(ISNUMBER(SEARCH("CM0", FMECA!AC16)), "CM0", IF(ISNUMBER(SEARCH("CM1", FMECA!AC16)), "CM1", IF(ISNUMBER(SEARCH("CM2", FMECA!AC16)), "CM2", IF(ISNUMBER(SEARCH("CM3", FMECA!AC16)), "CM3", "Not Applicable"))))</f>
        <v>CM0</v>
      </c>
      <c r="I14" s="49">
        <f t="shared" si="0"/>
        <v>0</v>
      </c>
      <c r="J14" s="49">
        <f t="shared" si="1"/>
        <v>0</v>
      </c>
      <c r="K14" s="49">
        <f t="shared" si="2"/>
        <v>0</v>
      </c>
      <c r="L14" s="49">
        <f t="shared" si="3"/>
        <v>0</v>
      </c>
      <c r="M14" s="49">
        <f t="shared" si="4"/>
        <v>0</v>
      </c>
      <c r="N14" s="49">
        <f t="shared" si="5"/>
        <v>0</v>
      </c>
      <c r="O14" s="49">
        <f t="shared" si="6"/>
        <v>0</v>
      </c>
      <c r="P14" s="49">
        <f t="shared" si="7"/>
        <v>0</v>
      </c>
      <c r="Q14" s="49">
        <f t="shared" si="8"/>
        <v>0</v>
      </c>
    </row>
    <row r="15" spans="1:17">
      <c r="A15" s="47" t="str">
        <f>FMECA!A17</f>
        <v>Flash_Diag</v>
      </c>
      <c r="B15" s="48" t="str">
        <f>FMECA!B17</f>
        <v>Slow transfer of data</v>
      </c>
      <c r="C15" s="48">
        <f>FMECA!E17</f>
        <v>3.0144473694958261E-9</v>
      </c>
      <c r="D15" s="47" t="str">
        <f>FMECA!H17</f>
        <v>Safe</v>
      </c>
      <c r="E15" s="47" t="str">
        <f>IF(ISNUMBER(SEARCH("Yes",FMECA!K17)),"Yes",IF(FMECA!K17="No","No",IF(ISNUMBER(SEARCH("No; impactless.",FMECA!K17)),"Impactless",IF(ISNUMBER(SEARCH("Outside the scope",FMECA!K17)),"Outside Scope",IF(ISNUMBER(SEARCH("Maybe",FMECA!K17)),"Maybe","Not Applicable")))))</f>
        <v>No</v>
      </c>
      <c r="F15" s="47" t="s">
        <v>675</v>
      </c>
      <c r="G15" s="47" t="str">
        <f>IF(ISNUMBER(SEARCH("Yes",FMECA!L17)),"Yes",IF(FMECA!L17="No","No",IF(ISNUMBER(SEARCH("No; impactless.",FMECA!L17)),"Impactless","Not Applicable")))</f>
        <v>No</v>
      </c>
      <c r="H15" s="47" t="str">
        <f>IF(ISNUMBER(SEARCH("CM0", FMECA!AC17)), "CM0", IF(ISNUMBER(SEARCH("CM1", FMECA!AC17)), "CM1", IF(ISNUMBER(SEARCH("CM2", FMECA!AC17)), "CM2", IF(ISNUMBER(SEARCH("CM3", FMECA!AC17)), "CM3", "Not Applicable"))))</f>
        <v>CM0</v>
      </c>
      <c r="I15" s="49">
        <f t="shared" si="0"/>
        <v>0</v>
      </c>
      <c r="J15" s="49">
        <f t="shared" si="1"/>
        <v>0</v>
      </c>
      <c r="K15" s="49">
        <f t="shared" si="2"/>
        <v>0</v>
      </c>
      <c r="L15" s="49">
        <f t="shared" si="3"/>
        <v>0</v>
      </c>
      <c r="M15" s="49">
        <f t="shared" si="4"/>
        <v>0</v>
      </c>
      <c r="N15" s="49">
        <f t="shared" si="5"/>
        <v>0</v>
      </c>
      <c r="O15" s="49">
        <f t="shared" si="6"/>
        <v>0</v>
      </c>
      <c r="P15" s="49">
        <f t="shared" si="7"/>
        <v>0</v>
      </c>
      <c r="Q15" s="49">
        <f t="shared" si="8"/>
        <v>0</v>
      </c>
    </row>
    <row r="16" spans="1:17">
      <c r="A16" s="47" t="str">
        <f>FMECA!A18</f>
        <v>Flash_Diag</v>
      </c>
      <c r="B16" s="48" t="str">
        <f>FMECA!B18</f>
        <v>Open</v>
      </c>
      <c r="C16" s="48">
        <f>FMECA!E18</f>
        <v>4.0783699704943524E-9</v>
      </c>
      <c r="D16" s="47" t="str">
        <f>FMECA!H18</f>
        <v>Safe</v>
      </c>
      <c r="E16" s="47" t="str">
        <f>IF(ISNUMBER(SEARCH("Yes",FMECA!K18)),"Yes",IF(FMECA!K18="No","No",IF(ISNUMBER(SEARCH("No; impactless.",FMECA!K18)),"Impactless",IF(ISNUMBER(SEARCH("Outside the scope",FMECA!K18)),"Outside Scope",IF(ISNUMBER(SEARCH("Maybe",FMECA!K18)),"Maybe","Not Applicable")))))</f>
        <v>No</v>
      </c>
      <c r="F16" s="47" t="s">
        <v>675</v>
      </c>
      <c r="G16" s="47" t="str">
        <f>IF(ISNUMBER(SEARCH("Yes",FMECA!L18)),"Yes",IF(FMECA!L18="No","No",IF(ISNUMBER(SEARCH("No; impactless.",FMECA!L18)),"Impactless","Not Applicable")))</f>
        <v>No</v>
      </c>
      <c r="H16" s="47" t="str">
        <f>IF(ISNUMBER(SEARCH("CM0", FMECA!AC18)), "CM0", IF(ISNUMBER(SEARCH("CM1", FMECA!AC18)), "CM1", IF(ISNUMBER(SEARCH("CM2", FMECA!AC18)), "CM2", IF(ISNUMBER(SEARCH("CM3", FMECA!AC18)), "CM3", "Not Applicable"))))</f>
        <v>CM0</v>
      </c>
      <c r="I16" s="49">
        <f t="shared" si="0"/>
        <v>0</v>
      </c>
      <c r="J16" s="49">
        <f t="shared" si="1"/>
        <v>0</v>
      </c>
      <c r="K16" s="49">
        <f t="shared" si="2"/>
        <v>0</v>
      </c>
      <c r="L16" s="49">
        <f t="shared" si="3"/>
        <v>0</v>
      </c>
      <c r="M16" s="49">
        <f t="shared" si="4"/>
        <v>0</v>
      </c>
      <c r="N16" s="49">
        <f t="shared" si="5"/>
        <v>0</v>
      </c>
      <c r="O16" s="49">
        <f t="shared" si="6"/>
        <v>0</v>
      </c>
      <c r="P16" s="49">
        <f t="shared" si="7"/>
        <v>0</v>
      </c>
      <c r="Q16" s="49">
        <f t="shared" si="8"/>
        <v>0</v>
      </c>
    </row>
    <row r="17" spans="1:17">
      <c r="A17" s="47" t="str">
        <f>FMECA!A19</f>
        <v>Flash_Diag</v>
      </c>
      <c r="B17" s="48" t="str">
        <f>FMECA!B19</f>
        <v>Short-circuit</v>
      </c>
      <c r="C17" s="48">
        <f>FMECA!E19</f>
        <v>4.6103312709936158E-9</v>
      </c>
      <c r="D17" s="47" t="str">
        <f>FMECA!H19</f>
        <v>Safe</v>
      </c>
      <c r="E17" s="47" t="str">
        <f>IF(ISNUMBER(SEARCH("Yes",FMECA!K19)),"Yes",IF(FMECA!K19="No","No",IF(ISNUMBER(SEARCH("No; impactless.",FMECA!K19)),"Impactless",IF(ISNUMBER(SEARCH("Outside the scope",FMECA!K19)),"Outside Scope",IF(ISNUMBER(SEARCH("Maybe",FMECA!K19)),"Maybe","Not Applicable")))))</f>
        <v>No</v>
      </c>
      <c r="F17" s="47" t="s">
        <v>675</v>
      </c>
      <c r="G17" s="47" t="str">
        <f>IF(ISNUMBER(SEARCH("Yes",FMECA!L19)),"Yes",IF(FMECA!L19="No","No",IF(ISNUMBER(SEARCH("No; impactless.",FMECA!L19)),"Impactless","Not Applicable")))</f>
        <v>No</v>
      </c>
      <c r="H17" s="47" t="str">
        <f>IF(ISNUMBER(SEARCH("CM0", FMECA!AC19)), "CM0", IF(ISNUMBER(SEARCH("CM1", FMECA!AC19)), "CM1", IF(ISNUMBER(SEARCH("CM2", FMECA!AC19)), "CM2", IF(ISNUMBER(SEARCH("CM3", FMECA!AC19)), "CM3", "Not Applicable"))))</f>
        <v>CM0</v>
      </c>
      <c r="I17" s="49">
        <f t="shared" si="0"/>
        <v>0</v>
      </c>
      <c r="J17" s="49">
        <f t="shared" si="1"/>
        <v>0</v>
      </c>
      <c r="K17" s="49">
        <f t="shared" si="2"/>
        <v>0</v>
      </c>
      <c r="L17" s="49">
        <f t="shared" si="3"/>
        <v>0</v>
      </c>
      <c r="M17" s="49">
        <f t="shared" si="4"/>
        <v>0</v>
      </c>
      <c r="N17" s="49">
        <f t="shared" si="5"/>
        <v>0</v>
      </c>
      <c r="O17" s="49">
        <f t="shared" si="6"/>
        <v>0</v>
      </c>
      <c r="P17" s="49">
        <f t="shared" si="7"/>
        <v>0</v>
      </c>
      <c r="Q17" s="49">
        <f t="shared" si="8"/>
        <v>0</v>
      </c>
    </row>
    <row r="18" spans="1:17">
      <c r="A18" s="47" t="str">
        <f>FMECA!A20</f>
        <v>R1_Diag</v>
      </c>
      <c r="B18" s="48" t="str">
        <f>FMECA!B20</f>
        <v>Open</v>
      </c>
      <c r="C18" s="48">
        <f>FMECA!E20</f>
        <v>2.4551082459100113E-9</v>
      </c>
      <c r="D18" s="47" t="str">
        <f>FMECA!H20</f>
        <v>Safe</v>
      </c>
      <c r="E18" s="47" t="str">
        <f>IF(ISNUMBER(SEARCH("Yes",FMECA!K20)),"Yes",IF(FMECA!K20="No","No",IF(ISNUMBER(SEARCH("No; impactless.",FMECA!K20)),"Impactless",IF(ISNUMBER(SEARCH("Outside the scope",FMECA!K20)),"Outside Scope",IF(ISNUMBER(SEARCH("Maybe",FMECA!K20)),"Maybe","Not Applicable")))))</f>
        <v>No</v>
      </c>
      <c r="F18" s="47" t="s">
        <v>675</v>
      </c>
      <c r="G18" s="47" t="str">
        <f>IF(ISNUMBER(SEARCH("Yes",FMECA!L20)),"Yes",IF(FMECA!L20="No","No",IF(ISNUMBER(SEARCH("No; impactless.",FMECA!L20)),"Impactless","Not Applicable")))</f>
        <v>Yes</v>
      </c>
      <c r="H18" s="47" t="str">
        <f>IF(ISNUMBER(SEARCH("CM0", FMECA!AC20)), "CM0", IF(ISNUMBER(SEARCH("CM1", FMECA!AC20)), "CM1", IF(ISNUMBER(SEARCH("CM2", FMECA!AC20)), "CM2", IF(ISNUMBER(SEARCH("CM3", FMECA!AC20)), "CM3", "Not Applicable"))))</f>
        <v>Not Applicable</v>
      </c>
      <c r="I18" s="49">
        <f t="shared" si="0"/>
        <v>0</v>
      </c>
      <c r="J18" s="49">
        <f t="shared" si="1"/>
        <v>2.4551082459100113E-9</v>
      </c>
      <c r="K18" s="49">
        <f t="shared" si="2"/>
        <v>0</v>
      </c>
      <c r="L18" s="49">
        <f t="shared" si="3"/>
        <v>0</v>
      </c>
      <c r="M18" s="49">
        <f t="shared" si="4"/>
        <v>0</v>
      </c>
      <c r="N18" s="49">
        <f t="shared" si="5"/>
        <v>0</v>
      </c>
      <c r="O18" s="49">
        <f t="shared" si="6"/>
        <v>0</v>
      </c>
      <c r="P18" s="49">
        <f t="shared" si="7"/>
        <v>0</v>
      </c>
      <c r="Q18" s="49">
        <f t="shared" si="8"/>
        <v>0</v>
      </c>
    </row>
    <row r="19" spans="1:17">
      <c r="A19" s="47" t="str">
        <f>FMECA!A21</f>
        <v>R1_Diag</v>
      </c>
      <c r="B19" s="48" t="str">
        <f>FMECA!B21</f>
        <v>Short-Circuit</v>
      </c>
      <c r="C19" s="48">
        <f>FMECA!E21</f>
        <v>2.080600208398315E-10</v>
      </c>
      <c r="D19" s="47" t="str">
        <f>FMECA!H21</f>
        <v>Safe</v>
      </c>
      <c r="E19" s="47" t="str">
        <f>IF(ISNUMBER(SEARCH("Yes",FMECA!K21)),"Yes",IF(FMECA!K21="No","No",IF(ISNUMBER(SEARCH("No; impactless.",FMECA!K21)),"Impactless",IF(ISNUMBER(SEARCH("Outside the scope",FMECA!K21)),"Outside Scope",IF(ISNUMBER(SEARCH("Maybe",FMECA!K21)),"Maybe","Not Applicable")))))</f>
        <v>No</v>
      </c>
      <c r="F19" s="47" t="s">
        <v>675</v>
      </c>
      <c r="G19" s="47" t="str">
        <f>IF(ISNUMBER(SEARCH("Yes",FMECA!L21)),"Yes",IF(FMECA!L21="No","No",IF(ISNUMBER(SEARCH("No; impactless.",FMECA!L21)),"Impactless","Not Applicable")))</f>
        <v>Yes</v>
      </c>
      <c r="H19" s="47" t="str">
        <f>IF(ISNUMBER(SEARCH("CM0", FMECA!AC21)), "CM0", IF(ISNUMBER(SEARCH("CM1", FMECA!AC21)), "CM1", IF(ISNUMBER(SEARCH("CM2", FMECA!AC21)), "CM2", IF(ISNUMBER(SEARCH("CM3", FMECA!AC21)), "CM3", "Not Applicable"))))</f>
        <v>Not Applicable</v>
      </c>
      <c r="I19" s="49">
        <f t="shared" si="0"/>
        <v>0</v>
      </c>
      <c r="J19" s="49">
        <f t="shared" si="1"/>
        <v>2.080600208398315E-10</v>
      </c>
      <c r="K19" s="49">
        <f t="shared" si="2"/>
        <v>0</v>
      </c>
      <c r="L19" s="49">
        <f t="shared" si="3"/>
        <v>0</v>
      </c>
      <c r="M19" s="49">
        <f t="shared" si="4"/>
        <v>0</v>
      </c>
      <c r="N19" s="49">
        <f t="shared" si="5"/>
        <v>0</v>
      </c>
      <c r="O19" s="49">
        <f t="shared" si="6"/>
        <v>0</v>
      </c>
      <c r="P19" s="49">
        <f t="shared" si="7"/>
        <v>0</v>
      </c>
      <c r="Q19" s="49">
        <f t="shared" si="8"/>
        <v>0</v>
      </c>
    </row>
    <row r="20" spans="1:17">
      <c r="A20" s="47" t="str">
        <f>FMECA!A22</f>
        <v>R1_Diag</v>
      </c>
      <c r="B20" s="48" t="str">
        <f>FMECA!B22</f>
        <v>Increase of Resistance Value</v>
      </c>
      <c r="C20" s="48">
        <f>FMECA!E22</f>
        <v>7.4901607502339334E-10</v>
      </c>
      <c r="D20" s="47" t="str">
        <f>FMECA!H22</f>
        <v>Safe</v>
      </c>
      <c r="E20" s="47" t="str">
        <f>IF(ISNUMBER(SEARCH("Yes",FMECA!K22)),"Yes",IF(FMECA!K22="No","No",IF(ISNUMBER(SEARCH("No; impactless.",FMECA!K22)),"Impactless",IF(ISNUMBER(SEARCH("Outside the scope",FMECA!K22)),"Outside Scope",IF(ISNUMBER(SEARCH("Maybe",FMECA!K22)),"Maybe","Not Applicable")))))</f>
        <v>No</v>
      </c>
      <c r="F20" s="47" t="s">
        <v>675</v>
      </c>
      <c r="G20" s="47" t="str">
        <f>IF(ISNUMBER(SEARCH("Yes",FMECA!L22)),"Yes",IF(FMECA!L22="No","No",IF(ISNUMBER(SEARCH("No; impactless.",FMECA!L22)),"Impactless","Not Applicable")))</f>
        <v>Yes</v>
      </c>
      <c r="H20" s="47" t="str">
        <f>IF(ISNUMBER(SEARCH("CM0", FMECA!AC22)), "CM0", IF(ISNUMBER(SEARCH("CM1", FMECA!AC22)), "CM1", IF(ISNUMBER(SEARCH("CM2", FMECA!AC22)), "CM2", IF(ISNUMBER(SEARCH("CM3", FMECA!AC22)), "CM3", "Not Applicable"))))</f>
        <v>Not Applicable</v>
      </c>
      <c r="I20" s="49">
        <f t="shared" si="0"/>
        <v>0</v>
      </c>
      <c r="J20" s="49">
        <f t="shared" si="1"/>
        <v>7.4901607502339334E-10</v>
      </c>
      <c r="K20" s="49">
        <f t="shared" si="2"/>
        <v>0</v>
      </c>
      <c r="L20" s="49">
        <f t="shared" si="3"/>
        <v>0</v>
      </c>
      <c r="M20" s="49">
        <f t="shared" si="4"/>
        <v>0</v>
      </c>
      <c r="N20" s="49">
        <f t="shared" si="5"/>
        <v>0</v>
      </c>
      <c r="O20" s="49">
        <f t="shared" si="6"/>
        <v>0</v>
      </c>
      <c r="P20" s="49">
        <f t="shared" si="7"/>
        <v>0</v>
      </c>
      <c r="Q20" s="49">
        <f t="shared" si="8"/>
        <v>0</v>
      </c>
    </row>
    <row r="21" spans="1:17">
      <c r="A21" s="47" t="str">
        <f>FMECA!A23</f>
        <v>R1_Diag</v>
      </c>
      <c r="B21" s="48" t="str">
        <f>FMECA!B23</f>
        <v>Decrease of Resistance Value</v>
      </c>
      <c r="C21" s="48">
        <f>FMECA!E23</f>
        <v>7.4901607502339334E-10</v>
      </c>
      <c r="D21" s="47" t="str">
        <f>FMECA!H23</f>
        <v>Safe</v>
      </c>
      <c r="E21" s="47" t="str">
        <f>IF(ISNUMBER(SEARCH("Yes",FMECA!K23)),"Yes",IF(FMECA!K23="No","No",IF(ISNUMBER(SEARCH("No; impactless.",FMECA!K23)),"Impactless",IF(ISNUMBER(SEARCH("Outside the scope",FMECA!K23)),"Outside Scope",IF(ISNUMBER(SEARCH("Maybe",FMECA!K23)),"Maybe","Not Applicable")))))</f>
        <v>No</v>
      </c>
      <c r="F21" s="47" t="s">
        <v>675</v>
      </c>
      <c r="G21" s="47" t="str">
        <f>IF(ISNUMBER(SEARCH("Yes",FMECA!L23)),"Yes",IF(FMECA!L23="No","No",IF(ISNUMBER(SEARCH("No; impactless.",FMECA!L23)),"Impactless","Not Applicable")))</f>
        <v>Yes</v>
      </c>
      <c r="H21" s="47" t="str">
        <f>IF(ISNUMBER(SEARCH("CM0", FMECA!AC23)), "CM0", IF(ISNUMBER(SEARCH("CM1", FMECA!AC23)), "CM1", IF(ISNUMBER(SEARCH("CM2", FMECA!AC23)), "CM2", IF(ISNUMBER(SEARCH("CM3", FMECA!AC23)), "CM3", "Not Applicable"))))</f>
        <v>Not Applicable</v>
      </c>
      <c r="I21" s="49">
        <f t="shared" si="0"/>
        <v>0</v>
      </c>
      <c r="J21" s="49">
        <f t="shared" si="1"/>
        <v>7.4901607502339334E-10</v>
      </c>
      <c r="K21" s="49">
        <f t="shared" si="2"/>
        <v>0</v>
      </c>
      <c r="L21" s="49">
        <f t="shared" si="3"/>
        <v>0</v>
      </c>
      <c r="M21" s="49">
        <f t="shared" si="4"/>
        <v>0</v>
      </c>
      <c r="N21" s="49">
        <f t="shared" si="5"/>
        <v>0</v>
      </c>
      <c r="O21" s="49">
        <f t="shared" si="6"/>
        <v>0</v>
      </c>
      <c r="P21" s="49">
        <f t="shared" si="7"/>
        <v>0</v>
      </c>
      <c r="Q21" s="49">
        <f t="shared" si="8"/>
        <v>0</v>
      </c>
    </row>
    <row r="22" spans="1:17">
      <c r="A22" s="47" t="str">
        <f>FMECA!A24</f>
        <v>R1_Diag</v>
      </c>
      <c r="B22" s="48" t="str">
        <f>FMECA!B24</f>
        <v>Short-Circuit to Casing</v>
      </c>
      <c r="C22" s="48">
        <f>FMECA!E24</f>
        <v>0</v>
      </c>
      <c r="D22" s="47" t="str">
        <f>FMECA!H24</f>
        <v>Safe</v>
      </c>
      <c r="E22" s="47" t="str">
        <f>IF(ISNUMBER(SEARCH("Yes",FMECA!K24)),"Yes",IF(FMECA!K24="No","No",IF(ISNUMBER(SEARCH("No; impactless.",FMECA!K24)),"Impactless",IF(ISNUMBER(SEARCH("Outside the scope",FMECA!K24)),"Outside Scope",IF(ISNUMBER(SEARCH("Maybe",FMECA!K24)),"Maybe","Not Applicable")))))</f>
        <v>Impactless</v>
      </c>
      <c r="F22" s="47" t="s">
        <v>675</v>
      </c>
      <c r="G22" s="47" t="str">
        <f>IF(ISNUMBER(SEARCH("Yes",FMECA!L24)),"Yes",IF(FMECA!L24="No","No",IF(ISNUMBER(SEARCH("No; impactless.",FMECA!L24)),"Impactless","Not Applicable")))</f>
        <v>Impactless</v>
      </c>
      <c r="H22" s="47" t="str">
        <f>IF(ISNUMBER(SEARCH("CM0", FMECA!AC24)), "CM0", IF(ISNUMBER(SEARCH("CM1", FMECA!AC24)), "CM1", IF(ISNUMBER(SEARCH("CM2", FMECA!AC24)), "CM2", IF(ISNUMBER(SEARCH("CM3", FMECA!AC24)), "CM3", "Not Applicable"))))</f>
        <v>Not Applicable</v>
      </c>
      <c r="I22" s="49">
        <f t="shared" si="0"/>
        <v>0</v>
      </c>
      <c r="J22" s="49">
        <f t="shared" si="1"/>
        <v>0</v>
      </c>
      <c r="K22" s="49">
        <f t="shared" si="2"/>
        <v>0</v>
      </c>
      <c r="L22" s="49">
        <f t="shared" si="3"/>
        <v>0</v>
      </c>
      <c r="M22" s="49">
        <f t="shared" si="4"/>
        <v>0</v>
      </c>
      <c r="N22" s="49">
        <f t="shared" si="5"/>
        <v>0</v>
      </c>
      <c r="O22" s="49">
        <f t="shared" si="6"/>
        <v>0</v>
      </c>
      <c r="P22" s="49">
        <f t="shared" si="7"/>
        <v>0</v>
      </c>
      <c r="Q22" s="49">
        <f t="shared" si="8"/>
        <v>0</v>
      </c>
    </row>
    <row r="23" spans="1:17">
      <c r="A23" s="47" t="str">
        <f>FMECA!A25</f>
        <v>OC_Diag</v>
      </c>
      <c r="B23" s="48" t="str">
        <f>FMECA!B25</f>
        <v>Open diode</v>
      </c>
      <c r="C23" s="48">
        <f>FMECA!E25</f>
        <v>7.0465531318791983E-9</v>
      </c>
      <c r="D23" s="47" t="str">
        <f>FMECA!H25</f>
        <v>Safe</v>
      </c>
      <c r="E23" s="47" t="str">
        <f>IF(ISNUMBER(SEARCH("Yes",FMECA!K25)),"Yes",IF(FMECA!K25="No","No",IF(ISNUMBER(SEARCH("No; impactless.",FMECA!K25)),"Impactless",IF(ISNUMBER(SEARCH("Outside the scope",FMECA!K25)),"Outside Scope",IF(ISNUMBER(SEARCH("Maybe",FMECA!K25)),"Maybe","Not Applicable")))))</f>
        <v>No</v>
      </c>
      <c r="F23" s="47" t="s">
        <v>675</v>
      </c>
      <c r="G23" s="47" t="str">
        <f>IF(ISNUMBER(SEARCH("Yes",FMECA!L25)),"Yes",IF(FMECA!L25="No","No",IF(ISNUMBER(SEARCH("No; impactless.",FMECA!L25)),"Impactless","Not Applicable")))</f>
        <v>Yes</v>
      </c>
      <c r="H23" s="47" t="str">
        <f>IF(ISNUMBER(SEARCH("CM0", FMECA!AC25)), "CM0", IF(ISNUMBER(SEARCH("CM1", FMECA!AC25)), "CM1", IF(ISNUMBER(SEARCH("CM2", FMECA!AC25)), "CM2", IF(ISNUMBER(SEARCH("CM3", FMECA!AC25)), "CM3", "Not Applicable"))))</f>
        <v>Not Applicable</v>
      </c>
      <c r="I23" s="49">
        <f t="shared" si="0"/>
        <v>0</v>
      </c>
      <c r="J23" s="49">
        <f t="shared" si="1"/>
        <v>7.0465531318791983E-9</v>
      </c>
      <c r="K23" s="49">
        <f t="shared" si="2"/>
        <v>0</v>
      </c>
      <c r="L23" s="49">
        <f t="shared" si="3"/>
        <v>0</v>
      </c>
      <c r="M23" s="49">
        <f t="shared" si="4"/>
        <v>0</v>
      </c>
      <c r="N23" s="49">
        <f t="shared" si="5"/>
        <v>0</v>
      </c>
      <c r="O23" s="49">
        <f t="shared" si="6"/>
        <v>0</v>
      </c>
      <c r="P23" s="49">
        <f t="shared" si="7"/>
        <v>0</v>
      </c>
      <c r="Q23" s="49">
        <f t="shared" si="8"/>
        <v>0</v>
      </c>
    </row>
    <row r="24" spans="1:17">
      <c r="A24" s="47" t="str">
        <f>FMECA!A26</f>
        <v>OC_Diag</v>
      </c>
      <c r="B24" s="48" t="str">
        <f>FMECA!B26</f>
        <v>Open emitter</v>
      </c>
      <c r="C24" s="48">
        <f>FMECA!E26</f>
        <v>7.0465531318791983E-9</v>
      </c>
      <c r="D24" s="47" t="str">
        <f>FMECA!H26</f>
        <v>Safe</v>
      </c>
      <c r="E24" s="47" t="str">
        <f>IF(ISNUMBER(SEARCH("Yes",FMECA!K26)),"Yes",IF(FMECA!K26="No","No",IF(ISNUMBER(SEARCH("No; impactless.",FMECA!K26)),"Impactless",IF(ISNUMBER(SEARCH("Outside the scope",FMECA!K26)),"Outside Scope",IF(ISNUMBER(SEARCH("Maybe",FMECA!K26)),"Maybe","Not Applicable")))))</f>
        <v>No</v>
      </c>
      <c r="F24" s="47" t="s">
        <v>675</v>
      </c>
      <c r="G24" s="47" t="str">
        <f>IF(ISNUMBER(SEARCH("Yes",FMECA!L26)),"Yes",IF(FMECA!L26="No","No",IF(ISNUMBER(SEARCH("No; impactless.",FMECA!L26)),"Impactless","Not Applicable")))</f>
        <v>Yes</v>
      </c>
      <c r="H24" s="47" t="str">
        <f>IF(ISNUMBER(SEARCH("CM0", FMECA!AC26)), "CM0", IF(ISNUMBER(SEARCH("CM1", FMECA!AC26)), "CM1", IF(ISNUMBER(SEARCH("CM2", FMECA!AC26)), "CM2", IF(ISNUMBER(SEARCH("CM3", FMECA!AC26)), "CM3", "Not Applicable"))))</f>
        <v>Not Applicable</v>
      </c>
      <c r="I24" s="49">
        <f t="shared" si="0"/>
        <v>0</v>
      </c>
      <c r="J24" s="49">
        <f t="shared" si="1"/>
        <v>7.0465531318791983E-9</v>
      </c>
      <c r="K24" s="49">
        <f t="shared" si="2"/>
        <v>0</v>
      </c>
      <c r="L24" s="49">
        <f t="shared" si="3"/>
        <v>0</v>
      </c>
      <c r="M24" s="49">
        <f t="shared" si="4"/>
        <v>0</v>
      </c>
      <c r="N24" s="49">
        <f t="shared" si="5"/>
        <v>0</v>
      </c>
      <c r="O24" s="49">
        <f t="shared" si="6"/>
        <v>0</v>
      </c>
      <c r="P24" s="49">
        <f t="shared" si="7"/>
        <v>0</v>
      </c>
      <c r="Q24" s="49">
        <f t="shared" si="8"/>
        <v>0</v>
      </c>
    </row>
    <row r="25" spans="1:17">
      <c r="A25" s="47" t="str">
        <f>FMECA!A27</f>
        <v>OC_Diag</v>
      </c>
      <c r="B25" s="48" t="str">
        <f>FMECA!B27</f>
        <v>Open collector</v>
      </c>
      <c r="C25" s="48">
        <f>FMECA!E27</f>
        <v>7.0465531318791983E-9</v>
      </c>
      <c r="D25" s="47" t="str">
        <f>FMECA!H27</f>
        <v>Safe</v>
      </c>
      <c r="E25" s="47" t="str">
        <f>IF(ISNUMBER(SEARCH("Yes",FMECA!K27)),"Yes",IF(FMECA!K27="No","No",IF(ISNUMBER(SEARCH("No; impactless.",FMECA!K27)),"Impactless",IF(ISNUMBER(SEARCH("Outside the scope",FMECA!K27)),"Outside Scope",IF(ISNUMBER(SEARCH("Maybe",FMECA!K27)),"Maybe","Not Applicable")))))</f>
        <v>No</v>
      </c>
      <c r="F25" s="47" t="s">
        <v>675</v>
      </c>
      <c r="G25" s="47" t="str">
        <f>IF(ISNUMBER(SEARCH("Yes",FMECA!L27)),"Yes",IF(FMECA!L27="No","No",IF(ISNUMBER(SEARCH("No; impactless.",FMECA!L27)),"Impactless","Not Applicable")))</f>
        <v>Yes</v>
      </c>
      <c r="H25" s="47" t="str">
        <f>IF(ISNUMBER(SEARCH("CM0", FMECA!AC27)), "CM0", IF(ISNUMBER(SEARCH("CM1", FMECA!AC27)), "CM1", IF(ISNUMBER(SEARCH("CM2", FMECA!AC27)), "CM2", IF(ISNUMBER(SEARCH("CM3", FMECA!AC27)), "CM3", "Not Applicable"))))</f>
        <v>Not Applicable</v>
      </c>
      <c r="I25" s="49">
        <f t="shared" si="0"/>
        <v>0</v>
      </c>
      <c r="J25" s="49">
        <f t="shared" si="1"/>
        <v>7.0465531318791983E-9</v>
      </c>
      <c r="K25" s="49">
        <f t="shared" si="2"/>
        <v>0</v>
      </c>
      <c r="L25" s="49">
        <f t="shared" si="3"/>
        <v>0</v>
      </c>
      <c r="M25" s="49">
        <f t="shared" si="4"/>
        <v>0</v>
      </c>
      <c r="N25" s="49">
        <f t="shared" si="5"/>
        <v>0</v>
      </c>
      <c r="O25" s="49">
        <f t="shared" si="6"/>
        <v>0</v>
      </c>
      <c r="P25" s="49">
        <f t="shared" si="7"/>
        <v>0</v>
      </c>
      <c r="Q25" s="49">
        <f t="shared" si="8"/>
        <v>0</v>
      </c>
    </row>
    <row r="26" spans="1:17">
      <c r="A26" s="47" t="str">
        <f>FMECA!A28</f>
        <v>OC_Diag</v>
      </c>
      <c r="B26" s="48" t="str">
        <f>FMECA!B28</f>
        <v>Open base</v>
      </c>
      <c r="C26" s="48">
        <f>FMECA!E28</f>
        <v>7.0465531318791983E-9</v>
      </c>
      <c r="D26" s="47" t="str">
        <f>FMECA!H28</f>
        <v>Safe</v>
      </c>
      <c r="E26" s="47" t="str">
        <f>IF(ISNUMBER(SEARCH("Yes",FMECA!K28)),"Yes",IF(FMECA!K28="No","No",IF(ISNUMBER(SEARCH("No; impactless.",FMECA!K28)),"Impactless",IF(ISNUMBER(SEARCH("Outside the scope",FMECA!K28)),"Outside Scope",IF(ISNUMBER(SEARCH("Maybe",FMECA!K28)),"Maybe","Not Applicable")))))</f>
        <v>Impactless</v>
      </c>
      <c r="F26" s="47" t="s">
        <v>675</v>
      </c>
      <c r="G26" s="47" t="str">
        <f>IF(ISNUMBER(SEARCH("Yes",FMECA!L28)),"Yes",IF(FMECA!L28="No","No",IF(ISNUMBER(SEARCH("No; impactless.",FMECA!L28)),"Impactless","Not Applicable")))</f>
        <v>Impactless</v>
      </c>
      <c r="H26" s="47" t="str">
        <f>IF(ISNUMBER(SEARCH("CM0", FMECA!AC28)), "CM0", IF(ISNUMBER(SEARCH("CM1", FMECA!AC28)), "CM1", IF(ISNUMBER(SEARCH("CM2", FMECA!AC28)), "CM2", IF(ISNUMBER(SEARCH("CM3", FMECA!AC28)), "CM3", "Not Applicable"))))</f>
        <v>Not Applicable</v>
      </c>
      <c r="I26" s="49">
        <f t="shared" si="0"/>
        <v>0</v>
      </c>
      <c r="J26" s="49">
        <f t="shared" si="1"/>
        <v>0</v>
      </c>
      <c r="K26" s="49">
        <f t="shared" si="2"/>
        <v>0</v>
      </c>
      <c r="L26" s="49">
        <f t="shared" si="3"/>
        <v>0</v>
      </c>
      <c r="M26" s="49">
        <f t="shared" si="4"/>
        <v>0</v>
      </c>
      <c r="N26" s="49">
        <f t="shared" si="5"/>
        <v>0</v>
      </c>
      <c r="O26" s="49">
        <f t="shared" si="6"/>
        <v>0</v>
      </c>
      <c r="P26" s="49">
        <f t="shared" si="7"/>
        <v>0</v>
      </c>
      <c r="Q26" s="49">
        <f t="shared" si="8"/>
        <v>0</v>
      </c>
    </row>
    <row r="27" spans="1:17">
      <c r="A27" s="47" t="str">
        <f>FMECA!A29</f>
        <v>OC_Diag</v>
      </c>
      <c r="B27" s="48" t="str">
        <f>FMECA!B29</f>
        <v>Increase of light sensitivity</v>
      </c>
      <c r="C27" s="48">
        <f>FMECA!E29</f>
        <v>7.0465531318791983E-9</v>
      </c>
      <c r="D27" s="47" t="str">
        <f>FMECA!H29</f>
        <v>Safe</v>
      </c>
      <c r="E27" s="47" t="str">
        <f>IF(ISNUMBER(SEARCH("Yes",FMECA!K29)),"Yes",IF(FMECA!K29="No","No",IF(ISNUMBER(SEARCH("No; impactless.",FMECA!K29)),"Impactless",IF(ISNUMBER(SEARCH("Outside the scope",FMECA!K29)),"Outside Scope",IF(ISNUMBER(SEARCH("Maybe",FMECA!K29)),"Maybe","Not Applicable")))))</f>
        <v>Impactless</v>
      </c>
      <c r="F27" s="47" t="s">
        <v>675</v>
      </c>
      <c r="G27" s="47" t="str">
        <f>IF(ISNUMBER(SEARCH("Yes",FMECA!L29)),"Yes",IF(FMECA!L29="No","No",IF(ISNUMBER(SEARCH("No; impactless.",FMECA!L29)),"Impactless","Not Applicable")))</f>
        <v>Impactless</v>
      </c>
      <c r="H27" s="47" t="str">
        <f>IF(ISNUMBER(SEARCH("CM0", FMECA!AC29)), "CM0", IF(ISNUMBER(SEARCH("CM1", FMECA!AC29)), "CM1", IF(ISNUMBER(SEARCH("CM2", FMECA!AC29)), "CM2", IF(ISNUMBER(SEARCH("CM3", FMECA!AC29)), "CM3", "Not Applicable"))))</f>
        <v>Not Applicable</v>
      </c>
      <c r="I27" s="49">
        <f t="shared" si="0"/>
        <v>0</v>
      </c>
      <c r="J27" s="49">
        <f t="shared" si="1"/>
        <v>0</v>
      </c>
      <c r="K27" s="49">
        <f t="shared" si="2"/>
        <v>0</v>
      </c>
      <c r="L27" s="49">
        <f t="shared" si="3"/>
        <v>0</v>
      </c>
      <c r="M27" s="49">
        <f t="shared" si="4"/>
        <v>0</v>
      </c>
      <c r="N27" s="49">
        <f t="shared" si="5"/>
        <v>0</v>
      </c>
      <c r="O27" s="49">
        <f t="shared" si="6"/>
        <v>0</v>
      </c>
      <c r="P27" s="49">
        <f t="shared" si="7"/>
        <v>0</v>
      </c>
      <c r="Q27" s="49">
        <f t="shared" si="8"/>
        <v>0</v>
      </c>
    </row>
    <row r="28" spans="1:17">
      <c r="A28" s="47" t="str">
        <f>FMECA!A30</f>
        <v>OC_Diag</v>
      </c>
      <c r="B28" s="48" t="str">
        <f>FMECA!B30</f>
        <v>Decrease of light sensitivity</v>
      </c>
      <c r="C28" s="48">
        <f>FMECA!E30</f>
        <v>7.0465531318791983E-9</v>
      </c>
      <c r="D28" s="47" t="str">
        <f>FMECA!H30</f>
        <v>Safe</v>
      </c>
      <c r="E28" s="47" t="str">
        <f>IF(ISNUMBER(SEARCH("Yes",FMECA!K30)),"Yes",IF(FMECA!K30="No","No",IF(ISNUMBER(SEARCH("No; impactless.",FMECA!K30)),"Impactless",IF(ISNUMBER(SEARCH("Outside the scope",FMECA!K30)),"Outside Scope",IF(ISNUMBER(SEARCH("Maybe",FMECA!K30)),"Maybe","Not Applicable")))))</f>
        <v>No</v>
      </c>
      <c r="F28" s="47" t="s">
        <v>675</v>
      </c>
      <c r="G28" s="47" t="str">
        <f>IF(ISNUMBER(SEARCH("Yes",FMECA!L30)),"Yes",IF(FMECA!L30="No","No",IF(ISNUMBER(SEARCH("No; impactless.",FMECA!L30)),"Impactless","Not Applicable")))</f>
        <v>Yes</v>
      </c>
      <c r="H28" s="47" t="str">
        <f>IF(ISNUMBER(SEARCH("CM0", FMECA!AC30)), "CM0", IF(ISNUMBER(SEARCH("CM1", FMECA!AC30)), "CM1", IF(ISNUMBER(SEARCH("CM2", FMECA!AC30)), "CM2", IF(ISNUMBER(SEARCH("CM3", FMECA!AC30)), "CM3", "Not Applicable"))))</f>
        <v>Not Applicable</v>
      </c>
      <c r="I28" s="49">
        <f t="shared" si="0"/>
        <v>0</v>
      </c>
      <c r="J28" s="49">
        <f t="shared" si="1"/>
        <v>7.0465531318791983E-9</v>
      </c>
      <c r="K28" s="49">
        <f t="shared" si="2"/>
        <v>0</v>
      </c>
      <c r="L28" s="49">
        <f t="shared" si="3"/>
        <v>0</v>
      </c>
      <c r="M28" s="49">
        <f t="shared" si="4"/>
        <v>0</v>
      </c>
      <c r="N28" s="49">
        <f t="shared" si="5"/>
        <v>0</v>
      </c>
      <c r="O28" s="49">
        <f t="shared" si="6"/>
        <v>0</v>
      </c>
      <c r="P28" s="49">
        <f t="shared" si="7"/>
        <v>0</v>
      </c>
      <c r="Q28" s="49">
        <f t="shared" si="8"/>
        <v>0</v>
      </c>
    </row>
    <row r="29" spans="1:17">
      <c r="A29" s="47" t="str">
        <f>FMECA!A31</f>
        <v>OC_Diag</v>
      </c>
      <c r="B29" s="48" t="str">
        <f>FMECA!B31</f>
        <v>Increase of leakage current</v>
      </c>
      <c r="C29" s="48">
        <f>FMECA!E31</f>
        <v>1.0569830120612003E-8</v>
      </c>
      <c r="D29" s="47" t="str">
        <f>FMECA!H31</f>
        <v>Safe</v>
      </c>
      <c r="E29" s="47" t="str">
        <f>IF(ISNUMBER(SEARCH("Yes",FMECA!K31)),"Yes",IF(FMECA!K31="No","No",IF(ISNUMBER(SEARCH("No; impactless.",FMECA!K31)),"Impactless",IF(ISNUMBER(SEARCH("Outside the scope",FMECA!K31)),"Outside Scope",IF(ISNUMBER(SEARCH("Maybe",FMECA!K31)),"Maybe","Not Applicable")))))</f>
        <v>No</v>
      </c>
      <c r="F29" s="47" t="s">
        <v>675</v>
      </c>
      <c r="G29" s="47" t="str">
        <f>IF(ISNUMBER(SEARCH("Yes",FMECA!L31)),"Yes",IF(FMECA!L31="No","No",IF(ISNUMBER(SEARCH("No; impactless.",FMECA!L31)),"Impactless","Not Applicable")))</f>
        <v>Yes</v>
      </c>
      <c r="H29" s="47" t="str">
        <f>IF(ISNUMBER(SEARCH("CM0", FMECA!AC31)), "CM0", IF(ISNUMBER(SEARCH("CM1", FMECA!AC31)), "CM1", IF(ISNUMBER(SEARCH("CM2", FMECA!AC31)), "CM2", IF(ISNUMBER(SEARCH("CM3", FMECA!AC31)), "CM3", "Not Applicable"))))</f>
        <v>Not Applicable</v>
      </c>
      <c r="I29" s="49">
        <f t="shared" si="0"/>
        <v>0</v>
      </c>
      <c r="J29" s="49">
        <f t="shared" si="1"/>
        <v>1.0569830120612003E-8</v>
      </c>
      <c r="K29" s="49">
        <f t="shared" si="2"/>
        <v>0</v>
      </c>
      <c r="L29" s="49">
        <f t="shared" si="3"/>
        <v>0</v>
      </c>
      <c r="M29" s="49">
        <f t="shared" si="4"/>
        <v>0</v>
      </c>
      <c r="N29" s="49">
        <f t="shared" si="5"/>
        <v>0</v>
      </c>
      <c r="O29" s="49">
        <f t="shared" si="6"/>
        <v>0</v>
      </c>
      <c r="P29" s="49">
        <f t="shared" si="7"/>
        <v>0</v>
      </c>
      <c r="Q29" s="49">
        <f t="shared" si="8"/>
        <v>0</v>
      </c>
    </row>
    <row r="30" spans="1:17">
      <c r="A30" s="47" t="str">
        <f>FMECA!A32</f>
        <v>OC_Diag</v>
      </c>
      <c r="B30" s="48" t="str">
        <f>FMECA!B32</f>
        <v>Reduced insulation between input and output</v>
      </c>
      <c r="C30" s="48">
        <f>FMECA!E32</f>
        <v>1.0569830120612003E-8</v>
      </c>
      <c r="D30" s="47" t="str">
        <f>FMECA!H32</f>
        <v>Safe</v>
      </c>
      <c r="E30" s="47" t="str">
        <f>IF(ISNUMBER(SEARCH("Yes",FMECA!K32)),"Yes",IF(FMECA!K32="No","No",IF(ISNUMBER(SEARCH("No; impactless.",FMECA!K32)),"Impactless",IF(ISNUMBER(SEARCH("Outside the scope",FMECA!K32)),"Outside Scope",IF(ISNUMBER(SEARCH("Maybe",FMECA!K32)),"Maybe","Not Applicable")))))</f>
        <v>No</v>
      </c>
      <c r="F30" s="47" t="s">
        <v>675</v>
      </c>
      <c r="G30" s="47" t="str">
        <f>IF(ISNUMBER(SEARCH("Yes",FMECA!L32)),"Yes",IF(FMECA!L32="No","No",IF(ISNUMBER(SEARCH("No; impactless.",FMECA!L32)),"Impactless","Not Applicable")))</f>
        <v>No</v>
      </c>
      <c r="H30" s="47" t="str">
        <f>IF(ISNUMBER(SEARCH("CM0", FMECA!AC32)), "CM0", IF(ISNUMBER(SEARCH("CM1", FMECA!AC32)), "CM1", IF(ISNUMBER(SEARCH("CM2", FMECA!AC32)), "CM2", IF(ISNUMBER(SEARCH("CM3", FMECA!AC32)), "CM3", "Not Applicable"))))</f>
        <v>CM1</v>
      </c>
      <c r="I30" s="49">
        <f t="shared" si="0"/>
        <v>0</v>
      </c>
      <c r="J30" s="49">
        <f t="shared" si="1"/>
        <v>0</v>
      </c>
      <c r="K30" s="49">
        <f t="shared" si="2"/>
        <v>0</v>
      </c>
      <c r="L30" s="49">
        <f t="shared" si="3"/>
        <v>0</v>
      </c>
      <c r="M30" s="49">
        <f t="shared" si="4"/>
        <v>0</v>
      </c>
      <c r="N30" s="49">
        <f t="shared" si="5"/>
        <v>0</v>
      </c>
      <c r="O30" s="49">
        <f t="shared" si="6"/>
        <v>1.0569830120612003E-8</v>
      </c>
      <c r="P30" s="49">
        <f t="shared" si="7"/>
        <v>0</v>
      </c>
      <c r="Q30" s="49">
        <f t="shared" si="8"/>
        <v>0</v>
      </c>
    </row>
    <row r="31" spans="1:17">
      <c r="A31" s="47" t="str">
        <f>FMECA!A33</f>
        <v>OC_Diag</v>
      </c>
      <c r="B31" s="48" t="str">
        <f>FMECA!B33</f>
        <v>Change on switching time</v>
      </c>
      <c r="C31" s="48">
        <f>FMECA!E33</f>
        <v>7.0465531318791983E-9</v>
      </c>
      <c r="D31" s="47" t="str">
        <f>FMECA!H33</f>
        <v>Safe</v>
      </c>
      <c r="E31" s="47" t="str">
        <f>IF(ISNUMBER(SEARCH("Yes",FMECA!K33)),"Yes",IF(FMECA!K33="No","No",IF(ISNUMBER(SEARCH("No; impactless.",FMECA!K33)),"Impactless",IF(ISNUMBER(SEARCH("Outside the scope",FMECA!K33)),"Outside Scope",IF(ISNUMBER(SEARCH("Maybe",FMECA!K33)),"Maybe","Not Applicable")))))</f>
        <v>No</v>
      </c>
      <c r="F31" s="47" t="s">
        <v>675</v>
      </c>
      <c r="G31" s="47" t="str">
        <f>IF(ISNUMBER(SEARCH("Yes",FMECA!L33)),"Yes",IF(FMECA!L33="No","No",IF(ISNUMBER(SEARCH("No; impactless.",FMECA!L33)),"Impactless","Not Applicable")))</f>
        <v>No</v>
      </c>
      <c r="H31" s="47" t="str">
        <f>IF(ISNUMBER(SEARCH("CM0", FMECA!AC33)), "CM0", IF(ISNUMBER(SEARCH("CM1", FMECA!AC33)), "CM1", IF(ISNUMBER(SEARCH("CM2", FMECA!AC33)), "CM2", IF(ISNUMBER(SEARCH("CM3", FMECA!AC33)), "CM3", "Not Applicable"))))</f>
        <v>CM1</v>
      </c>
      <c r="I31" s="49">
        <f t="shared" si="0"/>
        <v>0</v>
      </c>
      <c r="J31" s="49">
        <f t="shared" si="1"/>
        <v>0</v>
      </c>
      <c r="K31" s="49">
        <f t="shared" si="2"/>
        <v>0</v>
      </c>
      <c r="L31" s="49">
        <f t="shared" si="3"/>
        <v>0</v>
      </c>
      <c r="M31" s="49">
        <f t="shared" si="4"/>
        <v>0</v>
      </c>
      <c r="N31" s="49">
        <f t="shared" si="5"/>
        <v>0</v>
      </c>
      <c r="O31" s="49">
        <f t="shared" si="6"/>
        <v>7.0465531318791983E-9</v>
      </c>
      <c r="P31" s="49">
        <f t="shared" si="7"/>
        <v>0</v>
      </c>
      <c r="Q31" s="49">
        <f t="shared" si="8"/>
        <v>0</v>
      </c>
    </row>
    <row r="32" spans="1:17">
      <c r="A32" s="47" t="str">
        <f>FMECA!A34</f>
        <v>OC_Diag</v>
      </c>
      <c r="B32" s="48" t="str">
        <f>FMECA!B34</f>
        <v>Increase of current gain</v>
      </c>
      <c r="C32" s="48">
        <f>FMECA!E34</f>
        <v>7.0465531318791983E-9</v>
      </c>
      <c r="D32" s="47" t="str">
        <f>FMECA!H34</f>
        <v>Safe</v>
      </c>
      <c r="E32" s="47" t="str">
        <f>IF(ISNUMBER(SEARCH("Yes",FMECA!K34)),"Yes",IF(FMECA!K34="No","No",IF(ISNUMBER(SEARCH("No; impactless.",FMECA!K34)),"Impactless",IF(ISNUMBER(SEARCH("Outside the scope",FMECA!K34)),"Outside Scope",IF(ISNUMBER(SEARCH("Maybe",FMECA!K34)),"Maybe","Not Applicable")))))</f>
        <v>Impactless</v>
      </c>
      <c r="F32" s="47" t="s">
        <v>675</v>
      </c>
      <c r="G32" s="47" t="str">
        <f>IF(ISNUMBER(SEARCH("Yes",FMECA!L34)),"Yes",IF(FMECA!L34="No","No",IF(ISNUMBER(SEARCH("No; impactless.",FMECA!L34)),"Impactless","Not Applicable")))</f>
        <v>Impactless</v>
      </c>
      <c r="H32" s="47" t="str">
        <f>IF(ISNUMBER(SEARCH("CM0", FMECA!AC34)), "CM0", IF(ISNUMBER(SEARCH("CM1", FMECA!AC34)), "CM1", IF(ISNUMBER(SEARCH("CM2", FMECA!AC34)), "CM2", IF(ISNUMBER(SEARCH("CM3", FMECA!AC34)), "CM3", "Not Applicable"))))</f>
        <v>Not Applicable</v>
      </c>
      <c r="I32" s="49">
        <f t="shared" si="0"/>
        <v>0</v>
      </c>
      <c r="J32" s="49">
        <f t="shared" si="1"/>
        <v>0</v>
      </c>
      <c r="K32" s="49">
        <f t="shared" si="2"/>
        <v>0</v>
      </c>
      <c r="L32" s="49">
        <f t="shared" si="3"/>
        <v>0</v>
      </c>
      <c r="M32" s="49">
        <f t="shared" si="4"/>
        <v>0</v>
      </c>
      <c r="N32" s="49">
        <f t="shared" si="5"/>
        <v>0</v>
      </c>
      <c r="O32" s="49">
        <f t="shared" si="6"/>
        <v>0</v>
      </c>
      <c r="P32" s="49">
        <f t="shared" si="7"/>
        <v>0</v>
      </c>
      <c r="Q32" s="49">
        <f t="shared" si="8"/>
        <v>0</v>
      </c>
    </row>
    <row r="33" spans="1:17">
      <c r="A33" s="47" t="str">
        <f>FMECA!A35</f>
        <v>OC_Diag</v>
      </c>
      <c r="B33" s="48" t="str">
        <f>FMECA!B35</f>
        <v>Decrease of current gain</v>
      </c>
      <c r="C33" s="48">
        <f>FMECA!E35</f>
        <v>7.0465531318791983E-9</v>
      </c>
      <c r="D33" s="47" t="str">
        <f>FMECA!H35</f>
        <v>Safe</v>
      </c>
      <c r="E33" s="47" t="str">
        <f>IF(ISNUMBER(SEARCH("Yes",FMECA!K35)),"Yes",IF(FMECA!K35="No","No",IF(ISNUMBER(SEARCH("No; impactless.",FMECA!K35)),"Impactless",IF(ISNUMBER(SEARCH("Outside the scope",FMECA!K35)),"Outside Scope",IF(ISNUMBER(SEARCH("Maybe",FMECA!K35)),"Maybe","Not Applicable")))))</f>
        <v>No</v>
      </c>
      <c r="F33" s="47" t="s">
        <v>675</v>
      </c>
      <c r="G33" s="47" t="str">
        <f>IF(ISNUMBER(SEARCH("Yes",FMECA!L35)),"Yes",IF(FMECA!L35="No","No",IF(ISNUMBER(SEARCH("No; impactless.",FMECA!L35)),"Impactless","Not Applicable")))</f>
        <v>Yes</v>
      </c>
      <c r="H33" s="47" t="str">
        <f>IF(ISNUMBER(SEARCH("CM0", FMECA!AC35)), "CM0", IF(ISNUMBER(SEARCH("CM1", FMECA!AC35)), "CM1", IF(ISNUMBER(SEARCH("CM2", FMECA!AC35)), "CM2", IF(ISNUMBER(SEARCH("CM3", FMECA!AC35)), "CM3", "Not Applicable"))))</f>
        <v>Not Applicable</v>
      </c>
      <c r="I33" s="49">
        <f t="shared" si="0"/>
        <v>0</v>
      </c>
      <c r="J33" s="49">
        <f t="shared" si="1"/>
        <v>7.0465531318791983E-9</v>
      </c>
      <c r="K33" s="49">
        <f t="shared" si="2"/>
        <v>0</v>
      </c>
      <c r="L33" s="49">
        <f t="shared" si="3"/>
        <v>0</v>
      </c>
      <c r="M33" s="49">
        <f t="shared" si="4"/>
        <v>0</v>
      </c>
      <c r="N33" s="49">
        <f t="shared" si="5"/>
        <v>0</v>
      </c>
      <c r="O33" s="49">
        <f t="shared" si="6"/>
        <v>0</v>
      </c>
      <c r="P33" s="49">
        <f t="shared" si="7"/>
        <v>0</v>
      </c>
      <c r="Q33" s="49">
        <f t="shared" si="8"/>
        <v>0</v>
      </c>
    </row>
    <row r="34" spans="1:17">
      <c r="A34" s="47" t="str">
        <f>FMECA!A36</f>
        <v>R2_Diag</v>
      </c>
      <c r="B34" s="48" t="str">
        <f>FMECA!B36</f>
        <v>Open</v>
      </c>
      <c r="C34" s="48">
        <f>FMECA!E36</f>
        <v>2.4551082459100113E-9</v>
      </c>
      <c r="D34" s="47" t="str">
        <f>FMECA!H36</f>
        <v>Safe</v>
      </c>
      <c r="E34" s="47" t="str">
        <f>IF(ISNUMBER(SEARCH("Yes",FMECA!K36)),"Yes",IF(FMECA!K36="No","No",IF(ISNUMBER(SEARCH("No; impactless.",FMECA!K36)),"Impactless",IF(ISNUMBER(SEARCH("Outside the scope",FMECA!K36)),"Outside Scope",IF(ISNUMBER(SEARCH("Maybe",FMECA!K36)),"Maybe","Not Applicable")))))</f>
        <v>No</v>
      </c>
      <c r="F34" s="47" t="s">
        <v>675</v>
      </c>
      <c r="G34" s="47" t="str">
        <f>IF(ISNUMBER(SEARCH("Yes",FMECA!L36)),"Yes",IF(FMECA!L36="No","No",IF(ISNUMBER(SEARCH("No; impactless.",FMECA!L36)),"Impactless","Not Applicable")))</f>
        <v>No</v>
      </c>
      <c r="H34" s="47" t="str">
        <f>IF(ISNUMBER(SEARCH("CM0", FMECA!AC36)), "CM0", IF(ISNUMBER(SEARCH("CM1", FMECA!AC36)), "CM1", IF(ISNUMBER(SEARCH("CM2", FMECA!AC36)), "CM2", IF(ISNUMBER(SEARCH("CM3", FMECA!AC36)), "CM3", "Not Applicable"))))</f>
        <v>CM1</v>
      </c>
      <c r="I34" s="49">
        <f t="shared" si="0"/>
        <v>0</v>
      </c>
      <c r="J34" s="49">
        <f t="shared" si="1"/>
        <v>0</v>
      </c>
      <c r="K34" s="49">
        <f t="shared" si="2"/>
        <v>0</v>
      </c>
      <c r="L34" s="49">
        <f t="shared" si="3"/>
        <v>0</v>
      </c>
      <c r="M34" s="49">
        <f t="shared" si="4"/>
        <v>0</v>
      </c>
      <c r="N34" s="49">
        <f t="shared" si="5"/>
        <v>0</v>
      </c>
      <c r="O34" s="49">
        <f t="shared" si="6"/>
        <v>2.4551082459100113E-9</v>
      </c>
      <c r="P34" s="49">
        <f t="shared" si="7"/>
        <v>0</v>
      </c>
      <c r="Q34" s="49">
        <f t="shared" si="8"/>
        <v>0</v>
      </c>
    </row>
    <row r="35" spans="1:17">
      <c r="A35" s="47" t="str">
        <f>FMECA!A37</f>
        <v>R2_Diag</v>
      </c>
      <c r="B35" s="48" t="str">
        <f>FMECA!B37</f>
        <v>Short-Circuit</v>
      </c>
      <c r="C35" s="48">
        <f>FMECA!E37</f>
        <v>2.080600208398315E-10</v>
      </c>
      <c r="D35" s="47" t="str">
        <f>FMECA!H37</f>
        <v>Safe</v>
      </c>
      <c r="E35" s="47" t="str">
        <f>IF(ISNUMBER(SEARCH("Yes",FMECA!K37)),"Yes",IF(FMECA!K37="No","No",IF(ISNUMBER(SEARCH("No; impactless.",FMECA!K37)),"Impactless",IF(ISNUMBER(SEARCH("Outside the scope",FMECA!K37)),"Outside Scope",IF(ISNUMBER(SEARCH("Maybe",FMECA!K37)),"Maybe","Not Applicable")))))</f>
        <v>Outside Scope</v>
      </c>
      <c r="F35" s="47" t="s">
        <v>675</v>
      </c>
      <c r="G35" s="47" t="str">
        <f>IF(ISNUMBER(SEARCH("Yes",FMECA!L37)),"Yes",IF(FMECA!L37="No","No",IF(ISNUMBER(SEARCH("No; impactless.",FMECA!L37)),"Impactless","Not Applicable")))</f>
        <v>Yes</v>
      </c>
      <c r="H35" s="47" t="str">
        <f>IF(ISNUMBER(SEARCH("CM0", FMECA!AC37)), "CM0", IF(ISNUMBER(SEARCH("CM1", FMECA!AC37)), "CM1", IF(ISNUMBER(SEARCH("CM2", FMECA!AC37)), "CM2", IF(ISNUMBER(SEARCH("CM3", FMECA!AC37)), "CM3", "Not Applicable"))))</f>
        <v>Not Applicable</v>
      </c>
      <c r="I35" s="49">
        <f t="shared" si="0"/>
        <v>0</v>
      </c>
      <c r="J35" s="49">
        <f t="shared" si="1"/>
        <v>0</v>
      </c>
      <c r="K35" s="49">
        <f t="shared" si="2"/>
        <v>0</v>
      </c>
      <c r="L35" s="49">
        <f t="shared" si="3"/>
        <v>2.080600208398315E-10</v>
      </c>
      <c r="M35" s="49">
        <f t="shared" si="4"/>
        <v>0</v>
      </c>
      <c r="N35" s="49">
        <f t="shared" si="5"/>
        <v>0</v>
      </c>
      <c r="O35" s="49">
        <f t="shared" si="6"/>
        <v>0</v>
      </c>
      <c r="P35" s="49">
        <f t="shared" si="7"/>
        <v>0</v>
      </c>
      <c r="Q35" s="49">
        <f t="shared" si="8"/>
        <v>0</v>
      </c>
    </row>
    <row r="36" spans="1:17">
      <c r="A36" s="47" t="str">
        <f>FMECA!A38</f>
        <v>R2_Diag</v>
      </c>
      <c r="B36" s="48" t="str">
        <f>FMECA!B38</f>
        <v>Increase of Resistance Value</v>
      </c>
      <c r="C36" s="48">
        <f>FMECA!E38</f>
        <v>7.4901607502339334E-10</v>
      </c>
      <c r="D36" s="47" t="str">
        <f>FMECA!H38</f>
        <v>Safe</v>
      </c>
      <c r="E36" s="47" t="str">
        <f>IF(ISNUMBER(SEARCH("Yes",FMECA!K38)),"Yes",IF(FMECA!K38="No","No",IF(ISNUMBER(SEARCH("No; impactless.",FMECA!K38)),"Impactless",IF(ISNUMBER(SEARCH("Outside the scope",FMECA!K38)),"Outside Scope",IF(ISNUMBER(SEARCH("Maybe",FMECA!K38)),"Maybe","Not Applicable")))))</f>
        <v>No</v>
      </c>
      <c r="F36" s="47" t="s">
        <v>675</v>
      </c>
      <c r="G36" s="47" t="str">
        <f>IF(ISNUMBER(SEARCH("Yes",FMECA!L38)),"Yes",IF(FMECA!L38="No","No",IF(ISNUMBER(SEARCH("No; impactless.",FMECA!L38)),"Impactless","Not Applicable")))</f>
        <v>No</v>
      </c>
      <c r="H36" s="47" t="str">
        <f>IF(ISNUMBER(SEARCH("CM0", FMECA!AC38)), "CM0", IF(ISNUMBER(SEARCH("CM1", FMECA!AC38)), "CM1", IF(ISNUMBER(SEARCH("CM2", FMECA!AC38)), "CM2", IF(ISNUMBER(SEARCH("CM3", FMECA!AC38)), "CM3", "Not Applicable"))))</f>
        <v>CM1</v>
      </c>
      <c r="I36" s="49">
        <f t="shared" si="0"/>
        <v>0</v>
      </c>
      <c r="J36" s="49">
        <f t="shared" si="1"/>
        <v>0</v>
      </c>
      <c r="K36" s="49">
        <f t="shared" si="2"/>
        <v>0</v>
      </c>
      <c r="L36" s="49">
        <f t="shared" si="3"/>
        <v>0</v>
      </c>
      <c r="M36" s="49">
        <f t="shared" si="4"/>
        <v>0</v>
      </c>
      <c r="N36" s="49">
        <f t="shared" si="5"/>
        <v>0</v>
      </c>
      <c r="O36" s="49">
        <f t="shared" si="6"/>
        <v>7.4901607502339334E-10</v>
      </c>
      <c r="P36" s="49">
        <f t="shared" si="7"/>
        <v>0</v>
      </c>
      <c r="Q36" s="49">
        <f t="shared" si="8"/>
        <v>0</v>
      </c>
    </row>
    <row r="37" spans="1:17">
      <c r="A37" s="47" t="str">
        <f>FMECA!A39</f>
        <v>R2_Diag</v>
      </c>
      <c r="B37" s="48" t="str">
        <f>FMECA!B39</f>
        <v>Decrease of Resistance Value</v>
      </c>
      <c r="C37" s="48">
        <f>FMECA!E39</f>
        <v>7.4901607502339334E-10</v>
      </c>
      <c r="D37" s="47" t="str">
        <f>FMECA!H39</f>
        <v>Safe</v>
      </c>
      <c r="E37" s="47" t="str">
        <f>IF(ISNUMBER(SEARCH("Yes",FMECA!K39)),"Yes",IF(FMECA!K39="No","No",IF(ISNUMBER(SEARCH("No; impactless.",FMECA!K39)),"Impactless",IF(ISNUMBER(SEARCH("Outside the scope",FMECA!K39)),"Outside Scope",IF(ISNUMBER(SEARCH("Maybe",FMECA!K39)),"Maybe","Not Applicable")))))</f>
        <v>Outside Scope</v>
      </c>
      <c r="F37" s="47" t="s">
        <v>675</v>
      </c>
      <c r="G37" s="47" t="str">
        <f>IF(ISNUMBER(SEARCH("Yes",FMECA!L39)),"Yes",IF(FMECA!L39="No","No",IF(ISNUMBER(SEARCH("No; impactless.",FMECA!L39)),"Impactless","Not Applicable")))</f>
        <v>Yes</v>
      </c>
      <c r="H37" s="47" t="str">
        <f>IF(ISNUMBER(SEARCH("CM0", FMECA!AC39)), "CM0", IF(ISNUMBER(SEARCH("CM1", FMECA!AC39)), "CM1", IF(ISNUMBER(SEARCH("CM2", FMECA!AC39)), "CM2", IF(ISNUMBER(SEARCH("CM3", FMECA!AC39)), "CM3", "Not Applicable"))))</f>
        <v>Not Applicable</v>
      </c>
      <c r="I37" s="49">
        <f t="shared" si="0"/>
        <v>0</v>
      </c>
      <c r="J37" s="49">
        <f t="shared" si="1"/>
        <v>0</v>
      </c>
      <c r="K37" s="49">
        <f t="shared" si="2"/>
        <v>0</v>
      </c>
      <c r="L37" s="49">
        <f t="shared" si="3"/>
        <v>7.4901607502339334E-10</v>
      </c>
      <c r="M37" s="49">
        <f t="shared" si="4"/>
        <v>0</v>
      </c>
      <c r="N37" s="49">
        <f t="shared" si="5"/>
        <v>0</v>
      </c>
      <c r="O37" s="49">
        <f t="shared" si="6"/>
        <v>0</v>
      </c>
      <c r="P37" s="49">
        <f t="shared" si="7"/>
        <v>0</v>
      </c>
      <c r="Q37" s="49">
        <f t="shared" si="8"/>
        <v>0</v>
      </c>
    </row>
    <row r="38" spans="1:17">
      <c r="A38" s="47" t="str">
        <f>FMECA!A40</f>
        <v>R2_Diag</v>
      </c>
      <c r="B38" s="48" t="str">
        <f>FMECA!B40</f>
        <v>Short-Circuit to Casing</v>
      </c>
      <c r="C38" s="48">
        <f>FMECA!E40</f>
        <v>0</v>
      </c>
      <c r="D38" s="47" t="str">
        <f>FMECA!H40</f>
        <v>Safe</v>
      </c>
      <c r="E38" s="47" t="str">
        <f>IF(ISNUMBER(SEARCH("Yes",FMECA!K40)),"Yes",IF(FMECA!K40="No","No",IF(ISNUMBER(SEARCH("No; impactless.",FMECA!K40)),"Impactless",IF(ISNUMBER(SEARCH("Outside the scope",FMECA!K40)),"Outside Scope",IF(ISNUMBER(SEARCH("Maybe",FMECA!K40)),"Maybe","Not Applicable")))))</f>
        <v>Impactless</v>
      </c>
      <c r="F38" s="47" t="s">
        <v>675</v>
      </c>
      <c r="G38" s="47" t="str">
        <f>IF(ISNUMBER(SEARCH("Yes",FMECA!L40)),"Yes",IF(FMECA!L40="No","No",IF(ISNUMBER(SEARCH("No; impactless.",FMECA!L40)),"Impactless","Not Applicable")))</f>
        <v>Impactless</v>
      </c>
      <c r="H38" s="47" t="str">
        <f>IF(ISNUMBER(SEARCH("CM0", FMECA!AC40)), "CM0", IF(ISNUMBER(SEARCH("CM1", FMECA!AC40)), "CM1", IF(ISNUMBER(SEARCH("CM2", FMECA!AC40)), "CM2", IF(ISNUMBER(SEARCH("CM3", FMECA!AC40)), "CM3", "Not Applicable"))))</f>
        <v>Not Applicable</v>
      </c>
      <c r="I38" s="49">
        <f t="shared" si="0"/>
        <v>0</v>
      </c>
      <c r="J38" s="49">
        <f t="shared" si="1"/>
        <v>0</v>
      </c>
      <c r="K38" s="49">
        <f t="shared" si="2"/>
        <v>0</v>
      </c>
      <c r="L38" s="49">
        <f t="shared" si="3"/>
        <v>0</v>
      </c>
      <c r="M38" s="49">
        <f t="shared" si="4"/>
        <v>0</v>
      </c>
      <c r="N38" s="49">
        <f t="shared" si="5"/>
        <v>0</v>
      </c>
      <c r="O38" s="49">
        <f t="shared" si="6"/>
        <v>0</v>
      </c>
      <c r="P38" s="49">
        <f t="shared" si="7"/>
        <v>0</v>
      </c>
      <c r="Q38" s="49">
        <f t="shared" si="8"/>
        <v>0</v>
      </c>
    </row>
    <row r="39" spans="1:17">
      <c r="A39" s="47" t="str">
        <f>FMECA!A41</f>
        <v>DC_DC_Diag</v>
      </c>
      <c r="B39" s="48" t="str">
        <f>FMECA!B41</f>
        <v>No Output</v>
      </c>
      <c r="C39" s="48">
        <f>FMECA!E41</f>
        <v>4.9192708264389344E-9</v>
      </c>
      <c r="D39" s="47" t="str">
        <f>FMECA!H41</f>
        <v>Safe</v>
      </c>
      <c r="E39" s="47" t="str">
        <f>IF(ISNUMBER(SEARCH("Yes",FMECA!K41)),"Yes",IF(FMECA!K41="No","No",IF(ISNUMBER(SEARCH("No; impactless.",FMECA!K41)),"Impactless",IF(ISNUMBER(SEARCH("Outside the scope",FMECA!K41)),"Outside Scope",IF(ISNUMBER(SEARCH("Maybe",FMECA!K41)),"Maybe","Not Applicable")))))</f>
        <v>Not Applicable</v>
      </c>
      <c r="F39" s="47" t="s">
        <v>675</v>
      </c>
      <c r="G39" s="47" t="str">
        <f>IF(ISNUMBER(SEARCH("Yes",FMECA!L41)),"Yes",IF(FMECA!L41="No","No",IF(ISNUMBER(SEARCH("No; impactless.",FMECA!L41)),"Impactless","Not Applicable")))</f>
        <v>Not Applicable</v>
      </c>
      <c r="H39" s="47" t="str">
        <f>IF(ISNUMBER(SEARCH("CM0", FMECA!AC41)), "CM0", IF(ISNUMBER(SEARCH("CM1", FMECA!AC41)), "CM1", IF(ISNUMBER(SEARCH("CM2", FMECA!AC41)), "CM2", IF(ISNUMBER(SEARCH("CM3", FMECA!AC41)), "CM3", "Not Applicable"))))</f>
        <v>Not Applicable</v>
      </c>
      <c r="I39" s="49">
        <f t="shared" si="0"/>
        <v>0</v>
      </c>
      <c r="J39" s="49">
        <f t="shared" si="1"/>
        <v>0</v>
      </c>
      <c r="K39" s="49">
        <f t="shared" si="2"/>
        <v>0</v>
      </c>
      <c r="L39" s="49">
        <f t="shared" si="3"/>
        <v>0</v>
      </c>
      <c r="M39" s="49">
        <f t="shared" si="4"/>
        <v>0</v>
      </c>
      <c r="N39" s="49">
        <f t="shared" si="5"/>
        <v>0</v>
      </c>
      <c r="O39" s="49">
        <f t="shared" si="6"/>
        <v>0</v>
      </c>
      <c r="P39" s="49">
        <f t="shared" si="7"/>
        <v>0</v>
      </c>
      <c r="Q39" s="49">
        <f t="shared" si="8"/>
        <v>0</v>
      </c>
    </row>
    <row r="40" spans="1:17">
      <c r="A40" s="47" t="str">
        <f>FMECA!A42</f>
        <v>DC_DC_Diag</v>
      </c>
      <c r="B40" s="48" t="str">
        <f>FMECA!B42</f>
        <v>Increase in Output Voltage</v>
      </c>
      <c r="C40" s="48">
        <f>FMECA!E42</f>
        <v>5.4896210671854778E-9</v>
      </c>
      <c r="D40" s="47" t="str">
        <f>FMECA!H42</f>
        <v>Safe</v>
      </c>
      <c r="E40" s="47" t="str">
        <f>IF(ISNUMBER(SEARCH("Yes",FMECA!K42)),"Yes",IF(FMECA!K42="No","No",IF(ISNUMBER(SEARCH("No; impactless.",FMECA!K42)),"Impactless",IF(ISNUMBER(SEARCH("Outside the scope",FMECA!K42)),"Outside Scope",IF(ISNUMBER(SEARCH("Maybe",FMECA!K42)),"Maybe","Not Applicable")))))</f>
        <v>Outside Scope</v>
      </c>
      <c r="F40" s="47" t="s">
        <v>675</v>
      </c>
      <c r="G40" s="47" t="str">
        <f>IF(ISNUMBER(SEARCH("Yes",FMECA!L42)),"Yes",IF(FMECA!L42="No","No",IF(ISNUMBER(SEARCH("No; impactless.",FMECA!L42)),"Impactless","Not Applicable")))</f>
        <v>No</v>
      </c>
      <c r="H40" s="47" t="str">
        <f>IF(ISNUMBER(SEARCH("CM0", FMECA!AC42)), "CM0", IF(ISNUMBER(SEARCH("CM1", FMECA!AC42)), "CM1", IF(ISNUMBER(SEARCH("CM2", FMECA!AC42)), "CM2", IF(ISNUMBER(SEARCH("CM3", FMECA!AC42)), "CM3", "Not Applicable"))))</f>
        <v>Not Applicable</v>
      </c>
      <c r="I40" s="49">
        <f t="shared" si="0"/>
        <v>0</v>
      </c>
      <c r="J40" s="49">
        <f t="shared" si="1"/>
        <v>0</v>
      </c>
      <c r="K40" s="49">
        <f t="shared" si="2"/>
        <v>0</v>
      </c>
      <c r="L40" s="49">
        <f t="shared" si="3"/>
        <v>5.4896210671854778E-9</v>
      </c>
      <c r="M40" s="49">
        <f t="shared" si="4"/>
        <v>0</v>
      </c>
      <c r="N40" s="49">
        <f t="shared" si="5"/>
        <v>0</v>
      </c>
      <c r="O40" s="49">
        <f t="shared" si="6"/>
        <v>0</v>
      </c>
      <c r="P40" s="49">
        <f t="shared" si="7"/>
        <v>0</v>
      </c>
      <c r="Q40" s="49">
        <f t="shared" si="8"/>
        <v>0</v>
      </c>
    </row>
    <row r="41" spans="1:17">
      <c r="A41" s="47" t="str">
        <f>FMECA!A43</f>
        <v>DC_DC_Diag</v>
      </c>
      <c r="B41" s="48" t="str">
        <f>FMECA!B43</f>
        <v>Decrease in Output Voltage</v>
      </c>
      <c r="C41" s="48">
        <f>FMECA!E43</f>
        <v>5.4896210671854778E-9</v>
      </c>
      <c r="D41" s="47" t="str">
        <f>FMECA!H43</f>
        <v>Safe</v>
      </c>
      <c r="E41" s="47" t="str">
        <f>IF(ISNUMBER(SEARCH("Yes",FMECA!K43)),"Yes",IF(FMECA!K43="No","No",IF(ISNUMBER(SEARCH("No; impactless.",FMECA!K43)),"Impactless",IF(ISNUMBER(SEARCH("Outside the scope",FMECA!K43)),"Outside Scope",IF(ISNUMBER(SEARCH("Maybe",FMECA!K43)),"Maybe","Not Applicable")))))</f>
        <v>Outside Scope</v>
      </c>
      <c r="F41" s="47" t="s">
        <v>675</v>
      </c>
      <c r="G41" s="47" t="str">
        <f>IF(ISNUMBER(SEARCH("Yes",FMECA!L43)),"Yes",IF(FMECA!L43="No","No",IF(ISNUMBER(SEARCH("No; impactless.",FMECA!L43)),"Impactless","Not Applicable")))</f>
        <v>No</v>
      </c>
      <c r="H41" s="47" t="str">
        <f>IF(ISNUMBER(SEARCH("CM0", FMECA!AC43)), "CM0", IF(ISNUMBER(SEARCH("CM1", FMECA!AC43)), "CM1", IF(ISNUMBER(SEARCH("CM2", FMECA!AC43)), "CM2", IF(ISNUMBER(SEARCH("CM3", FMECA!AC43)), "CM3", "Not Applicable"))))</f>
        <v>Not Applicable</v>
      </c>
      <c r="I41" s="49">
        <f t="shared" si="0"/>
        <v>0</v>
      </c>
      <c r="J41" s="49">
        <f t="shared" si="1"/>
        <v>0</v>
      </c>
      <c r="K41" s="49">
        <f t="shared" si="2"/>
        <v>0</v>
      </c>
      <c r="L41" s="49">
        <f t="shared" si="3"/>
        <v>5.4896210671854778E-9</v>
      </c>
      <c r="M41" s="49">
        <f t="shared" si="4"/>
        <v>0</v>
      </c>
      <c r="N41" s="49">
        <f t="shared" si="5"/>
        <v>0</v>
      </c>
      <c r="O41" s="49">
        <f t="shared" si="6"/>
        <v>0</v>
      </c>
      <c r="P41" s="49">
        <f t="shared" si="7"/>
        <v>0</v>
      </c>
      <c r="Q41" s="49">
        <f t="shared" si="8"/>
        <v>0</v>
      </c>
    </row>
    <row r="42" spans="1:17">
      <c r="A42" s="47" t="str">
        <f>FMECA!A44</f>
        <v>DC_DC_Diag</v>
      </c>
      <c r="B42" s="48" t="str">
        <f>FMECA!B44</f>
        <v>Noisy Output</v>
      </c>
      <c r="C42" s="48">
        <f>FMECA!E44</f>
        <v>5.4896210671854778E-9</v>
      </c>
      <c r="D42" s="47" t="str">
        <f>FMECA!H44</f>
        <v>Safe</v>
      </c>
      <c r="E42" s="47" t="str">
        <f>IF(ISNUMBER(SEARCH("Yes",FMECA!K44)),"Yes",IF(FMECA!K44="No","No",IF(ISNUMBER(SEARCH("No; impactless.",FMECA!K44)),"Impactless",IF(ISNUMBER(SEARCH("Outside the scope",FMECA!K44)),"Outside Scope",IF(ISNUMBER(SEARCH("Maybe",FMECA!K44)),"Maybe","Not Applicable")))))</f>
        <v>Outside Scope</v>
      </c>
      <c r="F42" s="47" t="s">
        <v>675</v>
      </c>
      <c r="G42" s="47" t="str">
        <f>IF(ISNUMBER(SEARCH("Yes",FMECA!L44)),"Yes",IF(FMECA!L44="No","No",IF(ISNUMBER(SEARCH("No; impactless.",FMECA!L44)),"Impactless","Not Applicable")))</f>
        <v>No</v>
      </c>
      <c r="H42" s="47" t="str">
        <f>IF(ISNUMBER(SEARCH("CM0", FMECA!AC44)), "CM0", IF(ISNUMBER(SEARCH("CM1", FMECA!AC44)), "CM1", IF(ISNUMBER(SEARCH("CM2", FMECA!AC44)), "CM2", IF(ISNUMBER(SEARCH("CM3", FMECA!AC44)), "CM3", "Not Applicable"))))</f>
        <v>Not Applicable</v>
      </c>
      <c r="I42" s="49">
        <f t="shared" si="0"/>
        <v>0</v>
      </c>
      <c r="J42" s="49">
        <f t="shared" si="1"/>
        <v>0</v>
      </c>
      <c r="K42" s="49">
        <f t="shared" si="2"/>
        <v>0</v>
      </c>
      <c r="L42" s="49">
        <f t="shared" si="3"/>
        <v>5.4896210671854778E-9</v>
      </c>
      <c r="M42" s="49">
        <f t="shared" si="4"/>
        <v>0</v>
      </c>
      <c r="N42" s="49">
        <f t="shared" si="5"/>
        <v>0</v>
      </c>
      <c r="O42" s="49">
        <f t="shared" si="6"/>
        <v>0</v>
      </c>
      <c r="P42" s="49">
        <f t="shared" si="7"/>
        <v>0</v>
      </c>
      <c r="Q42" s="49">
        <f t="shared" si="8"/>
        <v>0</v>
      </c>
    </row>
    <row r="43" spans="1:17">
      <c r="A43" s="47" t="str">
        <f>FMECA!A45</f>
        <v>R1_Sys</v>
      </c>
      <c r="B43" s="48" t="str">
        <f>FMECA!B45</f>
        <v>Open</v>
      </c>
      <c r="C43" s="48">
        <f>FMECA!E45</f>
        <v>2.4551082459100113E-9</v>
      </c>
      <c r="D43" s="47" t="str">
        <f>FMECA!H45</f>
        <v>Safe</v>
      </c>
      <c r="E43" s="47" t="str">
        <f>IF(ISNUMBER(SEARCH("Yes",FMECA!K45)),"Yes",IF(FMECA!K45="No","No",IF(ISNUMBER(SEARCH("No; impactless.",FMECA!K45)),"Impactless",IF(ISNUMBER(SEARCH("Outside the scope",FMECA!K45)),"Outside Scope",IF(ISNUMBER(SEARCH("Maybe",FMECA!K45)),"Maybe","Not Applicable")))))</f>
        <v>Yes</v>
      </c>
      <c r="F43" s="47" t="s">
        <v>675</v>
      </c>
      <c r="G43" s="47" t="str">
        <f>IF(ISNUMBER(SEARCH("Yes",FMECA!L45)),"Yes",IF(FMECA!L45="No","No",IF(ISNUMBER(SEARCH("No; impactless.",FMECA!L45)),"Impactless","Not Applicable")))</f>
        <v>No</v>
      </c>
      <c r="H43" s="47" t="str">
        <f>IF(ISNUMBER(SEARCH("CM0", FMECA!AC45)), "CM0", IF(ISNUMBER(SEARCH("CM1", FMECA!AC45)), "CM1", IF(ISNUMBER(SEARCH("CM2", FMECA!AC45)), "CM2", IF(ISNUMBER(SEARCH("CM3", FMECA!AC45)), "CM3", "Not Applicable"))))</f>
        <v>Not Applicable</v>
      </c>
      <c r="I43" s="49">
        <f t="shared" si="0"/>
        <v>2.4551082459100113E-9</v>
      </c>
      <c r="J43" s="49">
        <f t="shared" si="1"/>
        <v>0</v>
      </c>
      <c r="K43" s="49">
        <f t="shared" si="2"/>
        <v>0</v>
      </c>
      <c r="L43" s="49">
        <f t="shared" si="3"/>
        <v>0</v>
      </c>
      <c r="M43" s="49">
        <f t="shared" si="4"/>
        <v>0</v>
      </c>
      <c r="N43" s="49">
        <f t="shared" si="5"/>
        <v>0</v>
      </c>
      <c r="O43" s="49">
        <f t="shared" si="6"/>
        <v>0</v>
      </c>
      <c r="P43" s="49">
        <f t="shared" si="7"/>
        <v>0</v>
      </c>
      <c r="Q43" s="49">
        <f t="shared" si="8"/>
        <v>0</v>
      </c>
    </row>
    <row r="44" spans="1:17">
      <c r="A44" s="47" t="str">
        <f>FMECA!A46</f>
        <v>R1_Sys</v>
      </c>
      <c r="B44" s="48" t="str">
        <f>FMECA!B46</f>
        <v>Short-Circuit</v>
      </c>
      <c r="C44" s="48">
        <f>FMECA!E46</f>
        <v>2.080600208398315E-10</v>
      </c>
      <c r="D44" s="47" t="str">
        <f>FMECA!H46</f>
        <v>Safe</v>
      </c>
      <c r="E44" s="47" t="str">
        <f>IF(ISNUMBER(SEARCH("Yes",FMECA!K46)),"Yes",IF(FMECA!K46="No","No",IF(ISNUMBER(SEARCH("No; impactless.",FMECA!K46)),"Impactless",IF(ISNUMBER(SEARCH("Outside the scope",FMECA!K46)),"Outside Scope",IF(ISNUMBER(SEARCH("Maybe",FMECA!K46)),"Maybe","Not Applicable")))))</f>
        <v>Yes</v>
      </c>
      <c r="F44" s="47" t="s">
        <v>675</v>
      </c>
      <c r="G44" s="47" t="str">
        <f>IF(ISNUMBER(SEARCH("Yes",FMECA!L46)),"Yes",IF(FMECA!L46="No","No",IF(ISNUMBER(SEARCH("No; impactless.",FMECA!L46)),"Impactless","Not Applicable")))</f>
        <v>No</v>
      </c>
      <c r="H44" s="47" t="str">
        <f>IF(ISNUMBER(SEARCH("CM0", FMECA!AC46)), "CM0", IF(ISNUMBER(SEARCH("CM1", FMECA!AC46)), "CM1", IF(ISNUMBER(SEARCH("CM2", FMECA!AC46)), "CM2", IF(ISNUMBER(SEARCH("CM3", FMECA!AC46)), "CM3", "Not Applicable"))))</f>
        <v>Not Applicable</v>
      </c>
      <c r="I44" s="49">
        <f t="shared" si="0"/>
        <v>2.080600208398315E-10</v>
      </c>
      <c r="J44" s="49">
        <f t="shared" si="1"/>
        <v>0</v>
      </c>
      <c r="K44" s="49">
        <f t="shared" si="2"/>
        <v>0</v>
      </c>
      <c r="L44" s="49">
        <f t="shared" si="3"/>
        <v>0</v>
      </c>
      <c r="M44" s="49">
        <f t="shared" si="4"/>
        <v>0</v>
      </c>
      <c r="N44" s="49">
        <f t="shared" si="5"/>
        <v>0</v>
      </c>
      <c r="O44" s="49">
        <f t="shared" si="6"/>
        <v>0</v>
      </c>
      <c r="P44" s="49">
        <f t="shared" si="7"/>
        <v>0</v>
      </c>
      <c r="Q44" s="49">
        <f t="shared" si="8"/>
        <v>0</v>
      </c>
    </row>
    <row r="45" spans="1:17">
      <c r="A45" s="47" t="str">
        <f>FMECA!A47</f>
        <v>R1_Sys</v>
      </c>
      <c r="B45" s="48" t="str">
        <f>FMECA!B47</f>
        <v>Increase of Resistance Value</v>
      </c>
      <c r="C45" s="48">
        <f>FMECA!E47</f>
        <v>7.4901607502339334E-10</v>
      </c>
      <c r="D45" s="47" t="str">
        <f>FMECA!H47</f>
        <v>Safe</v>
      </c>
      <c r="E45" s="47" t="str">
        <f>IF(ISNUMBER(SEARCH("Yes",FMECA!K47)),"Yes",IF(FMECA!K47="No","No",IF(ISNUMBER(SEARCH("No; impactless.",FMECA!K47)),"Impactless",IF(ISNUMBER(SEARCH("Outside the scope",FMECA!K47)),"Outside Scope",IF(ISNUMBER(SEARCH("Maybe",FMECA!K47)),"Maybe","Not Applicable")))))</f>
        <v>Maybe</v>
      </c>
      <c r="F45" s="47" t="s">
        <v>675</v>
      </c>
      <c r="G45" s="47" t="str">
        <f>IF(ISNUMBER(SEARCH("Yes",FMECA!L47)),"Yes",IF(FMECA!L47="No","No",IF(ISNUMBER(SEARCH("No; impactless.",FMECA!L47)),"Impactless","Not Applicable")))</f>
        <v>No</v>
      </c>
      <c r="H45" s="47" t="str">
        <f>IF(ISNUMBER(SEARCH("CM0", FMECA!AC47)), "CM0", IF(ISNUMBER(SEARCH("CM1", FMECA!AC47)), "CM1", IF(ISNUMBER(SEARCH("CM2", FMECA!AC47)), "CM2", IF(ISNUMBER(SEARCH("CM3", FMECA!AC47)), "CM3", "Not Applicable"))))</f>
        <v>CM2</v>
      </c>
      <c r="I45" s="49">
        <f t="shared" si="0"/>
        <v>0</v>
      </c>
      <c r="J45" s="49">
        <f t="shared" si="1"/>
        <v>0</v>
      </c>
      <c r="K45" s="49">
        <f t="shared" si="2"/>
        <v>0</v>
      </c>
      <c r="L45" s="49">
        <f t="shared" si="3"/>
        <v>0</v>
      </c>
      <c r="M45" s="49">
        <f t="shared" si="4"/>
        <v>0</v>
      </c>
      <c r="N45" s="49">
        <f t="shared" si="5"/>
        <v>7.4901607502339334E-10</v>
      </c>
      <c r="O45" s="49">
        <f t="shared" si="6"/>
        <v>0</v>
      </c>
      <c r="P45" s="49">
        <f t="shared" si="7"/>
        <v>0</v>
      </c>
      <c r="Q45" s="49">
        <f t="shared" si="8"/>
        <v>0</v>
      </c>
    </row>
    <row r="46" spans="1:17">
      <c r="A46" s="47" t="str">
        <f>FMECA!A48</f>
        <v>R1_Sys</v>
      </c>
      <c r="B46" s="48" t="str">
        <f>FMECA!B48</f>
        <v>Decrease of Resistance Value</v>
      </c>
      <c r="C46" s="48">
        <f>FMECA!E48</f>
        <v>7.4901607502339334E-10</v>
      </c>
      <c r="D46" s="47" t="str">
        <f>FMECA!H48</f>
        <v>Safe</v>
      </c>
      <c r="E46" s="47" t="str">
        <f>IF(ISNUMBER(SEARCH("Yes",FMECA!K48)),"Yes",IF(FMECA!K48="No","No",IF(ISNUMBER(SEARCH("No; impactless.",FMECA!K48)),"Impactless",IF(ISNUMBER(SEARCH("Outside the scope",FMECA!K48)),"Outside Scope",IF(ISNUMBER(SEARCH("Maybe",FMECA!K48)),"Maybe","Not Applicable")))))</f>
        <v>Maybe</v>
      </c>
      <c r="F46" s="47" t="s">
        <v>675</v>
      </c>
      <c r="G46" s="47" t="str">
        <f>IF(ISNUMBER(SEARCH("Yes",FMECA!L48)),"Yes",IF(FMECA!L48="No","No",IF(ISNUMBER(SEARCH("No; impactless.",FMECA!L48)),"Impactless","Not Applicable")))</f>
        <v>No</v>
      </c>
      <c r="H46" s="47" t="str">
        <f>IF(ISNUMBER(SEARCH("CM0", FMECA!AC48)), "CM0", IF(ISNUMBER(SEARCH("CM1", FMECA!AC48)), "CM1", IF(ISNUMBER(SEARCH("CM2", FMECA!AC48)), "CM2", IF(ISNUMBER(SEARCH("CM3", FMECA!AC48)), "CM3", "Not Applicable"))))</f>
        <v>CM2</v>
      </c>
      <c r="I46" s="49">
        <f t="shared" si="0"/>
        <v>0</v>
      </c>
      <c r="J46" s="49">
        <f t="shared" si="1"/>
        <v>0</v>
      </c>
      <c r="K46" s="49">
        <f t="shared" si="2"/>
        <v>0</v>
      </c>
      <c r="L46" s="49">
        <f t="shared" si="3"/>
        <v>0</v>
      </c>
      <c r="M46" s="49">
        <f t="shared" si="4"/>
        <v>0</v>
      </c>
      <c r="N46" s="49">
        <f t="shared" si="5"/>
        <v>7.4901607502339334E-10</v>
      </c>
      <c r="O46" s="49">
        <f t="shared" si="6"/>
        <v>0</v>
      </c>
      <c r="P46" s="49">
        <f t="shared" si="7"/>
        <v>0</v>
      </c>
      <c r="Q46" s="49">
        <f t="shared" si="8"/>
        <v>0</v>
      </c>
    </row>
    <row r="47" spans="1:17">
      <c r="A47" s="47" t="str">
        <f>FMECA!A49</f>
        <v>R1_Sys</v>
      </c>
      <c r="B47" s="48" t="str">
        <f>FMECA!B49</f>
        <v>Short-Circuit to Casing</v>
      </c>
      <c r="C47" s="48">
        <f>FMECA!E49</f>
        <v>0</v>
      </c>
      <c r="D47" s="47" t="str">
        <f>FMECA!H49</f>
        <v>Safe</v>
      </c>
      <c r="E47" s="47" t="str">
        <f>IF(ISNUMBER(SEARCH("Yes",FMECA!K49)),"Yes",IF(FMECA!K49="No","No",IF(ISNUMBER(SEARCH("No; impactless.",FMECA!K49)),"Impactless",IF(ISNUMBER(SEARCH("Outside the scope",FMECA!K49)),"Outside Scope",IF(ISNUMBER(SEARCH("Maybe",FMECA!K49)),"Maybe","Not Applicable")))))</f>
        <v>Impactless</v>
      </c>
      <c r="F47" s="47" t="s">
        <v>675</v>
      </c>
      <c r="G47" s="47" t="str">
        <f>IF(ISNUMBER(SEARCH("Yes",FMECA!L49)),"Yes",IF(FMECA!L49="No","No",IF(ISNUMBER(SEARCH("No; impactless.",FMECA!L49)),"Impactless","Not Applicable")))</f>
        <v>Impactless</v>
      </c>
      <c r="H47" s="47" t="str">
        <f>IF(ISNUMBER(SEARCH("CM0", FMECA!AC49)), "CM0", IF(ISNUMBER(SEARCH("CM1", FMECA!AC49)), "CM1", IF(ISNUMBER(SEARCH("CM2", FMECA!AC49)), "CM2", IF(ISNUMBER(SEARCH("CM3", FMECA!AC49)), "CM3", "Not Applicable"))))</f>
        <v>Not Applicable</v>
      </c>
      <c r="I47" s="49">
        <f t="shared" si="0"/>
        <v>0</v>
      </c>
      <c r="J47" s="49">
        <f t="shared" si="1"/>
        <v>0</v>
      </c>
      <c r="K47" s="49">
        <f t="shared" si="2"/>
        <v>0</v>
      </c>
      <c r="L47" s="49">
        <f t="shared" si="3"/>
        <v>0</v>
      </c>
      <c r="M47" s="49">
        <f t="shared" si="4"/>
        <v>0</v>
      </c>
      <c r="N47" s="49">
        <f t="shared" si="5"/>
        <v>0</v>
      </c>
      <c r="O47" s="49">
        <f t="shared" si="6"/>
        <v>0</v>
      </c>
      <c r="P47" s="49">
        <f t="shared" si="7"/>
        <v>0</v>
      </c>
      <c r="Q47" s="49">
        <f t="shared" si="8"/>
        <v>0</v>
      </c>
    </row>
    <row r="48" spans="1:17">
      <c r="A48" s="47" t="str">
        <f>FMECA!A50</f>
        <v>OC1_Sys</v>
      </c>
      <c r="B48" s="48" t="str">
        <f>FMECA!B50</f>
        <v>Open diode</v>
      </c>
      <c r="C48" s="48">
        <f>FMECA!E50</f>
        <v>7.0465531318791983E-9</v>
      </c>
      <c r="D48" s="47" t="str">
        <f>FMECA!H50</f>
        <v>Safe</v>
      </c>
      <c r="E48" s="47" t="str">
        <f>IF(ISNUMBER(SEARCH("Yes",FMECA!K50)),"Yes",IF(FMECA!K50="No","No",IF(ISNUMBER(SEARCH("No; impactless.",FMECA!K50)),"Impactless",IF(ISNUMBER(SEARCH("Outside the scope",FMECA!K50)),"Outside Scope",IF(ISNUMBER(SEARCH("Maybe",FMECA!K50)),"Maybe","Not Applicable")))))</f>
        <v>Yes</v>
      </c>
      <c r="F48" s="47" t="s">
        <v>675</v>
      </c>
      <c r="G48" s="47" t="str">
        <f>IF(ISNUMBER(SEARCH("Yes",FMECA!L50)),"Yes",IF(FMECA!L50="No","No",IF(ISNUMBER(SEARCH("No; impactless.",FMECA!L50)),"Impactless","Not Applicable")))</f>
        <v>No</v>
      </c>
      <c r="H48" s="47" t="str">
        <f>IF(ISNUMBER(SEARCH("CM0", FMECA!AC50)), "CM0", IF(ISNUMBER(SEARCH("CM1", FMECA!AC50)), "CM1", IF(ISNUMBER(SEARCH("CM2", FMECA!AC50)), "CM2", IF(ISNUMBER(SEARCH("CM3", FMECA!AC50)), "CM3", "Not Applicable"))))</f>
        <v>Not Applicable</v>
      </c>
      <c r="I48" s="49">
        <f t="shared" si="0"/>
        <v>7.0465531318791983E-9</v>
      </c>
      <c r="J48" s="49">
        <f t="shared" si="1"/>
        <v>0</v>
      </c>
      <c r="K48" s="49">
        <f t="shared" si="2"/>
        <v>0</v>
      </c>
      <c r="L48" s="49">
        <f t="shared" si="3"/>
        <v>0</v>
      </c>
      <c r="M48" s="49">
        <f t="shared" si="4"/>
        <v>0</v>
      </c>
      <c r="N48" s="49">
        <f t="shared" si="5"/>
        <v>0</v>
      </c>
      <c r="O48" s="49">
        <f t="shared" si="6"/>
        <v>0</v>
      </c>
      <c r="P48" s="49">
        <f t="shared" si="7"/>
        <v>0</v>
      </c>
      <c r="Q48" s="49">
        <f t="shared" si="8"/>
        <v>0</v>
      </c>
    </row>
    <row r="49" spans="1:17">
      <c r="A49" s="47" t="str">
        <f>FMECA!A51</f>
        <v>OC1_Sys</v>
      </c>
      <c r="B49" s="48" t="str">
        <f>FMECA!B51</f>
        <v>Open emitter</v>
      </c>
      <c r="C49" s="48">
        <f>FMECA!E51</f>
        <v>7.0465531318791983E-9</v>
      </c>
      <c r="D49" s="47" t="str">
        <f>FMECA!H51</f>
        <v>Safe</v>
      </c>
      <c r="E49" s="47" t="str">
        <f>IF(ISNUMBER(SEARCH("Yes",FMECA!K51)),"Yes",IF(FMECA!K51="No","No",IF(ISNUMBER(SEARCH("No; impactless.",FMECA!K51)),"Impactless",IF(ISNUMBER(SEARCH("Outside the scope",FMECA!K51)),"Outside Scope",IF(ISNUMBER(SEARCH("Maybe",FMECA!K51)),"Maybe","Not Applicable")))))</f>
        <v>Yes</v>
      </c>
      <c r="F49" s="47" t="s">
        <v>675</v>
      </c>
      <c r="G49" s="47" t="str">
        <f>IF(ISNUMBER(SEARCH("Yes",FMECA!L51)),"Yes",IF(FMECA!L51="No","No",IF(ISNUMBER(SEARCH("No; impactless.",FMECA!L51)),"Impactless","Not Applicable")))</f>
        <v>No</v>
      </c>
      <c r="H49" s="47" t="str">
        <f>IF(ISNUMBER(SEARCH("CM0", FMECA!AC51)), "CM0", IF(ISNUMBER(SEARCH("CM1", FMECA!AC51)), "CM1", IF(ISNUMBER(SEARCH("CM2", FMECA!AC51)), "CM2", IF(ISNUMBER(SEARCH("CM3", FMECA!AC51)), "CM3", "Not Applicable"))))</f>
        <v>Not Applicable</v>
      </c>
      <c r="I49" s="49">
        <f t="shared" si="0"/>
        <v>7.0465531318791983E-9</v>
      </c>
      <c r="J49" s="49">
        <f t="shared" si="1"/>
        <v>0</v>
      </c>
      <c r="K49" s="49">
        <f t="shared" si="2"/>
        <v>0</v>
      </c>
      <c r="L49" s="49">
        <f t="shared" si="3"/>
        <v>0</v>
      </c>
      <c r="M49" s="49">
        <f t="shared" si="4"/>
        <v>0</v>
      </c>
      <c r="N49" s="49">
        <f t="shared" si="5"/>
        <v>0</v>
      </c>
      <c r="O49" s="49">
        <f t="shared" si="6"/>
        <v>0</v>
      </c>
      <c r="P49" s="49">
        <f t="shared" si="7"/>
        <v>0</v>
      </c>
      <c r="Q49" s="49">
        <f t="shared" si="8"/>
        <v>0</v>
      </c>
    </row>
    <row r="50" spans="1:17">
      <c r="A50" s="47" t="str">
        <f>FMECA!A52</f>
        <v>OC1_Sys</v>
      </c>
      <c r="B50" s="48" t="str">
        <f>FMECA!B52</f>
        <v>Open collector</v>
      </c>
      <c r="C50" s="48">
        <f>FMECA!E52</f>
        <v>7.0465531318791983E-9</v>
      </c>
      <c r="D50" s="47" t="str">
        <f>FMECA!H52</f>
        <v>Safe</v>
      </c>
      <c r="E50" s="47" t="str">
        <f>IF(ISNUMBER(SEARCH("Yes",FMECA!K52)),"Yes",IF(FMECA!K52="No","No",IF(ISNUMBER(SEARCH("No; impactless.",FMECA!K52)),"Impactless",IF(ISNUMBER(SEARCH("Outside the scope",FMECA!K52)),"Outside Scope",IF(ISNUMBER(SEARCH("Maybe",FMECA!K52)),"Maybe","Not Applicable")))))</f>
        <v>Yes</v>
      </c>
      <c r="F50" s="47" t="s">
        <v>675</v>
      </c>
      <c r="G50" s="47" t="str">
        <f>IF(ISNUMBER(SEARCH("Yes",FMECA!L52)),"Yes",IF(FMECA!L52="No","No",IF(ISNUMBER(SEARCH("No; impactless.",FMECA!L52)),"Impactless","Not Applicable")))</f>
        <v>No</v>
      </c>
      <c r="H50" s="47" t="str">
        <f>IF(ISNUMBER(SEARCH("CM0", FMECA!AC52)), "CM0", IF(ISNUMBER(SEARCH("CM1", FMECA!AC52)), "CM1", IF(ISNUMBER(SEARCH("CM2", FMECA!AC52)), "CM2", IF(ISNUMBER(SEARCH("CM3", FMECA!AC52)), "CM3", "Not Applicable"))))</f>
        <v>Not Applicable</v>
      </c>
      <c r="I50" s="49">
        <f t="shared" si="0"/>
        <v>7.0465531318791983E-9</v>
      </c>
      <c r="J50" s="49">
        <f t="shared" si="1"/>
        <v>0</v>
      </c>
      <c r="K50" s="49">
        <f t="shared" si="2"/>
        <v>0</v>
      </c>
      <c r="L50" s="49">
        <f t="shared" si="3"/>
        <v>0</v>
      </c>
      <c r="M50" s="49">
        <f t="shared" si="4"/>
        <v>0</v>
      </c>
      <c r="N50" s="49">
        <f t="shared" si="5"/>
        <v>0</v>
      </c>
      <c r="O50" s="49">
        <f t="shared" si="6"/>
        <v>0</v>
      </c>
      <c r="P50" s="49">
        <f t="shared" si="7"/>
        <v>0</v>
      </c>
      <c r="Q50" s="49">
        <f t="shared" si="8"/>
        <v>0</v>
      </c>
    </row>
    <row r="51" spans="1:17">
      <c r="A51" s="47" t="str">
        <f>FMECA!A53</f>
        <v>OC1_Sys</v>
      </c>
      <c r="B51" s="48" t="str">
        <f>FMECA!B53</f>
        <v>Open base</v>
      </c>
      <c r="C51" s="48">
        <f>FMECA!E53</f>
        <v>7.0465531318791983E-9</v>
      </c>
      <c r="D51" s="47" t="str">
        <f>FMECA!H53</f>
        <v>Safe</v>
      </c>
      <c r="E51" s="47" t="str">
        <f>IF(ISNUMBER(SEARCH("Yes",FMECA!K53)),"Yes",IF(FMECA!K53="No","No",IF(ISNUMBER(SEARCH("No; impactless.",FMECA!K53)),"Impactless",IF(ISNUMBER(SEARCH("Outside the scope",FMECA!K53)),"Outside Scope",IF(ISNUMBER(SEARCH("Maybe",FMECA!K53)),"Maybe","Not Applicable")))))</f>
        <v>Impactless</v>
      </c>
      <c r="F51" s="47" t="s">
        <v>675</v>
      </c>
      <c r="G51" s="47" t="str">
        <f>IF(ISNUMBER(SEARCH("Yes",FMECA!L53)),"Yes",IF(FMECA!L53="No","No",IF(ISNUMBER(SEARCH("No; impactless.",FMECA!L53)),"Impactless","Not Applicable")))</f>
        <v>Impactless</v>
      </c>
      <c r="H51" s="47" t="str">
        <f>IF(ISNUMBER(SEARCH("CM0", FMECA!AC53)), "CM0", IF(ISNUMBER(SEARCH("CM1", FMECA!AC53)), "CM1", IF(ISNUMBER(SEARCH("CM2", FMECA!AC53)), "CM2", IF(ISNUMBER(SEARCH("CM3", FMECA!AC53)), "CM3", "Not Applicable"))))</f>
        <v>Not Applicable</v>
      </c>
      <c r="I51" s="49">
        <f t="shared" si="0"/>
        <v>0</v>
      </c>
      <c r="J51" s="49">
        <f t="shared" si="1"/>
        <v>0</v>
      </c>
      <c r="K51" s="49">
        <f t="shared" si="2"/>
        <v>0</v>
      </c>
      <c r="L51" s="49">
        <f t="shared" si="3"/>
        <v>0</v>
      </c>
      <c r="M51" s="49">
        <f t="shared" si="4"/>
        <v>0</v>
      </c>
      <c r="N51" s="49">
        <f t="shared" si="5"/>
        <v>0</v>
      </c>
      <c r="O51" s="49">
        <f t="shared" si="6"/>
        <v>0</v>
      </c>
      <c r="P51" s="49">
        <f t="shared" si="7"/>
        <v>0</v>
      </c>
      <c r="Q51" s="49">
        <f t="shared" si="8"/>
        <v>0</v>
      </c>
    </row>
    <row r="52" spans="1:17">
      <c r="A52" s="47" t="str">
        <f>FMECA!A54</f>
        <v>OC1_Sys</v>
      </c>
      <c r="B52" s="48" t="str">
        <f>FMECA!B54</f>
        <v>Increase of light sensitivity</v>
      </c>
      <c r="C52" s="48">
        <f>FMECA!E54</f>
        <v>7.0465531318791983E-9</v>
      </c>
      <c r="D52" s="47" t="str">
        <f>FMECA!H54</f>
        <v>Safe</v>
      </c>
      <c r="E52" s="47" t="str">
        <f>IF(ISNUMBER(SEARCH("Yes",FMECA!K54)),"Yes",IF(FMECA!K54="No","No",IF(ISNUMBER(SEARCH("No; impactless.",FMECA!K54)),"Impactless",IF(ISNUMBER(SEARCH("Outside the scope",FMECA!K54)),"Outside Scope",IF(ISNUMBER(SEARCH("Maybe",FMECA!K54)),"Maybe","Not Applicable")))))</f>
        <v>Impactless</v>
      </c>
      <c r="F52" s="47" t="s">
        <v>675</v>
      </c>
      <c r="G52" s="47" t="str">
        <f>IF(ISNUMBER(SEARCH("Yes",FMECA!L54)),"Yes",IF(FMECA!L54="No","No",IF(ISNUMBER(SEARCH("No; impactless.",FMECA!L54)),"Impactless","Not Applicable")))</f>
        <v>Impactless</v>
      </c>
      <c r="H52" s="47" t="str">
        <f>IF(ISNUMBER(SEARCH("CM0", FMECA!AC54)), "CM0", IF(ISNUMBER(SEARCH("CM1", FMECA!AC54)), "CM1", IF(ISNUMBER(SEARCH("CM2", FMECA!AC54)), "CM2", IF(ISNUMBER(SEARCH("CM3", FMECA!AC54)), "CM3", "Not Applicable"))))</f>
        <v>Not Applicable</v>
      </c>
      <c r="I52" s="49">
        <f t="shared" si="0"/>
        <v>0</v>
      </c>
      <c r="J52" s="49">
        <f t="shared" si="1"/>
        <v>0</v>
      </c>
      <c r="K52" s="49">
        <f t="shared" si="2"/>
        <v>0</v>
      </c>
      <c r="L52" s="49">
        <f t="shared" si="3"/>
        <v>0</v>
      </c>
      <c r="M52" s="49">
        <f t="shared" si="4"/>
        <v>0</v>
      </c>
      <c r="N52" s="49">
        <f t="shared" si="5"/>
        <v>0</v>
      </c>
      <c r="O52" s="49">
        <f t="shared" si="6"/>
        <v>0</v>
      </c>
      <c r="P52" s="49">
        <f t="shared" si="7"/>
        <v>0</v>
      </c>
      <c r="Q52" s="49">
        <f t="shared" si="8"/>
        <v>0</v>
      </c>
    </row>
    <row r="53" spans="1:17">
      <c r="A53" s="47" t="str">
        <f>FMECA!A55</f>
        <v>OC1_Sys</v>
      </c>
      <c r="B53" s="48" t="str">
        <f>FMECA!B55</f>
        <v>Decrease of light sensitivity</v>
      </c>
      <c r="C53" s="48">
        <f>FMECA!E55</f>
        <v>7.0465531318791983E-9</v>
      </c>
      <c r="D53" s="47" t="str">
        <f>FMECA!H55</f>
        <v>Safe</v>
      </c>
      <c r="E53" s="47" t="str">
        <f>IF(ISNUMBER(SEARCH("Yes",FMECA!K55)),"Yes",IF(FMECA!K55="No","No",IF(ISNUMBER(SEARCH("No; impactless.",FMECA!K55)),"Impactless",IF(ISNUMBER(SEARCH("Outside the scope",FMECA!K55)),"Outside Scope",IF(ISNUMBER(SEARCH("Maybe",FMECA!K55)),"Maybe","Not Applicable")))))</f>
        <v>Maybe</v>
      </c>
      <c r="F53" s="47" t="s">
        <v>676</v>
      </c>
      <c r="G53" s="47" t="str">
        <f>IF(ISNUMBER(SEARCH("Yes",FMECA!L55)),"Yes",IF(FMECA!L55="No","No",IF(ISNUMBER(SEARCH("No; impactless.",FMECA!L55)),"Impactless","Not Applicable")))</f>
        <v>No</v>
      </c>
      <c r="H53" s="47" t="str">
        <f>IF(ISNUMBER(SEARCH("CM0", FMECA!AC55)), "CM0", IF(ISNUMBER(SEARCH("CM1", FMECA!AC55)), "CM1", IF(ISNUMBER(SEARCH("CM2", FMECA!AC55)), "CM2", IF(ISNUMBER(SEARCH("CM3", FMECA!AC55)), "CM3", "Not Applicable"))))</f>
        <v>CM2</v>
      </c>
      <c r="I53" s="49">
        <f t="shared" si="0"/>
        <v>0</v>
      </c>
      <c r="J53" s="49">
        <f t="shared" si="1"/>
        <v>0</v>
      </c>
      <c r="K53" s="49">
        <f t="shared" si="2"/>
        <v>0</v>
      </c>
      <c r="L53" s="49">
        <f t="shared" si="3"/>
        <v>0</v>
      </c>
      <c r="M53" s="49">
        <f t="shared" si="4"/>
        <v>7.0465531318791983E-9</v>
      </c>
      <c r="N53" s="49">
        <f t="shared" si="5"/>
        <v>0</v>
      </c>
      <c r="O53" s="49">
        <f t="shared" si="6"/>
        <v>0</v>
      </c>
      <c r="P53" s="49">
        <f t="shared" si="7"/>
        <v>0</v>
      </c>
      <c r="Q53" s="49">
        <f t="shared" si="8"/>
        <v>0</v>
      </c>
    </row>
    <row r="54" spans="1:17">
      <c r="A54" s="47" t="str">
        <f>FMECA!A56</f>
        <v>OC1_Sys</v>
      </c>
      <c r="B54" s="48" t="str">
        <f>FMECA!B56</f>
        <v>Increase of leakage current</v>
      </c>
      <c r="C54" s="48">
        <f>FMECA!E56</f>
        <v>1.0569830120612003E-8</v>
      </c>
      <c r="D54" s="47" t="str">
        <f>FMECA!H56</f>
        <v>Safe</v>
      </c>
      <c r="E54" s="47" t="str">
        <f>IF(ISNUMBER(SEARCH("Yes",FMECA!K56)),"Yes",IF(FMECA!K56="No","No",IF(ISNUMBER(SEARCH("No; impactless.",FMECA!K56)),"Impactless",IF(ISNUMBER(SEARCH("Outside the scope",FMECA!K56)),"Outside Scope",IF(ISNUMBER(SEARCH("Maybe",FMECA!K56)),"Maybe","Not Applicable")))))</f>
        <v>Maybe</v>
      </c>
      <c r="F54" s="47" t="s">
        <v>676</v>
      </c>
      <c r="G54" s="47" t="str">
        <f>IF(ISNUMBER(SEARCH("Yes",FMECA!L56)),"Yes",IF(FMECA!L56="No","No",IF(ISNUMBER(SEARCH("No; impactless.",FMECA!L56)),"Impactless","Not Applicable")))</f>
        <v>No</v>
      </c>
      <c r="H54" s="47" t="str">
        <f>IF(ISNUMBER(SEARCH("CM0", FMECA!AC56)), "CM0", IF(ISNUMBER(SEARCH("CM1", FMECA!AC56)), "CM1", IF(ISNUMBER(SEARCH("CM2", FMECA!AC56)), "CM2", IF(ISNUMBER(SEARCH("CM3", FMECA!AC56)), "CM3", "Not Applicable"))))</f>
        <v>CM2</v>
      </c>
      <c r="I54" s="49">
        <f t="shared" si="0"/>
        <v>0</v>
      </c>
      <c r="J54" s="49">
        <f t="shared" si="1"/>
        <v>0</v>
      </c>
      <c r="K54" s="49">
        <f t="shared" si="2"/>
        <v>0</v>
      </c>
      <c r="L54" s="49">
        <f t="shared" si="3"/>
        <v>0</v>
      </c>
      <c r="M54" s="49">
        <f t="shared" si="4"/>
        <v>1.0569830120612003E-8</v>
      </c>
      <c r="N54" s="49">
        <f t="shared" si="5"/>
        <v>0</v>
      </c>
      <c r="O54" s="49">
        <f t="shared" si="6"/>
        <v>0</v>
      </c>
      <c r="P54" s="49">
        <f t="shared" si="7"/>
        <v>0</v>
      </c>
      <c r="Q54" s="49">
        <f t="shared" si="8"/>
        <v>0</v>
      </c>
    </row>
    <row r="55" spans="1:17">
      <c r="A55" s="47" t="str">
        <f>FMECA!A57</f>
        <v>OC1_Sys</v>
      </c>
      <c r="B55" s="48" t="str">
        <f>FMECA!B57</f>
        <v>Reduced insulation between input and output</v>
      </c>
      <c r="C55" s="48">
        <f>FMECA!E57</f>
        <v>1.0569830120612003E-8</v>
      </c>
      <c r="D55" s="47" t="str">
        <f>FMECA!H57</f>
        <v>Safe</v>
      </c>
      <c r="E55" s="47" t="str">
        <f>IF(ISNUMBER(SEARCH("Yes",FMECA!K57)),"Yes",IF(FMECA!K57="No","No",IF(ISNUMBER(SEARCH("No; impactless.",FMECA!K57)),"Impactless",IF(ISNUMBER(SEARCH("Outside the scope",FMECA!K57)),"Outside Scope",IF(ISNUMBER(SEARCH("Maybe",FMECA!K57)),"Maybe","Not Applicable")))))</f>
        <v>Yes</v>
      </c>
      <c r="F55" s="47" t="s">
        <v>675</v>
      </c>
      <c r="G55" s="47" t="str">
        <f>IF(ISNUMBER(SEARCH("Yes",FMECA!L57)),"Yes",IF(FMECA!L57="No","No",IF(ISNUMBER(SEARCH("No; impactless.",FMECA!L57)),"Impactless","Not Applicable")))</f>
        <v>No</v>
      </c>
      <c r="H55" s="47" t="str">
        <f>IF(ISNUMBER(SEARCH("CM0", FMECA!AC57)), "CM0", IF(ISNUMBER(SEARCH("CM1", FMECA!AC57)), "CM1", IF(ISNUMBER(SEARCH("CM2", FMECA!AC57)), "CM2", IF(ISNUMBER(SEARCH("CM3", FMECA!AC57)), "CM3", "Not Applicable"))))</f>
        <v>Not Applicable</v>
      </c>
      <c r="I55" s="49">
        <f t="shared" si="0"/>
        <v>1.0569830120612003E-8</v>
      </c>
      <c r="J55" s="49">
        <f t="shared" si="1"/>
        <v>0</v>
      </c>
      <c r="K55" s="49">
        <f t="shared" si="2"/>
        <v>0</v>
      </c>
      <c r="L55" s="49">
        <f t="shared" si="3"/>
        <v>0</v>
      </c>
      <c r="M55" s="49">
        <f t="shared" si="4"/>
        <v>0</v>
      </c>
      <c r="N55" s="49">
        <f t="shared" si="5"/>
        <v>0</v>
      </c>
      <c r="O55" s="49">
        <f t="shared" si="6"/>
        <v>0</v>
      </c>
      <c r="P55" s="49">
        <f t="shared" si="7"/>
        <v>0</v>
      </c>
      <c r="Q55" s="49">
        <f t="shared" si="8"/>
        <v>0</v>
      </c>
    </row>
    <row r="56" spans="1:17">
      <c r="A56" s="47" t="str">
        <f>FMECA!A58</f>
        <v>OC1_Sys</v>
      </c>
      <c r="B56" s="48" t="str">
        <f>FMECA!B58</f>
        <v>Change on switching time</v>
      </c>
      <c r="C56" s="48">
        <f>FMECA!E58</f>
        <v>7.0465531318791983E-9</v>
      </c>
      <c r="D56" s="47" t="str">
        <f>FMECA!H58</f>
        <v>Safe</v>
      </c>
      <c r="E56" s="47" t="str">
        <f>IF(ISNUMBER(SEARCH("Yes",FMECA!K58)),"Yes",IF(FMECA!K58="No","No",IF(ISNUMBER(SEARCH("No; impactless.",FMECA!K58)),"Impactless",IF(ISNUMBER(SEARCH("Outside the scope",FMECA!K58)),"Outside Scope",IF(ISNUMBER(SEARCH("Maybe",FMECA!K58)),"Maybe","Not Applicable")))))</f>
        <v>Yes</v>
      </c>
      <c r="F56" s="47" t="s">
        <v>675</v>
      </c>
      <c r="G56" s="47" t="str">
        <f>IF(ISNUMBER(SEARCH("Yes",FMECA!L58)),"Yes",IF(FMECA!L58="No","No",IF(ISNUMBER(SEARCH("No; impactless.",FMECA!L58)),"Impactless","Not Applicable")))</f>
        <v>No</v>
      </c>
      <c r="H56" s="47" t="str">
        <f>IF(ISNUMBER(SEARCH("CM0", FMECA!AC58)), "CM0", IF(ISNUMBER(SEARCH("CM1", FMECA!AC58)), "CM1", IF(ISNUMBER(SEARCH("CM2", FMECA!AC58)), "CM2", IF(ISNUMBER(SEARCH("CM3", FMECA!AC58)), "CM3", "Not Applicable"))))</f>
        <v>Not Applicable</v>
      </c>
      <c r="I56" s="49">
        <f t="shared" si="0"/>
        <v>7.0465531318791983E-9</v>
      </c>
      <c r="J56" s="49">
        <f t="shared" si="1"/>
        <v>0</v>
      </c>
      <c r="K56" s="49">
        <f t="shared" si="2"/>
        <v>0</v>
      </c>
      <c r="L56" s="49">
        <f t="shared" si="3"/>
        <v>0</v>
      </c>
      <c r="M56" s="49">
        <f t="shared" si="4"/>
        <v>0</v>
      </c>
      <c r="N56" s="49">
        <f t="shared" si="5"/>
        <v>0</v>
      </c>
      <c r="O56" s="49">
        <f t="shared" si="6"/>
        <v>0</v>
      </c>
      <c r="P56" s="49">
        <f t="shared" si="7"/>
        <v>0</v>
      </c>
      <c r="Q56" s="49">
        <f t="shared" si="8"/>
        <v>0</v>
      </c>
    </row>
    <row r="57" spans="1:17">
      <c r="A57" s="47" t="str">
        <f>FMECA!A59</f>
        <v>OC1_Sys</v>
      </c>
      <c r="B57" s="48" t="str">
        <f>FMECA!B59</f>
        <v>Increase of current gain</v>
      </c>
      <c r="C57" s="48">
        <f>FMECA!E59</f>
        <v>7.0465531318791983E-9</v>
      </c>
      <c r="D57" s="47" t="str">
        <f>FMECA!H59</f>
        <v>Safe</v>
      </c>
      <c r="E57" s="47" t="str">
        <f>IF(ISNUMBER(SEARCH("Yes",FMECA!K59)),"Yes",IF(FMECA!K59="No","No",IF(ISNUMBER(SEARCH("No; impactless.",FMECA!K59)),"Impactless",IF(ISNUMBER(SEARCH("Outside the scope",FMECA!K59)),"Outside Scope",IF(ISNUMBER(SEARCH("Maybe",FMECA!K59)),"Maybe","Not Applicable")))))</f>
        <v>Impactless</v>
      </c>
      <c r="F57" s="47" t="s">
        <v>675</v>
      </c>
      <c r="G57" s="47" t="str">
        <f>IF(ISNUMBER(SEARCH("Yes",FMECA!L59)),"Yes",IF(FMECA!L59="No","No",IF(ISNUMBER(SEARCH("No; impactless.",FMECA!L59)),"Impactless","Not Applicable")))</f>
        <v>Impactless</v>
      </c>
      <c r="H57" s="47" t="str">
        <f>IF(ISNUMBER(SEARCH("CM0", FMECA!AC59)), "CM0", IF(ISNUMBER(SEARCH("CM1", FMECA!AC59)), "CM1", IF(ISNUMBER(SEARCH("CM2", FMECA!AC59)), "CM2", IF(ISNUMBER(SEARCH("CM3", FMECA!AC59)), "CM3", "Not Applicable"))))</f>
        <v>Not Applicable</v>
      </c>
      <c r="I57" s="49">
        <f t="shared" si="0"/>
        <v>0</v>
      </c>
      <c r="J57" s="49">
        <f t="shared" si="1"/>
        <v>0</v>
      </c>
      <c r="K57" s="49">
        <f t="shared" si="2"/>
        <v>0</v>
      </c>
      <c r="L57" s="49">
        <f t="shared" si="3"/>
        <v>0</v>
      </c>
      <c r="M57" s="49">
        <f t="shared" si="4"/>
        <v>0</v>
      </c>
      <c r="N57" s="49">
        <f t="shared" si="5"/>
        <v>0</v>
      </c>
      <c r="O57" s="49">
        <f t="shared" si="6"/>
        <v>0</v>
      </c>
      <c r="P57" s="49">
        <f t="shared" si="7"/>
        <v>0</v>
      </c>
      <c r="Q57" s="49">
        <f t="shared" si="8"/>
        <v>0</v>
      </c>
    </row>
    <row r="58" spans="1:17">
      <c r="A58" s="47" t="str">
        <f>FMECA!A60</f>
        <v>OC1_Sys</v>
      </c>
      <c r="B58" s="48" t="str">
        <f>FMECA!B60</f>
        <v>Decrease of current gain</v>
      </c>
      <c r="C58" s="48">
        <f>FMECA!E60</f>
        <v>7.0465531318791983E-9</v>
      </c>
      <c r="D58" s="47" t="str">
        <f>FMECA!H60</f>
        <v>Safe</v>
      </c>
      <c r="E58" s="47" t="str">
        <f>IF(ISNUMBER(SEARCH("Yes",FMECA!K60)),"Yes",IF(FMECA!K60="No","No",IF(ISNUMBER(SEARCH("No; impactless.",FMECA!K60)),"Impactless",IF(ISNUMBER(SEARCH("Outside the scope",FMECA!K60)),"Outside Scope",IF(ISNUMBER(SEARCH("Maybe",FMECA!K60)),"Maybe","Not Applicable")))))</f>
        <v>Maybe</v>
      </c>
      <c r="F58" s="47" t="s">
        <v>676</v>
      </c>
      <c r="G58" s="47" t="str">
        <f>IF(ISNUMBER(SEARCH("Yes",FMECA!L60)),"Yes",IF(FMECA!L60="No","No",IF(ISNUMBER(SEARCH("No; impactless.",FMECA!L60)),"Impactless","Not Applicable")))</f>
        <v>No</v>
      </c>
      <c r="H58" s="47" t="str">
        <f>IF(ISNUMBER(SEARCH("CM0", FMECA!AC60)), "CM0", IF(ISNUMBER(SEARCH("CM1", FMECA!AC60)), "CM1", IF(ISNUMBER(SEARCH("CM2", FMECA!AC60)), "CM2", IF(ISNUMBER(SEARCH("CM3", FMECA!AC60)), "CM3", "Not Applicable"))))</f>
        <v>CM2</v>
      </c>
      <c r="I58" s="49">
        <f t="shared" si="0"/>
        <v>0</v>
      </c>
      <c r="J58" s="49">
        <f t="shared" si="1"/>
        <v>0</v>
      </c>
      <c r="K58" s="49">
        <f t="shared" si="2"/>
        <v>0</v>
      </c>
      <c r="L58" s="49">
        <f t="shared" si="3"/>
        <v>0</v>
      </c>
      <c r="M58" s="49">
        <f t="shared" si="4"/>
        <v>7.0465531318791983E-9</v>
      </c>
      <c r="N58" s="49">
        <f t="shared" si="5"/>
        <v>0</v>
      </c>
      <c r="O58" s="49">
        <f t="shared" si="6"/>
        <v>0</v>
      </c>
      <c r="P58" s="49">
        <f t="shared" si="7"/>
        <v>0</v>
      </c>
      <c r="Q58" s="49">
        <f t="shared" si="8"/>
        <v>0</v>
      </c>
    </row>
    <row r="59" spans="1:17">
      <c r="A59" s="47" t="str">
        <f>FMECA!A61</f>
        <v>R2_Sys</v>
      </c>
      <c r="B59" s="48" t="str">
        <f>FMECA!B61</f>
        <v>Open</v>
      </c>
      <c r="C59" s="48">
        <f>FMECA!E61</f>
        <v>2.4551082459100113E-9</v>
      </c>
      <c r="D59" s="47" t="str">
        <f>FMECA!H61</f>
        <v>Safe</v>
      </c>
      <c r="E59" s="47" t="str">
        <f>IF(ISNUMBER(SEARCH("Yes",FMECA!K61)),"Yes",IF(FMECA!K61="No","No",IF(ISNUMBER(SEARCH("No; impactless.",FMECA!K61)),"Impactless",IF(ISNUMBER(SEARCH("Outside the scope",FMECA!K61)),"Outside Scope",IF(ISNUMBER(SEARCH("Maybe",FMECA!K61)),"Maybe","Not Applicable")))))</f>
        <v>Outside Scope</v>
      </c>
      <c r="F59" s="47" t="s">
        <v>675</v>
      </c>
      <c r="G59" s="47" t="str">
        <f>IF(ISNUMBER(SEARCH("Yes",FMECA!L61)),"Yes",IF(FMECA!L61="No","No",IF(ISNUMBER(SEARCH("No; impactless.",FMECA!L61)),"Impactless","Not Applicable")))</f>
        <v>No</v>
      </c>
      <c r="H59" s="47" t="str">
        <f>IF(ISNUMBER(SEARCH("CM0", FMECA!AC61)), "CM0", IF(ISNUMBER(SEARCH("CM1", FMECA!AC61)), "CM1", IF(ISNUMBER(SEARCH("CM2", FMECA!AC61)), "CM2", IF(ISNUMBER(SEARCH("CM3", FMECA!AC61)), "CM3", "Not Applicable"))))</f>
        <v>Not Applicable</v>
      </c>
      <c r="I59" s="49">
        <f t="shared" si="0"/>
        <v>0</v>
      </c>
      <c r="J59" s="49">
        <f t="shared" si="1"/>
        <v>0</v>
      </c>
      <c r="K59" s="49">
        <f t="shared" si="2"/>
        <v>0</v>
      </c>
      <c r="L59" s="49">
        <f t="shared" si="3"/>
        <v>2.4551082459100113E-9</v>
      </c>
      <c r="M59" s="49">
        <f t="shared" si="4"/>
        <v>0</v>
      </c>
      <c r="N59" s="49">
        <f t="shared" si="5"/>
        <v>0</v>
      </c>
      <c r="O59" s="49">
        <f t="shared" si="6"/>
        <v>0</v>
      </c>
      <c r="P59" s="49">
        <f t="shared" si="7"/>
        <v>0</v>
      </c>
      <c r="Q59" s="49">
        <f t="shared" si="8"/>
        <v>0</v>
      </c>
    </row>
    <row r="60" spans="1:17">
      <c r="A60" s="47" t="str">
        <f>FMECA!A62</f>
        <v>R2_Sys</v>
      </c>
      <c r="B60" s="48" t="str">
        <f>FMECA!B62</f>
        <v>Short-Circuit</v>
      </c>
      <c r="C60" s="48">
        <f>FMECA!E62</f>
        <v>2.080600208398315E-10</v>
      </c>
      <c r="D60" s="47" t="str">
        <f>FMECA!H62</f>
        <v>Safe</v>
      </c>
      <c r="E60" s="47" t="str">
        <f>IF(ISNUMBER(SEARCH("Yes",FMECA!K62)),"Yes",IF(FMECA!K62="No","No",IF(ISNUMBER(SEARCH("No; impactless.",FMECA!K62)),"Impactless",IF(ISNUMBER(SEARCH("Outside the scope",FMECA!K62)),"Outside Scope",IF(ISNUMBER(SEARCH("Maybe",FMECA!K62)),"Maybe","Not Applicable")))))</f>
        <v>Yes</v>
      </c>
      <c r="F60" s="47" t="s">
        <v>675</v>
      </c>
      <c r="G60" s="47" t="str">
        <f>IF(ISNUMBER(SEARCH("Yes",FMECA!L62)),"Yes",IF(FMECA!L62="No","No",IF(ISNUMBER(SEARCH("No; impactless.",FMECA!L62)),"Impactless","Not Applicable")))</f>
        <v>No</v>
      </c>
      <c r="H60" s="47" t="str">
        <f>IF(ISNUMBER(SEARCH("CM0", FMECA!AC62)), "CM0", IF(ISNUMBER(SEARCH("CM1", FMECA!AC62)), "CM1", IF(ISNUMBER(SEARCH("CM2", FMECA!AC62)), "CM2", IF(ISNUMBER(SEARCH("CM3", FMECA!AC62)), "CM3", "Not Applicable"))))</f>
        <v>Not Applicable</v>
      </c>
      <c r="I60" s="49">
        <f t="shared" si="0"/>
        <v>2.080600208398315E-10</v>
      </c>
      <c r="J60" s="49">
        <f t="shared" si="1"/>
        <v>0</v>
      </c>
      <c r="K60" s="49">
        <f t="shared" si="2"/>
        <v>0</v>
      </c>
      <c r="L60" s="49">
        <f t="shared" si="3"/>
        <v>0</v>
      </c>
      <c r="M60" s="49">
        <f t="shared" si="4"/>
        <v>0</v>
      </c>
      <c r="N60" s="49">
        <f t="shared" si="5"/>
        <v>0</v>
      </c>
      <c r="O60" s="49">
        <f t="shared" si="6"/>
        <v>0</v>
      </c>
      <c r="P60" s="49">
        <f t="shared" si="7"/>
        <v>0</v>
      </c>
      <c r="Q60" s="49">
        <f t="shared" si="8"/>
        <v>0</v>
      </c>
    </row>
    <row r="61" spans="1:17">
      <c r="A61" s="47" t="str">
        <f>FMECA!A63</f>
        <v>R2_Sys</v>
      </c>
      <c r="B61" s="48" t="str">
        <f>FMECA!B63</f>
        <v>Increase of Resistance Value</v>
      </c>
      <c r="C61" s="48">
        <f>FMECA!E63</f>
        <v>7.4901607502339334E-10</v>
      </c>
      <c r="D61" s="47" t="str">
        <f>FMECA!H63</f>
        <v>Safe</v>
      </c>
      <c r="E61" s="47" t="str">
        <f>IF(ISNUMBER(SEARCH("Yes",FMECA!K63)),"Yes",IF(FMECA!K63="No","No",IF(ISNUMBER(SEARCH("No; impactless.",FMECA!K63)),"Impactless",IF(ISNUMBER(SEARCH("Outside the scope",FMECA!K63)),"Outside Scope",IF(ISNUMBER(SEARCH("Maybe",FMECA!K63)),"Maybe","Not Applicable")))))</f>
        <v>Outside Scope</v>
      </c>
      <c r="F61" s="47" t="s">
        <v>675</v>
      </c>
      <c r="G61" s="47" t="str">
        <f>IF(ISNUMBER(SEARCH("Yes",FMECA!L63)),"Yes",IF(FMECA!L63="No","No",IF(ISNUMBER(SEARCH("No; impactless.",FMECA!L63)),"Impactless","Not Applicable")))</f>
        <v>No</v>
      </c>
      <c r="H61" s="47" t="str">
        <f>IF(ISNUMBER(SEARCH("CM0", FMECA!AC63)), "CM0", IF(ISNUMBER(SEARCH("CM1", FMECA!AC63)), "CM1", IF(ISNUMBER(SEARCH("CM2", FMECA!AC63)), "CM2", IF(ISNUMBER(SEARCH("CM3", FMECA!AC63)), "CM3", "Not Applicable"))))</f>
        <v>Not Applicable</v>
      </c>
      <c r="I61" s="49">
        <f t="shared" si="0"/>
        <v>0</v>
      </c>
      <c r="J61" s="49">
        <f t="shared" si="1"/>
        <v>0</v>
      </c>
      <c r="K61" s="49">
        <f t="shared" si="2"/>
        <v>0</v>
      </c>
      <c r="L61" s="49">
        <f t="shared" si="3"/>
        <v>7.4901607502339334E-10</v>
      </c>
      <c r="M61" s="49">
        <f t="shared" si="4"/>
        <v>0</v>
      </c>
      <c r="N61" s="49">
        <f t="shared" si="5"/>
        <v>0</v>
      </c>
      <c r="O61" s="49">
        <f t="shared" si="6"/>
        <v>0</v>
      </c>
      <c r="P61" s="49">
        <f t="shared" si="7"/>
        <v>0</v>
      </c>
      <c r="Q61" s="49">
        <f t="shared" si="8"/>
        <v>0</v>
      </c>
    </row>
    <row r="62" spans="1:17">
      <c r="A62" s="47" t="str">
        <f>FMECA!A64</f>
        <v>R2_Sys</v>
      </c>
      <c r="B62" s="48" t="str">
        <f>FMECA!B64</f>
        <v>Decrease of Resistance Value</v>
      </c>
      <c r="C62" s="48">
        <f>FMECA!E64</f>
        <v>7.4901607502339334E-10</v>
      </c>
      <c r="D62" s="47" t="str">
        <f>FMECA!H64</f>
        <v>Safe</v>
      </c>
      <c r="E62" s="47" t="str">
        <f>IF(ISNUMBER(SEARCH("Yes",FMECA!K64)),"Yes",IF(FMECA!K64="No","No",IF(ISNUMBER(SEARCH("No; impactless.",FMECA!K64)),"Impactless",IF(ISNUMBER(SEARCH("Outside the scope",FMECA!K64)),"Outside Scope",IF(ISNUMBER(SEARCH("Maybe",FMECA!K64)),"Maybe","Not Applicable")))))</f>
        <v>Yes</v>
      </c>
      <c r="F62" s="47" t="s">
        <v>675</v>
      </c>
      <c r="G62" s="47" t="str">
        <f>IF(ISNUMBER(SEARCH("Yes",FMECA!L64)),"Yes",IF(FMECA!L64="No","No",IF(ISNUMBER(SEARCH("No; impactless.",FMECA!L64)),"Impactless","Not Applicable")))</f>
        <v>No</v>
      </c>
      <c r="H62" s="47" t="str">
        <f>IF(ISNUMBER(SEARCH("CM0", FMECA!AC64)), "CM0", IF(ISNUMBER(SEARCH("CM1", FMECA!AC64)), "CM1", IF(ISNUMBER(SEARCH("CM2", FMECA!AC64)), "CM2", IF(ISNUMBER(SEARCH("CM3", FMECA!AC64)), "CM3", "Not Applicable"))))</f>
        <v>Not Applicable</v>
      </c>
      <c r="I62" s="49">
        <f t="shared" si="0"/>
        <v>7.4901607502339334E-10</v>
      </c>
      <c r="J62" s="49">
        <f t="shared" si="1"/>
        <v>0</v>
      </c>
      <c r="K62" s="49">
        <f t="shared" si="2"/>
        <v>0</v>
      </c>
      <c r="L62" s="49">
        <f t="shared" si="3"/>
        <v>0</v>
      </c>
      <c r="M62" s="49">
        <f t="shared" si="4"/>
        <v>0</v>
      </c>
      <c r="N62" s="49">
        <f t="shared" si="5"/>
        <v>0</v>
      </c>
      <c r="O62" s="49">
        <f t="shared" si="6"/>
        <v>0</v>
      </c>
      <c r="P62" s="49">
        <f t="shared" si="7"/>
        <v>0</v>
      </c>
      <c r="Q62" s="49">
        <f t="shared" si="8"/>
        <v>0</v>
      </c>
    </row>
    <row r="63" spans="1:17">
      <c r="A63" s="47" t="str">
        <f>FMECA!A65</f>
        <v>R2_Sys</v>
      </c>
      <c r="B63" s="48" t="str">
        <f>FMECA!B65</f>
        <v>Short-Circuit to Casing</v>
      </c>
      <c r="C63" s="48">
        <f>FMECA!E65</f>
        <v>0</v>
      </c>
      <c r="D63" s="47" t="str">
        <f>FMECA!H65</f>
        <v>Safe</v>
      </c>
      <c r="E63" s="47" t="str">
        <f>IF(ISNUMBER(SEARCH("Yes",FMECA!K65)),"Yes",IF(FMECA!K65="No","No",IF(ISNUMBER(SEARCH("No; impactless.",FMECA!K65)),"Impactless",IF(ISNUMBER(SEARCH("Outside the scope",FMECA!K65)),"Outside Scope",IF(ISNUMBER(SEARCH("Maybe",FMECA!K65)),"Maybe","Not Applicable")))))</f>
        <v>Impactless</v>
      </c>
      <c r="F63" s="47" t="s">
        <v>675</v>
      </c>
      <c r="G63" s="47" t="str">
        <f>IF(ISNUMBER(SEARCH("Yes",FMECA!L65)),"Yes",IF(FMECA!L65="No","No",IF(ISNUMBER(SEARCH("No; impactless.",FMECA!L65)),"Impactless","Not Applicable")))</f>
        <v>Impactless</v>
      </c>
      <c r="H63" s="47" t="str">
        <f>IF(ISNUMBER(SEARCH("CM0", FMECA!AC65)), "CM0", IF(ISNUMBER(SEARCH("CM1", FMECA!AC65)), "CM1", IF(ISNUMBER(SEARCH("CM2", FMECA!AC65)), "CM2", IF(ISNUMBER(SEARCH("CM3", FMECA!AC65)), "CM3", "Not Applicable"))))</f>
        <v>Not Applicable</v>
      </c>
      <c r="I63" s="49">
        <f t="shared" si="0"/>
        <v>0</v>
      </c>
      <c r="J63" s="49">
        <f t="shared" si="1"/>
        <v>0</v>
      </c>
      <c r="K63" s="49">
        <f t="shared" si="2"/>
        <v>0</v>
      </c>
      <c r="L63" s="49">
        <f t="shared" si="3"/>
        <v>0</v>
      </c>
      <c r="M63" s="49">
        <f t="shared" si="4"/>
        <v>0</v>
      </c>
      <c r="N63" s="49">
        <f t="shared" si="5"/>
        <v>0</v>
      </c>
      <c r="O63" s="49">
        <f t="shared" si="6"/>
        <v>0</v>
      </c>
      <c r="P63" s="49">
        <f t="shared" si="7"/>
        <v>0</v>
      </c>
      <c r="Q63" s="49">
        <f t="shared" si="8"/>
        <v>0</v>
      </c>
    </row>
    <row r="64" spans="1:17">
      <c r="A64" s="47" t="str">
        <f>FMECA!A66</f>
        <v>OC2_Sys</v>
      </c>
      <c r="B64" s="48" t="str">
        <f>FMECA!B66</f>
        <v>Open diode</v>
      </c>
      <c r="C64" s="48">
        <f>FMECA!E66</f>
        <v>7.0465531318791983E-9</v>
      </c>
      <c r="D64" s="47" t="str">
        <f>FMECA!H66</f>
        <v>Safe</v>
      </c>
      <c r="E64" s="47" t="str">
        <f>IF(ISNUMBER(SEARCH("Yes",FMECA!K66)),"Yes",IF(FMECA!K66="No","No",IF(ISNUMBER(SEARCH("No; impactless.",FMECA!K66)),"Impactless",IF(ISNUMBER(SEARCH("Outside the scope",FMECA!K66)),"Outside Scope",IF(ISNUMBER(SEARCH("Maybe",FMECA!K66)),"Maybe","Not Applicable")))))</f>
        <v>Yes</v>
      </c>
      <c r="F64" s="47" t="s">
        <v>675</v>
      </c>
      <c r="G64" s="47" t="str">
        <f>IF(ISNUMBER(SEARCH("Yes",FMECA!L66)),"Yes",IF(FMECA!L66="No","No",IF(ISNUMBER(SEARCH("No; impactless.",FMECA!L66)),"Impactless","Not Applicable")))</f>
        <v>No</v>
      </c>
      <c r="H64" s="47" t="str">
        <f>IF(ISNUMBER(SEARCH("CM0", FMECA!AC66)), "CM0", IF(ISNUMBER(SEARCH("CM1", FMECA!AC66)), "CM1", IF(ISNUMBER(SEARCH("CM2", FMECA!AC66)), "CM2", IF(ISNUMBER(SEARCH("CM3", FMECA!AC66)), "CM3", "Not Applicable"))))</f>
        <v>Not Applicable</v>
      </c>
      <c r="I64" s="49">
        <f t="shared" si="0"/>
        <v>7.0465531318791983E-9</v>
      </c>
      <c r="J64" s="49">
        <f t="shared" si="1"/>
        <v>0</v>
      </c>
      <c r="K64" s="49">
        <f t="shared" si="2"/>
        <v>0</v>
      </c>
      <c r="L64" s="49">
        <f t="shared" si="3"/>
        <v>0</v>
      </c>
      <c r="M64" s="49">
        <f t="shared" si="4"/>
        <v>0</v>
      </c>
      <c r="N64" s="49">
        <f t="shared" si="5"/>
        <v>0</v>
      </c>
      <c r="O64" s="49">
        <f t="shared" si="6"/>
        <v>0</v>
      </c>
      <c r="P64" s="49">
        <f t="shared" si="7"/>
        <v>0</v>
      </c>
      <c r="Q64" s="49">
        <f t="shared" si="8"/>
        <v>0</v>
      </c>
    </row>
    <row r="65" spans="1:17">
      <c r="A65" s="47" t="str">
        <f>FMECA!A67</f>
        <v>OC2_Sys</v>
      </c>
      <c r="B65" s="48" t="str">
        <f>FMECA!B67</f>
        <v>Open emitter</v>
      </c>
      <c r="C65" s="48">
        <f>FMECA!E67</f>
        <v>7.0465531318791983E-9</v>
      </c>
      <c r="D65" s="47" t="str">
        <f>FMECA!H67</f>
        <v>Safe</v>
      </c>
      <c r="E65" s="47" t="str">
        <f>IF(ISNUMBER(SEARCH("Yes",FMECA!K67)),"Yes",IF(FMECA!K67="No","No",IF(ISNUMBER(SEARCH("No; impactless.",FMECA!K67)),"Impactless",IF(ISNUMBER(SEARCH("Outside the scope",FMECA!K67)),"Outside Scope",IF(ISNUMBER(SEARCH("Maybe",FMECA!K67)),"Maybe","Not Applicable")))))</f>
        <v>Yes</v>
      </c>
      <c r="F65" s="47" t="s">
        <v>675</v>
      </c>
      <c r="G65" s="47" t="str">
        <f>IF(ISNUMBER(SEARCH("Yes",FMECA!L67)),"Yes",IF(FMECA!L67="No","No",IF(ISNUMBER(SEARCH("No; impactless.",FMECA!L67)),"Impactless","Not Applicable")))</f>
        <v>No</v>
      </c>
      <c r="H65" s="47" t="str">
        <f>IF(ISNUMBER(SEARCH("CM0", FMECA!AC67)), "CM0", IF(ISNUMBER(SEARCH("CM1", FMECA!AC67)), "CM1", IF(ISNUMBER(SEARCH("CM2", FMECA!AC67)), "CM2", IF(ISNUMBER(SEARCH("CM3", FMECA!AC67)), "CM3", "Not Applicable"))))</f>
        <v>Not Applicable</v>
      </c>
      <c r="I65" s="49">
        <f t="shared" si="0"/>
        <v>7.0465531318791983E-9</v>
      </c>
      <c r="J65" s="49">
        <f t="shared" si="1"/>
        <v>0</v>
      </c>
      <c r="K65" s="49">
        <f t="shared" si="2"/>
        <v>0</v>
      </c>
      <c r="L65" s="49">
        <f t="shared" si="3"/>
        <v>0</v>
      </c>
      <c r="M65" s="49">
        <f t="shared" si="4"/>
        <v>0</v>
      </c>
      <c r="N65" s="49">
        <f t="shared" si="5"/>
        <v>0</v>
      </c>
      <c r="O65" s="49">
        <f t="shared" si="6"/>
        <v>0</v>
      </c>
      <c r="P65" s="49">
        <f t="shared" si="7"/>
        <v>0</v>
      </c>
      <c r="Q65" s="49">
        <f t="shared" si="8"/>
        <v>0</v>
      </c>
    </row>
    <row r="66" spans="1:17">
      <c r="A66" s="47" t="str">
        <f>FMECA!A68</f>
        <v>OC2_Sys</v>
      </c>
      <c r="B66" s="48" t="str">
        <f>FMECA!B68</f>
        <v>Open collector</v>
      </c>
      <c r="C66" s="48">
        <f>FMECA!E68</f>
        <v>7.0465531318791983E-9</v>
      </c>
      <c r="D66" s="47" t="str">
        <f>FMECA!H68</f>
        <v>Safe</v>
      </c>
      <c r="E66" s="47" t="str">
        <f>IF(ISNUMBER(SEARCH("Yes",FMECA!K68)),"Yes",IF(FMECA!K68="No","No",IF(ISNUMBER(SEARCH("No; impactless.",FMECA!K68)),"Impactless",IF(ISNUMBER(SEARCH("Outside the scope",FMECA!K68)),"Outside Scope",IF(ISNUMBER(SEARCH("Maybe",FMECA!K68)),"Maybe","Not Applicable")))))</f>
        <v>Yes</v>
      </c>
      <c r="F66" s="47" t="s">
        <v>675</v>
      </c>
      <c r="G66" s="47" t="str">
        <f>IF(ISNUMBER(SEARCH("Yes",FMECA!L68)),"Yes",IF(FMECA!L68="No","No",IF(ISNUMBER(SEARCH("No; impactless.",FMECA!L68)),"Impactless","Not Applicable")))</f>
        <v>No</v>
      </c>
      <c r="H66" s="47" t="str">
        <f>IF(ISNUMBER(SEARCH("CM0", FMECA!AC68)), "CM0", IF(ISNUMBER(SEARCH("CM1", FMECA!AC68)), "CM1", IF(ISNUMBER(SEARCH("CM2", FMECA!AC68)), "CM2", IF(ISNUMBER(SEARCH("CM3", FMECA!AC68)), "CM3", "Not Applicable"))))</f>
        <v>Not Applicable</v>
      </c>
      <c r="I66" s="49">
        <f t="shared" si="0"/>
        <v>7.0465531318791983E-9</v>
      </c>
      <c r="J66" s="49">
        <f t="shared" si="1"/>
        <v>0</v>
      </c>
      <c r="K66" s="49">
        <f t="shared" si="2"/>
        <v>0</v>
      </c>
      <c r="L66" s="49">
        <f t="shared" si="3"/>
        <v>0</v>
      </c>
      <c r="M66" s="49">
        <f t="shared" si="4"/>
        <v>0</v>
      </c>
      <c r="N66" s="49">
        <f t="shared" si="5"/>
        <v>0</v>
      </c>
      <c r="O66" s="49">
        <f t="shared" si="6"/>
        <v>0</v>
      </c>
      <c r="P66" s="49">
        <f t="shared" si="7"/>
        <v>0</v>
      </c>
      <c r="Q66" s="49">
        <f t="shared" si="8"/>
        <v>0</v>
      </c>
    </row>
    <row r="67" spans="1:17">
      <c r="A67" s="47" t="str">
        <f>FMECA!A69</f>
        <v>OC2_Sys</v>
      </c>
      <c r="B67" s="48" t="str">
        <f>FMECA!B69</f>
        <v>Open base</v>
      </c>
      <c r="C67" s="48">
        <f>FMECA!E69</f>
        <v>7.0465531318791983E-9</v>
      </c>
      <c r="D67" s="47" t="str">
        <f>FMECA!H69</f>
        <v>Safe</v>
      </c>
      <c r="E67" s="47" t="str">
        <f>IF(ISNUMBER(SEARCH("Yes",FMECA!K69)),"Yes",IF(FMECA!K69="No","No",IF(ISNUMBER(SEARCH("No; impactless.",FMECA!K69)),"Impactless",IF(ISNUMBER(SEARCH("Outside the scope",FMECA!K69)),"Outside Scope",IF(ISNUMBER(SEARCH("Maybe",FMECA!K69)),"Maybe","Not Applicable")))))</f>
        <v>Impactless</v>
      </c>
      <c r="F67" s="47" t="s">
        <v>675</v>
      </c>
      <c r="G67" s="47" t="str">
        <f>IF(ISNUMBER(SEARCH("Yes",FMECA!L69)),"Yes",IF(FMECA!L69="No","No",IF(ISNUMBER(SEARCH("No; impactless.",FMECA!L69)),"Impactless","Not Applicable")))</f>
        <v>Impactless</v>
      </c>
      <c r="H67" s="47" t="str">
        <f>IF(ISNUMBER(SEARCH("CM0", FMECA!AC69)), "CM0", IF(ISNUMBER(SEARCH("CM1", FMECA!AC69)), "CM1", IF(ISNUMBER(SEARCH("CM2", FMECA!AC69)), "CM2", IF(ISNUMBER(SEARCH("CM3", FMECA!AC69)), "CM3", "Not Applicable"))))</f>
        <v>Not Applicable</v>
      </c>
      <c r="I67" s="49">
        <f t="shared" ref="I67:I130" si="9">IF(AND(E67 = "Yes", G67 = "No"), C67, 0)</f>
        <v>0</v>
      </c>
      <c r="J67" s="49">
        <f t="shared" ref="J67:J130" si="10">IF(AND(OR(E67 = "No", E67 = "Maybe"), G67 = "Yes"), C67, 0)</f>
        <v>0</v>
      </c>
      <c r="K67" s="49">
        <f t="shared" ref="K67:K130" si="11">IF(AND(E67="Yes",G67="Yes"), C67, 0)</f>
        <v>0</v>
      </c>
      <c r="L67" s="49">
        <f t="shared" ref="L67:L130" si="12">IF(E67="Outside Scope", C67, 0)</f>
        <v>0</v>
      </c>
      <c r="M67" s="49">
        <f t="shared" ref="M67:M130" si="13">IF(AND(E67 = "Maybe", F67 = "Yes", G67 = "No"), C67, 0)</f>
        <v>0</v>
      </c>
      <c r="N67" s="49">
        <f t="shared" ref="N67:N130" si="14">IF(AND(E67 = "Maybe", F67 = "No", G67 = "No"), C67, 0)</f>
        <v>0</v>
      </c>
      <c r="O67" s="49">
        <f t="shared" ref="O67:O130" si="15">IF(H67 = "CM1", C67, 0)</f>
        <v>0</v>
      </c>
      <c r="P67" s="49">
        <f t="shared" ref="P67:P130" si="16">IF(AND(E67&lt;&gt; "Maybe", H67 = "CM2"), C67, 0)</f>
        <v>0</v>
      </c>
      <c r="Q67" s="49">
        <f t="shared" ref="Q67:Q130" si="17">IF(H67 = "CM3", C67, 0)</f>
        <v>0</v>
      </c>
    </row>
    <row r="68" spans="1:17">
      <c r="A68" s="47" t="str">
        <f>FMECA!A70</f>
        <v>OC2_Sys</v>
      </c>
      <c r="B68" s="48" t="str">
        <f>FMECA!B70</f>
        <v>Increase of light sensitivity</v>
      </c>
      <c r="C68" s="48">
        <f>FMECA!E70</f>
        <v>7.0465531318791983E-9</v>
      </c>
      <c r="D68" s="47" t="str">
        <f>FMECA!H70</f>
        <v>Safe</v>
      </c>
      <c r="E68" s="47" t="str">
        <f>IF(ISNUMBER(SEARCH("Yes",FMECA!K70)),"Yes",IF(FMECA!K70="No","No",IF(ISNUMBER(SEARCH("No; impactless.",FMECA!K70)),"Impactless",IF(ISNUMBER(SEARCH("Outside the scope",FMECA!K70)),"Outside Scope",IF(ISNUMBER(SEARCH("Maybe",FMECA!K70)),"Maybe","Not Applicable")))))</f>
        <v>Impactless</v>
      </c>
      <c r="F68" s="47" t="s">
        <v>675</v>
      </c>
      <c r="G68" s="47" t="str">
        <f>IF(ISNUMBER(SEARCH("Yes",FMECA!L70)),"Yes",IF(FMECA!L70="No","No",IF(ISNUMBER(SEARCH("No; impactless.",FMECA!L70)),"Impactless","Not Applicable")))</f>
        <v>Impactless</v>
      </c>
      <c r="H68" s="47" t="str">
        <f>IF(ISNUMBER(SEARCH("CM0", FMECA!AC70)), "CM0", IF(ISNUMBER(SEARCH("CM1", FMECA!AC70)), "CM1", IF(ISNUMBER(SEARCH("CM2", FMECA!AC70)), "CM2", IF(ISNUMBER(SEARCH("CM3", FMECA!AC70)), "CM3", "Not Applicable"))))</f>
        <v>Not Applicable</v>
      </c>
      <c r="I68" s="49">
        <f t="shared" si="9"/>
        <v>0</v>
      </c>
      <c r="J68" s="49">
        <f t="shared" si="10"/>
        <v>0</v>
      </c>
      <c r="K68" s="49">
        <f t="shared" si="11"/>
        <v>0</v>
      </c>
      <c r="L68" s="49">
        <f t="shared" si="12"/>
        <v>0</v>
      </c>
      <c r="M68" s="49">
        <f t="shared" si="13"/>
        <v>0</v>
      </c>
      <c r="N68" s="49">
        <f t="shared" si="14"/>
        <v>0</v>
      </c>
      <c r="O68" s="49">
        <f t="shared" si="15"/>
        <v>0</v>
      </c>
      <c r="P68" s="49">
        <f t="shared" si="16"/>
        <v>0</v>
      </c>
      <c r="Q68" s="49">
        <f t="shared" si="17"/>
        <v>0</v>
      </c>
    </row>
    <row r="69" spans="1:17">
      <c r="A69" s="47" t="str">
        <f>FMECA!A71</f>
        <v>OC2_Sys</v>
      </c>
      <c r="B69" s="48" t="str">
        <f>FMECA!B71</f>
        <v>Decrease of light sensitivity</v>
      </c>
      <c r="C69" s="48">
        <f>FMECA!E71</f>
        <v>7.0465531318791983E-9</v>
      </c>
      <c r="D69" s="47" t="str">
        <f>FMECA!H71</f>
        <v>Safe</v>
      </c>
      <c r="E69" s="47" t="str">
        <f>IF(ISNUMBER(SEARCH("Yes",FMECA!K71)),"Yes",IF(FMECA!K71="No","No",IF(ISNUMBER(SEARCH("No; impactless.",FMECA!K71)),"Impactless",IF(ISNUMBER(SEARCH("Outside the scope",FMECA!K71)),"Outside Scope",IF(ISNUMBER(SEARCH("Maybe",FMECA!K71)),"Maybe","Not Applicable")))))</f>
        <v>Yes</v>
      </c>
      <c r="F69" s="47" t="s">
        <v>675</v>
      </c>
      <c r="G69" s="47" t="str">
        <f>IF(ISNUMBER(SEARCH("Yes",FMECA!L71)),"Yes",IF(FMECA!L71="No","No",IF(ISNUMBER(SEARCH("No; impactless.",FMECA!L71)),"Impactless","Not Applicable")))</f>
        <v>No</v>
      </c>
      <c r="H69" s="47" t="str">
        <f>IF(ISNUMBER(SEARCH("CM0", FMECA!AC71)), "CM0", IF(ISNUMBER(SEARCH("CM1", FMECA!AC71)), "CM1", IF(ISNUMBER(SEARCH("CM2", FMECA!AC71)), "CM2", IF(ISNUMBER(SEARCH("CM3", FMECA!AC71)), "CM3", "Not Applicable"))))</f>
        <v>Not Applicable</v>
      </c>
      <c r="I69" s="49">
        <f t="shared" si="9"/>
        <v>7.0465531318791983E-9</v>
      </c>
      <c r="J69" s="49">
        <f t="shared" si="10"/>
        <v>0</v>
      </c>
      <c r="K69" s="49">
        <f t="shared" si="11"/>
        <v>0</v>
      </c>
      <c r="L69" s="49">
        <f t="shared" si="12"/>
        <v>0</v>
      </c>
      <c r="M69" s="49">
        <f t="shared" si="13"/>
        <v>0</v>
      </c>
      <c r="N69" s="49">
        <f t="shared" si="14"/>
        <v>0</v>
      </c>
      <c r="O69" s="49">
        <f t="shared" si="15"/>
        <v>0</v>
      </c>
      <c r="P69" s="49">
        <f t="shared" si="16"/>
        <v>0</v>
      </c>
      <c r="Q69" s="49">
        <f t="shared" si="17"/>
        <v>0</v>
      </c>
    </row>
    <row r="70" spans="1:17">
      <c r="A70" s="47" t="str">
        <f>FMECA!A72</f>
        <v>OC2_Sys</v>
      </c>
      <c r="B70" s="48" t="str">
        <f>FMECA!B72</f>
        <v>Increase of leakage current</v>
      </c>
      <c r="C70" s="48">
        <f>FMECA!E72</f>
        <v>1.0569830120612003E-8</v>
      </c>
      <c r="D70" s="47" t="str">
        <f>FMECA!H72</f>
        <v>Safe</v>
      </c>
      <c r="E70" s="47" t="str">
        <f>IF(ISNUMBER(SEARCH("Yes",FMECA!K72)),"Yes",IF(FMECA!K72="No","No",IF(ISNUMBER(SEARCH("No; impactless.",FMECA!K72)),"Impactless",IF(ISNUMBER(SEARCH("Outside the scope",FMECA!K72)),"Outside Scope",IF(ISNUMBER(SEARCH("Maybe",FMECA!K72)),"Maybe","Not Applicable")))))</f>
        <v>Yes</v>
      </c>
      <c r="F70" s="47" t="s">
        <v>675</v>
      </c>
      <c r="G70" s="47" t="str">
        <f>IF(ISNUMBER(SEARCH("Yes",FMECA!L72)),"Yes",IF(FMECA!L72="No","No",IF(ISNUMBER(SEARCH("No; impactless.",FMECA!L72)),"Impactless","Not Applicable")))</f>
        <v>No</v>
      </c>
      <c r="H70" s="47" t="str">
        <f>IF(ISNUMBER(SEARCH("CM0", FMECA!AC72)), "CM0", IF(ISNUMBER(SEARCH("CM1", FMECA!AC72)), "CM1", IF(ISNUMBER(SEARCH("CM2", FMECA!AC72)), "CM2", IF(ISNUMBER(SEARCH("CM3", FMECA!AC72)), "CM3", "Not Applicable"))))</f>
        <v>Not Applicable</v>
      </c>
      <c r="I70" s="49">
        <f t="shared" si="9"/>
        <v>1.0569830120612003E-8</v>
      </c>
      <c r="J70" s="49">
        <f t="shared" si="10"/>
        <v>0</v>
      </c>
      <c r="K70" s="49">
        <f t="shared" si="11"/>
        <v>0</v>
      </c>
      <c r="L70" s="49">
        <f t="shared" si="12"/>
        <v>0</v>
      </c>
      <c r="M70" s="49">
        <f t="shared" si="13"/>
        <v>0</v>
      </c>
      <c r="N70" s="49">
        <f t="shared" si="14"/>
        <v>0</v>
      </c>
      <c r="O70" s="49">
        <f t="shared" si="15"/>
        <v>0</v>
      </c>
      <c r="P70" s="49">
        <f t="shared" si="16"/>
        <v>0</v>
      </c>
      <c r="Q70" s="49">
        <f t="shared" si="17"/>
        <v>0</v>
      </c>
    </row>
    <row r="71" spans="1:17">
      <c r="A71" s="47" t="str">
        <f>FMECA!A73</f>
        <v>OC2_Sys</v>
      </c>
      <c r="B71" s="48" t="str">
        <f>FMECA!B73</f>
        <v>Reduced insulation between input and output</v>
      </c>
      <c r="C71" s="48">
        <f>FMECA!E73</f>
        <v>1.0569830120612003E-8</v>
      </c>
      <c r="D71" s="47" t="str">
        <f>FMECA!H73</f>
        <v>Safe</v>
      </c>
      <c r="E71" s="47" t="str">
        <f>IF(ISNUMBER(SEARCH("Yes",FMECA!K73)),"Yes",IF(FMECA!K73="No","No",IF(ISNUMBER(SEARCH("No; impactless.",FMECA!K73)),"Impactless",IF(ISNUMBER(SEARCH("Outside the scope",FMECA!K73)),"Outside Scope",IF(ISNUMBER(SEARCH("Maybe",FMECA!K73)),"Maybe","Not Applicable")))))</f>
        <v>Outside Scope</v>
      </c>
      <c r="F71" s="47" t="s">
        <v>675</v>
      </c>
      <c r="G71" s="47" t="str">
        <f>IF(ISNUMBER(SEARCH("Yes",FMECA!L73)),"Yes",IF(FMECA!L73="No","No",IF(ISNUMBER(SEARCH("No; impactless.",FMECA!L73)),"Impactless","Not Applicable")))</f>
        <v>No</v>
      </c>
      <c r="H71" s="47" t="str">
        <f>IF(ISNUMBER(SEARCH("CM0", FMECA!AC73)), "CM0", IF(ISNUMBER(SEARCH("CM1", FMECA!AC73)), "CM1", IF(ISNUMBER(SEARCH("CM2", FMECA!AC73)), "CM2", IF(ISNUMBER(SEARCH("CM3", FMECA!AC73)), "CM3", "Not Applicable"))))</f>
        <v>Not Applicable</v>
      </c>
      <c r="I71" s="49">
        <f t="shared" si="9"/>
        <v>0</v>
      </c>
      <c r="J71" s="49">
        <f t="shared" si="10"/>
        <v>0</v>
      </c>
      <c r="K71" s="49">
        <f t="shared" si="11"/>
        <v>0</v>
      </c>
      <c r="L71" s="49">
        <f t="shared" si="12"/>
        <v>1.0569830120612003E-8</v>
      </c>
      <c r="M71" s="49">
        <f t="shared" si="13"/>
        <v>0</v>
      </c>
      <c r="N71" s="49">
        <f t="shared" si="14"/>
        <v>0</v>
      </c>
      <c r="O71" s="49">
        <f t="shared" si="15"/>
        <v>0</v>
      </c>
      <c r="P71" s="49">
        <f t="shared" si="16"/>
        <v>0</v>
      </c>
      <c r="Q71" s="49">
        <f t="shared" si="17"/>
        <v>0</v>
      </c>
    </row>
    <row r="72" spans="1:17">
      <c r="A72" s="47" t="str">
        <f>FMECA!A74</f>
        <v>OC2_Sys</v>
      </c>
      <c r="B72" s="48" t="str">
        <f>FMECA!B74</f>
        <v>Change on switching time</v>
      </c>
      <c r="C72" s="48">
        <f>FMECA!E74</f>
        <v>7.0465531318791983E-9</v>
      </c>
      <c r="D72" s="47" t="str">
        <f>FMECA!H74</f>
        <v>Safe</v>
      </c>
      <c r="E72" s="47" t="str">
        <f>IF(ISNUMBER(SEARCH("Yes",FMECA!K74)),"Yes",IF(FMECA!K74="No","No",IF(ISNUMBER(SEARCH("No; impactless.",FMECA!K74)),"Impactless",IF(ISNUMBER(SEARCH("Outside the scope",FMECA!K74)),"Outside Scope",IF(ISNUMBER(SEARCH("Maybe",FMECA!K74)),"Maybe","Not Applicable")))))</f>
        <v>Outside Scope</v>
      </c>
      <c r="F72" s="47" t="s">
        <v>675</v>
      </c>
      <c r="G72" s="47" t="str">
        <f>IF(ISNUMBER(SEARCH("Yes",FMECA!L74)),"Yes",IF(FMECA!L74="No","No",IF(ISNUMBER(SEARCH("No; impactless.",FMECA!L74)),"Impactless","Not Applicable")))</f>
        <v>No</v>
      </c>
      <c r="H72" s="47" t="str">
        <f>IF(ISNUMBER(SEARCH("CM0", FMECA!AC74)), "CM0", IF(ISNUMBER(SEARCH("CM1", FMECA!AC74)), "CM1", IF(ISNUMBER(SEARCH("CM2", FMECA!AC74)), "CM2", IF(ISNUMBER(SEARCH("CM3", FMECA!AC74)), "CM3", "Not Applicable"))))</f>
        <v>Not Applicable</v>
      </c>
      <c r="I72" s="49">
        <f t="shared" si="9"/>
        <v>0</v>
      </c>
      <c r="J72" s="49">
        <f t="shared" si="10"/>
        <v>0</v>
      </c>
      <c r="K72" s="49">
        <f t="shared" si="11"/>
        <v>0</v>
      </c>
      <c r="L72" s="49">
        <f t="shared" si="12"/>
        <v>7.0465531318791983E-9</v>
      </c>
      <c r="M72" s="49">
        <f t="shared" si="13"/>
        <v>0</v>
      </c>
      <c r="N72" s="49">
        <f t="shared" si="14"/>
        <v>0</v>
      </c>
      <c r="O72" s="49">
        <f t="shared" si="15"/>
        <v>0</v>
      </c>
      <c r="P72" s="49">
        <f t="shared" si="16"/>
        <v>0</v>
      </c>
      <c r="Q72" s="49">
        <f t="shared" si="17"/>
        <v>0</v>
      </c>
    </row>
    <row r="73" spans="1:17">
      <c r="A73" s="47" t="str">
        <f>FMECA!A75</f>
        <v>OC2_Sys</v>
      </c>
      <c r="B73" s="48" t="str">
        <f>FMECA!B75</f>
        <v>Increase of current gain</v>
      </c>
      <c r="C73" s="48">
        <f>FMECA!E75</f>
        <v>7.0465531318791983E-9</v>
      </c>
      <c r="D73" s="47" t="str">
        <f>FMECA!H75</f>
        <v>Safe</v>
      </c>
      <c r="E73" s="47" t="str">
        <f>IF(ISNUMBER(SEARCH("Yes",FMECA!K75)),"Yes",IF(FMECA!K75="No","No",IF(ISNUMBER(SEARCH("No; impactless.",FMECA!K75)),"Impactless",IF(ISNUMBER(SEARCH("Outside the scope",FMECA!K75)),"Outside Scope",IF(ISNUMBER(SEARCH("Maybe",FMECA!K75)),"Maybe","Not Applicable")))))</f>
        <v>Impactless</v>
      </c>
      <c r="F73" s="47" t="s">
        <v>675</v>
      </c>
      <c r="G73" s="47" t="str">
        <f>IF(ISNUMBER(SEARCH("Yes",FMECA!L75)),"Yes",IF(FMECA!L75="No","No",IF(ISNUMBER(SEARCH("No; impactless.",FMECA!L75)),"Impactless","Not Applicable")))</f>
        <v>Impactless</v>
      </c>
      <c r="H73" s="47" t="str">
        <f>IF(ISNUMBER(SEARCH("CM0", FMECA!AC75)), "CM0", IF(ISNUMBER(SEARCH("CM1", FMECA!AC75)), "CM1", IF(ISNUMBER(SEARCH("CM2", FMECA!AC75)), "CM2", IF(ISNUMBER(SEARCH("CM3", FMECA!AC75)), "CM3", "Not Applicable"))))</f>
        <v>Not Applicable</v>
      </c>
      <c r="I73" s="49">
        <f t="shared" si="9"/>
        <v>0</v>
      </c>
      <c r="J73" s="49">
        <f t="shared" si="10"/>
        <v>0</v>
      </c>
      <c r="K73" s="49">
        <f t="shared" si="11"/>
        <v>0</v>
      </c>
      <c r="L73" s="49">
        <f t="shared" si="12"/>
        <v>0</v>
      </c>
      <c r="M73" s="49">
        <f t="shared" si="13"/>
        <v>0</v>
      </c>
      <c r="N73" s="49">
        <f t="shared" si="14"/>
        <v>0</v>
      </c>
      <c r="O73" s="49">
        <f t="shared" si="15"/>
        <v>0</v>
      </c>
      <c r="P73" s="49">
        <f t="shared" si="16"/>
        <v>0</v>
      </c>
      <c r="Q73" s="49">
        <f t="shared" si="17"/>
        <v>0</v>
      </c>
    </row>
    <row r="74" spans="1:17">
      <c r="A74" s="47" t="str">
        <f>FMECA!A76</f>
        <v>OC2_Sys</v>
      </c>
      <c r="B74" s="48" t="str">
        <f>FMECA!B76</f>
        <v>Decrease of current gain</v>
      </c>
      <c r="C74" s="48">
        <f>FMECA!E76</f>
        <v>7.0465531318791983E-9</v>
      </c>
      <c r="D74" s="47" t="str">
        <f>FMECA!H76</f>
        <v>Safe</v>
      </c>
      <c r="E74" s="47" t="str">
        <f>IF(ISNUMBER(SEARCH("Yes",FMECA!K76)),"Yes",IF(FMECA!K76="No","No",IF(ISNUMBER(SEARCH("No; impactless.",FMECA!K76)),"Impactless",IF(ISNUMBER(SEARCH("Outside the scope",FMECA!K76)),"Outside Scope",IF(ISNUMBER(SEARCH("Maybe",FMECA!K76)),"Maybe","Not Applicable")))))</f>
        <v>Outside Scope</v>
      </c>
      <c r="F74" s="47" t="s">
        <v>675</v>
      </c>
      <c r="G74" s="47" t="str">
        <f>IF(ISNUMBER(SEARCH("Yes",FMECA!L76)),"Yes",IF(FMECA!L76="No","No",IF(ISNUMBER(SEARCH("No; impactless.",FMECA!L76)),"Impactless","Not Applicable")))</f>
        <v>No</v>
      </c>
      <c r="H74" s="47" t="str">
        <f>IF(ISNUMBER(SEARCH("CM0", FMECA!AC76)), "CM0", IF(ISNUMBER(SEARCH("CM1", FMECA!AC76)), "CM1", IF(ISNUMBER(SEARCH("CM2", FMECA!AC76)), "CM2", IF(ISNUMBER(SEARCH("CM3", FMECA!AC76)), "CM3", "Not Applicable"))))</f>
        <v>Not Applicable</v>
      </c>
      <c r="I74" s="49">
        <f t="shared" si="9"/>
        <v>0</v>
      </c>
      <c r="J74" s="49">
        <f t="shared" si="10"/>
        <v>0</v>
      </c>
      <c r="K74" s="49">
        <f t="shared" si="11"/>
        <v>0</v>
      </c>
      <c r="L74" s="49">
        <f t="shared" si="12"/>
        <v>7.0465531318791983E-9</v>
      </c>
      <c r="M74" s="49">
        <f t="shared" si="13"/>
        <v>0</v>
      </c>
      <c r="N74" s="49">
        <f t="shared" si="14"/>
        <v>0</v>
      </c>
      <c r="O74" s="49">
        <f t="shared" si="15"/>
        <v>0</v>
      </c>
      <c r="P74" s="49">
        <f t="shared" si="16"/>
        <v>0</v>
      </c>
      <c r="Q74" s="49">
        <f t="shared" si="17"/>
        <v>0</v>
      </c>
    </row>
    <row r="75" spans="1:17">
      <c r="A75" s="47" t="str">
        <f>FMECA!A77</f>
        <v>R3_Sys</v>
      </c>
      <c r="B75" s="48" t="str">
        <f>FMECA!B77</f>
        <v>Open</v>
      </c>
      <c r="C75" s="48">
        <f>FMECA!E77</f>
        <v>2.4551082459100113E-9</v>
      </c>
      <c r="D75" s="47" t="str">
        <f>FMECA!H77</f>
        <v>Safe</v>
      </c>
      <c r="E75" s="47" t="str">
        <f>IF(ISNUMBER(SEARCH("Yes",FMECA!K77)),"Yes",IF(FMECA!K77="No","No",IF(ISNUMBER(SEARCH("No; impactless.",FMECA!K77)),"Impactless",IF(ISNUMBER(SEARCH("Outside the scope",FMECA!K77)),"Outside Scope",IF(ISNUMBER(SEARCH("Maybe",FMECA!K77)),"Maybe","Not Applicable")))))</f>
        <v>Yes</v>
      </c>
      <c r="F75" s="47" t="s">
        <v>675</v>
      </c>
      <c r="G75" s="47" t="str">
        <f>IF(ISNUMBER(SEARCH("Yes",FMECA!L77)),"Yes",IF(FMECA!L77="No","No",IF(ISNUMBER(SEARCH("No; impactless.",FMECA!L77)),"Impactless","Not Applicable")))</f>
        <v>Yes</v>
      </c>
      <c r="H75" s="47" t="str">
        <f>IF(ISNUMBER(SEARCH("CM0", FMECA!AC77)), "CM0", IF(ISNUMBER(SEARCH("CM1", FMECA!AC77)), "CM1", IF(ISNUMBER(SEARCH("CM2", FMECA!AC77)), "CM2", IF(ISNUMBER(SEARCH("CM3", FMECA!AC77)), "CM3", "Not Applicable"))))</f>
        <v>Not Applicable</v>
      </c>
      <c r="I75" s="49">
        <f t="shared" si="9"/>
        <v>0</v>
      </c>
      <c r="J75" s="49">
        <f t="shared" si="10"/>
        <v>0</v>
      </c>
      <c r="K75" s="49">
        <f t="shared" si="11"/>
        <v>2.4551082459100113E-9</v>
      </c>
      <c r="L75" s="49">
        <f t="shared" si="12"/>
        <v>0</v>
      </c>
      <c r="M75" s="49">
        <f t="shared" si="13"/>
        <v>0</v>
      </c>
      <c r="N75" s="49">
        <f t="shared" si="14"/>
        <v>0</v>
      </c>
      <c r="O75" s="49">
        <f t="shared" si="15"/>
        <v>0</v>
      </c>
      <c r="P75" s="49">
        <f t="shared" si="16"/>
        <v>0</v>
      </c>
      <c r="Q75" s="49">
        <f t="shared" si="17"/>
        <v>0</v>
      </c>
    </row>
    <row r="76" spans="1:17">
      <c r="A76" s="47" t="str">
        <f>FMECA!A78</f>
        <v>R3_Sys</v>
      </c>
      <c r="B76" s="48" t="str">
        <f>FMECA!B78</f>
        <v>Short-Circuit</v>
      </c>
      <c r="C76" s="48">
        <f>FMECA!E78</f>
        <v>2.080600208398315E-10</v>
      </c>
      <c r="D76" s="47" t="str">
        <f>FMECA!H78</f>
        <v>Safe</v>
      </c>
      <c r="E76" s="47" t="str">
        <f>IF(ISNUMBER(SEARCH("Yes",FMECA!K78)),"Yes",IF(FMECA!K78="No","No",IF(ISNUMBER(SEARCH("No; impactless.",FMECA!K78)),"Impactless",IF(ISNUMBER(SEARCH("Outside the scope",FMECA!K78)),"Outside Scope",IF(ISNUMBER(SEARCH("Maybe",FMECA!K78)),"Maybe","Not Applicable")))))</f>
        <v>No</v>
      </c>
      <c r="F76" s="47" t="s">
        <v>675</v>
      </c>
      <c r="G76" s="47" t="str">
        <f>IF(ISNUMBER(SEARCH("Yes",FMECA!L78)),"Yes",IF(FMECA!L78="No","No",IF(ISNUMBER(SEARCH("No; impactless.",FMECA!L78)),"Impactless","Not Applicable")))</f>
        <v>Yes</v>
      </c>
      <c r="H76" s="47" t="str">
        <f>IF(ISNUMBER(SEARCH("CM0", FMECA!AC78)), "CM0", IF(ISNUMBER(SEARCH("CM1", FMECA!AC78)), "CM1", IF(ISNUMBER(SEARCH("CM2", FMECA!AC78)), "CM2", IF(ISNUMBER(SEARCH("CM3", FMECA!AC78)), "CM3", "Not Applicable"))))</f>
        <v>Not Applicable</v>
      </c>
      <c r="I76" s="49">
        <f t="shared" si="9"/>
        <v>0</v>
      </c>
      <c r="J76" s="49">
        <f t="shared" si="10"/>
        <v>2.080600208398315E-10</v>
      </c>
      <c r="K76" s="49">
        <f t="shared" si="11"/>
        <v>0</v>
      </c>
      <c r="L76" s="49">
        <f t="shared" si="12"/>
        <v>0</v>
      </c>
      <c r="M76" s="49">
        <f t="shared" si="13"/>
        <v>0</v>
      </c>
      <c r="N76" s="49">
        <f t="shared" si="14"/>
        <v>0</v>
      </c>
      <c r="O76" s="49">
        <f t="shared" si="15"/>
        <v>0</v>
      </c>
      <c r="P76" s="49">
        <f t="shared" si="16"/>
        <v>0</v>
      </c>
      <c r="Q76" s="49">
        <f t="shared" si="17"/>
        <v>0</v>
      </c>
    </row>
    <row r="77" spans="1:17">
      <c r="A77" s="47" t="str">
        <f>FMECA!A79</f>
        <v>R3_Sys</v>
      </c>
      <c r="B77" s="48" t="str">
        <f>FMECA!B79</f>
        <v>Increase of Resistance Value</v>
      </c>
      <c r="C77" s="48">
        <f>FMECA!E79</f>
        <v>7.4901607502339334E-10</v>
      </c>
      <c r="D77" s="47" t="str">
        <f>FMECA!H79</f>
        <v>Safe</v>
      </c>
      <c r="E77" s="47" t="str">
        <f>IF(ISNUMBER(SEARCH("Yes",FMECA!K79)),"Yes",IF(FMECA!K79="No","No",IF(ISNUMBER(SEARCH("No; impactless.",FMECA!K79)),"Impactless",IF(ISNUMBER(SEARCH("Outside the scope",FMECA!K79)),"Outside Scope",IF(ISNUMBER(SEARCH("Maybe",FMECA!K79)),"Maybe","Not Applicable")))))</f>
        <v>Yes</v>
      </c>
      <c r="F77" s="47" t="s">
        <v>675</v>
      </c>
      <c r="G77" s="47" t="str">
        <f>IF(ISNUMBER(SEARCH("Yes",FMECA!L79)),"Yes",IF(FMECA!L79="No","No",IF(ISNUMBER(SEARCH("No; impactless.",FMECA!L79)),"Impactless","Not Applicable")))</f>
        <v>Yes</v>
      </c>
      <c r="H77" s="47" t="str">
        <f>IF(ISNUMBER(SEARCH("CM0", FMECA!AC79)), "CM0", IF(ISNUMBER(SEARCH("CM1", FMECA!AC79)), "CM1", IF(ISNUMBER(SEARCH("CM2", FMECA!AC79)), "CM2", IF(ISNUMBER(SEARCH("CM3", FMECA!AC79)), "CM3", "Not Applicable"))))</f>
        <v>Not Applicable</v>
      </c>
      <c r="I77" s="49">
        <f t="shared" si="9"/>
        <v>0</v>
      </c>
      <c r="J77" s="49">
        <f t="shared" si="10"/>
        <v>0</v>
      </c>
      <c r="K77" s="49">
        <f t="shared" si="11"/>
        <v>7.4901607502339334E-10</v>
      </c>
      <c r="L77" s="49">
        <f t="shared" si="12"/>
        <v>0</v>
      </c>
      <c r="M77" s="49">
        <f t="shared" si="13"/>
        <v>0</v>
      </c>
      <c r="N77" s="49">
        <f t="shared" si="14"/>
        <v>0</v>
      </c>
      <c r="O77" s="49">
        <f t="shared" si="15"/>
        <v>0</v>
      </c>
      <c r="P77" s="49">
        <f t="shared" si="16"/>
        <v>0</v>
      </c>
      <c r="Q77" s="49">
        <f t="shared" si="17"/>
        <v>0</v>
      </c>
    </row>
    <row r="78" spans="1:17">
      <c r="A78" s="47" t="str">
        <f>FMECA!A80</f>
        <v>R3_Sys</v>
      </c>
      <c r="B78" s="48" t="str">
        <f>FMECA!B80</f>
        <v>Decrease of Resistance Value</v>
      </c>
      <c r="C78" s="48">
        <f>FMECA!E80</f>
        <v>7.4901607502339334E-10</v>
      </c>
      <c r="D78" s="47" t="str">
        <f>FMECA!H80</f>
        <v>Safe</v>
      </c>
      <c r="E78" s="47" t="str">
        <f>IF(ISNUMBER(SEARCH("Yes",FMECA!K80)),"Yes",IF(FMECA!K80="No","No",IF(ISNUMBER(SEARCH("No; impactless.",FMECA!K80)),"Impactless",IF(ISNUMBER(SEARCH("Outside the scope",FMECA!K80)),"Outside Scope",IF(ISNUMBER(SEARCH("Maybe",FMECA!K80)),"Maybe","Not Applicable")))))</f>
        <v>No</v>
      </c>
      <c r="F78" s="47" t="s">
        <v>675</v>
      </c>
      <c r="G78" s="47" t="str">
        <f>IF(ISNUMBER(SEARCH("Yes",FMECA!L80)),"Yes",IF(FMECA!L80="No","No",IF(ISNUMBER(SEARCH("No; impactless.",FMECA!L80)),"Impactless","Not Applicable")))</f>
        <v>Yes</v>
      </c>
      <c r="H78" s="47" t="str">
        <f>IF(ISNUMBER(SEARCH("CM0", FMECA!AC80)), "CM0", IF(ISNUMBER(SEARCH("CM1", FMECA!AC80)), "CM1", IF(ISNUMBER(SEARCH("CM2", FMECA!AC80)), "CM2", IF(ISNUMBER(SEARCH("CM3", FMECA!AC80)), "CM3", "Not Applicable"))))</f>
        <v>Not Applicable</v>
      </c>
      <c r="I78" s="49">
        <f t="shared" si="9"/>
        <v>0</v>
      </c>
      <c r="J78" s="49">
        <f t="shared" si="10"/>
        <v>7.4901607502339334E-10</v>
      </c>
      <c r="K78" s="49">
        <f t="shared" si="11"/>
        <v>0</v>
      </c>
      <c r="L78" s="49">
        <f t="shared" si="12"/>
        <v>0</v>
      </c>
      <c r="M78" s="49">
        <f t="shared" si="13"/>
        <v>0</v>
      </c>
      <c r="N78" s="49">
        <f t="shared" si="14"/>
        <v>0</v>
      </c>
      <c r="O78" s="49">
        <f t="shared" si="15"/>
        <v>0</v>
      </c>
      <c r="P78" s="49">
        <f t="shared" si="16"/>
        <v>0</v>
      </c>
      <c r="Q78" s="49">
        <f t="shared" si="17"/>
        <v>0</v>
      </c>
    </row>
    <row r="79" spans="1:17">
      <c r="A79" s="47" t="str">
        <f>FMECA!A81</f>
        <v>R3_Sys</v>
      </c>
      <c r="B79" s="48" t="str">
        <f>FMECA!B81</f>
        <v>Short-Circuit to Casing</v>
      </c>
      <c r="C79" s="48">
        <f>FMECA!E81</f>
        <v>0</v>
      </c>
      <c r="D79" s="47" t="str">
        <f>FMECA!H81</f>
        <v>Safe</v>
      </c>
      <c r="E79" s="47" t="str">
        <f>IF(ISNUMBER(SEARCH("Yes",FMECA!K81)),"Yes",IF(FMECA!K81="No","No",IF(ISNUMBER(SEARCH("No; impactless.",FMECA!K81)),"Impactless",IF(ISNUMBER(SEARCH("Outside the scope",FMECA!K81)),"Outside Scope",IF(ISNUMBER(SEARCH("Maybe",FMECA!K81)),"Maybe","Not Applicable")))))</f>
        <v>Impactless</v>
      </c>
      <c r="F79" s="47" t="s">
        <v>675</v>
      </c>
      <c r="G79" s="47" t="str">
        <f>IF(ISNUMBER(SEARCH("Yes",FMECA!L81)),"Yes",IF(FMECA!L81="No","No",IF(ISNUMBER(SEARCH("No; impactless.",FMECA!L81)),"Impactless","Not Applicable")))</f>
        <v>Impactless</v>
      </c>
      <c r="H79" s="47" t="str">
        <f>IF(ISNUMBER(SEARCH("CM0", FMECA!AC81)), "CM0", IF(ISNUMBER(SEARCH("CM1", FMECA!AC81)), "CM1", IF(ISNUMBER(SEARCH("CM2", FMECA!AC81)), "CM2", IF(ISNUMBER(SEARCH("CM3", FMECA!AC81)), "CM3", "Not Applicable"))))</f>
        <v>Not Applicable</v>
      </c>
      <c r="I79" s="49">
        <f t="shared" si="9"/>
        <v>0</v>
      </c>
      <c r="J79" s="49">
        <f t="shared" si="10"/>
        <v>0</v>
      </c>
      <c r="K79" s="49">
        <f t="shared" si="11"/>
        <v>0</v>
      </c>
      <c r="L79" s="49">
        <f t="shared" si="12"/>
        <v>0</v>
      </c>
      <c r="M79" s="49">
        <f t="shared" si="13"/>
        <v>0</v>
      </c>
      <c r="N79" s="49">
        <f t="shared" si="14"/>
        <v>0</v>
      </c>
      <c r="O79" s="49">
        <f t="shared" si="15"/>
        <v>0</v>
      </c>
      <c r="P79" s="49">
        <f t="shared" si="16"/>
        <v>0</v>
      </c>
      <c r="Q79" s="49">
        <f t="shared" si="17"/>
        <v>0</v>
      </c>
    </row>
    <row r="80" spans="1:17">
      <c r="A80" s="47" t="str">
        <f>FMECA!A82</f>
        <v>OC3_Sys</v>
      </c>
      <c r="B80" s="48" t="str">
        <f>FMECA!B82</f>
        <v>Open diode</v>
      </c>
      <c r="C80" s="48">
        <f>FMECA!E82</f>
        <v>7.0465531318791983E-9</v>
      </c>
      <c r="D80" s="47" t="str">
        <f>FMECA!H82</f>
        <v>Safe</v>
      </c>
      <c r="E80" s="47" t="str">
        <f>IF(ISNUMBER(SEARCH("Yes",FMECA!K82)),"Yes",IF(FMECA!K82="No","No",IF(ISNUMBER(SEARCH("No; impactless.",FMECA!K82)),"Impactless",IF(ISNUMBER(SEARCH("Outside the scope",FMECA!K82)),"Outside Scope",IF(ISNUMBER(SEARCH("Maybe",FMECA!K82)),"Maybe","Not Applicable")))))</f>
        <v>Yes</v>
      </c>
      <c r="F80" s="47" t="s">
        <v>675</v>
      </c>
      <c r="G80" s="47" t="str">
        <f>IF(ISNUMBER(SEARCH("Yes",FMECA!L82)),"Yes",IF(FMECA!L82="No","No",IF(ISNUMBER(SEARCH("No; impactless.",FMECA!L82)),"Impactless","Not Applicable")))</f>
        <v>Yes</v>
      </c>
      <c r="H80" s="47" t="str">
        <f>IF(ISNUMBER(SEARCH("CM0", FMECA!AC82)), "CM0", IF(ISNUMBER(SEARCH("CM1", FMECA!AC82)), "CM1", IF(ISNUMBER(SEARCH("CM2", FMECA!AC82)), "CM2", IF(ISNUMBER(SEARCH("CM3", FMECA!AC82)), "CM3", "Not Applicable"))))</f>
        <v>Not Applicable</v>
      </c>
      <c r="I80" s="49">
        <f t="shared" si="9"/>
        <v>0</v>
      </c>
      <c r="J80" s="49">
        <f t="shared" si="10"/>
        <v>0</v>
      </c>
      <c r="K80" s="49">
        <f t="shared" si="11"/>
        <v>7.0465531318791983E-9</v>
      </c>
      <c r="L80" s="49">
        <f t="shared" si="12"/>
        <v>0</v>
      </c>
      <c r="M80" s="49">
        <f t="shared" si="13"/>
        <v>0</v>
      </c>
      <c r="N80" s="49">
        <f t="shared" si="14"/>
        <v>0</v>
      </c>
      <c r="O80" s="49">
        <f t="shared" si="15"/>
        <v>0</v>
      </c>
      <c r="P80" s="49">
        <f t="shared" si="16"/>
        <v>0</v>
      </c>
      <c r="Q80" s="49">
        <f t="shared" si="17"/>
        <v>0</v>
      </c>
    </row>
    <row r="81" spans="1:17">
      <c r="A81" s="47" t="str">
        <f>FMECA!A83</f>
        <v>OC3_Sys</v>
      </c>
      <c r="B81" s="48" t="str">
        <f>FMECA!B83</f>
        <v>Open emitter</v>
      </c>
      <c r="C81" s="48">
        <f>FMECA!E83</f>
        <v>7.0465531318791983E-9</v>
      </c>
      <c r="D81" s="47" t="str">
        <f>FMECA!H83</f>
        <v>Safe</v>
      </c>
      <c r="E81" s="47" t="str">
        <f>IF(ISNUMBER(SEARCH("Yes",FMECA!K83)),"Yes",IF(FMECA!K83="No","No",IF(ISNUMBER(SEARCH("No; impactless.",FMECA!K83)),"Impactless",IF(ISNUMBER(SEARCH("Outside the scope",FMECA!K83)),"Outside Scope",IF(ISNUMBER(SEARCH("Maybe",FMECA!K83)),"Maybe","Not Applicable")))))</f>
        <v>Yes</v>
      </c>
      <c r="F81" s="47" t="s">
        <v>675</v>
      </c>
      <c r="G81" s="47" t="str">
        <f>IF(ISNUMBER(SEARCH("Yes",FMECA!L83)),"Yes",IF(FMECA!L83="No","No",IF(ISNUMBER(SEARCH("No; impactless.",FMECA!L83)),"Impactless","Not Applicable")))</f>
        <v>Yes</v>
      </c>
      <c r="H81" s="47" t="str">
        <f>IF(ISNUMBER(SEARCH("CM0", FMECA!AC83)), "CM0", IF(ISNUMBER(SEARCH("CM1", FMECA!AC83)), "CM1", IF(ISNUMBER(SEARCH("CM2", FMECA!AC83)), "CM2", IF(ISNUMBER(SEARCH("CM3", FMECA!AC83)), "CM3", "Not Applicable"))))</f>
        <v>Not Applicable</v>
      </c>
      <c r="I81" s="49">
        <f t="shared" si="9"/>
        <v>0</v>
      </c>
      <c r="J81" s="49">
        <f t="shared" si="10"/>
        <v>0</v>
      </c>
      <c r="K81" s="49">
        <f t="shared" si="11"/>
        <v>7.0465531318791983E-9</v>
      </c>
      <c r="L81" s="49">
        <f t="shared" si="12"/>
        <v>0</v>
      </c>
      <c r="M81" s="49">
        <f t="shared" si="13"/>
        <v>0</v>
      </c>
      <c r="N81" s="49">
        <f t="shared" si="14"/>
        <v>0</v>
      </c>
      <c r="O81" s="49">
        <f t="shared" si="15"/>
        <v>0</v>
      </c>
      <c r="P81" s="49">
        <f t="shared" si="16"/>
        <v>0</v>
      </c>
      <c r="Q81" s="49">
        <f t="shared" si="17"/>
        <v>0</v>
      </c>
    </row>
    <row r="82" spans="1:17">
      <c r="A82" s="47" t="str">
        <f>FMECA!A84</f>
        <v>OC3_Sys</v>
      </c>
      <c r="B82" s="48" t="str">
        <f>FMECA!B84</f>
        <v>Open collector</v>
      </c>
      <c r="C82" s="48">
        <f>FMECA!E84</f>
        <v>7.0465531318791983E-9</v>
      </c>
      <c r="D82" s="47" t="str">
        <f>FMECA!H84</f>
        <v>Safe</v>
      </c>
      <c r="E82" s="47" t="str">
        <f>IF(ISNUMBER(SEARCH("Yes",FMECA!K84)),"Yes",IF(FMECA!K84="No","No",IF(ISNUMBER(SEARCH("No; impactless.",FMECA!K84)),"Impactless",IF(ISNUMBER(SEARCH("Outside the scope",FMECA!K84)),"Outside Scope",IF(ISNUMBER(SEARCH("Maybe",FMECA!K84)),"Maybe","Not Applicable")))))</f>
        <v>Yes</v>
      </c>
      <c r="F82" s="47" t="s">
        <v>675</v>
      </c>
      <c r="G82" s="47" t="str">
        <f>IF(ISNUMBER(SEARCH("Yes",FMECA!L84)),"Yes",IF(FMECA!L84="No","No",IF(ISNUMBER(SEARCH("No; impactless.",FMECA!L84)),"Impactless","Not Applicable")))</f>
        <v>Yes</v>
      </c>
      <c r="H82" s="47" t="str">
        <f>IF(ISNUMBER(SEARCH("CM0", FMECA!AC84)), "CM0", IF(ISNUMBER(SEARCH("CM1", FMECA!AC84)), "CM1", IF(ISNUMBER(SEARCH("CM2", FMECA!AC84)), "CM2", IF(ISNUMBER(SEARCH("CM3", FMECA!AC84)), "CM3", "Not Applicable"))))</f>
        <v>Not Applicable</v>
      </c>
      <c r="I82" s="49">
        <f t="shared" si="9"/>
        <v>0</v>
      </c>
      <c r="J82" s="49">
        <f t="shared" si="10"/>
        <v>0</v>
      </c>
      <c r="K82" s="49">
        <f t="shared" si="11"/>
        <v>7.0465531318791983E-9</v>
      </c>
      <c r="L82" s="49">
        <f t="shared" si="12"/>
        <v>0</v>
      </c>
      <c r="M82" s="49">
        <f t="shared" si="13"/>
        <v>0</v>
      </c>
      <c r="N82" s="49">
        <f t="shared" si="14"/>
        <v>0</v>
      </c>
      <c r="O82" s="49">
        <f t="shared" si="15"/>
        <v>0</v>
      </c>
      <c r="P82" s="49">
        <f t="shared" si="16"/>
        <v>0</v>
      </c>
      <c r="Q82" s="49">
        <f t="shared" si="17"/>
        <v>0</v>
      </c>
    </row>
    <row r="83" spans="1:17">
      <c r="A83" s="47" t="str">
        <f>FMECA!A85</f>
        <v>OC3_Sys</v>
      </c>
      <c r="B83" s="48" t="str">
        <f>FMECA!B85</f>
        <v>Open base</v>
      </c>
      <c r="C83" s="48">
        <f>FMECA!E85</f>
        <v>7.0465531318791983E-9</v>
      </c>
      <c r="D83" s="47" t="str">
        <f>FMECA!H85</f>
        <v>Safe</v>
      </c>
      <c r="E83" s="47" t="str">
        <f>IF(ISNUMBER(SEARCH("Yes",FMECA!K85)),"Yes",IF(FMECA!K85="No","No",IF(ISNUMBER(SEARCH("No; impactless.",FMECA!K85)),"Impactless",IF(ISNUMBER(SEARCH("Outside the scope",FMECA!K85)),"Outside Scope",IF(ISNUMBER(SEARCH("Maybe",FMECA!K85)),"Maybe","Not Applicable")))))</f>
        <v>Impactless</v>
      </c>
      <c r="F83" s="47" t="s">
        <v>675</v>
      </c>
      <c r="G83" s="47" t="str">
        <f>IF(ISNUMBER(SEARCH("Yes",FMECA!L85)),"Yes",IF(FMECA!L85="No","No",IF(ISNUMBER(SEARCH("No; impactless.",FMECA!L85)),"Impactless","Not Applicable")))</f>
        <v>Impactless</v>
      </c>
      <c r="H83" s="47" t="str">
        <f>IF(ISNUMBER(SEARCH("CM0", FMECA!AC85)), "CM0", IF(ISNUMBER(SEARCH("CM1", FMECA!AC85)), "CM1", IF(ISNUMBER(SEARCH("CM2", FMECA!AC85)), "CM2", IF(ISNUMBER(SEARCH("CM3", FMECA!AC85)), "CM3", "Not Applicable"))))</f>
        <v>Not Applicable</v>
      </c>
      <c r="I83" s="49">
        <f t="shared" si="9"/>
        <v>0</v>
      </c>
      <c r="J83" s="49">
        <f t="shared" si="10"/>
        <v>0</v>
      </c>
      <c r="K83" s="49">
        <f t="shared" si="11"/>
        <v>0</v>
      </c>
      <c r="L83" s="49">
        <f t="shared" si="12"/>
        <v>0</v>
      </c>
      <c r="M83" s="49">
        <f t="shared" si="13"/>
        <v>0</v>
      </c>
      <c r="N83" s="49">
        <f t="shared" si="14"/>
        <v>0</v>
      </c>
      <c r="O83" s="49">
        <f t="shared" si="15"/>
        <v>0</v>
      </c>
      <c r="P83" s="49">
        <f t="shared" si="16"/>
        <v>0</v>
      </c>
      <c r="Q83" s="49">
        <f t="shared" si="17"/>
        <v>0</v>
      </c>
    </row>
    <row r="84" spans="1:17">
      <c r="A84" s="47" t="str">
        <f>FMECA!A86</f>
        <v>OC3_Sys</v>
      </c>
      <c r="B84" s="48" t="str">
        <f>FMECA!B86</f>
        <v>Increase of light sensitivity</v>
      </c>
      <c r="C84" s="48">
        <f>FMECA!E86</f>
        <v>7.0465531318791983E-9</v>
      </c>
      <c r="D84" s="47" t="str">
        <f>FMECA!H86</f>
        <v>Safe</v>
      </c>
      <c r="E84" s="47" t="str">
        <f>IF(ISNUMBER(SEARCH("Yes",FMECA!K86)),"Yes",IF(FMECA!K86="No","No",IF(ISNUMBER(SEARCH("No; impactless.",FMECA!K86)),"Impactless",IF(ISNUMBER(SEARCH("Outside the scope",FMECA!K86)),"Outside Scope",IF(ISNUMBER(SEARCH("Maybe",FMECA!K86)),"Maybe","Not Applicable")))))</f>
        <v>Impactless</v>
      </c>
      <c r="F84" s="47" t="s">
        <v>675</v>
      </c>
      <c r="G84" s="47" t="str">
        <f>IF(ISNUMBER(SEARCH("Yes",FMECA!L86)),"Yes",IF(FMECA!L86="No","No",IF(ISNUMBER(SEARCH("No; impactless.",FMECA!L86)),"Impactless","Not Applicable")))</f>
        <v>Impactless</v>
      </c>
      <c r="H84" s="47" t="str">
        <f>IF(ISNUMBER(SEARCH("CM0", FMECA!AC86)), "CM0", IF(ISNUMBER(SEARCH("CM1", FMECA!AC86)), "CM1", IF(ISNUMBER(SEARCH("CM2", FMECA!AC86)), "CM2", IF(ISNUMBER(SEARCH("CM3", FMECA!AC86)), "CM3", "Not Applicable"))))</f>
        <v>Not Applicable</v>
      </c>
      <c r="I84" s="49">
        <f t="shared" si="9"/>
        <v>0</v>
      </c>
      <c r="J84" s="49">
        <f t="shared" si="10"/>
        <v>0</v>
      </c>
      <c r="K84" s="49">
        <f t="shared" si="11"/>
        <v>0</v>
      </c>
      <c r="L84" s="49">
        <f t="shared" si="12"/>
        <v>0</v>
      </c>
      <c r="M84" s="49">
        <f t="shared" si="13"/>
        <v>0</v>
      </c>
      <c r="N84" s="49">
        <f t="shared" si="14"/>
        <v>0</v>
      </c>
      <c r="O84" s="49">
        <f t="shared" si="15"/>
        <v>0</v>
      </c>
      <c r="P84" s="49">
        <f t="shared" si="16"/>
        <v>0</v>
      </c>
      <c r="Q84" s="49">
        <f t="shared" si="17"/>
        <v>0</v>
      </c>
    </row>
    <row r="85" spans="1:17">
      <c r="A85" s="47" t="str">
        <f>FMECA!A87</f>
        <v>OC3_Sys</v>
      </c>
      <c r="B85" s="48" t="str">
        <f>FMECA!B87</f>
        <v>Decrease of light sensitivity</v>
      </c>
      <c r="C85" s="48">
        <f>FMECA!E87</f>
        <v>7.0465531318791983E-9</v>
      </c>
      <c r="D85" s="47" t="str">
        <f>FMECA!H87</f>
        <v>Safe</v>
      </c>
      <c r="E85" s="47" t="str">
        <f>IF(ISNUMBER(SEARCH("Yes",FMECA!K87)),"Yes",IF(FMECA!K87="No","No",IF(ISNUMBER(SEARCH("No; impactless.",FMECA!K87)),"Impactless",IF(ISNUMBER(SEARCH("Outside the scope",FMECA!K87)),"Outside Scope",IF(ISNUMBER(SEARCH("Maybe",FMECA!K87)),"Maybe","Not Applicable")))))</f>
        <v>Yes</v>
      </c>
      <c r="F85" s="47" t="s">
        <v>675</v>
      </c>
      <c r="G85" s="47" t="str">
        <f>IF(ISNUMBER(SEARCH("Yes",FMECA!L87)),"Yes",IF(FMECA!L87="No","No",IF(ISNUMBER(SEARCH("No; impactless.",FMECA!L87)),"Impactless","Not Applicable")))</f>
        <v>Yes</v>
      </c>
      <c r="H85" s="47" t="str">
        <f>IF(ISNUMBER(SEARCH("CM0", FMECA!AC87)), "CM0", IF(ISNUMBER(SEARCH("CM1", FMECA!AC87)), "CM1", IF(ISNUMBER(SEARCH("CM2", FMECA!AC87)), "CM2", IF(ISNUMBER(SEARCH("CM3", FMECA!AC87)), "CM3", "Not Applicable"))))</f>
        <v>Not Applicable</v>
      </c>
      <c r="I85" s="49">
        <f t="shared" si="9"/>
        <v>0</v>
      </c>
      <c r="J85" s="49">
        <f t="shared" si="10"/>
        <v>0</v>
      </c>
      <c r="K85" s="49">
        <f t="shared" si="11"/>
        <v>7.0465531318791983E-9</v>
      </c>
      <c r="L85" s="49">
        <f t="shared" si="12"/>
        <v>0</v>
      </c>
      <c r="M85" s="49">
        <f t="shared" si="13"/>
        <v>0</v>
      </c>
      <c r="N85" s="49">
        <f t="shared" si="14"/>
        <v>0</v>
      </c>
      <c r="O85" s="49">
        <f t="shared" si="15"/>
        <v>0</v>
      </c>
      <c r="P85" s="49">
        <f t="shared" si="16"/>
        <v>0</v>
      </c>
      <c r="Q85" s="49">
        <f t="shared" si="17"/>
        <v>0</v>
      </c>
    </row>
    <row r="86" spans="1:17">
      <c r="A86" s="47" t="str">
        <f>FMECA!A88</f>
        <v>OC3_Sys</v>
      </c>
      <c r="B86" s="48" t="str">
        <f>FMECA!B88</f>
        <v>Increase of leakage current</v>
      </c>
      <c r="C86" s="48">
        <f>FMECA!E88</f>
        <v>1.0569830120612003E-8</v>
      </c>
      <c r="D86" s="47" t="str">
        <f>FMECA!H88</f>
        <v>Safe</v>
      </c>
      <c r="E86" s="47" t="str">
        <f>IF(ISNUMBER(SEARCH("Yes",FMECA!K88)),"Yes",IF(FMECA!K88="No","No",IF(ISNUMBER(SEARCH("No; impactless.",FMECA!K88)),"Impactless",IF(ISNUMBER(SEARCH("Outside the scope",FMECA!K88)),"Outside Scope",IF(ISNUMBER(SEARCH("Maybe",FMECA!K88)),"Maybe","Not Applicable")))))</f>
        <v>Yes</v>
      </c>
      <c r="F86" s="47" t="s">
        <v>675</v>
      </c>
      <c r="G86" s="47" t="str">
        <f>IF(ISNUMBER(SEARCH("Yes",FMECA!L88)),"Yes",IF(FMECA!L88="No","No",IF(ISNUMBER(SEARCH("No; impactless.",FMECA!L88)),"Impactless","Not Applicable")))</f>
        <v>Yes</v>
      </c>
      <c r="H86" s="47" t="str">
        <f>IF(ISNUMBER(SEARCH("CM0", FMECA!AC88)), "CM0", IF(ISNUMBER(SEARCH("CM1", FMECA!AC88)), "CM1", IF(ISNUMBER(SEARCH("CM2", FMECA!AC88)), "CM2", IF(ISNUMBER(SEARCH("CM3", FMECA!AC88)), "CM3", "Not Applicable"))))</f>
        <v>Not Applicable</v>
      </c>
      <c r="I86" s="49">
        <f t="shared" si="9"/>
        <v>0</v>
      </c>
      <c r="J86" s="49">
        <f t="shared" si="10"/>
        <v>0</v>
      </c>
      <c r="K86" s="49">
        <f t="shared" si="11"/>
        <v>1.0569830120612003E-8</v>
      </c>
      <c r="L86" s="49">
        <f t="shared" si="12"/>
        <v>0</v>
      </c>
      <c r="M86" s="49">
        <f t="shared" si="13"/>
        <v>0</v>
      </c>
      <c r="N86" s="49">
        <f t="shared" si="14"/>
        <v>0</v>
      </c>
      <c r="O86" s="49">
        <f t="shared" si="15"/>
        <v>0</v>
      </c>
      <c r="P86" s="49">
        <f t="shared" si="16"/>
        <v>0</v>
      </c>
      <c r="Q86" s="49">
        <f t="shared" si="17"/>
        <v>0</v>
      </c>
    </row>
    <row r="87" spans="1:17">
      <c r="A87" s="47" t="str">
        <f>FMECA!A89</f>
        <v>OC3_Sys</v>
      </c>
      <c r="B87" s="48" t="str">
        <f>FMECA!B89</f>
        <v>Reduced insulation between input and output</v>
      </c>
      <c r="C87" s="48">
        <f>FMECA!E89</f>
        <v>1.0569830120612003E-8</v>
      </c>
      <c r="D87" s="47" t="str">
        <f>FMECA!H89</f>
        <v>Safe</v>
      </c>
      <c r="E87" s="47" t="str">
        <f>IF(ISNUMBER(SEARCH("Yes",FMECA!K89)),"Yes",IF(FMECA!K89="No","No",IF(ISNUMBER(SEARCH("No; impactless.",FMECA!K89)),"Impactless",IF(ISNUMBER(SEARCH("Outside the scope",FMECA!K89)),"Outside Scope",IF(ISNUMBER(SEARCH("Maybe",FMECA!K89)),"Maybe","Not Applicable")))))</f>
        <v>No</v>
      </c>
      <c r="F87" s="47" t="s">
        <v>675</v>
      </c>
      <c r="G87" s="47" t="str">
        <f>IF(ISNUMBER(SEARCH("Yes",FMECA!L89)),"Yes",IF(FMECA!L89="No","No",IF(ISNUMBER(SEARCH("No; impactless.",FMECA!L89)),"Impactless","Not Applicable")))</f>
        <v>Yes</v>
      </c>
      <c r="H87" s="47" t="str">
        <f>IF(ISNUMBER(SEARCH("CM0", FMECA!AC89)), "CM0", IF(ISNUMBER(SEARCH("CM1", FMECA!AC89)), "CM1", IF(ISNUMBER(SEARCH("CM2", FMECA!AC89)), "CM2", IF(ISNUMBER(SEARCH("CM3", FMECA!AC89)), "CM3", "Not Applicable"))))</f>
        <v>Not Applicable</v>
      </c>
      <c r="I87" s="49">
        <f t="shared" si="9"/>
        <v>0</v>
      </c>
      <c r="J87" s="49">
        <f t="shared" si="10"/>
        <v>1.0569830120612003E-8</v>
      </c>
      <c r="K87" s="49">
        <f t="shared" si="11"/>
        <v>0</v>
      </c>
      <c r="L87" s="49">
        <f t="shared" si="12"/>
        <v>0</v>
      </c>
      <c r="M87" s="49">
        <f t="shared" si="13"/>
        <v>0</v>
      </c>
      <c r="N87" s="49">
        <f t="shared" si="14"/>
        <v>0</v>
      </c>
      <c r="O87" s="49">
        <f t="shared" si="15"/>
        <v>0</v>
      </c>
      <c r="P87" s="49">
        <f t="shared" si="16"/>
        <v>0</v>
      </c>
      <c r="Q87" s="49">
        <f t="shared" si="17"/>
        <v>0</v>
      </c>
    </row>
    <row r="88" spans="1:17">
      <c r="A88" s="47" t="str">
        <f>FMECA!A90</f>
        <v>OC3_Sys</v>
      </c>
      <c r="B88" s="48" t="str">
        <f>FMECA!B90</f>
        <v>Change on switching time</v>
      </c>
      <c r="C88" s="48">
        <f>FMECA!E90</f>
        <v>7.0465531318791983E-9</v>
      </c>
      <c r="D88" s="47" t="str">
        <f>FMECA!H90</f>
        <v>Safe</v>
      </c>
      <c r="E88" s="47" t="str">
        <f>IF(ISNUMBER(SEARCH("Yes",FMECA!K90)),"Yes",IF(FMECA!K90="No","No",IF(ISNUMBER(SEARCH("No; impactless.",FMECA!K90)),"Impactless",IF(ISNUMBER(SEARCH("Outside the scope",FMECA!K90)),"Outside Scope",IF(ISNUMBER(SEARCH("Maybe",FMECA!K90)),"Maybe","Not Applicable")))))</f>
        <v>No</v>
      </c>
      <c r="F88" s="47" t="s">
        <v>675</v>
      </c>
      <c r="G88" s="47" t="str">
        <f>IF(ISNUMBER(SEARCH("Yes",FMECA!L90)),"Yes",IF(FMECA!L90="No","No",IF(ISNUMBER(SEARCH("No; impactless.",FMECA!L90)),"Impactless","Not Applicable")))</f>
        <v>No</v>
      </c>
      <c r="H88" s="47" t="str">
        <f>IF(ISNUMBER(SEARCH("CM0", FMECA!AC90)), "CM0", IF(ISNUMBER(SEARCH("CM1", FMECA!AC90)), "CM1", IF(ISNUMBER(SEARCH("CM2", FMECA!AC90)), "CM2", IF(ISNUMBER(SEARCH("CM3", FMECA!AC90)), "CM3", "Not Applicable"))))</f>
        <v>CM1</v>
      </c>
      <c r="I88" s="49">
        <f t="shared" si="9"/>
        <v>0</v>
      </c>
      <c r="J88" s="49">
        <f t="shared" si="10"/>
        <v>0</v>
      </c>
      <c r="K88" s="49">
        <f t="shared" si="11"/>
        <v>0</v>
      </c>
      <c r="L88" s="49">
        <f t="shared" si="12"/>
        <v>0</v>
      </c>
      <c r="M88" s="49">
        <f t="shared" si="13"/>
        <v>0</v>
      </c>
      <c r="N88" s="49">
        <f t="shared" si="14"/>
        <v>0</v>
      </c>
      <c r="O88" s="49">
        <f t="shared" si="15"/>
        <v>7.0465531318791983E-9</v>
      </c>
      <c r="P88" s="49">
        <f t="shared" si="16"/>
        <v>0</v>
      </c>
      <c r="Q88" s="49">
        <f t="shared" si="17"/>
        <v>0</v>
      </c>
    </row>
    <row r="89" spans="1:17">
      <c r="A89" s="47" t="str">
        <f>FMECA!A91</f>
        <v>OC3_Sys</v>
      </c>
      <c r="B89" s="48" t="str">
        <f>FMECA!B91</f>
        <v>Increase of current gain</v>
      </c>
      <c r="C89" s="48">
        <f>FMECA!E91</f>
        <v>7.0465531318791983E-9</v>
      </c>
      <c r="D89" s="47" t="str">
        <f>FMECA!H91</f>
        <v>Safe</v>
      </c>
      <c r="E89" s="47" t="str">
        <f>IF(ISNUMBER(SEARCH("Yes",FMECA!K91)),"Yes",IF(FMECA!K91="No","No",IF(ISNUMBER(SEARCH("No; impactless.",FMECA!K91)),"Impactless",IF(ISNUMBER(SEARCH("Outside the scope",FMECA!K91)),"Outside Scope",IF(ISNUMBER(SEARCH("Maybe",FMECA!K91)),"Maybe","Not Applicable")))))</f>
        <v>Impactless</v>
      </c>
      <c r="F89" s="47" t="s">
        <v>675</v>
      </c>
      <c r="G89" s="47" t="str">
        <f>IF(ISNUMBER(SEARCH("Yes",FMECA!L91)),"Yes",IF(FMECA!L91="No","No",IF(ISNUMBER(SEARCH("No; impactless.",FMECA!L91)),"Impactless","Not Applicable")))</f>
        <v>Impactless</v>
      </c>
      <c r="H89" s="47" t="str">
        <f>IF(ISNUMBER(SEARCH("CM0", FMECA!AC91)), "CM0", IF(ISNUMBER(SEARCH("CM1", FMECA!AC91)), "CM1", IF(ISNUMBER(SEARCH("CM2", FMECA!AC91)), "CM2", IF(ISNUMBER(SEARCH("CM3", FMECA!AC91)), "CM3", "Not Applicable"))))</f>
        <v>Not Applicable</v>
      </c>
      <c r="I89" s="49">
        <f t="shared" si="9"/>
        <v>0</v>
      </c>
      <c r="J89" s="49">
        <f t="shared" si="10"/>
        <v>0</v>
      </c>
      <c r="K89" s="49">
        <f t="shared" si="11"/>
        <v>0</v>
      </c>
      <c r="L89" s="49">
        <f t="shared" si="12"/>
        <v>0</v>
      </c>
      <c r="M89" s="49">
        <f t="shared" si="13"/>
        <v>0</v>
      </c>
      <c r="N89" s="49">
        <f t="shared" si="14"/>
        <v>0</v>
      </c>
      <c r="O89" s="49">
        <f t="shared" si="15"/>
        <v>0</v>
      </c>
      <c r="P89" s="49">
        <f t="shared" si="16"/>
        <v>0</v>
      </c>
      <c r="Q89" s="49">
        <f t="shared" si="17"/>
        <v>0</v>
      </c>
    </row>
    <row r="90" spans="1:17">
      <c r="A90" s="47" t="str">
        <f>FMECA!A92</f>
        <v>OC3_Sys</v>
      </c>
      <c r="B90" s="48" t="str">
        <f>FMECA!B92</f>
        <v>Decrease of current gain</v>
      </c>
      <c r="C90" s="48">
        <f>FMECA!E92</f>
        <v>7.0465531318791983E-9</v>
      </c>
      <c r="D90" s="47" t="str">
        <f>FMECA!H92</f>
        <v>Safe</v>
      </c>
      <c r="E90" s="47" t="str">
        <f>IF(ISNUMBER(SEARCH("Yes",FMECA!K92)),"Yes",IF(FMECA!K92="No","No",IF(ISNUMBER(SEARCH("No; impactless.",FMECA!K92)),"Impactless",IF(ISNUMBER(SEARCH("Outside the scope",FMECA!K92)),"Outside Scope",IF(ISNUMBER(SEARCH("Maybe",FMECA!K92)),"Maybe","Not Applicable")))))</f>
        <v>Outside Scope</v>
      </c>
      <c r="F90" s="47" t="s">
        <v>675</v>
      </c>
      <c r="G90" s="47" t="str">
        <f>IF(ISNUMBER(SEARCH("Yes",FMECA!L92)),"Yes",IF(FMECA!L92="No","No",IF(ISNUMBER(SEARCH("No; impactless.",FMECA!L92)),"Impactless","Not Applicable")))</f>
        <v>No</v>
      </c>
      <c r="H90" s="47" t="str">
        <f>IF(ISNUMBER(SEARCH("CM0", FMECA!AC92)), "CM0", IF(ISNUMBER(SEARCH("CM1", FMECA!AC92)), "CM1", IF(ISNUMBER(SEARCH("CM2", FMECA!AC92)), "CM2", IF(ISNUMBER(SEARCH("CM3", FMECA!AC92)), "CM3", "Not Applicable"))))</f>
        <v>Not Applicable</v>
      </c>
      <c r="I90" s="49">
        <f t="shared" si="9"/>
        <v>0</v>
      </c>
      <c r="J90" s="49">
        <f t="shared" si="10"/>
        <v>0</v>
      </c>
      <c r="K90" s="49">
        <f t="shared" si="11"/>
        <v>0</v>
      </c>
      <c r="L90" s="49">
        <f t="shared" si="12"/>
        <v>7.0465531318791983E-9</v>
      </c>
      <c r="M90" s="49">
        <f t="shared" si="13"/>
        <v>0</v>
      </c>
      <c r="N90" s="49">
        <f t="shared" si="14"/>
        <v>0</v>
      </c>
      <c r="O90" s="49">
        <f t="shared" si="15"/>
        <v>0</v>
      </c>
      <c r="P90" s="49">
        <f t="shared" si="16"/>
        <v>0</v>
      </c>
      <c r="Q90" s="49">
        <f t="shared" si="17"/>
        <v>0</v>
      </c>
    </row>
    <row r="91" spans="1:17">
      <c r="A91" s="47" t="str">
        <f>FMECA!A93</f>
        <v>D_Sys</v>
      </c>
      <c r="B91" s="48" t="str">
        <f>FMECA!B93</f>
        <v>Open</v>
      </c>
      <c r="C91" s="48">
        <f>FMECA!E93</f>
        <v>8.3831483928768434E-8</v>
      </c>
      <c r="D91" s="47" t="str">
        <f>FMECA!H93</f>
        <v>Safe</v>
      </c>
      <c r="E91" s="47" t="str">
        <f>IF(ISNUMBER(SEARCH("Yes",FMECA!K93)),"Yes",IF(FMECA!K93="No","No",IF(ISNUMBER(SEARCH("No; impactless.",FMECA!K93)),"Impactless",IF(ISNUMBER(SEARCH("Outside the scope",FMECA!K93)),"Outside Scope",IF(ISNUMBER(SEARCH("Maybe",FMECA!K93)),"Maybe","Not Applicable")))))</f>
        <v>No</v>
      </c>
      <c r="F91" s="47" t="s">
        <v>675</v>
      </c>
      <c r="G91" s="47" t="str">
        <f>IF(ISNUMBER(SEARCH("Yes",FMECA!L93)),"Yes",IF(FMECA!L93="No","No",IF(ISNUMBER(SEARCH("No; impactless.",FMECA!L93)),"Impactless","Not Applicable")))</f>
        <v>Yes</v>
      </c>
      <c r="H91" s="47" t="str">
        <f>IF(ISNUMBER(SEARCH("CM0", FMECA!AC93)), "CM0", IF(ISNUMBER(SEARCH("CM1", FMECA!AC93)), "CM1", IF(ISNUMBER(SEARCH("CM2", FMECA!AC93)), "CM2", IF(ISNUMBER(SEARCH("CM3", FMECA!AC93)), "CM3", "Not Applicable"))))</f>
        <v>Not Applicable</v>
      </c>
      <c r="I91" s="49">
        <f t="shared" si="9"/>
        <v>0</v>
      </c>
      <c r="J91" s="49">
        <f t="shared" si="10"/>
        <v>8.3831483928768434E-8</v>
      </c>
      <c r="K91" s="49">
        <f t="shared" si="11"/>
        <v>0</v>
      </c>
      <c r="L91" s="49">
        <f t="shared" si="12"/>
        <v>0</v>
      </c>
      <c r="M91" s="49">
        <f t="shared" si="13"/>
        <v>0</v>
      </c>
      <c r="N91" s="49">
        <f t="shared" si="14"/>
        <v>0</v>
      </c>
      <c r="O91" s="49">
        <f t="shared" si="15"/>
        <v>0</v>
      </c>
      <c r="P91" s="49">
        <f t="shared" si="16"/>
        <v>0</v>
      </c>
      <c r="Q91" s="49">
        <f t="shared" si="17"/>
        <v>0</v>
      </c>
    </row>
    <row r="92" spans="1:17">
      <c r="A92" s="47" t="str">
        <f>FMECA!A94</f>
        <v>D_Sys</v>
      </c>
      <c r="B92" s="48" t="str">
        <f>FMECA!B94</f>
        <v>Short-Circuit</v>
      </c>
      <c r="C92" s="48">
        <f>FMECA!E94</f>
        <v>1.4742778208162726E-7</v>
      </c>
      <c r="D92" s="47" t="str">
        <f>FMECA!H94</f>
        <v>Safe</v>
      </c>
      <c r="E92" s="47" t="str">
        <f>IF(ISNUMBER(SEARCH("Yes",FMECA!K94)),"Yes",IF(FMECA!K94="No","No",IF(ISNUMBER(SEARCH("No; impactless.",FMECA!K94)),"Impactless",IF(ISNUMBER(SEARCH("Outside the scope",FMECA!K94)),"Outside Scope",IF(ISNUMBER(SEARCH("Maybe",FMECA!K94)),"Maybe","Not Applicable")))))</f>
        <v>Yes</v>
      </c>
      <c r="F92" s="47" t="s">
        <v>675</v>
      </c>
      <c r="G92" s="47" t="str">
        <f>IF(ISNUMBER(SEARCH("Yes",FMECA!L94)),"Yes",IF(FMECA!L94="No","No",IF(ISNUMBER(SEARCH("No; impactless.",FMECA!L94)),"Impactless","Not Applicable")))</f>
        <v>Yes</v>
      </c>
      <c r="H92" s="47" t="str">
        <f>IF(ISNUMBER(SEARCH("CM0", FMECA!AC94)), "CM0", IF(ISNUMBER(SEARCH("CM1", FMECA!AC94)), "CM1", IF(ISNUMBER(SEARCH("CM2", FMECA!AC94)), "CM2", IF(ISNUMBER(SEARCH("CM3", FMECA!AC94)), "CM3", "Not Applicable"))))</f>
        <v>Not Applicable</v>
      </c>
      <c r="I92" s="49">
        <f t="shared" si="9"/>
        <v>0</v>
      </c>
      <c r="J92" s="49">
        <f t="shared" si="10"/>
        <v>0</v>
      </c>
      <c r="K92" s="49">
        <f t="shared" si="11"/>
        <v>1.4742778208162726E-7</v>
      </c>
      <c r="L92" s="49">
        <f t="shared" si="12"/>
        <v>0</v>
      </c>
      <c r="M92" s="49">
        <f t="shared" si="13"/>
        <v>0</v>
      </c>
      <c r="N92" s="49">
        <f t="shared" si="14"/>
        <v>0</v>
      </c>
      <c r="O92" s="49">
        <f t="shared" si="15"/>
        <v>0</v>
      </c>
      <c r="P92" s="49">
        <f t="shared" si="16"/>
        <v>0</v>
      </c>
      <c r="Q92" s="49">
        <f t="shared" si="17"/>
        <v>0</v>
      </c>
    </row>
    <row r="93" spans="1:17">
      <c r="A93" s="47" t="str">
        <f>FMECA!A95</f>
        <v>D_Sys</v>
      </c>
      <c r="B93" s="48" t="str">
        <f>FMECA!B95</f>
        <v>Increase of Reverse Current</v>
      </c>
      <c r="C93" s="48">
        <f>FMECA!E95</f>
        <v>9.6358027504331533E-9</v>
      </c>
      <c r="D93" s="47" t="str">
        <f>FMECA!H95</f>
        <v>Safe</v>
      </c>
      <c r="E93" s="47" t="str">
        <f>IF(ISNUMBER(SEARCH("Yes",FMECA!K95)),"Yes",IF(FMECA!K95="No","No",IF(ISNUMBER(SEARCH("No; impactless.",FMECA!K95)),"Impactless",IF(ISNUMBER(SEARCH("Outside the scope",FMECA!K95)),"Outside Scope",IF(ISNUMBER(SEARCH("Maybe",FMECA!K95)),"Maybe","Not Applicable")))))</f>
        <v>Yes</v>
      </c>
      <c r="F93" s="47" t="s">
        <v>675</v>
      </c>
      <c r="G93" s="47" t="str">
        <f>IF(ISNUMBER(SEARCH("Yes",FMECA!L95)),"Yes",IF(FMECA!L95="No","No",IF(ISNUMBER(SEARCH("No; impactless.",FMECA!L95)),"Impactless","Not Applicable")))</f>
        <v>Yes</v>
      </c>
      <c r="H93" s="47" t="str">
        <f>IF(ISNUMBER(SEARCH("CM0", FMECA!AC95)), "CM0", IF(ISNUMBER(SEARCH("CM1", FMECA!AC95)), "CM1", IF(ISNUMBER(SEARCH("CM2", FMECA!AC95)), "CM2", IF(ISNUMBER(SEARCH("CM3", FMECA!AC95)), "CM3", "Not Applicable"))))</f>
        <v>Not Applicable</v>
      </c>
      <c r="I93" s="49">
        <f t="shared" si="9"/>
        <v>0</v>
      </c>
      <c r="J93" s="49">
        <f t="shared" si="10"/>
        <v>0</v>
      </c>
      <c r="K93" s="49">
        <f t="shared" si="11"/>
        <v>9.6358027504331533E-9</v>
      </c>
      <c r="L93" s="49">
        <f t="shared" si="12"/>
        <v>0</v>
      </c>
      <c r="M93" s="49">
        <f t="shared" si="13"/>
        <v>0</v>
      </c>
      <c r="N93" s="49">
        <f t="shared" si="14"/>
        <v>0</v>
      </c>
      <c r="O93" s="49">
        <f t="shared" si="15"/>
        <v>0</v>
      </c>
      <c r="P93" s="49">
        <f t="shared" si="16"/>
        <v>0</v>
      </c>
      <c r="Q93" s="49">
        <f t="shared" si="17"/>
        <v>0</v>
      </c>
    </row>
    <row r="94" spans="1:17">
      <c r="A94" s="47" t="str">
        <f>FMECA!A96</f>
        <v>D_Sys</v>
      </c>
      <c r="B94" s="48" t="str">
        <f>FMECA!B96</f>
        <v>Decrease of Reverse Breakdown Voltage</v>
      </c>
      <c r="C94" s="48">
        <f>FMECA!E96</f>
        <v>9.6358027504331533E-9</v>
      </c>
      <c r="D94" s="47" t="str">
        <f>FMECA!H96</f>
        <v>Safe</v>
      </c>
      <c r="E94" s="47" t="str">
        <f>IF(ISNUMBER(SEARCH("Yes",FMECA!K96)),"Yes",IF(FMECA!K96="No","No",IF(ISNUMBER(SEARCH("No; impactless.",FMECA!K96)),"Impactless",IF(ISNUMBER(SEARCH("Outside the scope",FMECA!K96)),"Outside Scope",IF(ISNUMBER(SEARCH("Maybe",FMECA!K96)),"Maybe","Not Applicable")))))</f>
        <v>Yes</v>
      </c>
      <c r="F94" s="47" t="s">
        <v>675</v>
      </c>
      <c r="G94" s="47" t="str">
        <f>IF(ISNUMBER(SEARCH("Yes",FMECA!L96)),"Yes",IF(FMECA!L96="No","No",IF(ISNUMBER(SEARCH("No; impactless.",FMECA!L96)),"Impactless","Not Applicable")))</f>
        <v>Yes</v>
      </c>
      <c r="H94" s="47" t="str">
        <f>IF(ISNUMBER(SEARCH("CM0", FMECA!AC96)), "CM0", IF(ISNUMBER(SEARCH("CM1", FMECA!AC96)), "CM1", IF(ISNUMBER(SEARCH("CM2", FMECA!AC96)), "CM2", IF(ISNUMBER(SEARCH("CM3", FMECA!AC96)), "CM3", "Not Applicable"))))</f>
        <v>Not Applicable</v>
      </c>
      <c r="I94" s="49">
        <f t="shared" si="9"/>
        <v>0</v>
      </c>
      <c r="J94" s="49">
        <f t="shared" si="10"/>
        <v>0</v>
      </c>
      <c r="K94" s="49">
        <f t="shared" si="11"/>
        <v>9.6358027504331533E-9</v>
      </c>
      <c r="L94" s="49">
        <f t="shared" si="12"/>
        <v>0</v>
      </c>
      <c r="M94" s="49">
        <f t="shared" si="13"/>
        <v>0</v>
      </c>
      <c r="N94" s="49">
        <f t="shared" si="14"/>
        <v>0</v>
      </c>
      <c r="O94" s="49">
        <f t="shared" si="15"/>
        <v>0</v>
      </c>
      <c r="P94" s="49">
        <f t="shared" si="16"/>
        <v>0</v>
      </c>
      <c r="Q94" s="49">
        <f t="shared" si="17"/>
        <v>0</v>
      </c>
    </row>
    <row r="95" spans="1:17">
      <c r="A95" s="47" t="str">
        <f>FMECA!A97</f>
        <v>D_Sys</v>
      </c>
      <c r="B95" s="48" t="str">
        <f>FMECA!B97</f>
        <v>Increase of Conducting-State Voltage</v>
      </c>
      <c r="C95" s="48">
        <f>FMECA!E97</f>
        <v>9.6358027504331533E-9</v>
      </c>
      <c r="D95" s="47" t="str">
        <f>FMECA!H97</f>
        <v>Safe</v>
      </c>
      <c r="E95" s="47" t="str">
        <f>IF(ISNUMBER(SEARCH("Yes",FMECA!K97)),"Yes",IF(FMECA!K97="No","No",IF(ISNUMBER(SEARCH("No; impactless.",FMECA!K97)),"Impactless",IF(ISNUMBER(SEARCH("Outside the scope",FMECA!K97)),"Outside Scope",IF(ISNUMBER(SEARCH("Maybe",FMECA!K97)),"Maybe","Not Applicable")))))</f>
        <v>No</v>
      </c>
      <c r="F95" s="47" t="s">
        <v>675</v>
      </c>
      <c r="G95" s="47" t="str">
        <f>IF(ISNUMBER(SEARCH("Yes",FMECA!L97)),"Yes",IF(FMECA!L97="No","No",IF(ISNUMBER(SEARCH("No; impactless.",FMECA!L97)),"Impactless","Not Applicable")))</f>
        <v>Yes</v>
      </c>
      <c r="H95" s="47" t="str">
        <f>IF(ISNUMBER(SEARCH("CM0", FMECA!AC97)), "CM0", IF(ISNUMBER(SEARCH("CM1", FMECA!AC97)), "CM1", IF(ISNUMBER(SEARCH("CM2", FMECA!AC97)), "CM2", IF(ISNUMBER(SEARCH("CM3", FMECA!AC97)), "CM3", "Not Applicable"))))</f>
        <v>Not Applicable</v>
      </c>
      <c r="I95" s="49">
        <f t="shared" si="9"/>
        <v>0</v>
      </c>
      <c r="J95" s="49">
        <f t="shared" si="10"/>
        <v>9.6358027504331533E-9</v>
      </c>
      <c r="K95" s="49">
        <f t="shared" si="11"/>
        <v>0</v>
      </c>
      <c r="L95" s="49">
        <f t="shared" si="12"/>
        <v>0</v>
      </c>
      <c r="M95" s="49">
        <f t="shared" si="13"/>
        <v>0</v>
      </c>
      <c r="N95" s="49">
        <f t="shared" si="14"/>
        <v>0</v>
      </c>
      <c r="O95" s="49">
        <f t="shared" si="15"/>
        <v>0</v>
      </c>
      <c r="P95" s="49">
        <f t="shared" si="16"/>
        <v>0</v>
      </c>
      <c r="Q95" s="49">
        <f t="shared" si="17"/>
        <v>0</v>
      </c>
    </row>
    <row r="96" spans="1:17">
      <c r="A96" s="47" t="str">
        <f>FMECA!A98</f>
        <v>D_Sys</v>
      </c>
      <c r="B96" s="48" t="str">
        <f>FMECA!B98</f>
        <v>Decrease of Conducting-State Voltage</v>
      </c>
      <c r="C96" s="48">
        <f>FMECA!E98</f>
        <v>9.6358027504331533E-9</v>
      </c>
      <c r="D96" s="47" t="str">
        <f>FMECA!H98</f>
        <v>Safe</v>
      </c>
      <c r="E96" s="47" t="str">
        <f>IF(ISNUMBER(SEARCH("Yes",FMECA!K98)),"Yes",IF(FMECA!K98="No","No",IF(ISNUMBER(SEARCH("No; impactless.",FMECA!K98)),"Impactless",IF(ISNUMBER(SEARCH("Outside the scope",FMECA!K98)),"Outside Scope",IF(ISNUMBER(SEARCH("Maybe",FMECA!K98)),"Maybe","Not Applicable")))))</f>
        <v>Yes</v>
      </c>
      <c r="F96" s="47" t="s">
        <v>675</v>
      </c>
      <c r="G96" s="47" t="str">
        <f>IF(ISNUMBER(SEARCH("Yes",FMECA!L98)),"Yes",IF(FMECA!L98="No","No",IF(ISNUMBER(SEARCH("No; impactless.",FMECA!L98)),"Impactless","Not Applicable")))</f>
        <v>Yes</v>
      </c>
      <c r="H96" s="47" t="str">
        <f>IF(ISNUMBER(SEARCH("CM0", FMECA!AC98)), "CM0", IF(ISNUMBER(SEARCH("CM1", FMECA!AC98)), "CM1", IF(ISNUMBER(SEARCH("CM2", FMECA!AC98)), "CM2", IF(ISNUMBER(SEARCH("CM3", FMECA!AC98)), "CM3", "Not Applicable"))))</f>
        <v>Not Applicable</v>
      </c>
      <c r="I96" s="49">
        <f t="shared" si="9"/>
        <v>0</v>
      </c>
      <c r="J96" s="49">
        <f t="shared" si="10"/>
        <v>0</v>
      </c>
      <c r="K96" s="49">
        <f t="shared" si="11"/>
        <v>9.6358027504331533E-9</v>
      </c>
      <c r="L96" s="49">
        <f t="shared" si="12"/>
        <v>0</v>
      </c>
      <c r="M96" s="49">
        <f t="shared" si="13"/>
        <v>0</v>
      </c>
      <c r="N96" s="49">
        <f t="shared" si="14"/>
        <v>0</v>
      </c>
      <c r="O96" s="49">
        <f t="shared" si="15"/>
        <v>0</v>
      </c>
      <c r="P96" s="49">
        <f t="shared" si="16"/>
        <v>0</v>
      </c>
      <c r="Q96" s="49">
        <f t="shared" si="17"/>
        <v>0</v>
      </c>
    </row>
    <row r="97" spans="1:17">
      <c r="A97" s="47" t="str">
        <f>FMECA!A99</f>
        <v>D_Sys</v>
      </c>
      <c r="B97" s="48" t="str">
        <f>FMECA!B99</f>
        <v>Increase of Threshold Voltage</v>
      </c>
      <c r="C97" s="48">
        <f>FMECA!E99</f>
        <v>9.6358027504331533E-9</v>
      </c>
      <c r="D97" s="47" t="str">
        <f>FMECA!H99</f>
        <v>Safe</v>
      </c>
      <c r="E97" s="47" t="str">
        <f>IF(ISNUMBER(SEARCH("Yes",FMECA!K99)),"Yes",IF(FMECA!K99="No","No",IF(ISNUMBER(SEARCH("No; impactless.",FMECA!K99)),"Impactless",IF(ISNUMBER(SEARCH("Outside the scope",FMECA!K99)),"Outside Scope",IF(ISNUMBER(SEARCH("Maybe",FMECA!K99)),"Maybe","Not Applicable")))))</f>
        <v>No</v>
      </c>
      <c r="F97" s="47" t="s">
        <v>675</v>
      </c>
      <c r="G97" s="47" t="str">
        <f>IF(ISNUMBER(SEARCH("Yes",FMECA!L99)),"Yes",IF(FMECA!L99="No","No",IF(ISNUMBER(SEARCH("No; impactless.",FMECA!L99)),"Impactless","Not Applicable")))</f>
        <v>Yes</v>
      </c>
      <c r="H97" s="47" t="str">
        <f>IF(ISNUMBER(SEARCH("CM0", FMECA!AC99)), "CM0", IF(ISNUMBER(SEARCH("CM1", FMECA!AC99)), "CM1", IF(ISNUMBER(SEARCH("CM2", FMECA!AC99)), "CM2", IF(ISNUMBER(SEARCH("CM3", FMECA!AC99)), "CM3", "Not Applicable"))))</f>
        <v>Not Applicable</v>
      </c>
      <c r="I97" s="49">
        <f t="shared" si="9"/>
        <v>0</v>
      </c>
      <c r="J97" s="49">
        <f t="shared" si="10"/>
        <v>9.6358027504331533E-9</v>
      </c>
      <c r="K97" s="49">
        <f t="shared" si="11"/>
        <v>0</v>
      </c>
      <c r="L97" s="49">
        <f t="shared" si="12"/>
        <v>0</v>
      </c>
      <c r="M97" s="49">
        <f t="shared" si="13"/>
        <v>0</v>
      </c>
      <c r="N97" s="49">
        <f t="shared" si="14"/>
        <v>0</v>
      </c>
      <c r="O97" s="49">
        <f t="shared" si="15"/>
        <v>0</v>
      </c>
      <c r="P97" s="49">
        <f t="shared" si="16"/>
        <v>0</v>
      </c>
      <c r="Q97" s="49">
        <f t="shared" si="17"/>
        <v>0</v>
      </c>
    </row>
    <row r="98" spans="1:17">
      <c r="A98" s="47" t="str">
        <f>FMECA!A100</f>
        <v>D_Sys</v>
      </c>
      <c r="B98" s="48" t="str">
        <f>FMECA!B100</f>
        <v>Decrease of Threshold Voltage</v>
      </c>
      <c r="C98" s="48">
        <f>FMECA!E100</f>
        <v>9.6358027504331533E-9</v>
      </c>
      <c r="D98" s="47" t="str">
        <f>FMECA!H100</f>
        <v>Safe</v>
      </c>
      <c r="E98" s="47" t="str">
        <f>IF(ISNUMBER(SEARCH("Yes",FMECA!K100)),"Yes",IF(FMECA!K100="No","No",IF(ISNUMBER(SEARCH("No; impactless.",FMECA!K100)),"Impactless",IF(ISNUMBER(SEARCH("Outside the scope",FMECA!K100)),"Outside Scope",IF(ISNUMBER(SEARCH("Maybe",FMECA!K100)),"Maybe","Not Applicable")))))</f>
        <v>Yes</v>
      </c>
      <c r="F98" s="47" t="s">
        <v>675</v>
      </c>
      <c r="G98" s="47" t="str">
        <f>IF(ISNUMBER(SEARCH("Yes",FMECA!L100)),"Yes",IF(FMECA!L100="No","No",IF(ISNUMBER(SEARCH("No; impactless.",FMECA!L100)),"Impactless","Not Applicable")))</f>
        <v>Yes</v>
      </c>
      <c r="H98" s="47" t="str">
        <f>IF(ISNUMBER(SEARCH("CM0", FMECA!AC100)), "CM0", IF(ISNUMBER(SEARCH("CM1", FMECA!AC100)), "CM1", IF(ISNUMBER(SEARCH("CM2", FMECA!AC100)), "CM2", IF(ISNUMBER(SEARCH("CM3", FMECA!AC100)), "CM3", "Not Applicable"))))</f>
        <v>Not Applicable</v>
      </c>
      <c r="I98" s="49">
        <f t="shared" si="9"/>
        <v>0</v>
      </c>
      <c r="J98" s="49">
        <f t="shared" si="10"/>
        <v>0</v>
      </c>
      <c r="K98" s="49">
        <f t="shared" si="11"/>
        <v>9.6358027504331533E-9</v>
      </c>
      <c r="L98" s="49">
        <f t="shared" si="12"/>
        <v>0</v>
      </c>
      <c r="M98" s="49">
        <f t="shared" si="13"/>
        <v>0</v>
      </c>
      <c r="N98" s="49">
        <f t="shared" si="14"/>
        <v>0</v>
      </c>
      <c r="O98" s="49">
        <f t="shared" si="15"/>
        <v>0</v>
      </c>
      <c r="P98" s="49">
        <f t="shared" si="16"/>
        <v>0</v>
      </c>
      <c r="Q98" s="49">
        <f t="shared" si="17"/>
        <v>0</v>
      </c>
    </row>
    <row r="99" spans="1:17">
      <c r="A99" s="47" t="str">
        <f>FMECA!A101</f>
        <v>D_Sys</v>
      </c>
      <c r="B99" s="48" t="str">
        <f>FMECA!B101</f>
        <v>Short-Circuit to Conductive Casing</v>
      </c>
      <c r="C99" s="48">
        <f>FMECA!E101</f>
        <v>0</v>
      </c>
      <c r="D99" s="47" t="str">
        <f>FMECA!H101</f>
        <v>Safe</v>
      </c>
      <c r="E99" s="47" t="str">
        <f>IF(ISNUMBER(SEARCH("Yes",FMECA!K101)),"Yes",IF(FMECA!K101="No","No",IF(ISNUMBER(SEARCH("No; impactless.",FMECA!K101)),"Impactless",IF(ISNUMBER(SEARCH("Outside the scope",FMECA!K101)),"Outside Scope",IF(ISNUMBER(SEARCH("Maybe",FMECA!K101)),"Maybe","Not Applicable")))))</f>
        <v>Impactless</v>
      </c>
      <c r="F99" s="47" t="s">
        <v>675</v>
      </c>
      <c r="G99" s="47" t="str">
        <f>IF(ISNUMBER(SEARCH("Yes",FMECA!L101)),"Yes",IF(FMECA!L101="No","No",IF(ISNUMBER(SEARCH("No; impactless.",FMECA!L101)),"Impactless","Not Applicable")))</f>
        <v>Impactless</v>
      </c>
      <c r="H99" s="47" t="str">
        <f>IF(ISNUMBER(SEARCH("CM0", FMECA!AC101)), "CM0", IF(ISNUMBER(SEARCH("CM1", FMECA!AC101)), "CM1", IF(ISNUMBER(SEARCH("CM2", FMECA!AC101)), "CM2", IF(ISNUMBER(SEARCH("CM3", FMECA!AC101)), "CM3", "Not Applicable"))))</f>
        <v>Not Applicable</v>
      </c>
      <c r="I99" s="49">
        <f t="shared" si="9"/>
        <v>0</v>
      </c>
      <c r="J99" s="49">
        <f t="shared" si="10"/>
        <v>0</v>
      </c>
      <c r="K99" s="49">
        <f t="shared" si="11"/>
        <v>0</v>
      </c>
      <c r="L99" s="49">
        <f t="shared" si="12"/>
        <v>0</v>
      </c>
      <c r="M99" s="49">
        <f t="shared" si="13"/>
        <v>0</v>
      </c>
      <c r="N99" s="49">
        <f t="shared" si="14"/>
        <v>0</v>
      </c>
      <c r="O99" s="49">
        <f t="shared" si="15"/>
        <v>0</v>
      </c>
      <c r="P99" s="49">
        <f t="shared" si="16"/>
        <v>0</v>
      </c>
      <c r="Q99" s="49">
        <f t="shared" si="17"/>
        <v>0</v>
      </c>
    </row>
    <row r="100" spans="1:17">
      <c r="A100" s="47" t="str">
        <f>FMECA!A102</f>
        <v>K_Sys</v>
      </c>
      <c r="B100" s="48" t="str">
        <f>FMECA!B102</f>
        <v>Interruption of any coil</v>
      </c>
      <c r="C100" s="48">
        <f>FMECA!E102</f>
        <v>3.1495790314816006E-7</v>
      </c>
      <c r="D100" s="47" t="str">
        <f>FMECA!H102</f>
        <v>Safe</v>
      </c>
      <c r="E100" s="47" t="str">
        <f>IF(ISNUMBER(SEARCH("Yes",FMECA!K102)),"Yes",IF(FMECA!K102="No","No",IF(ISNUMBER(SEARCH("No; impactless.",FMECA!K102)),"Impactless",IF(ISNUMBER(SEARCH("Outside the scope",FMECA!K102)),"Outside Scope",IF(ISNUMBER(SEARCH("Maybe",FMECA!K102)),"Maybe","Not Applicable")))))</f>
        <v>Yes</v>
      </c>
      <c r="F100" s="47" t="s">
        <v>675</v>
      </c>
      <c r="G100" s="47" t="str">
        <f>IF(ISNUMBER(SEARCH("Yes",FMECA!L102)),"Yes",IF(FMECA!L102="No","No",IF(ISNUMBER(SEARCH("No; impactless.",FMECA!L102)),"Impactless","Not Applicable")))</f>
        <v>Yes</v>
      </c>
      <c r="H100" s="47" t="str">
        <f>IF(ISNUMBER(SEARCH("CM0", FMECA!AC102)), "CM0", IF(ISNUMBER(SEARCH("CM1", FMECA!AC102)), "CM1", IF(ISNUMBER(SEARCH("CM2", FMECA!AC102)), "CM2", IF(ISNUMBER(SEARCH("CM3", FMECA!AC102)), "CM3", "Not Applicable"))))</f>
        <v>Not Applicable</v>
      </c>
      <c r="I100" s="49">
        <f t="shared" si="9"/>
        <v>0</v>
      </c>
      <c r="J100" s="49">
        <f t="shared" si="10"/>
        <v>0</v>
      </c>
      <c r="K100" s="49">
        <f t="shared" si="11"/>
        <v>3.1495790314816006E-7</v>
      </c>
      <c r="L100" s="49">
        <f t="shared" si="12"/>
        <v>0</v>
      </c>
      <c r="M100" s="49">
        <f t="shared" si="13"/>
        <v>0</v>
      </c>
      <c r="N100" s="49">
        <f t="shared" si="14"/>
        <v>0</v>
      </c>
      <c r="O100" s="49">
        <f t="shared" si="15"/>
        <v>0</v>
      </c>
      <c r="P100" s="49">
        <f t="shared" si="16"/>
        <v>0</v>
      </c>
      <c r="Q100" s="49">
        <f t="shared" si="17"/>
        <v>0</v>
      </c>
    </row>
    <row r="101" spans="1:17">
      <c r="A101" s="47" t="str">
        <f>FMECA!A103</f>
        <v>K_Sys</v>
      </c>
      <c r="B101" s="48" t="str">
        <f>FMECA!B103</f>
        <v>Interruption of NO contact</v>
      </c>
      <c r="C101" s="48">
        <f>FMECA!E103</f>
        <v>5.790135189188397E-8</v>
      </c>
      <c r="D101" s="47" t="str">
        <f>FMECA!H103</f>
        <v>Safe</v>
      </c>
      <c r="E101" s="47" t="str">
        <f>IF(ISNUMBER(SEARCH("Yes",FMECA!K103)),"Yes",IF(FMECA!K103="No","No",IF(ISNUMBER(SEARCH("No; impactless.",FMECA!K103)),"Impactless",IF(ISNUMBER(SEARCH("Outside the scope",FMECA!K103)),"Outside Scope",IF(ISNUMBER(SEARCH("Maybe",FMECA!K103)),"Maybe","Not Applicable")))))</f>
        <v>Yes</v>
      </c>
      <c r="F101" s="47" t="s">
        <v>675</v>
      </c>
      <c r="G101" s="47" t="str">
        <f>IF(ISNUMBER(SEARCH("Yes",FMECA!L103)),"Yes",IF(FMECA!L103="No","No",IF(ISNUMBER(SEARCH("No; impactless.",FMECA!L103)),"Impactless","Not Applicable")))</f>
        <v>Yes</v>
      </c>
      <c r="H101" s="47" t="str">
        <f>IF(ISNUMBER(SEARCH("CM0", FMECA!AC103)), "CM0", IF(ISNUMBER(SEARCH("CM1", FMECA!AC103)), "CM1", IF(ISNUMBER(SEARCH("CM2", FMECA!AC103)), "CM2", IF(ISNUMBER(SEARCH("CM3", FMECA!AC103)), "CM3", "Not Applicable"))))</f>
        <v>Not Applicable</v>
      </c>
      <c r="I101" s="49">
        <f t="shared" si="9"/>
        <v>0</v>
      </c>
      <c r="J101" s="49">
        <f t="shared" si="10"/>
        <v>0</v>
      </c>
      <c r="K101" s="49">
        <f t="shared" si="11"/>
        <v>5.790135189188397E-8</v>
      </c>
      <c r="L101" s="49">
        <f t="shared" si="12"/>
        <v>0</v>
      </c>
      <c r="M101" s="49">
        <f t="shared" si="13"/>
        <v>0</v>
      </c>
      <c r="N101" s="49">
        <f t="shared" si="14"/>
        <v>0</v>
      </c>
      <c r="O101" s="49">
        <f t="shared" si="15"/>
        <v>0</v>
      </c>
      <c r="P101" s="49">
        <f t="shared" si="16"/>
        <v>0</v>
      </c>
      <c r="Q101" s="49">
        <f t="shared" si="17"/>
        <v>0</v>
      </c>
    </row>
    <row r="102" spans="1:17">
      <c r="A102" s="47" t="str">
        <f>FMECA!A104</f>
        <v>K_Sys</v>
      </c>
      <c r="B102" s="48" t="str">
        <f>FMECA!B104</f>
        <v>Interruption of NC contact</v>
      </c>
      <c r="C102" s="48">
        <f>FMECA!E104</f>
        <v>5.790135189188397E-8</v>
      </c>
      <c r="D102" s="47" t="str">
        <f>FMECA!H104</f>
        <v>Safe</v>
      </c>
      <c r="E102" s="47" t="str">
        <f>IF(ISNUMBER(SEARCH("Yes",FMECA!K104)),"Yes",IF(FMECA!K104="No","No",IF(ISNUMBER(SEARCH("No; impactless.",FMECA!K104)),"Impactless",IF(ISNUMBER(SEARCH("Outside the scope",FMECA!K104)),"Outside Scope",IF(ISNUMBER(SEARCH("Maybe",FMECA!K104)),"Maybe","Not Applicable")))))</f>
        <v>No</v>
      </c>
      <c r="F102" s="47" t="s">
        <v>675</v>
      </c>
      <c r="G102" s="47" t="str">
        <f>IF(ISNUMBER(SEARCH("Yes",FMECA!L104)),"Yes",IF(FMECA!L104="No","No",IF(ISNUMBER(SEARCH("No; impactless.",FMECA!L104)),"Impactless","Not Applicable")))</f>
        <v>Yes</v>
      </c>
      <c r="H102" s="47" t="str">
        <f>IF(ISNUMBER(SEARCH("CM0", FMECA!AC104)), "CM0", IF(ISNUMBER(SEARCH("CM1", FMECA!AC104)), "CM1", IF(ISNUMBER(SEARCH("CM2", FMECA!AC104)), "CM2", IF(ISNUMBER(SEARCH("CM3", FMECA!AC104)), "CM3", "Not Applicable"))))</f>
        <v>Not Applicable</v>
      </c>
      <c r="I102" s="49">
        <f t="shared" si="9"/>
        <v>0</v>
      </c>
      <c r="J102" s="49">
        <f t="shared" si="10"/>
        <v>5.790135189188397E-8</v>
      </c>
      <c r="K102" s="49">
        <f t="shared" si="11"/>
        <v>0</v>
      </c>
      <c r="L102" s="49">
        <f t="shared" si="12"/>
        <v>0</v>
      </c>
      <c r="M102" s="49">
        <f t="shared" si="13"/>
        <v>0</v>
      </c>
      <c r="N102" s="49">
        <f t="shared" si="14"/>
        <v>0</v>
      </c>
      <c r="O102" s="49">
        <f t="shared" si="15"/>
        <v>0</v>
      </c>
      <c r="P102" s="49">
        <f t="shared" si="16"/>
        <v>0</v>
      </c>
      <c r="Q102" s="49">
        <f t="shared" si="17"/>
        <v>0</v>
      </c>
    </row>
    <row r="103" spans="1:17">
      <c r="A103" s="47" t="str">
        <f>FMECA!A105</f>
        <v>K_Sys</v>
      </c>
      <c r="B103" s="48" t="str">
        <f>FMECA!B105</f>
        <v>Short-circuit or decrease of insulation resistance across open contacts</v>
      </c>
      <c r="C103" s="48">
        <f>FMECA!E105</f>
        <v>2.5387515829518358E-7</v>
      </c>
      <c r="D103" s="47" t="str">
        <f>FMECA!H105</f>
        <v>Safe</v>
      </c>
      <c r="E103" s="47" t="str">
        <f>IF(ISNUMBER(SEARCH("Yes",FMECA!K105)),"Yes",IF(FMECA!K105="No","No",IF(ISNUMBER(SEARCH("No; impactless.",FMECA!K105)),"Impactless",IF(ISNUMBER(SEARCH("Outside the scope",FMECA!K105)),"Outside Scope",IF(ISNUMBER(SEARCH("Maybe",FMECA!K105)),"Maybe","Not Applicable")))))</f>
        <v>No</v>
      </c>
      <c r="F103" s="47" t="s">
        <v>675</v>
      </c>
      <c r="G103" s="47" t="str">
        <f>IF(ISNUMBER(SEARCH("Yes",FMECA!L105)),"Yes",IF(FMECA!L105="No","No",IF(ISNUMBER(SEARCH("No; impactless.",FMECA!L105)),"Impactless","Not Applicable")))</f>
        <v>Yes</v>
      </c>
      <c r="H103" s="47" t="str">
        <f>IF(ISNUMBER(SEARCH("CM0", FMECA!AC105)), "CM0", IF(ISNUMBER(SEARCH("CM1", FMECA!AC105)), "CM1", IF(ISNUMBER(SEARCH("CM2", FMECA!AC105)), "CM2", IF(ISNUMBER(SEARCH("CM3", FMECA!AC105)), "CM3", "Not Applicable"))))</f>
        <v>Not Applicable</v>
      </c>
      <c r="I103" s="49">
        <f t="shared" si="9"/>
        <v>0</v>
      </c>
      <c r="J103" s="49">
        <f t="shared" si="10"/>
        <v>2.5387515829518358E-7</v>
      </c>
      <c r="K103" s="49">
        <f t="shared" si="11"/>
        <v>0</v>
      </c>
      <c r="L103" s="49">
        <f t="shared" si="12"/>
        <v>0</v>
      </c>
      <c r="M103" s="49">
        <f t="shared" si="13"/>
        <v>0</v>
      </c>
      <c r="N103" s="49">
        <f t="shared" si="14"/>
        <v>0</v>
      </c>
      <c r="O103" s="49">
        <f t="shared" si="15"/>
        <v>0</v>
      </c>
      <c r="P103" s="49">
        <f t="shared" si="16"/>
        <v>0</v>
      </c>
      <c r="Q103" s="49">
        <f t="shared" si="17"/>
        <v>0</v>
      </c>
    </row>
    <row r="104" spans="1:17">
      <c r="A104" s="47" t="str">
        <f>FMECA!A106</f>
        <v>K_Sys</v>
      </c>
      <c r="B104" s="48" t="str">
        <f>FMECA!B106</f>
        <v>Short-circuit or decrease of insulation resistance between coil and coil</v>
      </c>
      <c r="C104" s="48">
        <f>FMECA!E106</f>
        <v>0</v>
      </c>
      <c r="D104" s="47" t="str">
        <f>FMECA!H106</f>
        <v>Safe</v>
      </c>
      <c r="E104" s="47" t="str">
        <f>IF(ISNUMBER(SEARCH("Yes",FMECA!K106)),"Yes",IF(FMECA!K106="No","No",IF(ISNUMBER(SEARCH("No; impactless.",FMECA!K106)),"Impactless",IF(ISNUMBER(SEARCH("Outside the scope",FMECA!K106)),"Outside Scope",IF(ISNUMBER(SEARCH("Maybe",FMECA!K106)),"Maybe","Not Applicable")))))</f>
        <v>Impactless</v>
      </c>
      <c r="F104" s="47" t="s">
        <v>675</v>
      </c>
      <c r="G104" s="47" t="str">
        <f>IF(ISNUMBER(SEARCH("Yes",FMECA!L106)),"Yes",IF(FMECA!L106="No","No",IF(ISNUMBER(SEARCH("No; impactless.",FMECA!L106)),"Impactless","Not Applicable")))</f>
        <v>Impactless</v>
      </c>
      <c r="H104" s="47" t="str">
        <f>IF(ISNUMBER(SEARCH("CM0", FMECA!AC106)), "CM0", IF(ISNUMBER(SEARCH("CM1", FMECA!AC106)), "CM1", IF(ISNUMBER(SEARCH("CM2", FMECA!AC106)), "CM2", IF(ISNUMBER(SEARCH("CM3", FMECA!AC106)), "CM3", "Not Applicable"))))</f>
        <v>Not Applicable</v>
      </c>
      <c r="I104" s="49">
        <f t="shared" si="9"/>
        <v>0</v>
      </c>
      <c r="J104" s="49">
        <f t="shared" si="10"/>
        <v>0</v>
      </c>
      <c r="K104" s="49">
        <f t="shared" si="11"/>
        <v>0</v>
      </c>
      <c r="L104" s="49">
        <f t="shared" si="12"/>
        <v>0</v>
      </c>
      <c r="M104" s="49">
        <f t="shared" si="13"/>
        <v>0</v>
      </c>
      <c r="N104" s="49">
        <f t="shared" si="14"/>
        <v>0</v>
      </c>
      <c r="O104" s="49">
        <f t="shared" si="15"/>
        <v>0</v>
      </c>
      <c r="P104" s="49">
        <f t="shared" si="16"/>
        <v>0</v>
      </c>
      <c r="Q104" s="49">
        <f t="shared" si="17"/>
        <v>0</v>
      </c>
    </row>
    <row r="105" spans="1:17">
      <c r="A105" s="47" t="str">
        <f>FMECA!A107</f>
        <v>K_Sys</v>
      </c>
      <c r="B105" s="48" t="str">
        <f>FMECA!B107</f>
        <v>Short-circuit or decrease of insulation resistance between coil and contact</v>
      </c>
      <c r="C105" s="48">
        <f>FMECA!E107</f>
        <v>2.5387515829518358E-7</v>
      </c>
      <c r="D105" s="47" t="str">
        <f>FMECA!H107</f>
        <v>Safe</v>
      </c>
      <c r="E105" s="47" t="str">
        <f>IF(ISNUMBER(SEARCH("Yes",FMECA!K107)),"Yes",IF(FMECA!K107="No","No",IF(ISNUMBER(SEARCH("No; impactless.",FMECA!K107)),"Impactless",IF(ISNUMBER(SEARCH("Outside the scope",FMECA!K107)),"Outside Scope",IF(ISNUMBER(SEARCH("Maybe",FMECA!K107)),"Maybe","Not Applicable")))))</f>
        <v>No</v>
      </c>
      <c r="F105" s="47" t="s">
        <v>675</v>
      </c>
      <c r="G105" s="47" t="str">
        <f>IF(ISNUMBER(SEARCH("Yes",FMECA!L107)),"Yes",IF(FMECA!L107="No","No",IF(ISNUMBER(SEARCH("No; impactless.",FMECA!L107)),"Impactless","Not Applicable")))</f>
        <v>Yes</v>
      </c>
      <c r="H105" s="47" t="str">
        <f>IF(ISNUMBER(SEARCH("CM0", FMECA!AC107)), "CM0", IF(ISNUMBER(SEARCH("CM1", FMECA!AC107)), "CM1", IF(ISNUMBER(SEARCH("CM2", FMECA!AC107)), "CM2", IF(ISNUMBER(SEARCH("CM3", FMECA!AC107)), "CM3", "Not Applicable"))))</f>
        <v>Not Applicable</v>
      </c>
      <c r="I105" s="49">
        <f t="shared" si="9"/>
        <v>0</v>
      </c>
      <c r="J105" s="49">
        <f t="shared" si="10"/>
        <v>2.5387515829518358E-7</v>
      </c>
      <c r="K105" s="49">
        <f t="shared" si="11"/>
        <v>0</v>
      </c>
      <c r="L105" s="49">
        <f t="shared" si="12"/>
        <v>0</v>
      </c>
      <c r="M105" s="49">
        <f t="shared" si="13"/>
        <v>0</v>
      </c>
      <c r="N105" s="49">
        <f t="shared" si="14"/>
        <v>0</v>
      </c>
      <c r="O105" s="49">
        <f t="shared" si="15"/>
        <v>0</v>
      </c>
      <c r="P105" s="49">
        <f t="shared" si="16"/>
        <v>0</v>
      </c>
      <c r="Q105" s="49">
        <f t="shared" si="17"/>
        <v>0</v>
      </c>
    </row>
    <row r="106" spans="1:17">
      <c r="A106" s="47" t="str">
        <f>FMECA!A108</f>
        <v>K_Sys</v>
      </c>
      <c r="B106" s="48" t="str">
        <f>FMECA!B108</f>
        <v>Short-circuit or decrease of insulation resistance between coil and case</v>
      </c>
      <c r="C106" s="48">
        <f>FMECA!E108</f>
        <v>0</v>
      </c>
      <c r="D106" s="47" t="str">
        <f>FMECA!H108</f>
        <v>Safe</v>
      </c>
      <c r="E106" s="47" t="str">
        <f>IF(ISNUMBER(SEARCH("Yes",FMECA!K108)),"Yes",IF(FMECA!K108="No","No",IF(ISNUMBER(SEARCH("No; impactless.",FMECA!K108)),"Impactless",IF(ISNUMBER(SEARCH("Outside the scope",FMECA!K108)),"Outside Scope",IF(ISNUMBER(SEARCH("Maybe",FMECA!K108)),"Maybe","Not Applicable")))))</f>
        <v>Impactless</v>
      </c>
      <c r="F106" s="47" t="s">
        <v>675</v>
      </c>
      <c r="G106" s="47" t="str">
        <f>IF(ISNUMBER(SEARCH("Yes",FMECA!L108)),"Yes",IF(FMECA!L108="No","No",IF(ISNUMBER(SEARCH("No; impactless.",FMECA!L108)),"Impactless","Not Applicable")))</f>
        <v>Impactless</v>
      </c>
      <c r="H106" s="47" t="str">
        <f>IF(ISNUMBER(SEARCH("CM0", FMECA!AC108)), "CM0", IF(ISNUMBER(SEARCH("CM1", FMECA!AC108)), "CM1", IF(ISNUMBER(SEARCH("CM2", FMECA!AC108)), "CM2", IF(ISNUMBER(SEARCH("CM3", FMECA!AC108)), "CM3", "Not Applicable"))))</f>
        <v>Not Applicable</v>
      </c>
      <c r="I106" s="49">
        <f t="shared" si="9"/>
        <v>0</v>
      </c>
      <c r="J106" s="49">
        <f t="shared" si="10"/>
        <v>0</v>
      </c>
      <c r="K106" s="49">
        <f t="shared" si="11"/>
        <v>0</v>
      </c>
      <c r="L106" s="49">
        <f t="shared" si="12"/>
        <v>0</v>
      </c>
      <c r="M106" s="49">
        <f t="shared" si="13"/>
        <v>0</v>
      </c>
      <c r="N106" s="49">
        <f t="shared" si="14"/>
        <v>0</v>
      </c>
      <c r="O106" s="49">
        <f t="shared" si="15"/>
        <v>0</v>
      </c>
      <c r="P106" s="49">
        <f t="shared" si="16"/>
        <v>0</v>
      </c>
      <c r="Q106" s="49">
        <f t="shared" si="17"/>
        <v>0</v>
      </c>
    </row>
    <row r="107" spans="1:17">
      <c r="A107" s="47" t="str">
        <f>FMECA!A109</f>
        <v>K_Sys</v>
      </c>
      <c r="B107" s="48" t="str">
        <f>FMECA!B109</f>
        <v>Short-circuit or decrease of insulation resistance between contact and contact</v>
      </c>
      <c r="C107" s="48">
        <f>FMECA!E109</f>
        <v>2.5387515829518358E-7</v>
      </c>
      <c r="D107" s="47" t="str">
        <f>FMECA!H109</f>
        <v>Safe</v>
      </c>
      <c r="E107" s="47" t="str">
        <f>IF(ISNUMBER(SEARCH("Yes",FMECA!K109)),"Yes",IF(FMECA!K109="No","No",IF(ISNUMBER(SEARCH("No; impactless.",FMECA!K109)),"Impactless",IF(ISNUMBER(SEARCH("Outside the scope",FMECA!K109)),"Outside Scope",IF(ISNUMBER(SEARCH("Maybe",FMECA!K109)),"Maybe","Not Applicable")))))</f>
        <v>Outside Scope</v>
      </c>
      <c r="F107" s="47" t="s">
        <v>675</v>
      </c>
      <c r="G107" s="47" t="str">
        <f>IF(ISNUMBER(SEARCH("Yes",FMECA!L109)),"Yes",IF(FMECA!L109="No","No",IF(ISNUMBER(SEARCH("No; impactless.",FMECA!L109)),"Impactless","Not Applicable")))</f>
        <v>No</v>
      </c>
      <c r="H107" s="47" t="str">
        <f>IF(ISNUMBER(SEARCH("CM0", FMECA!AC109)), "CM0", IF(ISNUMBER(SEARCH("CM1", FMECA!AC109)), "CM1", IF(ISNUMBER(SEARCH("CM2", FMECA!AC109)), "CM2", IF(ISNUMBER(SEARCH("CM3", FMECA!AC109)), "CM3", "Not Applicable"))))</f>
        <v>Not Applicable</v>
      </c>
      <c r="I107" s="49">
        <f t="shared" si="9"/>
        <v>0</v>
      </c>
      <c r="J107" s="49">
        <f t="shared" si="10"/>
        <v>0</v>
      </c>
      <c r="K107" s="49">
        <f t="shared" si="11"/>
        <v>0</v>
      </c>
      <c r="L107" s="49">
        <f t="shared" si="12"/>
        <v>2.5387515829518358E-7</v>
      </c>
      <c r="M107" s="49">
        <f t="shared" si="13"/>
        <v>0</v>
      </c>
      <c r="N107" s="49">
        <f t="shared" si="14"/>
        <v>0</v>
      </c>
      <c r="O107" s="49">
        <f t="shared" si="15"/>
        <v>0</v>
      </c>
      <c r="P107" s="49">
        <f t="shared" si="16"/>
        <v>0</v>
      </c>
      <c r="Q107" s="49">
        <f t="shared" si="17"/>
        <v>0</v>
      </c>
    </row>
    <row r="108" spans="1:17">
      <c r="A108" s="47" t="str">
        <f>FMECA!A110</f>
        <v>K_Sys</v>
      </c>
      <c r="B108" s="48" t="str">
        <f>FMECA!B110</f>
        <v>Short-circuit or decrease of insulation resistance between contact and case</v>
      </c>
      <c r="C108" s="48">
        <f>FMECA!E110</f>
        <v>0</v>
      </c>
      <c r="D108" s="47" t="str">
        <f>FMECA!H110</f>
        <v>Safe</v>
      </c>
      <c r="E108" s="47" t="str">
        <f>IF(ISNUMBER(SEARCH("Yes",FMECA!K110)),"Yes",IF(FMECA!K110="No","No",IF(ISNUMBER(SEARCH("No; impactless.",FMECA!K110)),"Impactless",IF(ISNUMBER(SEARCH("Outside the scope",FMECA!K110)),"Outside Scope",IF(ISNUMBER(SEARCH("Maybe",FMECA!K110)),"Maybe","Not Applicable")))))</f>
        <v>Impactless</v>
      </c>
      <c r="F108" s="47" t="s">
        <v>675</v>
      </c>
      <c r="G108" s="47" t="str">
        <f>IF(ISNUMBER(SEARCH("Yes",FMECA!L110)),"Yes",IF(FMECA!L110="No","No",IF(ISNUMBER(SEARCH("No; impactless.",FMECA!L110)),"Impactless","Not Applicable")))</f>
        <v>Impactless</v>
      </c>
      <c r="H108" s="47" t="str">
        <f>IF(ISNUMBER(SEARCH("CM0", FMECA!AC110)), "CM0", IF(ISNUMBER(SEARCH("CM1", FMECA!AC110)), "CM1", IF(ISNUMBER(SEARCH("CM2", FMECA!AC110)), "CM2", IF(ISNUMBER(SEARCH("CM3", FMECA!AC110)), "CM3", "Not Applicable"))))</f>
        <v>Not Applicable</v>
      </c>
      <c r="I108" s="49">
        <f t="shared" si="9"/>
        <v>0</v>
      </c>
      <c r="J108" s="49">
        <f t="shared" si="10"/>
        <v>0</v>
      </c>
      <c r="K108" s="49">
        <f t="shared" si="11"/>
        <v>0</v>
      </c>
      <c r="L108" s="49">
        <f t="shared" si="12"/>
        <v>0</v>
      </c>
      <c r="M108" s="49">
        <f t="shared" si="13"/>
        <v>0</v>
      </c>
      <c r="N108" s="49">
        <f t="shared" si="14"/>
        <v>0</v>
      </c>
      <c r="O108" s="49">
        <f t="shared" si="15"/>
        <v>0</v>
      </c>
      <c r="P108" s="49">
        <f t="shared" si="16"/>
        <v>0</v>
      </c>
      <c r="Q108" s="49">
        <f t="shared" si="17"/>
        <v>0</v>
      </c>
    </row>
    <row r="109" spans="1:17">
      <c r="A109" s="47" t="str">
        <f>FMECA!A111</f>
        <v>K_Sys</v>
      </c>
      <c r="B109" s="48" t="str">
        <f>FMECA!B111</f>
        <v>Welding of NO contacts</v>
      </c>
      <c r="C109" s="48">
        <f>FMECA!E111</f>
        <v>5.790135189188397E-8</v>
      </c>
      <c r="D109" s="47" t="str">
        <f>FMECA!H111</f>
        <v>Safe</v>
      </c>
      <c r="E109" s="47" t="str">
        <f>IF(ISNUMBER(SEARCH("Yes",FMECA!K111)),"Yes",IF(FMECA!K111="No","No",IF(ISNUMBER(SEARCH("No; impactless.",FMECA!K111)),"Impactless",IF(ISNUMBER(SEARCH("Outside the scope",FMECA!K111)),"Outside Scope",IF(ISNUMBER(SEARCH("Maybe",FMECA!K111)),"Maybe","Not Applicable")))))</f>
        <v>No</v>
      </c>
      <c r="F109" s="47" t="s">
        <v>675</v>
      </c>
      <c r="G109" s="47" t="str">
        <f>IF(ISNUMBER(SEARCH("Yes",FMECA!L111)),"Yes",IF(FMECA!L111="No","No",IF(ISNUMBER(SEARCH("No; impactless.",FMECA!L111)),"Impactless","Not Applicable")))</f>
        <v>Yes</v>
      </c>
      <c r="H109" s="47" t="str">
        <f>IF(ISNUMBER(SEARCH("CM0", FMECA!AC111)), "CM0", IF(ISNUMBER(SEARCH("CM1", FMECA!AC111)), "CM1", IF(ISNUMBER(SEARCH("CM2", FMECA!AC111)), "CM2", IF(ISNUMBER(SEARCH("CM3", FMECA!AC111)), "CM3", "Not Applicable"))))</f>
        <v>Not Applicable</v>
      </c>
      <c r="I109" s="49">
        <f t="shared" si="9"/>
        <v>0</v>
      </c>
      <c r="J109" s="49">
        <f t="shared" si="10"/>
        <v>5.790135189188397E-8</v>
      </c>
      <c r="K109" s="49">
        <f t="shared" si="11"/>
        <v>0</v>
      </c>
      <c r="L109" s="49">
        <f t="shared" si="12"/>
        <v>0</v>
      </c>
      <c r="M109" s="49">
        <f t="shared" si="13"/>
        <v>0</v>
      </c>
      <c r="N109" s="49">
        <f t="shared" si="14"/>
        <v>0</v>
      </c>
      <c r="O109" s="49">
        <f t="shared" si="15"/>
        <v>0</v>
      </c>
      <c r="P109" s="49">
        <f t="shared" si="16"/>
        <v>0</v>
      </c>
      <c r="Q109" s="49">
        <f t="shared" si="17"/>
        <v>0</v>
      </c>
    </row>
    <row r="110" spans="1:17">
      <c r="A110" s="47" t="str">
        <f>FMECA!A112</f>
        <v>K_Sys</v>
      </c>
      <c r="B110" s="48" t="str">
        <f>FMECA!B112</f>
        <v>Welding of NC contacts</v>
      </c>
      <c r="C110" s="48">
        <f>FMECA!E112</f>
        <v>5.790135189188397E-8</v>
      </c>
      <c r="D110" s="47" t="str">
        <f>FMECA!H112</f>
        <v>Safe</v>
      </c>
      <c r="E110" s="47" t="str">
        <f>IF(ISNUMBER(SEARCH("Yes",FMECA!K112)),"Yes",IF(FMECA!K112="No","No",IF(ISNUMBER(SEARCH("No; impactless.",FMECA!K112)),"Impactless",IF(ISNUMBER(SEARCH("Outside the scope",FMECA!K112)),"Outside Scope",IF(ISNUMBER(SEARCH("Maybe",FMECA!K112)),"Maybe","Not Applicable")))))</f>
        <v>Yes</v>
      </c>
      <c r="F110" s="47" t="s">
        <v>675</v>
      </c>
      <c r="G110" s="47" t="str">
        <f>IF(ISNUMBER(SEARCH("Yes",FMECA!L112)),"Yes",IF(FMECA!L112="No","No",IF(ISNUMBER(SEARCH("No; impactless.",FMECA!L112)),"Impactless","Not Applicable")))</f>
        <v>Yes</v>
      </c>
      <c r="H110" s="47" t="str">
        <f>IF(ISNUMBER(SEARCH("CM0", FMECA!AC112)), "CM0", IF(ISNUMBER(SEARCH("CM1", FMECA!AC112)), "CM1", IF(ISNUMBER(SEARCH("CM2", FMECA!AC112)), "CM2", IF(ISNUMBER(SEARCH("CM3", FMECA!AC112)), "CM3", "Not Applicable"))))</f>
        <v>Not Applicable</v>
      </c>
      <c r="I110" s="49">
        <f t="shared" si="9"/>
        <v>0</v>
      </c>
      <c r="J110" s="49">
        <f t="shared" si="10"/>
        <v>0</v>
      </c>
      <c r="K110" s="49">
        <f t="shared" si="11"/>
        <v>5.790135189188397E-8</v>
      </c>
      <c r="L110" s="49">
        <f t="shared" si="12"/>
        <v>0</v>
      </c>
      <c r="M110" s="49">
        <f t="shared" si="13"/>
        <v>0</v>
      </c>
      <c r="N110" s="49">
        <f t="shared" si="14"/>
        <v>0</v>
      </c>
      <c r="O110" s="49">
        <f t="shared" si="15"/>
        <v>0</v>
      </c>
      <c r="P110" s="49">
        <f t="shared" si="16"/>
        <v>0</v>
      </c>
      <c r="Q110" s="49">
        <f t="shared" si="17"/>
        <v>0</v>
      </c>
    </row>
    <row r="111" spans="1:17">
      <c r="A111" s="47" t="str">
        <f>FMECA!A113</f>
        <v>K_Sys</v>
      </c>
      <c r="B111" s="48" t="str">
        <f>FMECA!B113</f>
        <v>Increase of NO contact resistance</v>
      </c>
      <c r="C111" s="48">
        <f>FMECA!E113</f>
        <v>5.790135189188397E-8</v>
      </c>
      <c r="D111" s="47" t="str">
        <f>FMECA!H113</f>
        <v>Safe</v>
      </c>
      <c r="E111" s="47" t="str">
        <f>IF(ISNUMBER(SEARCH("Yes",FMECA!K113)),"Yes",IF(FMECA!K113="No","No",IF(ISNUMBER(SEARCH("No; impactless.",FMECA!K113)),"Impactless",IF(ISNUMBER(SEARCH("Outside the scope",FMECA!K113)),"Outside Scope",IF(ISNUMBER(SEARCH("Maybe",FMECA!K113)),"Maybe","Not Applicable")))))</f>
        <v>Yes</v>
      </c>
      <c r="F111" s="47" t="s">
        <v>675</v>
      </c>
      <c r="G111" s="47" t="str">
        <f>IF(ISNUMBER(SEARCH("Yes",FMECA!L113)),"Yes",IF(FMECA!L113="No","No",IF(ISNUMBER(SEARCH("No; impactless.",FMECA!L113)),"Impactless","Not Applicable")))</f>
        <v>Yes</v>
      </c>
      <c r="H111" s="47" t="str">
        <f>IF(ISNUMBER(SEARCH("CM0", FMECA!AC113)), "CM0", IF(ISNUMBER(SEARCH("CM1", FMECA!AC113)), "CM1", IF(ISNUMBER(SEARCH("CM2", FMECA!AC113)), "CM2", IF(ISNUMBER(SEARCH("CM3", FMECA!AC113)), "CM3", "Not Applicable"))))</f>
        <v>Not Applicable</v>
      </c>
      <c r="I111" s="49">
        <f t="shared" si="9"/>
        <v>0</v>
      </c>
      <c r="J111" s="49">
        <f t="shared" si="10"/>
        <v>0</v>
      </c>
      <c r="K111" s="49">
        <f t="shared" si="11"/>
        <v>5.790135189188397E-8</v>
      </c>
      <c r="L111" s="49">
        <f t="shared" si="12"/>
        <v>0</v>
      </c>
      <c r="M111" s="49">
        <f t="shared" si="13"/>
        <v>0</v>
      </c>
      <c r="N111" s="49">
        <f t="shared" si="14"/>
        <v>0</v>
      </c>
      <c r="O111" s="49">
        <f t="shared" si="15"/>
        <v>0</v>
      </c>
      <c r="P111" s="49">
        <f t="shared" si="16"/>
        <v>0</v>
      </c>
      <c r="Q111" s="49">
        <f t="shared" si="17"/>
        <v>0</v>
      </c>
    </row>
    <row r="112" spans="1:17">
      <c r="A112" s="47" t="str">
        <f>FMECA!A114</f>
        <v>K_Sys</v>
      </c>
      <c r="B112" s="48" t="str">
        <f>FMECA!B114</f>
        <v>Increase of NC contact resistance</v>
      </c>
      <c r="C112" s="48">
        <f>FMECA!E114</f>
        <v>5.790135189188397E-8</v>
      </c>
      <c r="D112" s="47" t="str">
        <f>FMECA!H114</f>
        <v>Safe</v>
      </c>
      <c r="E112" s="47" t="str">
        <f>IF(ISNUMBER(SEARCH("Yes",FMECA!K114)),"Yes",IF(FMECA!K114="No","No",IF(ISNUMBER(SEARCH("No; impactless.",FMECA!K114)),"Impactless",IF(ISNUMBER(SEARCH("Outside the scope",FMECA!K114)),"Outside Scope",IF(ISNUMBER(SEARCH("Maybe",FMECA!K114)),"Maybe","Not Applicable")))))</f>
        <v>No</v>
      </c>
      <c r="F112" s="47" t="s">
        <v>675</v>
      </c>
      <c r="G112" s="47" t="str">
        <f>IF(ISNUMBER(SEARCH("Yes",FMECA!L114)),"Yes",IF(FMECA!L114="No","No",IF(ISNUMBER(SEARCH("No; impactless.",FMECA!L114)),"Impactless","Not Applicable")))</f>
        <v>Yes</v>
      </c>
      <c r="H112" s="47" t="str">
        <f>IF(ISNUMBER(SEARCH("CM0", FMECA!AC114)), "CM0", IF(ISNUMBER(SEARCH("CM1", FMECA!AC114)), "CM1", IF(ISNUMBER(SEARCH("CM2", FMECA!AC114)), "CM2", IF(ISNUMBER(SEARCH("CM3", FMECA!AC114)), "CM3", "Not Applicable"))))</f>
        <v>Not Applicable</v>
      </c>
      <c r="I112" s="49">
        <f t="shared" si="9"/>
        <v>0</v>
      </c>
      <c r="J112" s="49">
        <f t="shared" si="10"/>
        <v>5.790135189188397E-8</v>
      </c>
      <c r="K112" s="49">
        <f t="shared" si="11"/>
        <v>0</v>
      </c>
      <c r="L112" s="49">
        <f t="shared" si="12"/>
        <v>0</v>
      </c>
      <c r="M112" s="49">
        <f t="shared" si="13"/>
        <v>0</v>
      </c>
      <c r="N112" s="49">
        <f t="shared" si="14"/>
        <v>0</v>
      </c>
      <c r="O112" s="49">
        <f t="shared" si="15"/>
        <v>0</v>
      </c>
      <c r="P112" s="49">
        <f t="shared" si="16"/>
        <v>0</v>
      </c>
      <c r="Q112" s="49">
        <f t="shared" si="17"/>
        <v>0</v>
      </c>
    </row>
    <row r="113" spans="1:17">
      <c r="A113" s="47" t="str">
        <f>FMECA!A115</f>
        <v>K_Sys</v>
      </c>
      <c r="B113" s="48" t="str">
        <f>FMECA!B115</f>
        <v>Contact chatter</v>
      </c>
      <c r="C113" s="48">
        <f>FMECA!E115</f>
        <v>1.1580270378376794E-7</v>
      </c>
      <c r="D113" s="47" t="str">
        <f>FMECA!H115</f>
        <v>Safe</v>
      </c>
      <c r="E113" s="47" t="str">
        <f>IF(ISNUMBER(SEARCH("Yes",FMECA!K115)),"Yes",IF(FMECA!K115="No","No",IF(ISNUMBER(SEARCH("No; impactless.",FMECA!K115)),"Impactless",IF(ISNUMBER(SEARCH("Outside the scope",FMECA!K115)),"Outside Scope",IF(ISNUMBER(SEARCH("Maybe",FMECA!K115)),"Maybe","Not Applicable")))))</f>
        <v>Outside Scope</v>
      </c>
      <c r="F113" s="47" t="s">
        <v>675</v>
      </c>
      <c r="G113" s="47" t="str">
        <f>IF(ISNUMBER(SEARCH("Yes",FMECA!L115)),"Yes",IF(FMECA!L115="No","No",IF(ISNUMBER(SEARCH("No; impactless.",FMECA!L115)),"Impactless","Not Applicable")))</f>
        <v>No</v>
      </c>
      <c r="H113" s="47" t="str">
        <f>IF(ISNUMBER(SEARCH("CM0", FMECA!AC115)), "CM0", IF(ISNUMBER(SEARCH("CM1", FMECA!AC115)), "CM1", IF(ISNUMBER(SEARCH("CM2", FMECA!AC115)), "CM2", IF(ISNUMBER(SEARCH("CM3", FMECA!AC115)), "CM3", "Not Applicable"))))</f>
        <v>Not Applicable</v>
      </c>
      <c r="I113" s="49">
        <f t="shared" si="9"/>
        <v>0</v>
      </c>
      <c r="J113" s="49">
        <f t="shared" si="10"/>
        <v>0</v>
      </c>
      <c r="K113" s="49">
        <f t="shared" si="11"/>
        <v>0</v>
      </c>
      <c r="L113" s="49">
        <f t="shared" si="12"/>
        <v>1.1580270378376794E-7</v>
      </c>
      <c r="M113" s="49">
        <f t="shared" si="13"/>
        <v>0</v>
      </c>
      <c r="N113" s="49">
        <f t="shared" si="14"/>
        <v>0</v>
      </c>
      <c r="O113" s="49">
        <f t="shared" si="15"/>
        <v>0</v>
      </c>
      <c r="P113" s="49">
        <f t="shared" si="16"/>
        <v>0</v>
      </c>
      <c r="Q113" s="49">
        <f t="shared" si="17"/>
        <v>0</v>
      </c>
    </row>
    <row r="114" spans="1:17">
      <c r="A114" s="47" t="str">
        <f>FMECA!A116</f>
        <v>K_Sys</v>
      </c>
      <c r="B114" s="48" t="str">
        <f>FMECA!B116</f>
        <v>Increase of pick-up current</v>
      </c>
      <c r="C114" s="48">
        <f>FMECA!E116</f>
        <v>3.1495790314816006E-7</v>
      </c>
      <c r="D114" s="47" t="str">
        <f>FMECA!H116</f>
        <v>Safe</v>
      </c>
      <c r="E114" s="47" t="str">
        <f>IF(ISNUMBER(SEARCH("Yes",FMECA!K116)),"Yes",IF(FMECA!K116="No","No",IF(ISNUMBER(SEARCH("No; impactless.",FMECA!K116)),"Impactless",IF(ISNUMBER(SEARCH("Outside the scope",FMECA!K116)),"Outside Scope",IF(ISNUMBER(SEARCH("Maybe",FMECA!K116)),"Maybe","Not Applicable")))))</f>
        <v>Yes</v>
      </c>
      <c r="F114" s="47" t="s">
        <v>675</v>
      </c>
      <c r="G114" s="47" t="str">
        <f>IF(ISNUMBER(SEARCH("Yes",FMECA!L116)),"Yes",IF(FMECA!L116="No","No",IF(ISNUMBER(SEARCH("No; impactless.",FMECA!L116)),"Impactless","Not Applicable")))</f>
        <v>Yes</v>
      </c>
      <c r="H114" s="47" t="str">
        <f>IF(ISNUMBER(SEARCH("CM0", FMECA!AC116)), "CM0", IF(ISNUMBER(SEARCH("CM1", FMECA!AC116)), "CM1", IF(ISNUMBER(SEARCH("CM2", FMECA!AC116)), "CM2", IF(ISNUMBER(SEARCH("CM3", FMECA!AC116)), "CM3", "Not Applicable"))))</f>
        <v>Not Applicable</v>
      </c>
      <c r="I114" s="49">
        <f t="shared" si="9"/>
        <v>0</v>
      </c>
      <c r="J114" s="49">
        <f t="shared" si="10"/>
        <v>0</v>
      </c>
      <c r="K114" s="49">
        <f t="shared" si="11"/>
        <v>3.1495790314816006E-7</v>
      </c>
      <c r="L114" s="49">
        <f t="shared" si="12"/>
        <v>0</v>
      </c>
      <c r="M114" s="49">
        <f t="shared" si="13"/>
        <v>0</v>
      </c>
      <c r="N114" s="49">
        <f t="shared" si="14"/>
        <v>0</v>
      </c>
      <c r="O114" s="49">
        <f t="shared" si="15"/>
        <v>0</v>
      </c>
      <c r="P114" s="49">
        <f t="shared" si="16"/>
        <v>0</v>
      </c>
      <c r="Q114" s="49">
        <f t="shared" si="17"/>
        <v>0</v>
      </c>
    </row>
    <row r="115" spans="1:17">
      <c r="A115" s="47" t="str">
        <f>FMECA!A117</f>
        <v>K_Sys</v>
      </c>
      <c r="B115" s="48" t="str">
        <f>FMECA!B117</f>
        <v>Decrease of pick-up current</v>
      </c>
      <c r="C115" s="48">
        <f>FMECA!E117</f>
        <v>1.1580270378376794E-7</v>
      </c>
      <c r="D115" s="47" t="str">
        <f>FMECA!H117</f>
        <v>Safe</v>
      </c>
      <c r="E115" s="47" t="str">
        <f>IF(ISNUMBER(SEARCH("Yes",FMECA!K117)),"Yes",IF(FMECA!K117="No","No",IF(ISNUMBER(SEARCH("No; impactless.",FMECA!K117)),"Impactless",IF(ISNUMBER(SEARCH("Outside the scope",FMECA!K117)),"Outside Scope",IF(ISNUMBER(SEARCH("Maybe",FMECA!K117)),"Maybe","Not Applicable")))))</f>
        <v>Impactless</v>
      </c>
      <c r="F115" s="47" t="s">
        <v>675</v>
      </c>
      <c r="G115" s="47" t="str">
        <f>IF(ISNUMBER(SEARCH("Yes",FMECA!L117)),"Yes",IF(FMECA!L117="No","No",IF(ISNUMBER(SEARCH("No; impactless.",FMECA!L117)),"Impactless","Not Applicable")))</f>
        <v>Impactless</v>
      </c>
      <c r="H115" s="47" t="str">
        <f>IF(ISNUMBER(SEARCH("CM0", FMECA!AC117)), "CM0", IF(ISNUMBER(SEARCH("CM1", FMECA!AC117)), "CM1", IF(ISNUMBER(SEARCH("CM2", FMECA!AC117)), "CM2", IF(ISNUMBER(SEARCH("CM3", FMECA!AC117)), "CM3", "Not Applicable"))))</f>
        <v>Not Applicable</v>
      </c>
      <c r="I115" s="49">
        <f t="shared" si="9"/>
        <v>0</v>
      </c>
      <c r="J115" s="49">
        <f t="shared" si="10"/>
        <v>0</v>
      </c>
      <c r="K115" s="49">
        <f t="shared" si="11"/>
        <v>0</v>
      </c>
      <c r="L115" s="49">
        <f t="shared" si="12"/>
        <v>0</v>
      </c>
      <c r="M115" s="49">
        <f t="shared" si="13"/>
        <v>0</v>
      </c>
      <c r="N115" s="49">
        <f t="shared" si="14"/>
        <v>0</v>
      </c>
      <c r="O115" s="49">
        <f t="shared" si="15"/>
        <v>0</v>
      </c>
      <c r="P115" s="49">
        <f t="shared" si="16"/>
        <v>0</v>
      </c>
      <c r="Q115" s="49">
        <f t="shared" si="17"/>
        <v>0</v>
      </c>
    </row>
    <row r="116" spans="1:17">
      <c r="A116" s="47" t="str">
        <f>FMECA!A118</f>
        <v>K_Sys</v>
      </c>
      <c r="B116" s="48" t="str">
        <f>FMECA!B118</f>
        <v>Increase of drop-away current</v>
      </c>
      <c r="C116" s="48">
        <f>FMECA!E118</f>
        <v>3.1495790314816006E-7</v>
      </c>
      <c r="D116" s="47" t="str">
        <f>FMECA!H118</f>
        <v>Safe</v>
      </c>
      <c r="E116" s="47" t="str">
        <f>IF(ISNUMBER(SEARCH("Yes",FMECA!K118)),"Yes",IF(FMECA!K118="No","No",IF(ISNUMBER(SEARCH("No; impactless.",FMECA!K118)),"Impactless",IF(ISNUMBER(SEARCH("Outside the scope",FMECA!K118)),"Outside Scope",IF(ISNUMBER(SEARCH("Maybe",FMECA!K118)),"Maybe","Not Applicable")))))</f>
        <v>Impactless</v>
      </c>
      <c r="F116" s="47" t="s">
        <v>675</v>
      </c>
      <c r="G116" s="47" t="str">
        <f>IF(ISNUMBER(SEARCH("Yes",FMECA!L118)),"Yes",IF(FMECA!L118="No","No",IF(ISNUMBER(SEARCH("No; impactless.",FMECA!L118)),"Impactless","Not Applicable")))</f>
        <v>Impactless</v>
      </c>
      <c r="H116" s="47" t="str">
        <f>IF(ISNUMBER(SEARCH("CM0", FMECA!AC118)), "CM0", IF(ISNUMBER(SEARCH("CM1", FMECA!AC118)), "CM1", IF(ISNUMBER(SEARCH("CM2", FMECA!AC118)), "CM2", IF(ISNUMBER(SEARCH("CM3", FMECA!AC118)), "CM3", "Not Applicable"))))</f>
        <v>Not Applicable</v>
      </c>
      <c r="I116" s="49">
        <f t="shared" si="9"/>
        <v>0</v>
      </c>
      <c r="J116" s="49">
        <f t="shared" si="10"/>
        <v>0</v>
      </c>
      <c r="K116" s="49">
        <f t="shared" si="11"/>
        <v>0</v>
      </c>
      <c r="L116" s="49">
        <f t="shared" si="12"/>
        <v>0</v>
      </c>
      <c r="M116" s="49">
        <f t="shared" si="13"/>
        <v>0</v>
      </c>
      <c r="N116" s="49">
        <f t="shared" si="14"/>
        <v>0</v>
      </c>
      <c r="O116" s="49">
        <f t="shared" si="15"/>
        <v>0</v>
      </c>
      <c r="P116" s="49">
        <f t="shared" si="16"/>
        <v>0</v>
      </c>
      <c r="Q116" s="49">
        <f t="shared" si="17"/>
        <v>0</v>
      </c>
    </row>
    <row r="117" spans="1:17">
      <c r="A117" s="47" t="str">
        <f>FMECA!A119</f>
        <v>K_Sys</v>
      </c>
      <c r="B117" s="48" t="str">
        <f>FMECA!B119</f>
        <v>Decrease of drop-away current</v>
      </c>
      <c r="C117" s="48">
        <f>FMECA!E119</f>
        <v>1.1580270378376794E-7</v>
      </c>
      <c r="D117" s="47" t="str">
        <f>FMECA!H119</f>
        <v>Safe</v>
      </c>
      <c r="E117" s="47" t="str">
        <f>IF(ISNUMBER(SEARCH("Yes",FMECA!K119)),"Yes",IF(FMECA!K119="No","No",IF(ISNUMBER(SEARCH("No; impactless.",FMECA!K119)),"Impactless",IF(ISNUMBER(SEARCH("Outside the scope",FMECA!K119)),"Outside Scope",IF(ISNUMBER(SEARCH("Maybe",FMECA!K119)),"Maybe","Not Applicable")))))</f>
        <v>No</v>
      </c>
      <c r="F117" s="47" t="s">
        <v>675</v>
      </c>
      <c r="G117" s="47" t="str">
        <f>IF(ISNUMBER(SEARCH("Yes",FMECA!L119)),"Yes",IF(FMECA!L119="No","No",IF(ISNUMBER(SEARCH("No; impactless.",FMECA!L119)),"Impactless","Not Applicable")))</f>
        <v>Yes</v>
      </c>
      <c r="H117" s="47" t="str">
        <f>IF(ISNUMBER(SEARCH("CM0", FMECA!AC119)), "CM0", IF(ISNUMBER(SEARCH("CM1", FMECA!AC119)), "CM1", IF(ISNUMBER(SEARCH("CM2", FMECA!AC119)), "CM2", IF(ISNUMBER(SEARCH("CM3", FMECA!AC119)), "CM3", "Not Applicable"))))</f>
        <v>Not Applicable</v>
      </c>
      <c r="I117" s="49">
        <f t="shared" si="9"/>
        <v>0</v>
      </c>
      <c r="J117" s="49">
        <f t="shared" si="10"/>
        <v>1.1580270378376794E-7</v>
      </c>
      <c r="K117" s="49">
        <f t="shared" si="11"/>
        <v>0</v>
      </c>
      <c r="L117" s="49">
        <f t="shared" si="12"/>
        <v>0</v>
      </c>
      <c r="M117" s="49">
        <f t="shared" si="13"/>
        <v>0</v>
      </c>
      <c r="N117" s="49">
        <f t="shared" si="14"/>
        <v>0</v>
      </c>
      <c r="O117" s="49">
        <f t="shared" si="15"/>
        <v>0</v>
      </c>
      <c r="P117" s="49">
        <f t="shared" si="16"/>
        <v>0</v>
      </c>
      <c r="Q117" s="49">
        <f t="shared" si="17"/>
        <v>0</v>
      </c>
    </row>
    <row r="118" spans="1:17">
      <c r="A118" s="47" t="str">
        <f>FMECA!A120</f>
        <v>K_Sys</v>
      </c>
      <c r="B118" s="48" t="str">
        <f>FMECA!B120</f>
        <v>Change of pick-up to drop-away ratio</v>
      </c>
      <c r="C118" s="48">
        <f>FMECA!E120</f>
        <v>1.1580270378376794E-7</v>
      </c>
      <c r="D118" s="47" t="str">
        <f>FMECA!H120</f>
        <v>Safe</v>
      </c>
      <c r="E118" s="47" t="str">
        <f>IF(ISNUMBER(SEARCH("Yes",FMECA!K120)),"Yes",IF(FMECA!K120="No","No",IF(ISNUMBER(SEARCH("No; impactless.",FMECA!K120)),"Impactless",IF(ISNUMBER(SEARCH("Outside the scope",FMECA!K120)),"Outside Scope",IF(ISNUMBER(SEARCH("Maybe",FMECA!K120)),"Maybe","Not Applicable")))))</f>
        <v>Impactless</v>
      </c>
      <c r="F118" s="47" t="s">
        <v>675</v>
      </c>
      <c r="G118" s="47" t="str">
        <f>IF(ISNUMBER(SEARCH("Yes",FMECA!L120)),"Yes",IF(FMECA!L120="No","No",IF(ISNUMBER(SEARCH("No; impactless.",FMECA!L120)),"Impactless","Not Applicable")))</f>
        <v>Impactless</v>
      </c>
      <c r="H118" s="47" t="str">
        <f>IF(ISNUMBER(SEARCH("CM0", FMECA!AC120)), "CM0", IF(ISNUMBER(SEARCH("CM1", FMECA!AC120)), "CM1", IF(ISNUMBER(SEARCH("CM2", FMECA!AC120)), "CM2", IF(ISNUMBER(SEARCH("CM3", FMECA!AC120)), "CM3", "Not Applicable"))))</f>
        <v>Not Applicable</v>
      </c>
      <c r="I118" s="49">
        <f t="shared" si="9"/>
        <v>0</v>
      </c>
      <c r="J118" s="49">
        <f t="shared" si="10"/>
        <v>0</v>
      </c>
      <c r="K118" s="49">
        <f t="shared" si="11"/>
        <v>0</v>
      </c>
      <c r="L118" s="49">
        <f t="shared" si="12"/>
        <v>0</v>
      </c>
      <c r="M118" s="49">
        <f t="shared" si="13"/>
        <v>0</v>
      </c>
      <c r="N118" s="49">
        <f t="shared" si="14"/>
        <v>0</v>
      </c>
      <c r="O118" s="49">
        <f t="shared" si="15"/>
        <v>0</v>
      </c>
      <c r="P118" s="49">
        <f t="shared" si="16"/>
        <v>0</v>
      </c>
      <c r="Q118" s="49">
        <f t="shared" si="17"/>
        <v>0</v>
      </c>
    </row>
    <row r="119" spans="1:17">
      <c r="A119" s="47" t="str">
        <f>FMECA!A121</f>
        <v>K_Sys</v>
      </c>
      <c r="B119" s="48" t="str">
        <f>FMECA!B121</f>
        <v>Increase of pick-up time</v>
      </c>
      <c r="C119" s="48">
        <f>FMECA!E121</f>
        <v>3.1495790314816006E-7</v>
      </c>
      <c r="D119" s="47" t="str">
        <f>FMECA!H121</f>
        <v>Safe</v>
      </c>
      <c r="E119" s="47" t="str">
        <f>IF(ISNUMBER(SEARCH("Yes",FMECA!K121)),"Yes",IF(FMECA!K121="No","No",IF(ISNUMBER(SEARCH("No; impactless.",FMECA!K121)),"Impactless",IF(ISNUMBER(SEARCH("Outside the scope",FMECA!K121)),"Outside Scope",IF(ISNUMBER(SEARCH("Maybe",FMECA!K121)),"Maybe","Not Applicable")))))</f>
        <v>Outside Scope</v>
      </c>
      <c r="F119" s="47" t="s">
        <v>675</v>
      </c>
      <c r="G119" s="47" t="str">
        <f>IF(ISNUMBER(SEARCH("Yes",FMECA!L121)),"Yes",IF(FMECA!L121="No","No",IF(ISNUMBER(SEARCH("No; impactless.",FMECA!L121)),"Impactless","Not Applicable")))</f>
        <v>No</v>
      </c>
      <c r="H119" s="47" t="str">
        <f>IF(ISNUMBER(SEARCH("CM0", FMECA!AC121)), "CM0", IF(ISNUMBER(SEARCH("CM1", FMECA!AC121)), "CM1", IF(ISNUMBER(SEARCH("CM2", FMECA!AC121)), "CM2", IF(ISNUMBER(SEARCH("CM3", FMECA!AC121)), "CM3", "Not Applicable"))))</f>
        <v>Not Applicable</v>
      </c>
      <c r="I119" s="49">
        <f t="shared" si="9"/>
        <v>0</v>
      </c>
      <c r="J119" s="49">
        <f t="shared" si="10"/>
        <v>0</v>
      </c>
      <c r="K119" s="49">
        <f t="shared" si="11"/>
        <v>0</v>
      </c>
      <c r="L119" s="49">
        <f t="shared" si="12"/>
        <v>3.1495790314816006E-7</v>
      </c>
      <c r="M119" s="49">
        <f t="shared" si="13"/>
        <v>0</v>
      </c>
      <c r="N119" s="49">
        <f t="shared" si="14"/>
        <v>0</v>
      </c>
      <c r="O119" s="49">
        <f t="shared" si="15"/>
        <v>0</v>
      </c>
      <c r="P119" s="49">
        <f t="shared" si="16"/>
        <v>0</v>
      </c>
      <c r="Q119" s="49">
        <f t="shared" si="17"/>
        <v>0</v>
      </c>
    </row>
    <row r="120" spans="1:17">
      <c r="A120" s="47" t="str">
        <f>FMECA!A122</f>
        <v>K_Sys</v>
      </c>
      <c r="B120" s="48" t="str">
        <f>FMECA!B122</f>
        <v>Decrease of pick-up time</v>
      </c>
      <c r="C120" s="48">
        <f>FMECA!E122</f>
        <v>1.1580270378376794E-7</v>
      </c>
      <c r="D120" s="47" t="str">
        <f>FMECA!H122</f>
        <v>Safe</v>
      </c>
      <c r="E120" s="47" t="str">
        <f>IF(ISNUMBER(SEARCH("Yes",FMECA!K122)),"Yes",IF(FMECA!K122="No","No",IF(ISNUMBER(SEARCH("No; impactless.",FMECA!K122)),"Impactless",IF(ISNUMBER(SEARCH("Outside the scope",FMECA!K122)),"Outside Scope",IF(ISNUMBER(SEARCH("Maybe",FMECA!K122)),"Maybe","Not Applicable")))))</f>
        <v>Impactless</v>
      </c>
      <c r="F120" s="47" t="s">
        <v>675</v>
      </c>
      <c r="G120" s="47" t="str">
        <f>IF(ISNUMBER(SEARCH("Yes",FMECA!L122)),"Yes",IF(FMECA!L122="No","No",IF(ISNUMBER(SEARCH("No; impactless.",FMECA!L122)),"Impactless","Not Applicable")))</f>
        <v>Impactless</v>
      </c>
      <c r="H120" s="47" t="str">
        <f>IF(ISNUMBER(SEARCH("CM0", FMECA!AC122)), "CM0", IF(ISNUMBER(SEARCH("CM1", FMECA!AC122)), "CM1", IF(ISNUMBER(SEARCH("CM2", FMECA!AC122)), "CM2", IF(ISNUMBER(SEARCH("CM3", FMECA!AC122)), "CM3", "Not Applicable"))))</f>
        <v>Not Applicable</v>
      </c>
      <c r="I120" s="49">
        <f t="shared" si="9"/>
        <v>0</v>
      </c>
      <c r="J120" s="49">
        <f t="shared" si="10"/>
        <v>0</v>
      </c>
      <c r="K120" s="49">
        <f t="shared" si="11"/>
        <v>0</v>
      </c>
      <c r="L120" s="49">
        <f t="shared" si="12"/>
        <v>0</v>
      </c>
      <c r="M120" s="49">
        <f t="shared" si="13"/>
        <v>0</v>
      </c>
      <c r="N120" s="49">
        <f t="shared" si="14"/>
        <v>0</v>
      </c>
      <c r="O120" s="49">
        <f t="shared" si="15"/>
        <v>0</v>
      </c>
      <c r="P120" s="49">
        <f t="shared" si="16"/>
        <v>0</v>
      </c>
      <c r="Q120" s="49">
        <f t="shared" si="17"/>
        <v>0</v>
      </c>
    </row>
    <row r="121" spans="1:17">
      <c r="A121" s="47" t="str">
        <f>FMECA!A123</f>
        <v>K_Sys</v>
      </c>
      <c r="B121" s="48" t="str">
        <f>FMECA!B123</f>
        <v>Increase of drop-away time</v>
      </c>
      <c r="C121" s="48">
        <f>FMECA!E123</f>
        <v>3.1495790314816006E-7</v>
      </c>
      <c r="D121" s="47" t="str">
        <f>FMECA!H123</f>
        <v>Safe</v>
      </c>
      <c r="E121" s="47" t="str">
        <f>IF(ISNUMBER(SEARCH("Yes",FMECA!K123)),"Yes",IF(FMECA!K123="No","No",IF(ISNUMBER(SEARCH("No; impactless.",FMECA!K123)),"Impactless",IF(ISNUMBER(SEARCH("Outside the scope",FMECA!K123)),"Outside Scope",IF(ISNUMBER(SEARCH("Maybe",FMECA!K123)),"Maybe","Not Applicable")))))</f>
        <v>No</v>
      </c>
      <c r="F121" s="47" t="s">
        <v>675</v>
      </c>
      <c r="G121" s="47" t="str">
        <f>IF(ISNUMBER(SEARCH("Yes",FMECA!L123)),"Yes",IF(FMECA!L123="No","No",IF(ISNUMBER(SEARCH("No; impactless.",FMECA!L123)),"Impactless","Not Applicable")))</f>
        <v>Yes</v>
      </c>
      <c r="H121" s="47" t="str">
        <f>IF(ISNUMBER(SEARCH("CM0", FMECA!AC123)), "CM0", IF(ISNUMBER(SEARCH("CM1", FMECA!AC123)), "CM1", IF(ISNUMBER(SEARCH("CM2", FMECA!AC123)), "CM2", IF(ISNUMBER(SEARCH("CM3", FMECA!AC123)), "CM3", "Not Applicable"))))</f>
        <v>Not Applicable</v>
      </c>
      <c r="I121" s="49">
        <f t="shared" si="9"/>
        <v>0</v>
      </c>
      <c r="J121" s="49">
        <f t="shared" si="10"/>
        <v>3.1495790314816006E-7</v>
      </c>
      <c r="K121" s="49">
        <f t="shared" si="11"/>
        <v>0</v>
      </c>
      <c r="L121" s="49">
        <f t="shared" si="12"/>
        <v>0</v>
      </c>
      <c r="M121" s="49">
        <f t="shared" si="13"/>
        <v>0</v>
      </c>
      <c r="N121" s="49">
        <f t="shared" si="14"/>
        <v>0</v>
      </c>
      <c r="O121" s="49">
        <f t="shared" si="15"/>
        <v>0</v>
      </c>
      <c r="P121" s="49">
        <f t="shared" si="16"/>
        <v>0</v>
      </c>
      <c r="Q121" s="49">
        <f t="shared" si="17"/>
        <v>0</v>
      </c>
    </row>
    <row r="122" spans="1:17">
      <c r="A122" s="47" t="str">
        <f>FMECA!A124</f>
        <v>K_Sys</v>
      </c>
      <c r="B122" s="48" t="str">
        <f>FMECA!B124</f>
        <v>Decrease of drop-away time</v>
      </c>
      <c r="C122" s="48">
        <f>FMECA!E124</f>
        <v>1.1580270378376794E-7</v>
      </c>
      <c r="D122" s="47" t="str">
        <f>FMECA!H124</f>
        <v>Safe</v>
      </c>
      <c r="E122" s="47" t="str">
        <f>IF(ISNUMBER(SEARCH("Yes",FMECA!K124)),"Yes",IF(FMECA!K124="No","No",IF(ISNUMBER(SEARCH("No; impactless.",FMECA!K124)),"Impactless",IF(ISNUMBER(SEARCH("Outside the scope",FMECA!K124)),"Outside Scope",IF(ISNUMBER(SEARCH("Maybe",FMECA!K124)),"Maybe","Not Applicable")))))</f>
        <v>Impactless</v>
      </c>
      <c r="F122" s="47" t="s">
        <v>675</v>
      </c>
      <c r="G122" s="47" t="str">
        <f>IF(ISNUMBER(SEARCH("Yes",FMECA!L124)),"Yes",IF(FMECA!L124="No","No",IF(ISNUMBER(SEARCH("No; impactless.",FMECA!L124)),"Impactless","Not Applicable")))</f>
        <v>Impactless</v>
      </c>
      <c r="H122" s="47" t="str">
        <f>IF(ISNUMBER(SEARCH("CM0", FMECA!AC124)), "CM0", IF(ISNUMBER(SEARCH("CM1", FMECA!AC124)), "CM1", IF(ISNUMBER(SEARCH("CM2", FMECA!AC124)), "CM2", IF(ISNUMBER(SEARCH("CM3", FMECA!AC124)), "CM3", "Not Applicable"))))</f>
        <v>Not Applicable</v>
      </c>
      <c r="I122" s="49">
        <f t="shared" si="9"/>
        <v>0</v>
      </c>
      <c r="J122" s="49">
        <f t="shared" si="10"/>
        <v>0</v>
      </c>
      <c r="K122" s="49">
        <f t="shared" si="11"/>
        <v>0</v>
      </c>
      <c r="L122" s="49">
        <f t="shared" si="12"/>
        <v>0</v>
      </c>
      <c r="M122" s="49">
        <f t="shared" si="13"/>
        <v>0</v>
      </c>
      <c r="N122" s="49">
        <f t="shared" si="14"/>
        <v>0</v>
      </c>
      <c r="O122" s="49">
        <f t="shared" si="15"/>
        <v>0</v>
      </c>
      <c r="P122" s="49">
        <f t="shared" si="16"/>
        <v>0</v>
      </c>
      <c r="Q122" s="49">
        <f t="shared" si="17"/>
        <v>0</v>
      </c>
    </row>
    <row r="123" spans="1:17">
      <c r="A123" s="47" t="str">
        <f>FMECA!A125</f>
        <v>K_Sys</v>
      </c>
      <c r="B123" s="48" t="str">
        <f>FMECA!B125</f>
        <v>Relay does not pick up</v>
      </c>
      <c r="C123" s="48">
        <f>FMECA!E125</f>
        <v>3.1495790314816006E-7</v>
      </c>
      <c r="D123" s="47" t="str">
        <f>FMECA!H125</f>
        <v>Safe</v>
      </c>
      <c r="E123" s="47" t="str">
        <f>IF(ISNUMBER(SEARCH("Yes",FMECA!K125)),"Yes",IF(FMECA!K125="No","No",IF(ISNUMBER(SEARCH("No; impactless.",FMECA!K125)),"Impactless",IF(ISNUMBER(SEARCH("Outside the scope",FMECA!K125)),"Outside Scope",IF(ISNUMBER(SEARCH("Maybe",FMECA!K125)),"Maybe","Not Applicable")))))</f>
        <v>Yes</v>
      </c>
      <c r="F123" s="47" t="s">
        <v>675</v>
      </c>
      <c r="G123" s="47" t="str">
        <f>IF(ISNUMBER(SEARCH("Yes",FMECA!L125)),"Yes",IF(FMECA!L125="No","No",IF(ISNUMBER(SEARCH("No; impactless.",FMECA!L125)),"Impactless","Not Applicable")))</f>
        <v>Yes</v>
      </c>
      <c r="H123" s="47" t="str">
        <f>IF(ISNUMBER(SEARCH("CM0", FMECA!AC125)), "CM0", IF(ISNUMBER(SEARCH("CM1", FMECA!AC125)), "CM1", IF(ISNUMBER(SEARCH("CM2", FMECA!AC125)), "CM2", IF(ISNUMBER(SEARCH("CM3", FMECA!AC125)), "CM3", "Not Applicable"))))</f>
        <v>Not Applicable</v>
      </c>
      <c r="I123" s="49">
        <f t="shared" si="9"/>
        <v>0</v>
      </c>
      <c r="J123" s="49">
        <f t="shared" si="10"/>
        <v>0</v>
      </c>
      <c r="K123" s="49">
        <f t="shared" si="11"/>
        <v>3.1495790314816006E-7</v>
      </c>
      <c r="L123" s="49">
        <f t="shared" si="12"/>
        <v>0</v>
      </c>
      <c r="M123" s="49">
        <f t="shared" si="13"/>
        <v>0</v>
      </c>
      <c r="N123" s="49">
        <f t="shared" si="14"/>
        <v>0</v>
      </c>
      <c r="O123" s="49">
        <f t="shared" si="15"/>
        <v>0</v>
      </c>
      <c r="P123" s="49">
        <f t="shared" si="16"/>
        <v>0</v>
      </c>
      <c r="Q123" s="49">
        <f t="shared" si="17"/>
        <v>0</v>
      </c>
    </row>
    <row r="124" spans="1:17">
      <c r="A124" s="47" t="str">
        <f>FMECA!A126</f>
        <v>K_Sys</v>
      </c>
      <c r="B124" s="48" t="str">
        <f>FMECA!B126</f>
        <v>Relay does not drop away</v>
      </c>
      <c r="C124" s="48">
        <f>FMECA!E126</f>
        <v>3.1495790314816006E-7</v>
      </c>
      <c r="D124" s="47" t="str">
        <f>FMECA!H126</f>
        <v>Safe</v>
      </c>
      <c r="E124" s="47" t="str">
        <f>IF(ISNUMBER(SEARCH("Yes",FMECA!K126)),"Yes",IF(FMECA!K126="No","No",IF(ISNUMBER(SEARCH("No; impactless.",FMECA!K126)),"Impactless",IF(ISNUMBER(SEARCH("Outside the scope",FMECA!K126)),"Outside Scope",IF(ISNUMBER(SEARCH("Maybe",FMECA!K126)),"Maybe","Not Applicable")))))</f>
        <v>No</v>
      </c>
      <c r="F124" s="47" t="s">
        <v>675</v>
      </c>
      <c r="G124" s="47" t="str">
        <f>IF(ISNUMBER(SEARCH("Yes",FMECA!L126)),"Yes",IF(FMECA!L126="No","No",IF(ISNUMBER(SEARCH("No; impactless.",FMECA!L126)),"Impactless","Not Applicable")))</f>
        <v>Yes</v>
      </c>
      <c r="H124" s="47" t="str">
        <f>IF(ISNUMBER(SEARCH("CM0", FMECA!AC126)), "CM0", IF(ISNUMBER(SEARCH("CM1", FMECA!AC126)), "CM1", IF(ISNUMBER(SEARCH("CM2", FMECA!AC126)), "CM2", IF(ISNUMBER(SEARCH("CM3", FMECA!AC126)), "CM3", "Not Applicable"))))</f>
        <v>Not Applicable</v>
      </c>
      <c r="I124" s="49">
        <f t="shared" si="9"/>
        <v>0</v>
      </c>
      <c r="J124" s="49">
        <f t="shared" si="10"/>
        <v>3.1495790314816006E-7</v>
      </c>
      <c r="K124" s="49">
        <f t="shared" si="11"/>
        <v>0</v>
      </c>
      <c r="L124" s="49">
        <f t="shared" si="12"/>
        <v>0</v>
      </c>
      <c r="M124" s="49">
        <f t="shared" si="13"/>
        <v>0</v>
      </c>
      <c r="N124" s="49">
        <f t="shared" si="14"/>
        <v>0</v>
      </c>
      <c r="O124" s="49">
        <f t="shared" si="15"/>
        <v>0</v>
      </c>
      <c r="P124" s="49">
        <f t="shared" si="16"/>
        <v>0</v>
      </c>
      <c r="Q124" s="49">
        <f t="shared" si="17"/>
        <v>0</v>
      </c>
    </row>
    <row r="125" spans="1:17">
      <c r="A125" s="47" t="str">
        <f>FMECA!A127</f>
        <v>K_Sys</v>
      </c>
      <c r="B125" s="48" t="str">
        <f>FMECA!B127</f>
        <v>Closure of any front contact at the same time as any back contact (transient or continuous)</v>
      </c>
      <c r="C125" s="48">
        <f>FMECA!E127</f>
        <v>0</v>
      </c>
      <c r="D125" s="47" t="str">
        <f>FMECA!H127</f>
        <v>Safe</v>
      </c>
      <c r="E125" s="47" t="str">
        <f>IF(ISNUMBER(SEARCH("Yes",FMECA!K127)),"Yes",IF(FMECA!K127="No","No",IF(ISNUMBER(SEARCH("No; impactless.",FMECA!K127)),"Impactless",IF(ISNUMBER(SEARCH("Outside the scope",FMECA!K127)),"Outside Scope",IF(ISNUMBER(SEARCH("Maybe",FMECA!K127)),"Maybe","Not Applicable")))))</f>
        <v>Impactless</v>
      </c>
      <c r="F125" s="47" t="s">
        <v>675</v>
      </c>
      <c r="G125" s="47" t="str">
        <f>IF(ISNUMBER(SEARCH("Yes",FMECA!L127)),"Yes",IF(FMECA!L127="No","No",IF(ISNUMBER(SEARCH("No; impactless.",FMECA!L127)),"Impactless","Not Applicable")))</f>
        <v>Impactless</v>
      </c>
      <c r="H125" s="47" t="str">
        <f>IF(ISNUMBER(SEARCH("CM0", FMECA!AC127)), "CM0", IF(ISNUMBER(SEARCH("CM1", FMECA!AC127)), "CM1", IF(ISNUMBER(SEARCH("CM2", FMECA!AC127)), "CM2", IF(ISNUMBER(SEARCH("CM3", FMECA!AC127)), "CM3", "Not Applicable"))))</f>
        <v>Not Applicable</v>
      </c>
      <c r="I125" s="49">
        <f t="shared" si="9"/>
        <v>0</v>
      </c>
      <c r="J125" s="49">
        <f t="shared" si="10"/>
        <v>0</v>
      </c>
      <c r="K125" s="49">
        <f t="shared" si="11"/>
        <v>0</v>
      </c>
      <c r="L125" s="49">
        <f t="shared" si="12"/>
        <v>0</v>
      </c>
      <c r="M125" s="49">
        <f t="shared" si="13"/>
        <v>0</v>
      </c>
      <c r="N125" s="49">
        <f t="shared" si="14"/>
        <v>0</v>
      </c>
      <c r="O125" s="49">
        <f t="shared" si="15"/>
        <v>0</v>
      </c>
      <c r="P125" s="49">
        <f t="shared" si="16"/>
        <v>0</v>
      </c>
      <c r="Q125" s="49">
        <f t="shared" si="17"/>
        <v>0</v>
      </c>
    </row>
    <row r="126" spans="1:17">
      <c r="A126" s="47" t="str">
        <f>FMECA!A128</f>
        <v>K_Sys</v>
      </c>
      <c r="B126" s="48" t="str">
        <f>FMECA!B128</f>
        <v>Non-correspondence between front contacts</v>
      </c>
      <c r="C126" s="48">
        <f>FMECA!E128</f>
        <v>0</v>
      </c>
      <c r="D126" s="47" t="str">
        <f>FMECA!H128</f>
        <v>Safe</v>
      </c>
      <c r="E126" s="47" t="str">
        <f>IF(ISNUMBER(SEARCH("Yes",FMECA!K128)),"Yes",IF(FMECA!K128="No","No",IF(ISNUMBER(SEARCH("No; impactless.",FMECA!K128)),"Impactless",IF(ISNUMBER(SEARCH("Outside the scope",FMECA!K128)),"Outside Scope",IF(ISNUMBER(SEARCH("Maybe",FMECA!K128)),"Maybe","Not Applicable")))))</f>
        <v>Impactless</v>
      </c>
      <c r="F126" s="47" t="s">
        <v>675</v>
      </c>
      <c r="G126" s="47" t="str">
        <f>IF(ISNUMBER(SEARCH("Yes",FMECA!L128)),"Yes",IF(FMECA!L128="No","No",IF(ISNUMBER(SEARCH("No; impactless.",FMECA!L128)),"Impactless","Not Applicable")))</f>
        <v>Impactless</v>
      </c>
      <c r="H126" s="47" t="str">
        <f>IF(ISNUMBER(SEARCH("CM0", FMECA!AC128)), "CM0", IF(ISNUMBER(SEARCH("CM1", FMECA!AC128)), "CM1", IF(ISNUMBER(SEARCH("CM2", FMECA!AC128)), "CM2", IF(ISNUMBER(SEARCH("CM3", FMECA!AC128)), "CM3", "Not Applicable"))))</f>
        <v>Not Applicable</v>
      </c>
      <c r="I126" s="49">
        <f t="shared" si="9"/>
        <v>0</v>
      </c>
      <c r="J126" s="49">
        <f t="shared" si="10"/>
        <v>0</v>
      </c>
      <c r="K126" s="49">
        <f t="shared" si="11"/>
        <v>0</v>
      </c>
      <c r="L126" s="49">
        <f t="shared" si="12"/>
        <v>0</v>
      </c>
      <c r="M126" s="49">
        <f t="shared" si="13"/>
        <v>0</v>
      </c>
      <c r="N126" s="49">
        <f t="shared" si="14"/>
        <v>0</v>
      </c>
      <c r="O126" s="49">
        <f t="shared" si="15"/>
        <v>0</v>
      </c>
      <c r="P126" s="49">
        <f t="shared" si="16"/>
        <v>0</v>
      </c>
      <c r="Q126" s="49">
        <f t="shared" si="17"/>
        <v>0</v>
      </c>
    </row>
    <row r="127" spans="1:17">
      <c r="A127" s="47" t="str">
        <f>FMECA!A129</f>
        <v>K_Sys</v>
      </c>
      <c r="B127" s="48" t="str">
        <f>FMECA!B129</f>
        <v>Non-correspondence between back contacts</v>
      </c>
      <c r="C127" s="48">
        <f>FMECA!E129</f>
        <v>0</v>
      </c>
      <c r="D127" s="47" t="str">
        <f>FMECA!H129</f>
        <v>Safe</v>
      </c>
      <c r="E127" s="47" t="str">
        <f>IF(ISNUMBER(SEARCH("Yes",FMECA!K129)),"Yes",IF(FMECA!K129="No","No",IF(ISNUMBER(SEARCH("No; impactless.",FMECA!K129)),"Impactless",IF(ISNUMBER(SEARCH("Outside the scope",FMECA!K129)),"Outside Scope",IF(ISNUMBER(SEARCH("Maybe",FMECA!K129)),"Maybe","Not Applicable")))))</f>
        <v>Impactless</v>
      </c>
      <c r="F127" s="47" t="s">
        <v>675</v>
      </c>
      <c r="G127" s="47" t="str">
        <f>IF(ISNUMBER(SEARCH("Yes",FMECA!L129)),"Yes",IF(FMECA!L129="No","No",IF(ISNUMBER(SEARCH("No; impactless.",FMECA!L129)),"Impactless","Not Applicable")))</f>
        <v>Impactless</v>
      </c>
      <c r="H127" s="47" t="str">
        <f>IF(ISNUMBER(SEARCH("CM0", FMECA!AC129)), "CM0", IF(ISNUMBER(SEARCH("CM1", FMECA!AC129)), "CM1", IF(ISNUMBER(SEARCH("CM2", FMECA!AC129)), "CM2", IF(ISNUMBER(SEARCH("CM3", FMECA!AC129)), "CM3", "Not Applicable"))))</f>
        <v>Not Applicable</v>
      </c>
      <c r="I127" s="49">
        <f t="shared" si="9"/>
        <v>0</v>
      </c>
      <c r="J127" s="49">
        <f t="shared" si="10"/>
        <v>0</v>
      </c>
      <c r="K127" s="49">
        <f t="shared" si="11"/>
        <v>0</v>
      </c>
      <c r="L127" s="49">
        <f t="shared" si="12"/>
        <v>0</v>
      </c>
      <c r="M127" s="49">
        <f t="shared" si="13"/>
        <v>0</v>
      </c>
      <c r="N127" s="49">
        <f t="shared" si="14"/>
        <v>0</v>
      </c>
      <c r="O127" s="49">
        <f t="shared" si="15"/>
        <v>0</v>
      </c>
      <c r="P127" s="49">
        <f t="shared" si="16"/>
        <v>0</v>
      </c>
      <c r="Q127" s="49">
        <f t="shared" si="17"/>
        <v>0</v>
      </c>
    </row>
    <row r="128" spans="1:17">
      <c r="A128" s="47" t="str">
        <f>FMECA!A130</f>
        <v>OR_Sys</v>
      </c>
      <c r="B128" s="48" t="str">
        <f>FMECA!B130</f>
        <v>VCC Supply open</v>
      </c>
      <c r="C128" s="48">
        <f>FMECA!E130</f>
        <v>8.468009584679352E-10</v>
      </c>
      <c r="D128" s="47" t="str">
        <f>FMECA!H130</f>
        <v>Safe</v>
      </c>
      <c r="E128" s="47" t="str">
        <f>IF(ISNUMBER(SEARCH("Yes",FMECA!K130)),"Yes",IF(FMECA!K130="No","No",IF(ISNUMBER(SEARCH("No; impactless.",FMECA!K130)),"Impactless",IF(ISNUMBER(SEARCH("Outside the scope",FMECA!K130)),"Outside Scope",IF(ISNUMBER(SEARCH("Maybe",FMECA!K130)),"Maybe","Not Applicable")))))</f>
        <v>Yes</v>
      </c>
      <c r="F128" s="47" t="s">
        <v>675</v>
      </c>
      <c r="G128" s="47" t="str">
        <f>IF(ISNUMBER(SEARCH("Yes",FMECA!L130)),"Yes",IF(FMECA!L130="No","No",IF(ISNUMBER(SEARCH("No; impactless.",FMECA!L130)),"Impactless","Not Applicable")))</f>
        <v>No</v>
      </c>
      <c r="H128" s="47" t="str">
        <f>IF(ISNUMBER(SEARCH("CM0", FMECA!AC130)), "CM0", IF(ISNUMBER(SEARCH("CM1", FMECA!AC130)), "CM1", IF(ISNUMBER(SEARCH("CM2", FMECA!AC130)), "CM2", IF(ISNUMBER(SEARCH("CM3", FMECA!AC130)), "CM3", "Not Applicable"))))</f>
        <v>Not Applicable</v>
      </c>
      <c r="I128" s="49">
        <f t="shared" si="9"/>
        <v>8.468009584679352E-10</v>
      </c>
      <c r="J128" s="49">
        <f t="shared" si="10"/>
        <v>0</v>
      </c>
      <c r="K128" s="49">
        <f t="shared" si="11"/>
        <v>0</v>
      </c>
      <c r="L128" s="49">
        <f t="shared" si="12"/>
        <v>0</v>
      </c>
      <c r="M128" s="49">
        <f t="shared" si="13"/>
        <v>0</v>
      </c>
      <c r="N128" s="49">
        <f t="shared" si="14"/>
        <v>0</v>
      </c>
      <c r="O128" s="49">
        <f t="shared" si="15"/>
        <v>0</v>
      </c>
      <c r="P128" s="49">
        <f t="shared" si="16"/>
        <v>0</v>
      </c>
      <c r="Q128" s="49">
        <f t="shared" si="17"/>
        <v>0</v>
      </c>
    </row>
    <row r="129" spans="1:17">
      <c r="A129" s="47" t="str">
        <f>FMECA!A131</f>
        <v>OR_Sys</v>
      </c>
      <c r="B129" s="48" t="str">
        <f>FMECA!B131</f>
        <v>GND Supply open</v>
      </c>
      <c r="C129" s="48">
        <f>FMECA!E131</f>
        <v>8.468009584679352E-10</v>
      </c>
      <c r="D129" s="47" t="str">
        <f>FMECA!H131</f>
        <v>Safe</v>
      </c>
      <c r="E129" s="47" t="str">
        <f>IF(ISNUMBER(SEARCH("Yes",FMECA!K131)),"Yes",IF(FMECA!K131="No","No",IF(ISNUMBER(SEARCH("No; impactless.",FMECA!K131)),"Impactless",IF(ISNUMBER(SEARCH("Outside the scope",FMECA!K131)),"Outside Scope",IF(ISNUMBER(SEARCH("Maybe",FMECA!K131)),"Maybe","Not Applicable")))))</f>
        <v>Yes</v>
      </c>
      <c r="F129" s="47" t="s">
        <v>675</v>
      </c>
      <c r="G129" s="47" t="str">
        <f>IF(ISNUMBER(SEARCH("Yes",FMECA!L131)),"Yes",IF(FMECA!L131="No","No",IF(ISNUMBER(SEARCH("No; impactless.",FMECA!L131)),"Impactless","Not Applicable")))</f>
        <v>No</v>
      </c>
      <c r="H129" s="47" t="str">
        <f>IF(ISNUMBER(SEARCH("CM0", FMECA!AC131)), "CM0", IF(ISNUMBER(SEARCH("CM1", FMECA!AC131)), "CM1", IF(ISNUMBER(SEARCH("CM2", FMECA!AC131)), "CM2", IF(ISNUMBER(SEARCH("CM3", FMECA!AC131)), "CM3", "Not Applicable"))))</f>
        <v>Not Applicable</v>
      </c>
      <c r="I129" s="49">
        <f t="shared" si="9"/>
        <v>8.468009584679352E-10</v>
      </c>
      <c r="J129" s="49">
        <f t="shared" si="10"/>
        <v>0</v>
      </c>
      <c r="K129" s="49">
        <f t="shared" si="11"/>
        <v>0</v>
      </c>
      <c r="L129" s="49">
        <f t="shared" si="12"/>
        <v>0</v>
      </c>
      <c r="M129" s="49">
        <f t="shared" si="13"/>
        <v>0</v>
      </c>
      <c r="N129" s="49">
        <f t="shared" si="14"/>
        <v>0</v>
      </c>
      <c r="O129" s="49">
        <f t="shared" si="15"/>
        <v>0</v>
      </c>
      <c r="P129" s="49">
        <f t="shared" si="16"/>
        <v>0</v>
      </c>
      <c r="Q129" s="49">
        <f t="shared" si="17"/>
        <v>0</v>
      </c>
    </row>
    <row r="130" spans="1:17">
      <c r="A130" s="47" t="str">
        <f>FMECA!A132</f>
        <v>OR_Sys</v>
      </c>
      <c r="B130" s="48" t="str">
        <f>FMECA!B132</f>
        <v>Output 'Y' open</v>
      </c>
      <c r="C130" s="48">
        <f>FMECA!E132</f>
        <v>5.0808057508076114E-9</v>
      </c>
      <c r="D130" s="47" t="str">
        <f>FMECA!H132</f>
        <v>Safe</v>
      </c>
      <c r="E130" s="47" t="str">
        <f>IF(ISNUMBER(SEARCH("Yes",FMECA!K132)),"Yes",IF(FMECA!K132="No","No",IF(ISNUMBER(SEARCH("No; impactless.",FMECA!K132)),"Impactless",IF(ISNUMBER(SEARCH("Outside the scope",FMECA!K132)),"Outside Scope",IF(ISNUMBER(SEARCH("Maybe",FMECA!K132)),"Maybe","Not Applicable")))))</f>
        <v>Yes</v>
      </c>
      <c r="F130" s="47" t="s">
        <v>675</v>
      </c>
      <c r="G130" s="47" t="str">
        <f>IF(ISNUMBER(SEARCH("Yes",FMECA!L132)),"Yes",IF(FMECA!L132="No","No",IF(ISNUMBER(SEARCH("No; impactless.",FMECA!L132)),"Impactless","Not Applicable")))</f>
        <v>No</v>
      </c>
      <c r="H130" s="47" t="str">
        <f>IF(ISNUMBER(SEARCH("CM0", FMECA!AC132)), "CM0", IF(ISNUMBER(SEARCH("CM1", FMECA!AC132)), "CM1", IF(ISNUMBER(SEARCH("CM2", FMECA!AC132)), "CM2", IF(ISNUMBER(SEARCH("CM3", FMECA!AC132)), "CM3", "Not Applicable"))))</f>
        <v>Not Applicable</v>
      </c>
      <c r="I130" s="49">
        <f t="shared" si="9"/>
        <v>5.0808057508076114E-9</v>
      </c>
      <c r="J130" s="49">
        <f t="shared" si="10"/>
        <v>0</v>
      </c>
      <c r="K130" s="49">
        <f t="shared" si="11"/>
        <v>0</v>
      </c>
      <c r="L130" s="49">
        <f t="shared" si="12"/>
        <v>0</v>
      </c>
      <c r="M130" s="49">
        <f t="shared" si="13"/>
        <v>0</v>
      </c>
      <c r="N130" s="49">
        <f t="shared" si="14"/>
        <v>0</v>
      </c>
      <c r="O130" s="49">
        <f t="shared" si="15"/>
        <v>0</v>
      </c>
      <c r="P130" s="49">
        <f t="shared" si="16"/>
        <v>0</v>
      </c>
      <c r="Q130" s="49">
        <f t="shared" si="17"/>
        <v>0</v>
      </c>
    </row>
    <row r="131" spans="1:17">
      <c r="A131" s="47" t="str">
        <f>FMECA!A133</f>
        <v>OR_Sys</v>
      </c>
      <c r="B131" s="48" t="str">
        <f>FMECA!B133</f>
        <v>Output 'Y' stuck low</v>
      </c>
      <c r="C131" s="48">
        <f>FMECA!E133</f>
        <v>1.2702014377019029E-9</v>
      </c>
      <c r="D131" s="47" t="str">
        <f>FMECA!H133</f>
        <v>Safe</v>
      </c>
      <c r="E131" s="47" t="str">
        <f>IF(ISNUMBER(SEARCH("Yes",FMECA!K133)),"Yes",IF(FMECA!K133="No","No",IF(ISNUMBER(SEARCH("No; impactless.",FMECA!K133)),"Impactless",IF(ISNUMBER(SEARCH("Outside the scope",FMECA!K133)),"Outside Scope",IF(ISNUMBER(SEARCH("Maybe",FMECA!K133)),"Maybe","Not Applicable")))))</f>
        <v>Yes</v>
      </c>
      <c r="F131" s="47" t="s">
        <v>675</v>
      </c>
      <c r="G131" s="47" t="str">
        <f>IF(ISNUMBER(SEARCH("Yes",FMECA!L133)),"Yes",IF(FMECA!L133="No","No",IF(ISNUMBER(SEARCH("No; impactless.",FMECA!L133)),"Impactless","Not Applicable")))</f>
        <v>No</v>
      </c>
      <c r="H131" s="47" t="str">
        <f>IF(ISNUMBER(SEARCH("CM0", FMECA!AC133)), "CM0", IF(ISNUMBER(SEARCH("CM1", FMECA!AC133)), "CM1", IF(ISNUMBER(SEARCH("CM2", FMECA!AC133)), "CM2", IF(ISNUMBER(SEARCH("CM3", FMECA!AC133)), "CM3", "Not Applicable"))))</f>
        <v>Not Applicable</v>
      </c>
      <c r="I131" s="49">
        <f t="shared" ref="I131:I194" si="18">IF(AND(E131 = "Yes", G131 = "No"), C131, 0)</f>
        <v>1.2702014377019029E-9</v>
      </c>
      <c r="J131" s="49">
        <f t="shared" ref="J131:J194" si="19">IF(AND(OR(E131 = "No", E131 = "Maybe"), G131 = "Yes"), C131, 0)</f>
        <v>0</v>
      </c>
      <c r="K131" s="49">
        <f t="shared" ref="K131:K194" si="20">IF(AND(E131="Yes",G131="Yes"), C131, 0)</f>
        <v>0</v>
      </c>
      <c r="L131" s="49">
        <f t="shared" ref="L131:L194" si="21">IF(E131="Outside Scope", C131, 0)</f>
        <v>0</v>
      </c>
      <c r="M131" s="49">
        <f t="shared" ref="M131:M194" si="22">IF(AND(E131 = "Maybe", F131 = "Yes", G131 = "No"), C131, 0)</f>
        <v>0</v>
      </c>
      <c r="N131" s="49">
        <f t="shared" ref="N131:N194" si="23">IF(AND(E131 = "Maybe", F131 = "No", G131 = "No"), C131, 0)</f>
        <v>0</v>
      </c>
      <c r="O131" s="49">
        <f t="shared" ref="O131:O194" si="24">IF(H131 = "CM1", C131, 0)</f>
        <v>0</v>
      </c>
      <c r="P131" s="49">
        <f t="shared" ref="P131:P194" si="25">IF(AND(E131&lt;&gt; "Maybe", H131 = "CM2"), C131, 0)</f>
        <v>0</v>
      </c>
      <c r="Q131" s="49">
        <f t="shared" ref="Q131:Q194" si="26">IF(H131 = "CM3", C131, 0)</f>
        <v>0</v>
      </c>
    </row>
    <row r="132" spans="1:17">
      <c r="A132" s="47" t="str">
        <f>FMECA!A134</f>
        <v>OR_Sys</v>
      </c>
      <c r="B132" s="48" t="str">
        <f>FMECA!B134</f>
        <v>Output 'Y' stuck high</v>
      </c>
      <c r="C132" s="48">
        <f>FMECA!E134</f>
        <v>1.1290679446239138E-9</v>
      </c>
      <c r="D132" s="47" t="str">
        <f>FMECA!H134</f>
        <v>Safe</v>
      </c>
      <c r="E132" s="47" t="str">
        <f>IF(ISNUMBER(SEARCH("Yes",FMECA!K134)),"Yes",IF(FMECA!K134="No","No",IF(ISNUMBER(SEARCH("No; impactless.",FMECA!K134)),"Impactless",IF(ISNUMBER(SEARCH("Outside the scope",FMECA!K134)),"Outside Scope",IF(ISNUMBER(SEARCH("Maybe",FMECA!K134)),"Maybe","Not Applicable")))))</f>
        <v>Yes</v>
      </c>
      <c r="F132" s="47" t="s">
        <v>675</v>
      </c>
      <c r="G132" s="47" t="str">
        <f>IF(ISNUMBER(SEARCH("Yes",FMECA!L134)),"Yes",IF(FMECA!L134="No","No",IF(ISNUMBER(SEARCH("No; impactless.",FMECA!L134)),"Impactless","Not Applicable")))</f>
        <v>No</v>
      </c>
      <c r="H132" s="47" t="str">
        <f>IF(ISNUMBER(SEARCH("CM0", FMECA!AC134)), "CM0", IF(ISNUMBER(SEARCH("CM1", FMECA!AC134)), "CM1", IF(ISNUMBER(SEARCH("CM2", FMECA!AC134)), "CM2", IF(ISNUMBER(SEARCH("CM3", FMECA!AC134)), "CM3", "Not Applicable"))))</f>
        <v>Not Applicable</v>
      </c>
      <c r="I132" s="49">
        <f t="shared" si="18"/>
        <v>1.1290679446239138E-9</v>
      </c>
      <c r="J132" s="49">
        <f t="shared" si="19"/>
        <v>0</v>
      </c>
      <c r="K132" s="49">
        <f t="shared" si="20"/>
        <v>0</v>
      </c>
      <c r="L132" s="49">
        <f t="shared" si="21"/>
        <v>0</v>
      </c>
      <c r="M132" s="49">
        <f t="shared" si="22"/>
        <v>0</v>
      </c>
      <c r="N132" s="49">
        <f t="shared" si="23"/>
        <v>0</v>
      </c>
      <c r="O132" s="49">
        <f t="shared" si="24"/>
        <v>0</v>
      </c>
      <c r="P132" s="49">
        <f t="shared" si="25"/>
        <v>0</v>
      </c>
      <c r="Q132" s="49">
        <f t="shared" si="26"/>
        <v>0</v>
      </c>
    </row>
    <row r="133" spans="1:17">
      <c r="A133" s="47" t="str">
        <f>FMECA!A135</f>
        <v>OR_Sys</v>
      </c>
      <c r="B133" s="48" t="str">
        <f>FMECA!B135</f>
        <v>Input 'A' open</v>
      </c>
      <c r="C133" s="48">
        <f>FMECA!E135</f>
        <v>1.6936019169358704E-9</v>
      </c>
      <c r="D133" s="47" t="str">
        <f>FMECA!H135</f>
        <v>Safe</v>
      </c>
      <c r="E133" s="47" t="str">
        <f>IF(ISNUMBER(SEARCH("Yes",FMECA!K135)),"Yes",IF(FMECA!K135="No","No",IF(ISNUMBER(SEARCH("No; impactless.",FMECA!K135)),"Impactless",IF(ISNUMBER(SEARCH("Outside the scope",FMECA!K135)),"Outside Scope",IF(ISNUMBER(SEARCH("Maybe",FMECA!K135)),"Maybe","Not Applicable")))))</f>
        <v>Yes</v>
      </c>
      <c r="F133" s="47" t="s">
        <v>675</v>
      </c>
      <c r="G133" s="47" t="str">
        <f>IF(ISNUMBER(SEARCH("Yes",FMECA!L135)),"Yes",IF(FMECA!L135="No","No",IF(ISNUMBER(SEARCH("No; impactless.",FMECA!L135)),"Impactless","Not Applicable")))</f>
        <v>No</v>
      </c>
      <c r="H133" s="47" t="str">
        <f>IF(ISNUMBER(SEARCH("CM0", FMECA!AC135)), "CM0", IF(ISNUMBER(SEARCH("CM1", FMECA!AC135)), "CM1", IF(ISNUMBER(SEARCH("CM2", FMECA!AC135)), "CM2", IF(ISNUMBER(SEARCH("CM3", FMECA!AC135)), "CM3", "Not Applicable"))))</f>
        <v>Not Applicable</v>
      </c>
      <c r="I133" s="49">
        <f t="shared" si="18"/>
        <v>1.6936019169358704E-9</v>
      </c>
      <c r="J133" s="49">
        <f t="shared" si="19"/>
        <v>0</v>
      </c>
      <c r="K133" s="49">
        <f t="shared" si="20"/>
        <v>0</v>
      </c>
      <c r="L133" s="49">
        <f t="shared" si="21"/>
        <v>0</v>
      </c>
      <c r="M133" s="49">
        <f t="shared" si="22"/>
        <v>0</v>
      </c>
      <c r="N133" s="49">
        <f t="shared" si="23"/>
        <v>0</v>
      </c>
      <c r="O133" s="49">
        <f t="shared" si="24"/>
        <v>0</v>
      </c>
      <c r="P133" s="49">
        <f t="shared" si="25"/>
        <v>0</v>
      </c>
      <c r="Q133" s="49">
        <f t="shared" si="26"/>
        <v>0</v>
      </c>
    </row>
    <row r="134" spans="1:17">
      <c r="A134" s="47" t="str">
        <f>FMECA!A136</f>
        <v>OR_Sys</v>
      </c>
      <c r="B134" s="48" t="str">
        <f>FMECA!B136</f>
        <v>Input 'B' open</v>
      </c>
      <c r="C134" s="48">
        <f>FMECA!E136</f>
        <v>1.6936019169358704E-9</v>
      </c>
      <c r="D134" s="47" t="str">
        <f>FMECA!H136</f>
        <v>Safe</v>
      </c>
      <c r="E134" s="47" t="str">
        <f>IF(ISNUMBER(SEARCH("Yes",FMECA!K136)),"Yes",IF(FMECA!K136="No","No",IF(ISNUMBER(SEARCH("No; impactless.",FMECA!K136)),"Impactless",IF(ISNUMBER(SEARCH("Outside the scope",FMECA!K136)),"Outside Scope",IF(ISNUMBER(SEARCH("Maybe",FMECA!K136)),"Maybe","Not Applicable")))))</f>
        <v>Yes</v>
      </c>
      <c r="F134" s="47" t="s">
        <v>675</v>
      </c>
      <c r="G134" s="47" t="str">
        <f>IF(ISNUMBER(SEARCH("Yes",FMECA!L136)),"Yes",IF(FMECA!L136="No","No",IF(ISNUMBER(SEARCH("No; impactless.",FMECA!L136)),"Impactless","Not Applicable")))</f>
        <v>No</v>
      </c>
      <c r="H134" s="47" t="str">
        <f>IF(ISNUMBER(SEARCH("CM0", FMECA!AC136)), "CM0", IF(ISNUMBER(SEARCH("CM1", FMECA!AC136)), "CM1", IF(ISNUMBER(SEARCH("CM2", FMECA!AC136)), "CM2", IF(ISNUMBER(SEARCH("CM3", FMECA!AC136)), "CM3", "Not Applicable"))))</f>
        <v>Not Applicable</v>
      </c>
      <c r="I134" s="49">
        <f t="shared" si="18"/>
        <v>1.6936019169358704E-9</v>
      </c>
      <c r="J134" s="49">
        <f t="shared" si="19"/>
        <v>0</v>
      </c>
      <c r="K134" s="49">
        <f t="shared" si="20"/>
        <v>0</v>
      </c>
      <c r="L134" s="49">
        <f t="shared" si="21"/>
        <v>0</v>
      </c>
      <c r="M134" s="49">
        <f t="shared" si="22"/>
        <v>0</v>
      </c>
      <c r="N134" s="49">
        <f t="shared" si="23"/>
        <v>0</v>
      </c>
      <c r="O134" s="49">
        <f t="shared" si="24"/>
        <v>0</v>
      </c>
      <c r="P134" s="49">
        <f t="shared" si="25"/>
        <v>0</v>
      </c>
      <c r="Q134" s="49">
        <f t="shared" si="26"/>
        <v>0</v>
      </c>
    </row>
    <row r="135" spans="1:17">
      <c r="A135" s="47" t="str">
        <f>FMECA!A137</f>
        <v>OR_Sys</v>
      </c>
      <c r="B135" s="48" t="str">
        <f>FMECA!B137</f>
        <v>Input 'C' open</v>
      </c>
      <c r="C135" s="48">
        <f>FMECA!E137</f>
        <v>1.6936019169358704E-9</v>
      </c>
      <c r="D135" s="47" t="str">
        <f>FMECA!H137</f>
        <v>Safe</v>
      </c>
      <c r="E135" s="47" t="str">
        <f>IF(ISNUMBER(SEARCH("Yes",FMECA!K137)),"Yes",IF(FMECA!K137="No","No",IF(ISNUMBER(SEARCH("No; impactless.",FMECA!K137)),"Impactless",IF(ISNUMBER(SEARCH("Outside the scope",FMECA!K137)),"Outside Scope",IF(ISNUMBER(SEARCH("Maybe",FMECA!K137)),"Maybe","Not Applicable")))))</f>
        <v>Yes</v>
      </c>
      <c r="F135" s="47" t="s">
        <v>675</v>
      </c>
      <c r="G135" s="47" t="str">
        <f>IF(ISNUMBER(SEARCH("Yes",FMECA!L137)),"Yes",IF(FMECA!L137="No","No",IF(ISNUMBER(SEARCH("No; impactless.",FMECA!L137)),"Impactless","Not Applicable")))</f>
        <v>No</v>
      </c>
      <c r="H135" s="47" t="str">
        <f>IF(ISNUMBER(SEARCH("CM0", FMECA!AC137)), "CM0", IF(ISNUMBER(SEARCH("CM1", FMECA!AC137)), "CM1", IF(ISNUMBER(SEARCH("CM2", FMECA!AC137)), "CM2", IF(ISNUMBER(SEARCH("CM3", FMECA!AC137)), "CM3", "Not Applicable"))))</f>
        <v>Not Applicable</v>
      </c>
      <c r="I135" s="49">
        <f t="shared" si="18"/>
        <v>1.6936019169358704E-9</v>
      </c>
      <c r="J135" s="49">
        <f t="shared" si="19"/>
        <v>0</v>
      </c>
      <c r="K135" s="49">
        <f t="shared" si="20"/>
        <v>0</v>
      </c>
      <c r="L135" s="49">
        <f t="shared" si="21"/>
        <v>0</v>
      </c>
      <c r="M135" s="49">
        <f t="shared" si="22"/>
        <v>0</v>
      </c>
      <c r="N135" s="49">
        <f t="shared" si="23"/>
        <v>0</v>
      </c>
      <c r="O135" s="49">
        <f t="shared" si="24"/>
        <v>0</v>
      </c>
      <c r="P135" s="49">
        <f t="shared" si="25"/>
        <v>0</v>
      </c>
      <c r="Q135" s="49">
        <f t="shared" si="26"/>
        <v>0</v>
      </c>
    </row>
    <row r="136" spans="1:17">
      <c r="A136" s="47" t="str">
        <f>FMECA!A138</f>
        <v>R4_Sys</v>
      </c>
      <c r="B136" s="48" t="str">
        <f>FMECA!B138</f>
        <v>Open</v>
      </c>
      <c r="C136" s="48">
        <f>FMECA!E138</f>
        <v>2.4551082459100113E-9</v>
      </c>
      <c r="D136" s="47" t="str">
        <f>FMECA!H138</f>
        <v>Safe</v>
      </c>
      <c r="E136" s="47" t="str">
        <f>IF(ISNUMBER(SEARCH("Yes",FMECA!K138)),"Yes",IF(FMECA!K138="No","No",IF(ISNUMBER(SEARCH("No; impactless.",FMECA!K138)),"Impactless",IF(ISNUMBER(SEARCH("Outside the scope",FMECA!K138)),"Outside Scope",IF(ISNUMBER(SEARCH("Maybe",FMECA!K138)),"Maybe","Not Applicable")))))</f>
        <v>Yes</v>
      </c>
      <c r="F136" s="47" t="s">
        <v>675</v>
      </c>
      <c r="G136" s="47" t="str">
        <f>IF(ISNUMBER(SEARCH("Yes",FMECA!L138)),"Yes",IF(FMECA!L138="No","No",IF(ISNUMBER(SEARCH("No; impactless.",FMECA!L138)),"Impactless","Not Applicable")))</f>
        <v>No</v>
      </c>
      <c r="H136" s="47" t="str">
        <f>IF(ISNUMBER(SEARCH("CM0", FMECA!AC138)), "CM0", IF(ISNUMBER(SEARCH("CM1", FMECA!AC138)), "CM1", IF(ISNUMBER(SEARCH("CM2", FMECA!AC138)), "CM2", IF(ISNUMBER(SEARCH("CM3", FMECA!AC138)), "CM3", "Not Applicable"))))</f>
        <v>Not Applicable</v>
      </c>
      <c r="I136" s="49">
        <f t="shared" si="18"/>
        <v>2.4551082459100113E-9</v>
      </c>
      <c r="J136" s="49">
        <f t="shared" si="19"/>
        <v>0</v>
      </c>
      <c r="K136" s="49">
        <f t="shared" si="20"/>
        <v>0</v>
      </c>
      <c r="L136" s="49">
        <f t="shared" si="21"/>
        <v>0</v>
      </c>
      <c r="M136" s="49">
        <f t="shared" si="22"/>
        <v>0</v>
      </c>
      <c r="N136" s="49">
        <f t="shared" si="23"/>
        <v>0</v>
      </c>
      <c r="O136" s="49">
        <f t="shared" si="24"/>
        <v>0</v>
      </c>
      <c r="P136" s="49">
        <f t="shared" si="25"/>
        <v>0</v>
      </c>
      <c r="Q136" s="49">
        <f t="shared" si="26"/>
        <v>0</v>
      </c>
    </row>
    <row r="137" spans="1:17">
      <c r="A137" s="47" t="str">
        <f>FMECA!A139</f>
        <v>R4_Sys</v>
      </c>
      <c r="B137" s="48" t="str">
        <f>FMECA!B139</f>
        <v>Short-Circuit</v>
      </c>
      <c r="C137" s="48">
        <f>FMECA!E139</f>
        <v>2.080600208398315E-10</v>
      </c>
      <c r="D137" s="47" t="str">
        <f>FMECA!H139</f>
        <v>Safe</v>
      </c>
      <c r="E137" s="47" t="str">
        <f>IF(ISNUMBER(SEARCH("Yes",FMECA!K139)),"Yes",IF(FMECA!K139="No","No",IF(ISNUMBER(SEARCH("No; impactless.",FMECA!K139)),"Impactless",IF(ISNUMBER(SEARCH("Outside the scope",FMECA!K139)),"Outside Scope",IF(ISNUMBER(SEARCH("Maybe",FMECA!K139)),"Maybe","Not Applicable")))))</f>
        <v>Yes</v>
      </c>
      <c r="F137" s="47" t="s">
        <v>675</v>
      </c>
      <c r="G137" s="47" t="str">
        <f>IF(ISNUMBER(SEARCH("Yes",FMECA!L139)),"Yes",IF(FMECA!L139="No","No",IF(ISNUMBER(SEARCH("No; impactless.",FMECA!L139)),"Impactless","Not Applicable")))</f>
        <v>No</v>
      </c>
      <c r="H137" s="47" t="str">
        <f>IF(ISNUMBER(SEARCH("CM0", FMECA!AC139)), "CM0", IF(ISNUMBER(SEARCH("CM1", FMECA!AC139)), "CM1", IF(ISNUMBER(SEARCH("CM2", FMECA!AC139)), "CM2", IF(ISNUMBER(SEARCH("CM3", FMECA!AC139)), "CM3", "Not Applicable"))))</f>
        <v>Not Applicable</v>
      </c>
      <c r="I137" s="49">
        <f t="shared" si="18"/>
        <v>2.080600208398315E-10</v>
      </c>
      <c r="J137" s="49">
        <f t="shared" si="19"/>
        <v>0</v>
      </c>
      <c r="K137" s="49">
        <f t="shared" si="20"/>
        <v>0</v>
      </c>
      <c r="L137" s="49">
        <f t="shared" si="21"/>
        <v>0</v>
      </c>
      <c r="M137" s="49">
        <f t="shared" si="22"/>
        <v>0</v>
      </c>
      <c r="N137" s="49">
        <f t="shared" si="23"/>
        <v>0</v>
      </c>
      <c r="O137" s="49">
        <f t="shared" si="24"/>
        <v>0</v>
      </c>
      <c r="P137" s="49">
        <f t="shared" si="25"/>
        <v>0</v>
      </c>
      <c r="Q137" s="49">
        <f t="shared" si="26"/>
        <v>0</v>
      </c>
    </row>
    <row r="138" spans="1:17">
      <c r="A138" s="47" t="str">
        <f>FMECA!A140</f>
        <v>R4_Sys</v>
      </c>
      <c r="B138" s="48" t="str">
        <f>FMECA!B140</f>
        <v>Increase of Resistance Value</v>
      </c>
      <c r="C138" s="48">
        <f>FMECA!E140</f>
        <v>7.4901607502339334E-10</v>
      </c>
      <c r="D138" s="47" t="str">
        <f>FMECA!H140</f>
        <v>Safe</v>
      </c>
      <c r="E138" s="47" t="str">
        <f>IF(ISNUMBER(SEARCH("Yes",FMECA!K140)),"Yes",IF(FMECA!K140="No","No",IF(ISNUMBER(SEARCH("No; impactless.",FMECA!K140)),"Impactless",IF(ISNUMBER(SEARCH("Outside the scope",FMECA!K140)),"Outside Scope",IF(ISNUMBER(SEARCH("Maybe",FMECA!K140)),"Maybe","Not Applicable")))))</f>
        <v>Maybe</v>
      </c>
      <c r="F138" s="47" t="s">
        <v>676</v>
      </c>
      <c r="G138" s="47" t="str">
        <f>IF(ISNUMBER(SEARCH("Yes",FMECA!L140)),"Yes",IF(FMECA!L140="No","No",IF(ISNUMBER(SEARCH("No; impactless.",FMECA!L140)),"Impactless","Not Applicable")))</f>
        <v>No</v>
      </c>
      <c r="H138" s="47" t="str">
        <f>IF(ISNUMBER(SEARCH("CM0", FMECA!AC140)), "CM0", IF(ISNUMBER(SEARCH("CM1", FMECA!AC140)), "CM1", IF(ISNUMBER(SEARCH("CM2", FMECA!AC140)), "CM2", IF(ISNUMBER(SEARCH("CM3", FMECA!AC140)), "CM3", "Not Applicable"))))</f>
        <v>CM2</v>
      </c>
      <c r="I138" s="49">
        <f t="shared" si="18"/>
        <v>0</v>
      </c>
      <c r="J138" s="49">
        <f t="shared" si="19"/>
        <v>0</v>
      </c>
      <c r="K138" s="49">
        <f t="shared" si="20"/>
        <v>0</v>
      </c>
      <c r="L138" s="49">
        <f t="shared" si="21"/>
        <v>0</v>
      </c>
      <c r="M138" s="49">
        <f t="shared" si="22"/>
        <v>7.4901607502339334E-10</v>
      </c>
      <c r="N138" s="49">
        <f t="shared" si="23"/>
        <v>0</v>
      </c>
      <c r="O138" s="49">
        <f t="shared" si="24"/>
        <v>0</v>
      </c>
      <c r="P138" s="49">
        <f t="shared" si="25"/>
        <v>0</v>
      </c>
      <c r="Q138" s="49">
        <f t="shared" si="26"/>
        <v>0</v>
      </c>
    </row>
    <row r="139" spans="1:17">
      <c r="A139" s="47" t="str">
        <f>FMECA!A141</f>
        <v>R4_Sys</v>
      </c>
      <c r="B139" s="48" t="str">
        <f>FMECA!B141</f>
        <v>Decrease of Resistance Value</v>
      </c>
      <c r="C139" s="48">
        <f>FMECA!E141</f>
        <v>7.4901607502339334E-10</v>
      </c>
      <c r="D139" s="47" t="str">
        <f>FMECA!H141</f>
        <v>Safe</v>
      </c>
      <c r="E139" s="47" t="str">
        <f>IF(ISNUMBER(SEARCH("Yes",FMECA!K141)),"Yes",IF(FMECA!K141="No","No",IF(ISNUMBER(SEARCH("No; impactless.",FMECA!K141)),"Impactless",IF(ISNUMBER(SEARCH("Outside the scope",FMECA!K141)),"Outside Scope",IF(ISNUMBER(SEARCH("Maybe",FMECA!K141)),"Maybe","Not Applicable")))))</f>
        <v>Yes</v>
      </c>
      <c r="F139" s="47" t="s">
        <v>675</v>
      </c>
      <c r="G139" s="47" t="str">
        <f>IF(ISNUMBER(SEARCH("Yes",FMECA!L141)),"Yes",IF(FMECA!L141="No","No",IF(ISNUMBER(SEARCH("No; impactless.",FMECA!L141)),"Impactless","Not Applicable")))</f>
        <v>No</v>
      </c>
      <c r="H139" s="47" t="str">
        <f>IF(ISNUMBER(SEARCH("CM0", FMECA!AC141)), "CM0", IF(ISNUMBER(SEARCH("CM1", FMECA!AC141)), "CM1", IF(ISNUMBER(SEARCH("CM2", FMECA!AC141)), "CM2", IF(ISNUMBER(SEARCH("CM3", FMECA!AC141)), "CM3", "Not Applicable"))))</f>
        <v>Not Applicable</v>
      </c>
      <c r="I139" s="49">
        <f t="shared" si="18"/>
        <v>7.4901607502339334E-10</v>
      </c>
      <c r="J139" s="49">
        <f t="shared" si="19"/>
        <v>0</v>
      </c>
      <c r="K139" s="49">
        <f t="shared" si="20"/>
        <v>0</v>
      </c>
      <c r="L139" s="49">
        <f t="shared" si="21"/>
        <v>0</v>
      </c>
      <c r="M139" s="49">
        <f t="shared" si="22"/>
        <v>0</v>
      </c>
      <c r="N139" s="49">
        <f t="shared" si="23"/>
        <v>0</v>
      </c>
      <c r="O139" s="49">
        <f t="shared" si="24"/>
        <v>0</v>
      </c>
      <c r="P139" s="49">
        <f t="shared" si="25"/>
        <v>0</v>
      </c>
      <c r="Q139" s="49">
        <f t="shared" si="26"/>
        <v>0</v>
      </c>
    </row>
    <row r="140" spans="1:17">
      <c r="A140" s="47" t="str">
        <f>FMECA!A142</f>
        <v>R4_Sys</v>
      </c>
      <c r="B140" s="48" t="str">
        <f>FMECA!B142</f>
        <v>Short-Circuit to Casing</v>
      </c>
      <c r="C140" s="48">
        <f>FMECA!E142</f>
        <v>0</v>
      </c>
      <c r="D140" s="47" t="str">
        <f>FMECA!H142</f>
        <v>Safe</v>
      </c>
      <c r="E140" s="47" t="str">
        <f>IF(ISNUMBER(SEARCH("Yes",FMECA!K142)),"Yes",IF(FMECA!K142="No","No",IF(ISNUMBER(SEARCH("No; impactless.",FMECA!K142)),"Impactless",IF(ISNUMBER(SEARCH("Outside the scope",FMECA!K142)),"Outside Scope",IF(ISNUMBER(SEARCH("Maybe",FMECA!K142)),"Maybe","Not Applicable")))))</f>
        <v>Impactless</v>
      </c>
      <c r="F140" s="47" t="s">
        <v>675</v>
      </c>
      <c r="G140" s="47" t="str">
        <f>IF(ISNUMBER(SEARCH("Yes",FMECA!L142)),"Yes",IF(FMECA!L142="No","No",IF(ISNUMBER(SEARCH("No; impactless.",FMECA!L142)),"Impactless","Not Applicable")))</f>
        <v>Impactless</v>
      </c>
      <c r="H140" s="47" t="str">
        <f>IF(ISNUMBER(SEARCH("CM0", FMECA!AC142)), "CM0", IF(ISNUMBER(SEARCH("CM1", FMECA!AC142)), "CM1", IF(ISNUMBER(SEARCH("CM2", FMECA!AC142)), "CM2", IF(ISNUMBER(SEARCH("CM3", FMECA!AC142)), "CM3", "Not Applicable"))))</f>
        <v>Not Applicable</v>
      </c>
      <c r="I140" s="49">
        <f t="shared" si="18"/>
        <v>0</v>
      </c>
      <c r="J140" s="49">
        <f t="shared" si="19"/>
        <v>0</v>
      </c>
      <c r="K140" s="49">
        <f t="shared" si="20"/>
        <v>0</v>
      </c>
      <c r="L140" s="49">
        <f t="shared" si="21"/>
        <v>0</v>
      </c>
      <c r="M140" s="49">
        <f t="shared" si="22"/>
        <v>0</v>
      </c>
      <c r="N140" s="49">
        <f t="shared" si="23"/>
        <v>0</v>
      </c>
      <c r="O140" s="49">
        <f t="shared" si="24"/>
        <v>0</v>
      </c>
      <c r="P140" s="49">
        <f t="shared" si="25"/>
        <v>0</v>
      </c>
      <c r="Q140" s="49">
        <f t="shared" si="26"/>
        <v>0</v>
      </c>
    </row>
    <row r="141" spans="1:17">
      <c r="A141" s="47" t="str">
        <f>FMECA!A143</f>
        <v>F_Sys</v>
      </c>
      <c r="B141" s="48" t="str">
        <f>FMECA!B143</f>
        <v>Interruption</v>
      </c>
      <c r="C141" s="48">
        <f>FMECA!E143</f>
        <v>8.0000000000000003E-10</v>
      </c>
      <c r="D141" s="47" t="str">
        <f>FMECA!H143</f>
        <v>Safe</v>
      </c>
      <c r="E141" s="47" t="str">
        <f>IF(ISNUMBER(SEARCH("Yes",FMECA!K143)),"Yes",IF(FMECA!K143="No","No",IF(ISNUMBER(SEARCH("No; impactless.",FMECA!K143)),"Impactless",IF(ISNUMBER(SEARCH("Outside the scope",FMECA!K143)),"Outside Scope",IF(ISNUMBER(SEARCH("Maybe",FMECA!K143)),"Maybe","Not Applicable")))))</f>
        <v>Yes</v>
      </c>
      <c r="F141" s="47" t="s">
        <v>675</v>
      </c>
      <c r="G141" s="47" t="str">
        <f>IF(ISNUMBER(SEARCH("Yes",FMECA!L143)),"Yes",IF(FMECA!L143="No","No",IF(ISNUMBER(SEARCH("No; impactless.",FMECA!L143)),"Impactless","Not Applicable")))</f>
        <v>No</v>
      </c>
      <c r="H141" s="47" t="str">
        <f>IF(ISNUMBER(SEARCH("CM0", FMECA!AC143)), "CM0", IF(ISNUMBER(SEARCH("CM1", FMECA!AC143)), "CM1", IF(ISNUMBER(SEARCH("CM2", FMECA!AC143)), "CM2", IF(ISNUMBER(SEARCH("CM3", FMECA!AC143)), "CM3", "Not Applicable"))))</f>
        <v>Not Applicable</v>
      </c>
      <c r="I141" s="49">
        <f t="shared" si="18"/>
        <v>8.0000000000000003E-10</v>
      </c>
      <c r="J141" s="49">
        <f t="shared" si="19"/>
        <v>0</v>
      </c>
      <c r="K141" s="49">
        <f t="shared" si="20"/>
        <v>0</v>
      </c>
      <c r="L141" s="49">
        <f t="shared" si="21"/>
        <v>0</v>
      </c>
      <c r="M141" s="49">
        <f t="shared" si="22"/>
        <v>0</v>
      </c>
      <c r="N141" s="49">
        <f t="shared" si="23"/>
        <v>0</v>
      </c>
      <c r="O141" s="49">
        <f t="shared" si="24"/>
        <v>0</v>
      </c>
      <c r="P141" s="49">
        <f t="shared" si="25"/>
        <v>0</v>
      </c>
      <c r="Q141" s="49">
        <f t="shared" si="26"/>
        <v>0</v>
      </c>
    </row>
    <row r="142" spans="1:17">
      <c r="A142" s="47" t="str">
        <f>FMECA!A144</f>
        <v>F_Sys</v>
      </c>
      <c r="B142" s="48" t="str">
        <f>FMECA!B144</f>
        <v>Parallel short-circuit</v>
      </c>
      <c r="C142" s="48">
        <f>FMECA!E144</f>
        <v>1.6333333333333333E-9</v>
      </c>
      <c r="D142" s="47" t="str">
        <f>FMECA!H144</f>
        <v>Safe</v>
      </c>
      <c r="E142" s="47" t="str">
        <f>IF(ISNUMBER(SEARCH("Yes",FMECA!K144)),"Yes",IF(FMECA!K144="No","No",IF(ISNUMBER(SEARCH("No; impactless.",FMECA!K144)),"Impactless",IF(ISNUMBER(SEARCH("Outside the scope",FMECA!K144)),"Outside Scope",IF(ISNUMBER(SEARCH("Maybe",FMECA!K144)),"Maybe","Not Applicable")))))</f>
        <v>No</v>
      </c>
      <c r="F142" s="47" t="s">
        <v>675</v>
      </c>
      <c r="G142" s="47" t="str">
        <f>IF(ISNUMBER(SEARCH("Yes",FMECA!L144)),"Yes",IF(FMECA!L144="No","No",IF(ISNUMBER(SEARCH("No; impactless.",FMECA!L144)),"Impactless","Not Applicable")))</f>
        <v>No</v>
      </c>
      <c r="H142" s="47" t="str">
        <f>IF(ISNUMBER(SEARCH("CM0", FMECA!AC144)), "CM0", IF(ISNUMBER(SEARCH("CM1", FMECA!AC144)), "CM1", IF(ISNUMBER(SEARCH("CM2", FMECA!AC144)), "CM2", IF(ISNUMBER(SEARCH("CM3", FMECA!AC144)), "CM3", "Not Applicable"))))</f>
        <v>CM2</v>
      </c>
      <c r="I142" s="49">
        <f t="shared" si="18"/>
        <v>0</v>
      </c>
      <c r="J142" s="49">
        <f t="shared" si="19"/>
        <v>0</v>
      </c>
      <c r="K142" s="49">
        <f t="shared" si="20"/>
        <v>0</v>
      </c>
      <c r="L142" s="49">
        <f t="shared" si="21"/>
        <v>0</v>
      </c>
      <c r="M142" s="49">
        <f t="shared" si="22"/>
        <v>0</v>
      </c>
      <c r="N142" s="49">
        <f t="shared" si="23"/>
        <v>0</v>
      </c>
      <c r="O142" s="49">
        <f t="shared" si="24"/>
        <v>0</v>
      </c>
      <c r="P142" s="49">
        <f t="shared" si="25"/>
        <v>1.6333333333333333E-9</v>
      </c>
      <c r="Q142" s="49">
        <f t="shared" si="26"/>
        <v>0</v>
      </c>
    </row>
    <row r="143" spans="1:17">
      <c r="A143" s="47" t="str">
        <f>FMECA!A145</f>
        <v>F_Sys</v>
      </c>
      <c r="B143" s="48" t="str">
        <f>FMECA!B145</f>
        <v>Increase of rupture current</v>
      </c>
      <c r="C143" s="48">
        <f>FMECA!E145</f>
        <v>1.6333333333333333E-9</v>
      </c>
      <c r="D143" s="47" t="str">
        <f>FMECA!H145</f>
        <v>Safe</v>
      </c>
      <c r="E143" s="47" t="str">
        <f>IF(ISNUMBER(SEARCH("Yes",FMECA!K145)),"Yes",IF(FMECA!K145="No","No",IF(ISNUMBER(SEARCH("No; impactless.",FMECA!K145)),"Impactless",IF(ISNUMBER(SEARCH("Outside the scope",FMECA!K145)),"Outside Scope",IF(ISNUMBER(SEARCH("Maybe",FMECA!K145)),"Maybe","Not Applicable")))))</f>
        <v>No</v>
      </c>
      <c r="F143" s="47" t="s">
        <v>675</v>
      </c>
      <c r="G143" s="47" t="str">
        <f>IF(ISNUMBER(SEARCH("Yes",FMECA!L145)),"Yes",IF(FMECA!L145="No","No",IF(ISNUMBER(SEARCH("No; impactless.",FMECA!L145)),"Impactless","Not Applicable")))</f>
        <v>No</v>
      </c>
      <c r="H143" s="47" t="str">
        <f>IF(ISNUMBER(SEARCH("CM0", FMECA!AC145)), "CM0", IF(ISNUMBER(SEARCH("CM1", FMECA!AC145)), "CM1", IF(ISNUMBER(SEARCH("CM2", FMECA!AC145)), "CM2", IF(ISNUMBER(SEARCH("CM3", FMECA!AC145)), "CM3", "Not Applicable"))))</f>
        <v>CM2</v>
      </c>
      <c r="I143" s="49">
        <f t="shared" si="18"/>
        <v>0</v>
      </c>
      <c r="J143" s="49">
        <f t="shared" si="19"/>
        <v>0</v>
      </c>
      <c r="K143" s="49">
        <f t="shared" si="20"/>
        <v>0</v>
      </c>
      <c r="L143" s="49">
        <f t="shared" si="21"/>
        <v>0</v>
      </c>
      <c r="M143" s="49">
        <f t="shared" si="22"/>
        <v>0</v>
      </c>
      <c r="N143" s="49">
        <f t="shared" si="23"/>
        <v>0</v>
      </c>
      <c r="O143" s="49">
        <f t="shared" si="24"/>
        <v>0</v>
      </c>
      <c r="P143" s="49">
        <f t="shared" si="25"/>
        <v>1.6333333333333333E-9</v>
      </c>
      <c r="Q143" s="49">
        <f t="shared" si="26"/>
        <v>0</v>
      </c>
    </row>
    <row r="144" spans="1:17">
      <c r="A144" s="47" t="str">
        <f>FMECA!A146</f>
        <v>F_Sys</v>
      </c>
      <c r="B144" s="48" t="str">
        <f>FMECA!B146</f>
        <v>Increase of rupture time</v>
      </c>
      <c r="C144" s="48">
        <f>FMECA!E146</f>
        <v>4.2999999999999996E-9</v>
      </c>
      <c r="D144" s="47" t="str">
        <f>FMECA!H146</f>
        <v>Safe</v>
      </c>
      <c r="E144" s="47" t="str">
        <f>IF(ISNUMBER(SEARCH("Yes",FMECA!K146)),"Yes",IF(FMECA!K146="No","No",IF(ISNUMBER(SEARCH("No; impactless.",FMECA!K146)),"Impactless",IF(ISNUMBER(SEARCH("Outside the scope",FMECA!K146)),"Outside Scope",IF(ISNUMBER(SEARCH("Maybe",FMECA!K146)),"Maybe","Not Applicable")))))</f>
        <v>No</v>
      </c>
      <c r="F144" s="47" t="s">
        <v>675</v>
      </c>
      <c r="G144" s="47" t="str">
        <f>IF(ISNUMBER(SEARCH("Yes",FMECA!L146)),"Yes",IF(FMECA!L146="No","No",IF(ISNUMBER(SEARCH("No; impactless.",FMECA!L146)),"Impactless","Not Applicable")))</f>
        <v>No</v>
      </c>
      <c r="H144" s="47" t="str">
        <f>IF(ISNUMBER(SEARCH("CM0", FMECA!AC146)), "CM0", IF(ISNUMBER(SEARCH("CM1", FMECA!AC146)), "CM1", IF(ISNUMBER(SEARCH("CM2", FMECA!AC146)), "CM2", IF(ISNUMBER(SEARCH("CM3", FMECA!AC146)), "CM3", "Not Applicable"))))</f>
        <v>CM2</v>
      </c>
      <c r="I144" s="49">
        <f t="shared" si="18"/>
        <v>0</v>
      </c>
      <c r="J144" s="49">
        <f t="shared" si="19"/>
        <v>0</v>
      </c>
      <c r="K144" s="49">
        <f t="shared" si="20"/>
        <v>0</v>
      </c>
      <c r="L144" s="49">
        <f t="shared" si="21"/>
        <v>0</v>
      </c>
      <c r="M144" s="49">
        <f t="shared" si="22"/>
        <v>0</v>
      </c>
      <c r="N144" s="49">
        <f t="shared" si="23"/>
        <v>0</v>
      </c>
      <c r="O144" s="49">
        <f t="shared" si="24"/>
        <v>0</v>
      </c>
      <c r="P144" s="49">
        <f t="shared" si="25"/>
        <v>4.2999999999999996E-9</v>
      </c>
      <c r="Q144" s="49">
        <f t="shared" si="26"/>
        <v>0</v>
      </c>
    </row>
    <row r="145" spans="1:17">
      <c r="A145" s="47" t="str">
        <f>FMECA!A147</f>
        <v>F_Sys</v>
      </c>
      <c r="B145" s="48" t="str">
        <f>FMECA!B147</f>
        <v>Reconnection after rupture</v>
      </c>
      <c r="C145" s="48">
        <f>FMECA!E147</f>
        <v>1.6333333333333333E-9</v>
      </c>
      <c r="D145" s="47" t="str">
        <f>FMECA!H147</f>
        <v>Safe</v>
      </c>
      <c r="E145" s="47" t="str">
        <f>IF(ISNUMBER(SEARCH("Yes",FMECA!K147)),"Yes",IF(FMECA!K147="No","No",IF(ISNUMBER(SEARCH("No; impactless.",FMECA!K147)),"Impactless",IF(ISNUMBER(SEARCH("Outside the scope",FMECA!K147)),"Outside Scope",IF(ISNUMBER(SEARCH("Maybe",FMECA!K147)),"Maybe","Not Applicable")))))</f>
        <v>No</v>
      </c>
      <c r="F145" s="47" t="s">
        <v>675</v>
      </c>
      <c r="G145" s="47" t="str">
        <f>IF(ISNUMBER(SEARCH("Yes",FMECA!L147)),"Yes",IF(FMECA!L147="No","No",IF(ISNUMBER(SEARCH("No; impactless.",FMECA!L147)),"Impactless","Not Applicable")))</f>
        <v>No</v>
      </c>
      <c r="H145" s="47" t="str">
        <f>IF(ISNUMBER(SEARCH("CM0", FMECA!AC147)), "CM0", IF(ISNUMBER(SEARCH("CM1", FMECA!AC147)), "CM1", IF(ISNUMBER(SEARCH("CM2", FMECA!AC147)), "CM2", IF(ISNUMBER(SEARCH("CM3", FMECA!AC147)), "CM3", "Not Applicable"))))</f>
        <v>CM2</v>
      </c>
      <c r="I145" s="49">
        <f t="shared" si="18"/>
        <v>0</v>
      </c>
      <c r="J145" s="49">
        <f t="shared" si="19"/>
        <v>0</v>
      </c>
      <c r="K145" s="49">
        <f t="shared" si="20"/>
        <v>0</v>
      </c>
      <c r="L145" s="49">
        <f t="shared" si="21"/>
        <v>0</v>
      </c>
      <c r="M145" s="49">
        <f t="shared" si="22"/>
        <v>0</v>
      </c>
      <c r="N145" s="49">
        <f t="shared" si="23"/>
        <v>0</v>
      </c>
      <c r="O145" s="49">
        <f t="shared" si="24"/>
        <v>0</v>
      </c>
      <c r="P145" s="49">
        <f t="shared" si="25"/>
        <v>1.6333333333333333E-9</v>
      </c>
      <c r="Q145" s="49">
        <f t="shared" si="26"/>
        <v>0</v>
      </c>
    </row>
    <row r="146" spans="1:17">
      <c r="A146" s="47" t="str">
        <f>FMECA!A148</f>
        <v>Q_Sys</v>
      </c>
      <c r="B146" s="48" t="str">
        <f>FMECA!B148</f>
        <v>Interruption of Gate</v>
      </c>
      <c r="C146" s="48">
        <f>FMECA!E148</f>
        <v>6.5191409211666409E-10</v>
      </c>
      <c r="D146" s="47" t="str">
        <f>FMECA!H148</f>
        <v>Safe</v>
      </c>
      <c r="E146" s="47" t="str">
        <f>IF(ISNUMBER(SEARCH("Yes",FMECA!K148)),"Yes",IF(FMECA!K148="No","No",IF(ISNUMBER(SEARCH("No; impactless.",FMECA!K148)),"Impactless",IF(ISNUMBER(SEARCH("Outside the scope",FMECA!K148)),"Outside Scope",IF(ISNUMBER(SEARCH("Maybe",FMECA!K148)),"Maybe","Not Applicable")))))</f>
        <v>Yes</v>
      </c>
      <c r="F146" s="47" t="s">
        <v>675</v>
      </c>
      <c r="G146" s="47" t="str">
        <f>IF(ISNUMBER(SEARCH("Yes",FMECA!L148)),"Yes",IF(FMECA!L148="No","No",IF(ISNUMBER(SEARCH("No; impactless.",FMECA!L148)),"Impactless","Not Applicable")))</f>
        <v>Yes</v>
      </c>
      <c r="H146" s="47" t="str">
        <f>IF(ISNUMBER(SEARCH("CM0", FMECA!AC148)), "CM0", IF(ISNUMBER(SEARCH("CM1", FMECA!AC148)), "CM1", IF(ISNUMBER(SEARCH("CM2", FMECA!AC148)), "CM2", IF(ISNUMBER(SEARCH("CM3", FMECA!AC148)), "CM3", "Not Applicable"))))</f>
        <v>Not Applicable</v>
      </c>
      <c r="I146" s="49">
        <f t="shared" si="18"/>
        <v>0</v>
      </c>
      <c r="J146" s="49">
        <f t="shared" si="19"/>
        <v>0</v>
      </c>
      <c r="K146" s="49">
        <f t="shared" si="20"/>
        <v>6.5191409211666409E-10</v>
      </c>
      <c r="L146" s="49">
        <f t="shared" si="21"/>
        <v>0</v>
      </c>
      <c r="M146" s="49">
        <f t="shared" si="22"/>
        <v>0</v>
      </c>
      <c r="N146" s="49">
        <f t="shared" si="23"/>
        <v>0</v>
      </c>
      <c r="O146" s="49">
        <f t="shared" si="24"/>
        <v>0</v>
      </c>
      <c r="P146" s="49">
        <f t="shared" si="25"/>
        <v>0</v>
      </c>
      <c r="Q146" s="49">
        <f t="shared" si="26"/>
        <v>0</v>
      </c>
    </row>
    <row r="147" spans="1:17">
      <c r="A147" s="47" t="str">
        <f>FMECA!A149</f>
        <v>Q_Sys</v>
      </c>
      <c r="B147" s="48" t="str">
        <f>FMECA!B149</f>
        <v>Interruption of Source</v>
      </c>
      <c r="C147" s="48">
        <f>FMECA!E149</f>
        <v>6.5191409211666409E-10</v>
      </c>
      <c r="D147" s="47" t="str">
        <f>FMECA!H149</f>
        <v>Safe</v>
      </c>
      <c r="E147" s="47" t="str">
        <f>IF(ISNUMBER(SEARCH("Yes",FMECA!K149)),"Yes",IF(FMECA!K149="No","No",IF(ISNUMBER(SEARCH("No; impactless.",FMECA!K149)),"Impactless",IF(ISNUMBER(SEARCH("Outside the scope",FMECA!K149)),"Outside Scope",IF(ISNUMBER(SEARCH("Maybe",FMECA!K149)),"Maybe","Not Applicable")))))</f>
        <v>Yes</v>
      </c>
      <c r="F147" s="47" t="s">
        <v>675</v>
      </c>
      <c r="G147" s="47" t="str">
        <f>IF(ISNUMBER(SEARCH("Yes",FMECA!L149)),"Yes",IF(FMECA!L149="No","No",IF(ISNUMBER(SEARCH("No; impactless.",FMECA!L149)),"Impactless","Not Applicable")))</f>
        <v>Yes</v>
      </c>
      <c r="H147" s="47" t="str">
        <f>IF(ISNUMBER(SEARCH("CM0", FMECA!AC149)), "CM0", IF(ISNUMBER(SEARCH("CM1", FMECA!AC149)), "CM1", IF(ISNUMBER(SEARCH("CM2", FMECA!AC149)), "CM2", IF(ISNUMBER(SEARCH("CM3", FMECA!AC149)), "CM3", "Not Applicable"))))</f>
        <v>Not Applicable</v>
      </c>
      <c r="I147" s="49">
        <f t="shared" si="18"/>
        <v>0</v>
      </c>
      <c r="J147" s="49">
        <f t="shared" si="19"/>
        <v>0</v>
      </c>
      <c r="K147" s="49">
        <f t="shared" si="20"/>
        <v>6.5191409211666409E-10</v>
      </c>
      <c r="L147" s="49">
        <f t="shared" si="21"/>
        <v>0</v>
      </c>
      <c r="M147" s="49">
        <f t="shared" si="22"/>
        <v>0</v>
      </c>
      <c r="N147" s="49">
        <f t="shared" si="23"/>
        <v>0</v>
      </c>
      <c r="O147" s="49">
        <f t="shared" si="24"/>
        <v>0</v>
      </c>
      <c r="P147" s="49">
        <f t="shared" si="25"/>
        <v>0</v>
      </c>
      <c r="Q147" s="49">
        <f t="shared" si="26"/>
        <v>0</v>
      </c>
    </row>
    <row r="148" spans="1:17">
      <c r="A148" s="47" t="str">
        <f>FMECA!A150</f>
        <v>Q_Sys</v>
      </c>
      <c r="B148" s="48" t="str">
        <f>FMECA!B150</f>
        <v>Interruption of Drain</v>
      </c>
      <c r="C148" s="48">
        <f>FMECA!E150</f>
        <v>6.5191409211666409E-10</v>
      </c>
      <c r="D148" s="47" t="str">
        <f>FMECA!H150</f>
        <v>Safe</v>
      </c>
      <c r="E148" s="47" t="str">
        <f>IF(ISNUMBER(SEARCH("Yes",FMECA!K150)),"Yes",IF(FMECA!K150="No","No",IF(ISNUMBER(SEARCH("No; impactless.",FMECA!K150)),"Impactless",IF(ISNUMBER(SEARCH("Outside the scope",FMECA!K150)),"Outside Scope",IF(ISNUMBER(SEARCH("Maybe",FMECA!K150)),"Maybe","Not Applicable")))))</f>
        <v>Yes</v>
      </c>
      <c r="F148" s="47" t="s">
        <v>675</v>
      </c>
      <c r="G148" s="47" t="str">
        <f>IF(ISNUMBER(SEARCH("Yes",FMECA!L150)),"Yes",IF(FMECA!L150="No","No",IF(ISNUMBER(SEARCH("No; impactless.",FMECA!L150)),"Impactless","Not Applicable")))</f>
        <v>Yes</v>
      </c>
      <c r="H148" s="47" t="str">
        <f>IF(ISNUMBER(SEARCH("CM0", FMECA!AC150)), "CM0", IF(ISNUMBER(SEARCH("CM1", FMECA!AC150)), "CM1", IF(ISNUMBER(SEARCH("CM2", FMECA!AC150)), "CM2", IF(ISNUMBER(SEARCH("CM3", FMECA!AC150)), "CM3", "Not Applicable"))))</f>
        <v>Not Applicable</v>
      </c>
      <c r="I148" s="49">
        <f t="shared" si="18"/>
        <v>0</v>
      </c>
      <c r="J148" s="49">
        <f t="shared" si="19"/>
        <v>0</v>
      </c>
      <c r="K148" s="49">
        <f t="shared" si="20"/>
        <v>6.5191409211666409E-10</v>
      </c>
      <c r="L148" s="49">
        <f t="shared" si="21"/>
        <v>0</v>
      </c>
      <c r="M148" s="49">
        <f t="shared" si="22"/>
        <v>0</v>
      </c>
      <c r="N148" s="49">
        <f t="shared" si="23"/>
        <v>0</v>
      </c>
      <c r="O148" s="49">
        <f t="shared" si="24"/>
        <v>0</v>
      </c>
      <c r="P148" s="49">
        <f t="shared" si="25"/>
        <v>0</v>
      </c>
      <c r="Q148" s="49">
        <f t="shared" si="26"/>
        <v>0</v>
      </c>
    </row>
    <row r="149" spans="1:17">
      <c r="A149" s="47" t="str">
        <f>FMECA!A151</f>
        <v>Q_Sys</v>
      </c>
      <c r="B149" s="48" t="str">
        <f>FMECA!B151</f>
        <v>Interruption of Gate and Source</v>
      </c>
      <c r="C149" s="48">
        <f>FMECA!E151</f>
        <v>6.5191409211666409E-10</v>
      </c>
      <c r="D149" s="47" t="str">
        <f>FMECA!H151</f>
        <v>Safe</v>
      </c>
      <c r="E149" s="47" t="str">
        <f>IF(ISNUMBER(SEARCH("Yes",FMECA!K151)),"Yes",IF(FMECA!K151="No","No",IF(ISNUMBER(SEARCH("No; impactless.",FMECA!K151)),"Impactless",IF(ISNUMBER(SEARCH("Outside the scope",FMECA!K151)),"Outside Scope",IF(ISNUMBER(SEARCH("Maybe",FMECA!K151)),"Maybe","Not Applicable")))))</f>
        <v>Yes</v>
      </c>
      <c r="F149" s="47" t="s">
        <v>675</v>
      </c>
      <c r="G149" s="47" t="str">
        <f>IF(ISNUMBER(SEARCH("Yes",FMECA!L151)),"Yes",IF(FMECA!L151="No","No",IF(ISNUMBER(SEARCH("No; impactless.",FMECA!L151)),"Impactless","Not Applicable")))</f>
        <v>Yes</v>
      </c>
      <c r="H149" s="47" t="str">
        <f>IF(ISNUMBER(SEARCH("CM0", FMECA!AC151)), "CM0", IF(ISNUMBER(SEARCH("CM1", FMECA!AC151)), "CM1", IF(ISNUMBER(SEARCH("CM2", FMECA!AC151)), "CM2", IF(ISNUMBER(SEARCH("CM3", FMECA!AC151)), "CM3", "Not Applicable"))))</f>
        <v>Not Applicable</v>
      </c>
      <c r="I149" s="49">
        <f t="shared" si="18"/>
        <v>0</v>
      </c>
      <c r="J149" s="49">
        <f t="shared" si="19"/>
        <v>0</v>
      </c>
      <c r="K149" s="49">
        <f t="shared" si="20"/>
        <v>6.5191409211666409E-10</v>
      </c>
      <c r="L149" s="49">
        <f t="shared" si="21"/>
        <v>0</v>
      </c>
      <c r="M149" s="49">
        <f t="shared" si="22"/>
        <v>0</v>
      </c>
      <c r="N149" s="49">
        <f t="shared" si="23"/>
        <v>0</v>
      </c>
      <c r="O149" s="49">
        <f t="shared" si="24"/>
        <v>0</v>
      </c>
      <c r="P149" s="49">
        <f t="shared" si="25"/>
        <v>0</v>
      </c>
      <c r="Q149" s="49">
        <f t="shared" si="26"/>
        <v>0</v>
      </c>
    </row>
    <row r="150" spans="1:17">
      <c r="A150" s="47" t="str">
        <f>FMECA!A152</f>
        <v>Q_Sys</v>
      </c>
      <c r="B150" s="48" t="str">
        <f>FMECA!B152</f>
        <v>Interruption of Gate and Drain</v>
      </c>
      <c r="C150" s="48">
        <f>FMECA!E152</f>
        <v>6.5191409211666409E-10</v>
      </c>
      <c r="D150" s="47" t="str">
        <f>FMECA!H152</f>
        <v>Safe</v>
      </c>
      <c r="E150" s="47" t="str">
        <f>IF(ISNUMBER(SEARCH("Yes",FMECA!K152)),"Yes",IF(FMECA!K152="No","No",IF(ISNUMBER(SEARCH("No; impactless.",FMECA!K152)),"Impactless",IF(ISNUMBER(SEARCH("Outside the scope",FMECA!K152)),"Outside Scope",IF(ISNUMBER(SEARCH("Maybe",FMECA!K152)),"Maybe","Not Applicable")))))</f>
        <v>Yes</v>
      </c>
      <c r="F150" s="47" t="s">
        <v>675</v>
      </c>
      <c r="G150" s="47" t="str">
        <f>IF(ISNUMBER(SEARCH("Yes",FMECA!L152)),"Yes",IF(FMECA!L152="No","No",IF(ISNUMBER(SEARCH("No; impactless.",FMECA!L152)),"Impactless","Not Applicable")))</f>
        <v>Yes</v>
      </c>
      <c r="H150" s="47" t="str">
        <f>IF(ISNUMBER(SEARCH("CM0", FMECA!AC152)), "CM0", IF(ISNUMBER(SEARCH("CM1", FMECA!AC152)), "CM1", IF(ISNUMBER(SEARCH("CM2", FMECA!AC152)), "CM2", IF(ISNUMBER(SEARCH("CM3", FMECA!AC152)), "CM3", "Not Applicable"))))</f>
        <v>Not Applicable</v>
      </c>
      <c r="I150" s="49">
        <f t="shared" si="18"/>
        <v>0</v>
      </c>
      <c r="J150" s="49">
        <f t="shared" si="19"/>
        <v>0</v>
      </c>
      <c r="K150" s="49">
        <f t="shared" si="20"/>
        <v>6.5191409211666409E-10</v>
      </c>
      <c r="L150" s="49">
        <f t="shared" si="21"/>
        <v>0</v>
      </c>
      <c r="M150" s="49">
        <f t="shared" si="22"/>
        <v>0</v>
      </c>
      <c r="N150" s="49">
        <f t="shared" si="23"/>
        <v>0</v>
      </c>
      <c r="O150" s="49">
        <f t="shared" si="24"/>
        <v>0</v>
      </c>
      <c r="P150" s="49">
        <f t="shared" si="25"/>
        <v>0</v>
      </c>
      <c r="Q150" s="49">
        <f t="shared" si="26"/>
        <v>0</v>
      </c>
    </row>
    <row r="151" spans="1:17">
      <c r="A151" s="47" t="str">
        <f>FMECA!A153</f>
        <v>Q_Sys</v>
      </c>
      <c r="B151" s="48" t="str">
        <f>FMECA!B153</f>
        <v>Interruption of Source and Drain</v>
      </c>
      <c r="C151" s="48">
        <f>FMECA!E153</f>
        <v>6.5191409211666409E-10</v>
      </c>
      <c r="D151" s="47" t="str">
        <f>FMECA!H153</f>
        <v>Safe</v>
      </c>
      <c r="E151" s="47" t="str">
        <f>IF(ISNUMBER(SEARCH("Yes",FMECA!K153)),"Yes",IF(FMECA!K153="No","No",IF(ISNUMBER(SEARCH("No; impactless.",FMECA!K153)),"Impactless",IF(ISNUMBER(SEARCH("Outside the scope",FMECA!K153)),"Outside Scope",IF(ISNUMBER(SEARCH("Maybe",FMECA!K153)),"Maybe","Not Applicable")))))</f>
        <v>Yes</v>
      </c>
      <c r="F151" s="47" t="s">
        <v>675</v>
      </c>
      <c r="G151" s="47" t="str">
        <f>IF(ISNUMBER(SEARCH("Yes",FMECA!L153)),"Yes",IF(FMECA!L153="No","No",IF(ISNUMBER(SEARCH("No; impactless.",FMECA!L153)),"Impactless","Not Applicable")))</f>
        <v>Yes</v>
      </c>
      <c r="H151" s="47" t="str">
        <f>IF(ISNUMBER(SEARCH("CM0", FMECA!AC153)), "CM0", IF(ISNUMBER(SEARCH("CM1", FMECA!AC153)), "CM1", IF(ISNUMBER(SEARCH("CM2", FMECA!AC153)), "CM2", IF(ISNUMBER(SEARCH("CM3", FMECA!AC153)), "CM3", "Not Applicable"))))</f>
        <v>Not Applicable</v>
      </c>
      <c r="I151" s="49">
        <f t="shared" si="18"/>
        <v>0</v>
      </c>
      <c r="J151" s="49">
        <f t="shared" si="19"/>
        <v>0</v>
      </c>
      <c r="K151" s="49">
        <f t="shared" si="20"/>
        <v>6.5191409211666409E-10</v>
      </c>
      <c r="L151" s="49">
        <f t="shared" si="21"/>
        <v>0</v>
      </c>
      <c r="M151" s="49">
        <f t="shared" si="22"/>
        <v>0</v>
      </c>
      <c r="N151" s="49">
        <f t="shared" si="23"/>
        <v>0</v>
      </c>
      <c r="O151" s="49">
        <f t="shared" si="24"/>
        <v>0</v>
      </c>
      <c r="P151" s="49">
        <f t="shared" si="25"/>
        <v>0</v>
      </c>
      <c r="Q151" s="49">
        <f t="shared" si="26"/>
        <v>0</v>
      </c>
    </row>
    <row r="152" spans="1:17">
      <c r="A152" s="47" t="str">
        <f>FMECA!A154</f>
        <v>Q_Sys</v>
      </c>
      <c r="B152" s="48" t="str">
        <f>FMECA!B154</f>
        <v>Interruption of Gate, Source and Drain</v>
      </c>
      <c r="C152" s="48">
        <f>FMECA!E154</f>
        <v>6.5191409211666409E-10</v>
      </c>
      <c r="D152" s="47" t="str">
        <f>FMECA!H154</f>
        <v>Safe</v>
      </c>
      <c r="E152" s="47" t="str">
        <f>IF(ISNUMBER(SEARCH("Yes",FMECA!K154)),"Yes",IF(FMECA!K154="No","No",IF(ISNUMBER(SEARCH("No; impactless.",FMECA!K154)),"Impactless",IF(ISNUMBER(SEARCH("Outside the scope",FMECA!K154)),"Outside Scope",IF(ISNUMBER(SEARCH("Maybe",FMECA!K154)),"Maybe","Not Applicable")))))</f>
        <v>Yes</v>
      </c>
      <c r="F152" s="47" t="s">
        <v>675</v>
      </c>
      <c r="G152" s="47" t="str">
        <f>IF(ISNUMBER(SEARCH("Yes",FMECA!L154)),"Yes",IF(FMECA!L154="No","No",IF(ISNUMBER(SEARCH("No; impactless.",FMECA!L154)),"Impactless","Not Applicable")))</f>
        <v>Yes</v>
      </c>
      <c r="H152" s="47" t="str">
        <f>IF(ISNUMBER(SEARCH("CM0", FMECA!AC154)), "CM0", IF(ISNUMBER(SEARCH("CM1", FMECA!AC154)), "CM1", IF(ISNUMBER(SEARCH("CM2", FMECA!AC154)), "CM2", IF(ISNUMBER(SEARCH("CM3", FMECA!AC154)), "CM3", "Not Applicable"))))</f>
        <v>Not Applicable</v>
      </c>
      <c r="I152" s="49">
        <f t="shared" si="18"/>
        <v>0</v>
      </c>
      <c r="J152" s="49">
        <f t="shared" si="19"/>
        <v>0</v>
      </c>
      <c r="K152" s="49">
        <f t="shared" si="20"/>
        <v>6.5191409211666409E-10</v>
      </c>
      <c r="L152" s="49">
        <f t="shared" si="21"/>
        <v>0</v>
      </c>
      <c r="M152" s="49">
        <f t="shared" si="22"/>
        <v>0</v>
      </c>
      <c r="N152" s="49">
        <f t="shared" si="23"/>
        <v>0</v>
      </c>
      <c r="O152" s="49">
        <f t="shared" si="24"/>
        <v>0</v>
      </c>
      <c r="P152" s="49">
        <f t="shared" si="25"/>
        <v>0</v>
      </c>
      <c r="Q152" s="49">
        <f t="shared" si="26"/>
        <v>0</v>
      </c>
    </row>
    <row r="153" spans="1:17">
      <c r="A153" s="47" t="str">
        <f>FMECA!A155</f>
        <v>Q_Sys</v>
      </c>
      <c r="B153" s="48" t="str">
        <f>FMECA!B155</f>
        <v>Short-Circuit Between Source and Drain</v>
      </c>
      <c r="C153" s="48">
        <f>FMECA!E155</f>
        <v>2.2728896725148557E-9</v>
      </c>
      <c r="D153" s="47" t="str">
        <f>FMECA!H155</f>
        <v>Safe</v>
      </c>
      <c r="E153" s="47" t="str">
        <f>IF(ISNUMBER(SEARCH("Yes",FMECA!K155)),"Yes",IF(FMECA!K155="No","No",IF(ISNUMBER(SEARCH("No; impactless.",FMECA!K155)),"Impactless",IF(ISNUMBER(SEARCH("Outside the scope",FMECA!K155)),"Outside Scope",IF(ISNUMBER(SEARCH("Maybe",FMECA!K155)),"Maybe","Not Applicable")))))</f>
        <v>Yes</v>
      </c>
      <c r="F153" s="47" t="s">
        <v>675</v>
      </c>
      <c r="G153" s="47" t="str">
        <f>IF(ISNUMBER(SEARCH("Yes",FMECA!L155)),"Yes",IF(FMECA!L155="No","No",IF(ISNUMBER(SEARCH("No; impactless.",FMECA!L155)),"Impactless","Not Applicable")))</f>
        <v>No</v>
      </c>
      <c r="H153" s="47" t="str">
        <f>IF(ISNUMBER(SEARCH("CM0", FMECA!AC155)), "CM0", IF(ISNUMBER(SEARCH("CM1", FMECA!AC155)), "CM1", IF(ISNUMBER(SEARCH("CM2", FMECA!AC155)), "CM2", IF(ISNUMBER(SEARCH("CM3", FMECA!AC155)), "CM3", "Not Applicable"))))</f>
        <v>Not Applicable</v>
      </c>
      <c r="I153" s="49">
        <f t="shared" si="18"/>
        <v>2.2728896725148557E-9</v>
      </c>
      <c r="J153" s="49">
        <f t="shared" si="19"/>
        <v>0</v>
      </c>
      <c r="K153" s="49">
        <f t="shared" si="20"/>
        <v>0</v>
      </c>
      <c r="L153" s="49">
        <f t="shared" si="21"/>
        <v>0</v>
      </c>
      <c r="M153" s="49">
        <f t="shared" si="22"/>
        <v>0</v>
      </c>
      <c r="N153" s="49">
        <f t="shared" si="23"/>
        <v>0</v>
      </c>
      <c r="O153" s="49">
        <f t="shared" si="24"/>
        <v>0</v>
      </c>
      <c r="P153" s="49">
        <f t="shared" si="25"/>
        <v>0</v>
      </c>
      <c r="Q153" s="49">
        <f t="shared" si="26"/>
        <v>0</v>
      </c>
    </row>
    <row r="154" spans="1:17">
      <c r="A154" s="47" t="str">
        <f>FMECA!A156</f>
        <v>Q_Sys</v>
      </c>
      <c r="B154" s="48" t="str">
        <f>FMECA!B156</f>
        <v>Short-Circuit Between Gate and Drain</v>
      </c>
      <c r="C154" s="48">
        <f>FMECA!E156</f>
        <v>2.2728896725148557E-9</v>
      </c>
      <c r="D154" s="47" t="str">
        <f>FMECA!H156</f>
        <v>Safe</v>
      </c>
      <c r="E154" s="47" t="str">
        <f>IF(ISNUMBER(SEARCH("Yes",FMECA!K156)),"Yes",IF(FMECA!K156="No","No",IF(ISNUMBER(SEARCH("No; impactless.",FMECA!K156)),"Impactless",IF(ISNUMBER(SEARCH("Outside the scope",FMECA!K156)),"Outside Scope",IF(ISNUMBER(SEARCH("Maybe",FMECA!K156)),"Maybe","Not Applicable")))))</f>
        <v>Yes</v>
      </c>
      <c r="F154" s="47" t="s">
        <v>675</v>
      </c>
      <c r="G154" s="47" t="str">
        <f>IF(ISNUMBER(SEARCH("Yes",FMECA!L156)),"Yes",IF(FMECA!L156="No","No",IF(ISNUMBER(SEARCH("No; impactless.",FMECA!L156)),"Impactless","Not Applicable")))</f>
        <v>No</v>
      </c>
      <c r="H154" s="47" t="str">
        <f>IF(ISNUMBER(SEARCH("CM0", FMECA!AC156)), "CM0", IF(ISNUMBER(SEARCH("CM1", FMECA!AC156)), "CM1", IF(ISNUMBER(SEARCH("CM2", FMECA!AC156)), "CM2", IF(ISNUMBER(SEARCH("CM3", FMECA!AC156)), "CM3", "Not Applicable"))))</f>
        <v>Not Applicable</v>
      </c>
      <c r="I154" s="49">
        <f t="shared" si="18"/>
        <v>2.2728896725148557E-9</v>
      </c>
      <c r="J154" s="49">
        <f t="shared" si="19"/>
        <v>0</v>
      </c>
      <c r="K154" s="49">
        <f t="shared" si="20"/>
        <v>0</v>
      </c>
      <c r="L154" s="49">
        <f t="shared" si="21"/>
        <v>0</v>
      </c>
      <c r="M154" s="49">
        <f t="shared" si="22"/>
        <v>0</v>
      </c>
      <c r="N154" s="49">
        <f t="shared" si="23"/>
        <v>0</v>
      </c>
      <c r="O154" s="49">
        <f t="shared" si="24"/>
        <v>0</v>
      </c>
      <c r="P154" s="49">
        <f t="shared" si="25"/>
        <v>0</v>
      </c>
      <c r="Q154" s="49">
        <f t="shared" si="26"/>
        <v>0</v>
      </c>
    </row>
    <row r="155" spans="1:17">
      <c r="A155" s="47" t="str">
        <f>FMECA!A157</f>
        <v>Q_Sys</v>
      </c>
      <c r="B155" s="48" t="str">
        <f>FMECA!B157</f>
        <v>Short-Circuit Between Source and Gate</v>
      </c>
      <c r="C155" s="48">
        <f>FMECA!E157</f>
        <v>2.2728896725148557E-9</v>
      </c>
      <c r="D155" s="47" t="str">
        <f>FMECA!H157</f>
        <v>Safe</v>
      </c>
      <c r="E155" s="47" t="str">
        <f>IF(ISNUMBER(SEARCH("Yes",FMECA!K157)),"Yes",IF(FMECA!K157="No","No",IF(ISNUMBER(SEARCH("No; impactless.",FMECA!K157)),"Impactless",IF(ISNUMBER(SEARCH("Outside the scope",FMECA!K157)),"Outside Scope",IF(ISNUMBER(SEARCH("Maybe",FMECA!K157)),"Maybe","Not Applicable")))))</f>
        <v>Yes</v>
      </c>
      <c r="F155" s="47" t="s">
        <v>675</v>
      </c>
      <c r="G155" s="47" t="str">
        <f>IF(ISNUMBER(SEARCH("Yes",FMECA!L157)),"Yes",IF(FMECA!L157="No","No",IF(ISNUMBER(SEARCH("No; impactless.",FMECA!L157)),"Impactless","Not Applicable")))</f>
        <v>Yes</v>
      </c>
      <c r="H155" s="47" t="str">
        <f>IF(ISNUMBER(SEARCH("CM0", FMECA!AC157)), "CM0", IF(ISNUMBER(SEARCH("CM1", FMECA!AC157)), "CM1", IF(ISNUMBER(SEARCH("CM2", FMECA!AC157)), "CM2", IF(ISNUMBER(SEARCH("CM3", FMECA!AC157)), "CM3", "Not Applicable"))))</f>
        <v>Not Applicable</v>
      </c>
      <c r="I155" s="49">
        <f t="shared" si="18"/>
        <v>0</v>
      </c>
      <c r="J155" s="49">
        <f t="shared" si="19"/>
        <v>0</v>
      </c>
      <c r="K155" s="49">
        <f t="shared" si="20"/>
        <v>2.2728896725148557E-9</v>
      </c>
      <c r="L155" s="49">
        <f t="shared" si="21"/>
        <v>0</v>
      </c>
      <c r="M155" s="49">
        <f t="shared" si="22"/>
        <v>0</v>
      </c>
      <c r="N155" s="49">
        <f t="shared" si="23"/>
        <v>0</v>
      </c>
      <c r="O155" s="49">
        <f t="shared" si="24"/>
        <v>0</v>
      </c>
      <c r="P155" s="49">
        <f t="shared" si="25"/>
        <v>0</v>
      </c>
      <c r="Q155" s="49">
        <f t="shared" si="26"/>
        <v>0</v>
      </c>
    </row>
    <row r="156" spans="1:17">
      <c r="A156" s="47" t="str">
        <f>FMECA!A158</f>
        <v>Q_Sys</v>
      </c>
      <c r="B156" s="48" t="str">
        <f>FMECA!B158</f>
        <v>Short-Circuit Between Source, Gate and Drain</v>
      </c>
      <c r="C156" s="48">
        <f>FMECA!E158</f>
        <v>2.2728896725148557E-9</v>
      </c>
      <c r="D156" s="47" t="str">
        <f>FMECA!H158</f>
        <v>Safe</v>
      </c>
      <c r="E156" s="47" t="str">
        <f>IF(ISNUMBER(SEARCH("Yes",FMECA!K158)),"Yes",IF(FMECA!K158="No","No",IF(ISNUMBER(SEARCH("No; impactless.",FMECA!K158)),"Impactless",IF(ISNUMBER(SEARCH("Outside the scope",FMECA!K158)),"Outside Scope",IF(ISNUMBER(SEARCH("Maybe",FMECA!K158)),"Maybe","Not Applicable")))))</f>
        <v>Yes</v>
      </c>
      <c r="F156" s="47" t="s">
        <v>675</v>
      </c>
      <c r="G156" s="47" t="str">
        <f>IF(ISNUMBER(SEARCH("Yes",FMECA!L158)),"Yes",IF(FMECA!L158="No","No",IF(ISNUMBER(SEARCH("No; impactless.",FMECA!L158)),"Impactless","Not Applicable")))</f>
        <v>No</v>
      </c>
      <c r="H156" s="47" t="str">
        <f>IF(ISNUMBER(SEARCH("CM0", FMECA!AC158)), "CM0", IF(ISNUMBER(SEARCH("CM1", FMECA!AC158)), "CM1", IF(ISNUMBER(SEARCH("CM2", FMECA!AC158)), "CM2", IF(ISNUMBER(SEARCH("CM3", FMECA!AC158)), "CM3", "Not Applicable"))))</f>
        <v>Not Applicable</v>
      </c>
      <c r="I156" s="49">
        <f t="shared" si="18"/>
        <v>2.2728896725148557E-9</v>
      </c>
      <c r="J156" s="49">
        <f t="shared" si="19"/>
        <v>0</v>
      </c>
      <c r="K156" s="49">
        <f t="shared" si="20"/>
        <v>0</v>
      </c>
      <c r="L156" s="49">
        <f t="shared" si="21"/>
        <v>0</v>
      </c>
      <c r="M156" s="49">
        <f t="shared" si="22"/>
        <v>0</v>
      </c>
      <c r="N156" s="49">
        <f t="shared" si="23"/>
        <v>0</v>
      </c>
      <c r="O156" s="49">
        <f t="shared" si="24"/>
        <v>0</v>
      </c>
      <c r="P156" s="49">
        <f t="shared" si="25"/>
        <v>0</v>
      </c>
      <c r="Q156" s="49">
        <f t="shared" si="26"/>
        <v>0</v>
      </c>
    </row>
    <row r="157" spans="1:17">
      <c r="A157" s="47" t="str">
        <f>FMECA!A159</f>
        <v>Q_Sys</v>
      </c>
      <c r="B157" s="48" t="str">
        <f>FMECA!B159</f>
        <v>Short-Circuit Between Source and Drain with Interruption of Gate</v>
      </c>
      <c r="C157" s="48">
        <f>FMECA!E159</f>
        <v>2.2728896725148557E-9</v>
      </c>
      <c r="D157" s="47" t="str">
        <f>FMECA!H159</f>
        <v>Safe</v>
      </c>
      <c r="E157" s="47" t="str">
        <f>IF(ISNUMBER(SEARCH("Yes",FMECA!K159)),"Yes",IF(FMECA!K159="No","No",IF(ISNUMBER(SEARCH("No; impactless.",FMECA!K159)),"Impactless",IF(ISNUMBER(SEARCH("Outside the scope",FMECA!K159)),"Outside Scope",IF(ISNUMBER(SEARCH("Maybe",FMECA!K159)),"Maybe","Not Applicable")))))</f>
        <v>Yes</v>
      </c>
      <c r="F157" s="47" t="s">
        <v>675</v>
      </c>
      <c r="G157" s="47" t="str">
        <f>IF(ISNUMBER(SEARCH("Yes",FMECA!L159)),"Yes",IF(FMECA!L159="No","No",IF(ISNUMBER(SEARCH("No; impactless.",FMECA!L159)),"Impactless","Not Applicable")))</f>
        <v>No</v>
      </c>
      <c r="H157" s="47" t="str">
        <f>IF(ISNUMBER(SEARCH("CM0", FMECA!AC159)), "CM0", IF(ISNUMBER(SEARCH("CM1", FMECA!AC159)), "CM1", IF(ISNUMBER(SEARCH("CM2", FMECA!AC159)), "CM2", IF(ISNUMBER(SEARCH("CM3", FMECA!AC159)), "CM3", "Not Applicable"))))</f>
        <v>Not Applicable</v>
      </c>
      <c r="I157" s="49">
        <f t="shared" si="18"/>
        <v>2.2728896725148557E-9</v>
      </c>
      <c r="J157" s="49">
        <f t="shared" si="19"/>
        <v>0</v>
      </c>
      <c r="K157" s="49">
        <f t="shared" si="20"/>
        <v>0</v>
      </c>
      <c r="L157" s="49">
        <f t="shared" si="21"/>
        <v>0</v>
      </c>
      <c r="M157" s="49">
        <f t="shared" si="22"/>
        <v>0</v>
      </c>
      <c r="N157" s="49">
        <f t="shared" si="23"/>
        <v>0</v>
      </c>
      <c r="O157" s="49">
        <f t="shared" si="24"/>
        <v>0</v>
      </c>
      <c r="P157" s="49">
        <f t="shared" si="25"/>
        <v>0</v>
      </c>
      <c r="Q157" s="49">
        <f t="shared" si="26"/>
        <v>0</v>
      </c>
    </row>
    <row r="158" spans="1:17">
      <c r="A158" s="47" t="str">
        <f>FMECA!A160</f>
        <v>Q_Sys</v>
      </c>
      <c r="B158" s="48" t="str">
        <f>FMECA!B160</f>
        <v>Short-Circuit Between Gate and Drain with Interruption of Source</v>
      </c>
      <c r="C158" s="48">
        <f>FMECA!E160</f>
        <v>2.2728896725148557E-9</v>
      </c>
      <c r="D158" s="47" t="str">
        <f>FMECA!H160</f>
        <v>Safe</v>
      </c>
      <c r="E158" s="47" t="str">
        <f>IF(ISNUMBER(SEARCH("Yes",FMECA!K160)),"Yes",IF(FMECA!K160="No","No",IF(ISNUMBER(SEARCH("No; impactless.",FMECA!K160)),"Impactless",IF(ISNUMBER(SEARCH("Outside the scope",FMECA!K160)),"Outside Scope",IF(ISNUMBER(SEARCH("Maybe",FMECA!K160)),"Maybe","Not Applicable")))))</f>
        <v>Yes</v>
      </c>
      <c r="F158" s="47" t="s">
        <v>675</v>
      </c>
      <c r="G158" s="47" t="str">
        <f>IF(ISNUMBER(SEARCH("Yes",FMECA!L160)),"Yes",IF(FMECA!L160="No","No",IF(ISNUMBER(SEARCH("No; impactless.",FMECA!L160)),"Impactless","Not Applicable")))</f>
        <v>No</v>
      </c>
      <c r="H158" s="47" t="str">
        <f>IF(ISNUMBER(SEARCH("CM0", FMECA!AC160)), "CM0", IF(ISNUMBER(SEARCH("CM1", FMECA!AC160)), "CM1", IF(ISNUMBER(SEARCH("CM2", FMECA!AC160)), "CM2", IF(ISNUMBER(SEARCH("CM3", FMECA!AC160)), "CM3", "Not Applicable"))))</f>
        <v>Not Applicable</v>
      </c>
      <c r="I158" s="49">
        <f t="shared" si="18"/>
        <v>2.2728896725148557E-9</v>
      </c>
      <c r="J158" s="49">
        <f t="shared" si="19"/>
        <v>0</v>
      </c>
      <c r="K158" s="49">
        <f t="shared" si="20"/>
        <v>0</v>
      </c>
      <c r="L158" s="49">
        <f t="shared" si="21"/>
        <v>0</v>
      </c>
      <c r="M158" s="49">
        <f t="shared" si="22"/>
        <v>0</v>
      </c>
      <c r="N158" s="49">
        <f t="shared" si="23"/>
        <v>0</v>
      </c>
      <c r="O158" s="49">
        <f t="shared" si="24"/>
        <v>0</v>
      </c>
      <c r="P158" s="49">
        <f t="shared" si="25"/>
        <v>0</v>
      </c>
      <c r="Q158" s="49">
        <f t="shared" si="26"/>
        <v>0</v>
      </c>
    </row>
    <row r="159" spans="1:17">
      <c r="A159" s="47" t="str">
        <f>FMECA!A161</f>
        <v>Q_Sys</v>
      </c>
      <c r="B159" s="48" t="str">
        <f>FMECA!B161</f>
        <v>Short-Circuit Between Source and Gate with Interruption of Drain</v>
      </c>
      <c r="C159" s="48">
        <f>FMECA!E161</f>
        <v>2.2728896725148557E-9</v>
      </c>
      <c r="D159" s="47" t="str">
        <f>FMECA!H161</f>
        <v>Safe</v>
      </c>
      <c r="E159" s="47" t="str">
        <f>IF(ISNUMBER(SEARCH("Yes",FMECA!K161)),"Yes",IF(FMECA!K161="No","No",IF(ISNUMBER(SEARCH("No; impactless.",FMECA!K161)),"Impactless",IF(ISNUMBER(SEARCH("Outside the scope",FMECA!K161)),"Outside Scope",IF(ISNUMBER(SEARCH("Maybe",FMECA!K161)),"Maybe","Not Applicable")))))</f>
        <v>Yes</v>
      </c>
      <c r="F159" s="47" t="s">
        <v>675</v>
      </c>
      <c r="G159" s="47" t="str">
        <f>IF(ISNUMBER(SEARCH("Yes",FMECA!L161)),"Yes",IF(FMECA!L161="No","No",IF(ISNUMBER(SEARCH("No; impactless.",FMECA!L161)),"Impactless","Not Applicable")))</f>
        <v>Yes</v>
      </c>
      <c r="H159" s="47" t="str">
        <f>IF(ISNUMBER(SEARCH("CM0", FMECA!AC161)), "CM0", IF(ISNUMBER(SEARCH("CM1", FMECA!AC161)), "CM1", IF(ISNUMBER(SEARCH("CM2", FMECA!AC161)), "CM2", IF(ISNUMBER(SEARCH("CM3", FMECA!AC161)), "CM3", "Not Applicable"))))</f>
        <v>Not Applicable</v>
      </c>
      <c r="I159" s="49">
        <f t="shared" si="18"/>
        <v>0</v>
      </c>
      <c r="J159" s="49">
        <f t="shared" si="19"/>
        <v>0</v>
      </c>
      <c r="K159" s="49">
        <f t="shared" si="20"/>
        <v>2.2728896725148557E-9</v>
      </c>
      <c r="L159" s="49">
        <f t="shared" si="21"/>
        <v>0</v>
      </c>
      <c r="M159" s="49">
        <f t="shared" si="22"/>
        <v>0</v>
      </c>
      <c r="N159" s="49">
        <f t="shared" si="23"/>
        <v>0</v>
      </c>
      <c r="O159" s="49">
        <f t="shared" si="24"/>
        <v>0</v>
      </c>
      <c r="P159" s="49">
        <f t="shared" si="25"/>
        <v>0</v>
      </c>
      <c r="Q159" s="49">
        <f t="shared" si="26"/>
        <v>0</v>
      </c>
    </row>
    <row r="160" spans="1:17">
      <c r="A160" s="47" t="str">
        <f>FMECA!A162</f>
        <v>Q_Sys</v>
      </c>
      <c r="B160" s="48" t="str">
        <f>FMECA!B162</f>
        <v>Short-Circuit Between Casing and Source</v>
      </c>
      <c r="C160" s="48">
        <f>FMECA!E162</f>
        <v>0</v>
      </c>
      <c r="D160" s="47" t="str">
        <f>FMECA!H162</f>
        <v>Safe</v>
      </c>
      <c r="E160" s="47" t="str">
        <f>IF(ISNUMBER(SEARCH("Yes",FMECA!K162)),"Yes",IF(FMECA!K162="No","No",IF(ISNUMBER(SEARCH("No; impactless.",FMECA!K162)),"Impactless",IF(ISNUMBER(SEARCH("Outside the scope",FMECA!K162)),"Outside Scope",IF(ISNUMBER(SEARCH("Maybe",FMECA!K162)),"Maybe","Not Applicable")))))</f>
        <v>Impactless</v>
      </c>
      <c r="F160" s="47" t="s">
        <v>675</v>
      </c>
      <c r="G160" s="47" t="str">
        <f>IF(ISNUMBER(SEARCH("Yes",FMECA!L162)),"Yes",IF(FMECA!L162="No","No",IF(ISNUMBER(SEARCH("No; impactless.",FMECA!L162)),"Impactless","Not Applicable")))</f>
        <v>Impactless</v>
      </c>
      <c r="H160" s="47" t="str">
        <f>IF(ISNUMBER(SEARCH("CM0", FMECA!AC162)), "CM0", IF(ISNUMBER(SEARCH("CM1", FMECA!AC162)), "CM1", IF(ISNUMBER(SEARCH("CM2", FMECA!AC162)), "CM2", IF(ISNUMBER(SEARCH("CM3", FMECA!AC162)), "CM3", "Not Applicable"))))</f>
        <v>Not Applicable</v>
      </c>
      <c r="I160" s="49">
        <f t="shared" si="18"/>
        <v>0</v>
      </c>
      <c r="J160" s="49">
        <f t="shared" si="19"/>
        <v>0</v>
      </c>
      <c r="K160" s="49">
        <f t="shared" si="20"/>
        <v>0</v>
      </c>
      <c r="L160" s="49">
        <f t="shared" si="21"/>
        <v>0</v>
      </c>
      <c r="M160" s="49">
        <f t="shared" si="22"/>
        <v>0</v>
      </c>
      <c r="N160" s="49">
        <f t="shared" si="23"/>
        <v>0</v>
      </c>
      <c r="O160" s="49">
        <f t="shared" si="24"/>
        <v>0</v>
      </c>
      <c r="P160" s="49">
        <f t="shared" si="25"/>
        <v>0</v>
      </c>
      <c r="Q160" s="49">
        <f t="shared" si="26"/>
        <v>0</v>
      </c>
    </row>
    <row r="161" spans="1:17">
      <c r="A161" s="47" t="str">
        <f>FMECA!A163</f>
        <v>Q_Sys</v>
      </c>
      <c r="B161" s="48" t="str">
        <f>FMECA!B163</f>
        <v>Short-Circuit Between Casing and Gate</v>
      </c>
      <c r="C161" s="48">
        <f>FMECA!E163</f>
        <v>0</v>
      </c>
      <c r="D161" s="47" t="str">
        <f>FMECA!H163</f>
        <v>Safe</v>
      </c>
      <c r="E161" s="47" t="str">
        <f>IF(ISNUMBER(SEARCH("Yes",FMECA!K163)),"Yes",IF(FMECA!K163="No","No",IF(ISNUMBER(SEARCH("No; impactless.",FMECA!K163)),"Impactless",IF(ISNUMBER(SEARCH("Outside the scope",FMECA!K163)),"Outside Scope",IF(ISNUMBER(SEARCH("Maybe",FMECA!K163)),"Maybe","Not Applicable")))))</f>
        <v>Impactless</v>
      </c>
      <c r="F161" s="47" t="s">
        <v>675</v>
      </c>
      <c r="G161" s="47" t="str">
        <f>IF(ISNUMBER(SEARCH("Yes",FMECA!L163)),"Yes",IF(FMECA!L163="No","No",IF(ISNUMBER(SEARCH("No; impactless.",FMECA!L163)),"Impactless","Not Applicable")))</f>
        <v>Impactless</v>
      </c>
      <c r="H161" s="47" t="str">
        <f>IF(ISNUMBER(SEARCH("CM0", FMECA!AC163)), "CM0", IF(ISNUMBER(SEARCH("CM1", FMECA!AC163)), "CM1", IF(ISNUMBER(SEARCH("CM2", FMECA!AC163)), "CM2", IF(ISNUMBER(SEARCH("CM3", FMECA!AC163)), "CM3", "Not Applicable"))))</f>
        <v>Not Applicable</v>
      </c>
      <c r="I161" s="49">
        <f t="shared" si="18"/>
        <v>0</v>
      </c>
      <c r="J161" s="49">
        <f t="shared" si="19"/>
        <v>0</v>
      </c>
      <c r="K161" s="49">
        <f t="shared" si="20"/>
        <v>0</v>
      </c>
      <c r="L161" s="49">
        <f t="shared" si="21"/>
        <v>0</v>
      </c>
      <c r="M161" s="49">
        <f t="shared" si="22"/>
        <v>0</v>
      </c>
      <c r="N161" s="49">
        <f t="shared" si="23"/>
        <v>0</v>
      </c>
      <c r="O161" s="49">
        <f t="shared" si="24"/>
        <v>0</v>
      </c>
      <c r="P161" s="49">
        <f t="shared" si="25"/>
        <v>0</v>
      </c>
      <c r="Q161" s="49">
        <f t="shared" si="26"/>
        <v>0</v>
      </c>
    </row>
    <row r="162" spans="1:17">
      <c r="A162" s="47" t="str">
        <f>FMECA!A164</f>
        <v>Q_Sys</v>
      </c>
      <c r="B162" s="48" t="str">
        <f>FMECA!B164</f>
        <v>Short-Circuit Between Casing and Drain</v>
      </c>
      <c r="C162" s="48">
        <f>FMECA!E164</f>
        <v>0</v>
      </c>
      <c r="D162" s="47" t="str">
        <f>FMECA!H164</f>
        <v>Safe</v>
      </c>
      <c r="E162" s="47" t="str">
        <f>IF(ISNUMBER(SEARCH("Yes",FMECA!K164)),"Yes",IF(FMECA!K164="No","No",IF(ISNUMBER(SEARCH("No; impactless.",FMECA!K164)),"Impactless",IF(ISNUMBER(SEARCH("Outside the scope",FMECA!K164)),"Outside Scope",IF(ISNUMBER(SEARCH("Maybe",FMECA!K164)),"Maybe","Not Applicable")))))</f>
        <v>Impactless</v>
      </c>
      <c r="F162" s="47" t="s">
        <v>675</v>
      </c>
      <c r="G162" s="47" t="str">
        <f>IF(ISNUMBER(SEARCH("Yes",FMECA!L164)),"Yes",IF(FMECA!L164="No","No",IF(ISNUMBER(SEARCH("No; impactless.",FMECA!L164)),"Impactless","Not Applicable")))</f>
        <v>Impactless</v>
      </c>
      <c r="H162" s="47" t="str">
        <f>IF(ISNUMBER(SEARCH("CM0", FMECA!AC164)), "CM0", IF(ISNUMBER(SEARCH("CM1", FMECA!AC164)), "CM1", IF(ISNUMBER(SEARCH("CM2", FMECA!AC164)), "CM2", IF(ISNUMBER(SEARCH("CM3", FMECA!AC164)), "CM3", "Not Applicable"))))</f>
        <v>Not Applicable</v>
      </c>
      <c r="I162" s="49">
        <f t="shared" si="18"/>
        <v>0</v>
      </c>
      <c r="J162" s="49">
        <f t="shared" si="19"/>
        <v>0</v>
      </c>
      <c r="K162" s="49">
        <f t="shared" si="20"/>
        <v>0</v>
      </c>
      <c r="L162" s="49">
        <f t="shared" si="21"/>
        <v>0</v>
      </c>
      <c r="M162" s="49">
        <f t="shared" si="22"/>
        <v>0</v>
      </c>
      <c r="N162" s="49">
        <f t="shared" si="23"/>
        <v>0</v>
      </c>
      <c r="O162" s="49">
        <f t="shared" si="24"/>
        <v>0</v>
      </c>
      <c r="P162" s="49">
        <f t="shared" si="25"/>
        <v>0</v>
      </c>
      <c r="Q162" s="49">
        <f t="shared" si="26"/>
        <v>0</v>
      </c>
    </row>
    <row r="163" spans="1:17">
      <c r="A163" s="47" t="str">
        <f>FMECA!A165</f>
        <v>Q_Sys</v>
      </c>
      <c r="B163" s="48" t="str">
        <f>FMECA!B165</f>
        <v>Increase of Forward Transcondutance</v>
      </c>
      <c r="C163" s="48">
        <f>FMECA!E165</f>
        <v>3.2256871917622881E-10</v>
      </c>
      <c r="D163" s="47" t="str">
        <f>FMECA!H165</f>
        <v>Safe</v>
      </c>
      <c r="E163" s="47" t="str">
        <f>IF(ISNUMBER(SEARCH("Yes",FMECA!K165)),"Yes",IF(FMECA!K165="No","No",IF(ISNUMBER(SEARCH("No; impactless.",FMECA!K165)),"Impactless",IF(ISNUMBER(SEARCH("Outside the scope",FMECA!K165)),"Outside Scope",IF(ISNUMBER(SEARCH("Maybe",FMECA!K165)),"Maybe","Not Applicable")))))</f>
        <v>Impactless</v>
      </c>
      <c r="F163" s="47" t="s">
        <v>675</v>
      </c>
      <c r="G163" s="47" t="str">
        <f>IF(ISNUMBER(SEARCH("Yes",FMECA!L165)),"Yes",IF(FMECA!L165="No","No",IF(ISNUMBER(SEARCH("No; impactless.",FMECA!L165)),"Impactless","Not Applicable")))</f>
        <v>Impactless</v>
      </c>
      <c r="H163" s="47" t="str">
        <f>IF(ISNUMBER(SEARCH("CM0", FMECA!AC165)), "CM0", IF(ISNUMBER(SEARCH("CM1", FMECA!AC165)), "CM1", IF(ISNUMBER(SEARCH("CM2", FMECA!AC165)), "CM2", IF(ISNUMBER(SEARCH("CM3", FMECA!AC165)), "CM3", "Not Applicable"))))</f>
        <v>Not Applicable</v>
      </c>
      <c r="I163" s="49">
        <f t="shared" si="18"/>
        <v>0</v>
      </c>
      <c r="J163" s="49">
        <f t="shared" si="19"/>
        <v>0</v>
      </c>
      <c r="K163" s="49">
        <f t="shared" si="20"/>
        <v>0</v>
      </c>
      <c r="L163" s="49">
        <f t="shared" si="21"/>
        <v>0</v>
      </c>
      <c r="M163" s="49">
        <f t="shared" si="22"/>
        <v>0</v>
      </c>
      <c r="N163" s="49">
        <f t="shared" si="23"/>
        <v>0</v>
      </c>
      <c r="O163" s="49">
        <f t="shared" si="24"/>
        <v>0</v>
      </c>
      <c r="P163" s="49">
        <f t="shared" si="25"/>
        <v>0</v>
      </c>
      <c r="Q163" s="49">
        <f t="shared" si="26"/>
        <v>0</v>
      </c>
    </row>
    <row r="164" spans="1:17">
      <c r="A164" s="47" t="str">
        <f>FMECA!A166</f>
        <v>Q_Sys</v>
      </c>
      <c r="B164" s="48" t="str">
        <f>FMECA!B166</f>
        <v>Decrease of Forward Transcondutance</v>
      </c>
      <c r="C164" s="48">
        <f>FMECA!E166</f>
        <v>3.2256871917622881E-10</v>
      </c>
      <c r="D164" s="47" t="str">
        <f>FMECA!H166</f>
        <v>Safe</v>
      </c>
      <c r="E164" s="47" t="str">
        <f>IF(ISNUMBER(SEARCH("Yes",FMECA!K166)),"Yes",IF(FMECA!K166="No","No",IF(ISNUMBER(SEARCH("No; impactless.",FMECA!K166)),"Impactless",IF(ISNUMBER(SEARCH("Outside the scope",FMECA!K166)),"Outside Scope",IF(ISNUMBER(SEARCH("Maybe",FMECA!K166)),"Maybe","Not Applicable")))))</f>
        <v>Yes</v>
      </c>
      <c r="F164" s="47" t="s">
        <v>675</v>
      </c>
      <c r="G164" s="47" t="str">
        <f>IF(ISNUMBER(SEARCH("Yes",FMECA!L166)),"Yes",IF(FMECA!L166="No","No",IF(ISNUMBER(SEARCH("No; impactless.",FMECA!L166)),"Impactless","Not Applicable")))</f>
        <v>Yes</v>
      </c>
      <c r="H164" s="47" t="str">
        <f>IF(ISNUMBER(SEARCH("CM0", FMECA!AC166)), "CM0", IF(ISNUMBER(SEARCH("CM1", FMECA!AC166)), "CM1", IF(ISNUMBER(SEARCH("CM2", FMECA!AC166)), "CM2", IF(ISNUMBER(SEARCH("CM3", FMECA!AC166)), "CM3", "Not Applicable"))))</f>
        <v>Not Applicable</v>
      </c>
      <c r="I164" s="49">
        <f t="shared" si="18"/>
        <v>0</v>
      </c>
      <c r="J164" s="49">
        <f t="shared" si="19"/>
        <v>0</v>
      </c>
      <c r="K164" s="49">
        <f t="shared" si="20"/>
        <v>3.2256871917622881E-10</v>
      </c>
      <c r="L164" s="49">
        <f t="shared" si="21"/>
        <v>0</v>
      </c>
      <c r="M164" s="49">
        <f t="shared" si="22"/>
        <v>0</v>
      </c>
      <c r="N164" s="49">
        <f t="shared" si="23"/>
        <v>0</v>
      </c>
      <c r="O164" s="49">
        <f t="shared" si="24"/>
        <v>0</v>
      </c>
      <c r="P164" s="49">
        <f t="shared" si="25"/>
        <v>0</v>
      </c>
      <c r="Q164" s="49">
        <f t="shared" si="26"/>
        <v>0</v>
      </c>
    </row>
    <row r="165" spans="1:17">
      <c r="A165" s="47" t="str">
        <f>FMECA!A167</f>
        <v>Q_Sys</v>
      </c>
      <c r="B165" s="48" t="str">
        <f>FMECA!B167</f>
        <v>Increase of Gate Threshold Voltage</v>
      </c>
      <c r="C165" s="48">
        <f>FMECA!E167</f>
        <v>3.2256871917622881E-10</v>
      </c>
      <c r="D165" s="47" t="str">
        <f>FMECA!H167</f>
        <v>Safe</v>
      </c>
      <c r="E165" s="47" t="str">
        <f>IF(ISNUMBER(SEARCH("Yes",FMECA!K167)),"Yes",IF(FMECA!K167="No","No",IF(ISNUMBER(SEARCH("No; impactless.",FMECA!K167)),"Impactless",IF(ISNUMBER(SEARCH("Outside the scope",FMECA!K167)),"Outside Scope",IF(ISNUMBER(SEARCH("Maybe",FMECA!K167)),"Maybe","Not Applicable")))))</f>
        <v>Yes</v>
      </c>
      <c r="F165" s="47" t="s">
        <v>675</v>
      </c>
      <c r="G165" s="47" t="str">
        <f>IF(ISNUMBER(SEARCH("Yes",FMECA!L167)),"Yes",IF(FMECA!L167="No","No",IF(ISNUMBER(SEARCH("No; impactless.",FMECA!L167)),"Impactless","Not Applicable")))</f>
        <v>Yes</v>
      </c>
      <c r="H165" s="47" t="str">
        <f>IF(ISNUMBER(SEARCH("CM0", FMECA!AC167)), "CM0", IF(ISNUMBER(SEARCH("CM1", FMECA!AC167)), "CM1", IF(ISNUMBER(SEARCH("CM2", FMECA!AC167)), "CM2", IF(ISNUMBER(SEARCH("CM3", FMECA!AC167)), "CM3", "Not Applicable"))))</f>
        <v>Not Applicable</v>
      </c>
      <c r="I165" s="49">
        <f t="shared" si="18"/>
        <v>0</v>
      </c>
      <c r="J165" s="49">
        <f t="shared" si="19"/>
        <v>0</v>
      </c>
      <c r="K165" s="49">
        <f t="shared" si="20"/>
        <v>3.2256871917622881E-10</v>
      </c>
      <c r="L165" s="49">
        <f t="shared" si="21"/>
        <v>0</v>
      </c>
      <c r="M165" s="49">
        <f t="shared" si="22"/>
        <v>0</v>
      </c>
      <c r="N165" s="49">
        <f t="shared" si="23"/>
        <v>0</v>
      </c>
      <c r="O165" s="49">
        <f t="shared" si="24"/>
        <v>0</v>
      </c>
      <c r="P165" s="49">
        <f t="shared" si="25"/>
        <v>0</v>
      </c>
      <c r="Q165" s="49">
        <f t="shared" si="26"/>
        <v>0</v>
      </c>
    </row>
    <row r="166" spans="1:17">
      <c r="A166" s="47" t="str">
        <f>FMECA!A168</f>
        <v>Q_Sys</v>
      </c>
      <c r="B166" s="48" t="str">
        <f>FMECA!B168</f>
        <v>Decrease of Gate Threshold Voltage</v>
      </c>
      <c r="C166" s="48">
        <f>FMECA!E168</f>
        <v>3.2256871917622881E-10</v>
      </c>
      <c r="D166" s="47" t="str">
        <f>FMECA!H168</f>
        <v>Safe</v>
      </c>
      <c r="E166" s="47" t="str">
        <f>IF(ISNUMBER(SEARCH("Yes",FMECA!K168)),"Yes",IF(FMECA!K168="No","No",IF(ISNUMBER(SEARCH("No; impactless.",FMECA!K168)),"Impactless",IF(ISNUMBER(SEARCH("Outside the scope",FMECA!K168)),"Outside Scope",IF(ISNUMBER(SEARCH("Maybe",FMECA!K168)),"Maybe","Not Applicable")))))</f>
        <v>Maybe</v>
      </c>
      <c r="F166" s="47" t="s">
        <v>676</v>
      </c>
      <c r="G166" s="47" t="str">
        <f>IF(ISNUMBER(SEARCH("Yes",FMECA!L168)),"Yes",IF(FMECA!L168="No","No",IF(ISNUMBER(SEARCH("No; impactless.",FMECA!L168)),"Impactless","Not Applicable")))</f>
        <v>No</v>
      </c>
      <c r="H166" s="47" t="str">
        <f>IF(ISNUMBER(SEARCH("CM0", FMECA!AC168)), "CM0", IF(ISNUMBER(SEARCH("CM1", FMECA!AC168)), "CM1", IF(ISNUMBER(SEARCH("CM2", FMECA!AC168)), "CM2", IF(ISNUMBER(SEARCH("CM3", FMECA!AC168)), "CM3", "Not Applicable"))))</f>
        <v>CM2</v>
      </c>
      <c r="I166" s="49">
        <f t="shared" si="18"/>
        <v>0</v>
      </c>
      <c r="J166" s="49">
        <f t="shared" si="19"/>
        <v>0</v>
      </c>
      <c r="K166" s="49">
        <f t="shared" si="20"/>
        <v>0</v>
      </c>
      <c r="L166" s="49">
        <f t="shared" si="21"/>
        <v>0</v>
      </c>
      <c r="M166" s="49">
        <f t="shared" si="22"/>
        <v>3.2256871917622881E-10</v>
      </c>
      <c r="N166" s="49">
        <f t="shared" si="23"/>
        <v>0</v>
      </c>
      <c r="O166" s="49">
        <f t="shared" si="24"/>
        <v>0</v>
      </c>
      <c r="P166" s="49">
        <f t="shared" si="25"/>
        <v>0</v>
      </c>
      <c r="Q166" s="49">
        <f t="shared" si="26"/>
        <v>0</v>
      </c>
    </row>
    <row r="167" spans="1:17">
      <c r="A167" s="47" t="str">
        <f>FMECA!A169</f>
        <v>Q_Sys</v>
      </c>
      <c r="B167" s="48" t="str">
        <f>FMECA!B169</f>
        <v>Decrease of Drain-Source Breakdown Voltage</v>
      </c>
      <c r="C167" s="48">
        <f>FMECA!E169</f>
        <v>3.2256871917622881E-10</v>
      </c>
      <c r="D167" s="47" t="str">
        <f>FMECA!H169</f>
        <v>Safe</v>
      </c>
      <c r="E167" s="47" t="str">
        <f>IF(ISNUMBER(SEARCH("Yes",FMECA!K169)),"Yes",IF(FMECA!K169="No","No",IF(ISNUMBER(SEARCH("No; impactless.",FMECA!K169)),"Impactless",IF(ISNUMBER(SEARCH("Outside the scope",FMECA!K169)),"Outside Scope",IF(ISNUMBER(SEARCH("Maybe",FMECA!K169)),"Maybe","Not Applicable")))))</f>
        <v>Maybe</v>
      </c>
      <c r="F167" s="47" t="s">
        <v>676</v>
      </c>
      <c r="G167" s="47" t="str">
        <f>IF(ISNUMBER(SEARCH("Yes",FMECA!L169)),"Yes",IF(FMECA!L169="No","No",IF(ISNUMBER(SEARCH("No; impactless.",FMECA!L169)),"Impactless","Not Applicable")))</f>
        <v>No</v>
      </c>
      <c r="H167" s="47" t="str">
        <f>IF(ISNUMBER(SEARCH("CM0", FMECA!AC169)), "CM0", IF(ISNUMBER(SEARCH("CM1", FMECA!AC169)), "CM1", IF(ISNUMBER(SEARCH("CM2", FMECA!AC169)), "CM2", IF(ISNUMBER(SEARCH("CM3", FMECA!AC169)), "CM3", "Not Applicable"))))</f>
        <v>CM2</v>
      </c>
      <c r="I167" s="49">
        <f t="shared" si="18"/>
        <v>0</v>
      </c>
      <c r="J167" s="49">
        <f t="shared" si="19"/>
        <v>0</v>
      </c>
      <c r="K167" s="49">
        <f t="shared" si="20"/>
        <v>0</v>
      </c>
      <c r="L167" s="49">
        <f t="shared" si="21"/>
        <v>0</v>
      </c>
      <c r="M167" s="49">
        <f t="shared" si="22"/>
        <v>3.2256871917622881E-10</v>
      </c>
      <c r="N167" s="49">
        <f t="shared" si="23"/>
        <v>0</v>
      </c>
      <c r="O167" s="49">
        <f t="shared" si="24"/>
        <v>0</v>
      </c>
      <c r="P167" s="49">
        <f t="shared" si="25"/>
        <v>0</v>
      </c>
      <c r="Q167" s="49">
        <f t="shared" si="26"/>
        <v>0</v>
      </c>
    </row>
    <row r="168" spans="1:17">
      <c r="A168" s="47" t="str">
        <f>FMECA!A170</f>
        <v>Q_Sys</v>
      </c>
      <c r="B168" s="48" t="str">
        <f>FMECA!B170</f>
        <v>Decrease of Gate-Source Maximum Rated Voltage</v>
      </c>
      <c r="C168" s="48">
        <f>FMECA!E170</f>
        <v>3.2256871917622881E-10</v>
      </c>
      <c r="D168" s="47" t="str">
        <f>FMECA!H170</f>
        <v>Safe</v>
      </c>
      <c r="E168" s="47" t="str">
        <f>IF(ISNUMBER(SEARCH("Yes",FMECA!K170)),"Yes",IF(FMECA!K170="No","No",IF(ISNUMBER(SEARCH("No; impactless.",FMECA!K170)),"Impactless",IF(ISNUMBER(SEARCH("Outside the scope",FMECA!K170)),"Outside Scope",IF(ISNUMBER(SEARCH("Maybe",FMECA!K170)),"Maybe","Not Applicable")))))</f>
        <v>Yes</v>
      </c>
      <c r="F168" s="47" t="s">
        <v>675</v>
      </c>
      <c r="G168" s="47" t="str">
        <f>IF(ISNUMBER(SEARCH("Yes",FMECA!L170)),"Yes",IF(FMECA!L170="No","No",IF(ISNUMBER(SEARCH("No; impactless.",FMECA!L170)),"Impactless","Not Applicable")))</f>
        <v>Yes</v>
      </c>
      <c r="H168" s="47" t="str">
        <f>IF(ISNUMBER(SEARCH("CM0", FMECA!AC170)), "CM0", IF(ISNUMBER(SEARCH("CM1", FMECA!AC170)), "CM1", IF(ISNUMBER(SEARCH("CM2", FMECA!AC170)), "CM2", IF(ISNUMBER(SEARCH("CM3", FMECA!AC170)), "CM3", "Not Applicable"))))</f>
        <v>Not Applicable</v>
      </c>
      <c r="I168" s="49">
        <f t="shared" si="18"/>
        <v>0</v>
      </c>
      <c r="J168" s="49">
        <f t="shared" si="19"/>
        <v>0</v>
      </c>
      <c r="K168" s="49">
        <f t="shared" si="20"/>
        <v>3.2256871917622881E-10</v>
      </c>
      <c r="L168" s="49">
        <f t="shared" si="21"/>
        <v>0</v>
      </c>
      <c r="M168" s="49">
        <f t="shared" si="22"/>
        <v>0</v>
      </c>
      <c r="N168" s="49">
        <f t="shared" si="23"/>
        <v>0</v>
      </c>
      <c r="O168" s="49">
        <f t="shared" si="24"/>
        <v>0</v>
      </c>
      <c r="P168" s="49">
        <f t="shared" si="25"/>
        <v>0</v>
      </c>
      <c r="Q168" s="49">
        <f t="shared" si="26"/>
        <v>0</v>
      </c>
    </row>
    <row r="169" spans="1:17">
      <c r="A169" s="47" t="str">
        <f>FMECA!A171</f>
        <v>Q_Sys</v>
      </c>
      <c r="B169" s="48" t="str">
        <f>FMECA!B171</f>
        <v>Decrease of Drain-Gate Maximum Rated Voltage</v>
      </c>
      <c r="C169" s="48">
        <f>FMECA!E171</f>
        <v>3.2256871917622881E-10</v>
      </c>
      <c r="D169" s="47" t="str">
        <f>FMECA!H171</f>
        <v>Safe</v>
      </c>
      <c r="E169" s="47" t="str">
        <f>IF(ISNUMBER(SEARCH("Yes",FMECA!K171)),"Yes",IF(FMECA!K171="No","No",IF(ISNUMBER(SEARCH("No; impactless.",FMECA!K171)),"Impactless",IF(ISNUMBER(SEARCH("Outside the scope",FMECA!K171)),"Outside Scope",IF(ISNUMBER(SEARCH("Maybe",FMECA!K171)),"Maybe","Not Applicable")))))</f>
        <v>Maybe</v>
      </c>
      <c r="F169" s="47" t="s">
        <v>676</v>
      </c>
      <c r="G169" s="47" t="str">
        <f>IF(ISNUMBER(SEARCH("Yes",FMECA!L171)),"Yes",IF(FMECA!L171="No","No",IF(ISNUMBER(SEARCH("No; impactless.",FMECA!L171)),"Impactless","Not Applicable")))</f>
        <v>No</v>
      </c>
      <c r="H169" s="47" t="str">
        <f>IF(ISNUMBER(SEARCH("CM0", FMECA!AC171)), "CM0", IF(ISNUMBER(SEARCH("CM1", FMECA!AC171)), "CM1", IF(ISNUMBER(SEARCH("CM2", FMECA!AC171)), "CM2", IF(ISNUMBER(SEARCH("CM3", FMECA!AC171)), "CM3", "Not Applicable"))))</f>
        <v>CM2</v>
      </c>
      <c r="I169" s="49">
        <f t="shared" si="18"/>
        <v>0</v>
      </c>
      <c r="J169" s="49">
        <f t="shared" si="19"/>
        <v>0</v>
      </c>
      <c r="K169" s="49">
        <f t="shared" si="20"/>
        <v>0</v>
      </c>
      <c r="L169" s="49">
        <f t="shared" si="21"/>
        <v>0</v>
      </c>
      <c r="M169" s="49">
        <f t="shared" si="22"/>
        <v>3.2256871917622881E-10</v>
      </c>
      <c r="N169" s="49">
        <f t="shared" si="23"/>
        <v>0</v>
      </c>
      <c r="O169" s="49">
        <f t="shared" si="24"/>
        <v>0</v>
      </c>
      <c r="P169" s="49">
        <f t="shared" si="25"/>
        <v>0</v>
      </c>
      <c r="Q169" s="49">
        <f t="shared" si="26"/>
        <v>0</v>
      </c>
    </row>
    <row r="170" spans="1:17">
      <c r="A170" s="47" t="str">
        <f>FMECA!A172</f>
        <v>Q_Sys</v>
      </c>
      <c r="B170" s="48" t="str">
        <f>FMECA!B172</f>
        <v>Change of Turn-On Time</v>
      </c>
      <c r="C170" s="48">
        <f>FMECA!E172</f>
        <v>3.2256871917622881E-10</v>
      </c>
      <c r="D170" s="47" t="str">
        <f>FMECA!H172</f>
        <v>Safe</v>
      </c>
      <c r="E170" s="47" t="str">
        <f>IF(ISNUMBER(SEARCH("Yes",FMECA!K172)),"Yes",IF(FMECA!K172="No","No",IF(ISNUMBER(SEARCH("No; impactless.",FMECA!K172)),"Impactless",IF(ISNUMBER(SEARCH("Outside the scope",FMECA!K172)),"Outside Scope",IF(ISNUMBER(SEARCH("Maybe",FMECA!K172)),"Maybe","Not Applicable")))))</f>
        <v>Yes</v>
      </c>
      <c r="F170" s="47" t="s">
        <v>675</v>
      </c>
      <c r="G170" s="47" t="str">
        <f>IF(ISNUMBER(SEARCH("Yes",FMECA!L172)),"Yes",IF(FMECA!L172="No","No",IF(ISNUMBER(SEARCH("No; impactless.",FMECA!L172)),"Impactless","Not Applicable")))</f>
        <v>No</v>
      </c>
      <c r="H170" s="47" t="str">
        <f>IF(ISNUMBER(SEARCH("CM0", FMECA!AC172)), "CM0", IF(ISNUMBER(SEARCH("CM1", FMECA!AC172)), "CM1", IF(ISNUMBER(SEARCH("CM2", FMECA!AC172)), "CM2", IF(ISNUMBER(SEARCH("CM3", FMECA!AC172)), "CM3", "Not Applicable"))))</f>
        <v>Not Applicable</v>
      </c>
      <c r="I170" s="49">
        <f t="shared" si="18"/>
        <v>3.2256871917622881E-10</v>
      </c>
      <c r="J170" s="49">
        <f t="shared" si="19"/>
        <v>0</v>
      </c>
      <c r="K170" s="49">
        <f t="shared" si="20"/>
        <v>0</v>
      </c>
      <c r="L170" s="49">
        <f t="shared" si="21"/>
        <v>0</v>
      </c>
      <c r="M170" s="49">
        <f t="shared" si="22"/>
        <v>0</v>
      </c>
      <c r="N170" s="49">
        <f t="shared" si="23"/>
        <v>0</v>
      </c>
      <c r="O170" s="49">
        <f t="shared" si="24"/>
        <v>0</v>
      </c>
      <c r="P170" s="49">
        <f t="shared" si="25"/>
        <v>0</v>
      </c>
      <c r="Q170" s="49">
        <f t="shared" si="26"/>
        <v>0</v>
      </c>
    </row>
    <row r="171" spans="1:17">
      <c r="A171" s="47" t="str">
        <f>FMECA!A173</f>
        <v>Q_Sys</v>
      </c>
      <c r="B171" s="48" t="str">
        <f>FMECA!B173</f>
        <v>Change of Turn-Off Time</v>
      </c>
      <c r="C171" s="48">
        <f>FMECA!E173</f>
        <v>3.2256871917622881E-10</v>
      </c>
      <c r="D171" s="47" t="str">
        <f>FMECA!H173</f>
        <v>Safe</v>
      </c>
      <c r="E171" s="47" t="str">
        <f>IF(ISNUMBER(SEARCH("Yes",FMECA!K173)),"Yes",IF(FMECA!K173="No","No",IF(ISNUMBER(SEARCH("No; impactless.",FMECA!K173)),"Impactless",IF(ISNUMBER(SEARCH("Outside the scope",FMECA!K173)),"Outside Scope",IF(ISNUMBER(SEARCH("Maybe",FMECA!K173)),"Maybe","Not Applicable")))))</f>
        <v>Yes</v>
      </c>
      <c r="F171" s="47" t="s">
        <v>675</v>
      </c>
      <c r="G171" s="47" t="str">
        <f>IF(ISNUMBER(SEARCH("Yes",FMECA!L173)),"Yes",IF(FMECA!L173="No","No",IF(ISNUMBER(SEARCH("No; impactless.",FMECA!L173)),"Impactless","Not Applicable")))</f>
        <v>No</v>
      </c>
      <c r="H171" s="47" t="str">
        <f>IF(ISNUMBER(SEARCH("CM0", FMECA!AC173)), "CM0", IF(ISNUMBER(SEARCH("CM1", FMECA!AC173)), "CM1", IF(ISNUMBER(SEARCH("CM2", FMECA!AC173)), "CM2", IF(ISNUMBER(SEARCH("CM3", FMECA!AC173)), "CM3", "Not Applicable"))))</f>
        <v>Not Applicable</v>
      </c>
      <c r="I171" s="49">
        <f t="shared" si="18"/>
        <v>3.2256871917622881E-10</v>
      </c>
      <c r="J171" s="49">
        <f t="shared" si="19"/>
        <v>0</v>
      </c>
      <c r="K171" s="49">
        <f t="shared" si="20"/>
        <v>0</v>
      </c>
      <c r="L171" s="49">
        <f t="shared" si="21"/>
        <v>0</v>
      </c>
      <c r="M171" s="49">
        <f t="shared" si="22"/>
        <v>0</v>
      </c>
      <c r="N171" s="49">
        <f t="shared" si="23"/>
        <v>0</v>
      </c>
      <c r="O171" s="49">
        <f t="shared" si="24"/>
        <v>0</v>
      </c>
      <c r="P171" s="49">
        <f t="shared" si="25"/>
        <v>0</v>
      </c>
      <c r="Q171" s="49">
        <f t="shared" si="26"/>
        <v>0</v>
      </c>
    </row>
    <row r="172" spans="1:17">
      <c r="A172" s="47" t="str">
        <f>FMECA!A174</f>
        <v>Q_Sys</v>
      </c>
      <c r="B172" s="48" t="str">
        <f>FMECA!B174</f>
        <v>Increase of Leakage Current IGS</v>
      </c>
      <c r="C172" s="48">
        <f>FMECA!E174</f>
        <v>3.2256871917622881E-10</v>
      </c>
      <c r="D172" s="47" t="str">
        <f>FMECA!H174</f>
        <v>Safe</v>
      </c>
      <c r="E172" s="47" t="str">
        <f>IF(ISNUMBER(SEARCH("Yes",FMECA!K174)),"Yes",IF(FMECA!K174="No","No",IF(ISNUMBER(SEARCH("No; impactless.",FMECA!K174)),"Impactless",IF(ISNUMBER(SEARCH("Outside the scope",FMECA!K174)),"Outside Scope",IF(ISNUMBER(SEARCH("Maybe",FMECA!K174)),"Maybe","Not Applicable")))))</f>
        <v>Yes</v>
      </c>
      <c r="F172" s="47" t="s">
        <v>675</v>
      </c>
      <c r="G172" s="47" t="str">
        <f>IF(ISNUMBER(SEARCH("Yes",FMECA!L174)),"Yes",IF(FMECA!L174="No","No",IF(ISNUMBER(SEARCH("No; impactless.",FMECA!L174)),"Impactless","Not Applicable")))</f>
        <v>Yes</v>
      </c>
      <c r="H172" s="47" t="str">
        <f>IF(ISNUMBER(SEARCH("CM0", FMECA!AC174)), "CM0", IF(ISNUMBER(SEARCH("CM1", FMECA!AC174)), "CM1", IF(ISNUMBER(SEARCH("CM2", FMECA!AC174)), "CM2", IF(ISNUMBER(SEARCH("CM3", FMECA!AC174)), "CM3", "Not Applicable"))))</f>
        <v>Not Applicable</v>
      </c>
      <c r="I172" s="49">
        <f t="shared" si="18"/>
        <v>0</v>
      </c>
      <c r="J172" s="49">
        <f t="shared" si="19"/>
        <v>0</v>
      </c>
      <c r="K172" s="49">
        <f t="shared" si="20"/>
        <v>3.2256871917622881E-10</v>
      </c>
      <c r="L172" s="49">
        <f t="shared" si="21"/>
        <v>0</v>
      </c>
      <c r="M172" s="49">
        <f t="shared" si="22"/>
        <v>0</v>
      </c>
      <c r="N172" s="49">
        <f t="shared" si="23"/>
        <v>0</v>
      </c>
      <c r="O172" s="49">
        <f t="shared" si="24"/>
        <v>0</v>
      </c>
      <c r="P172" s="49">
        <f t="shared" si="25"/>
        <v>0</v>
      </c>
      <c r="Q172" s="49">
        <f t="shared" si="26"/>
        <v>0</v>
      </c>
    </row>
    <row r="173" spans="1:17">
      <c r="A173" s="47" t="str">
        <f>FMECA!A175</f>
        <v>Q_Sys</v>
      </c>
      <c r="B173" s="48" t="str">
        <f>FMECA!B175</f>
        <v>Increase of Leakage Current IDS</v>
      </c>
      <c r="C173" s="48">
        <f>FMECA!E175</f>
        <v>3.2256871917622881E-10</v>
      </c>
      <c r="D173" s="47" t="str">
        <f>FMECA!H175</f>
        <v>Safe</v>
      </c>
      <c r="E173" s="47" t="str">
        <f>IF(ISNUMBER(SEARCH("Yes",FMECA!K175)),"Yes",IF(FMECA!K175="No","No",IF(ISNUMBER(SEARCH("No; impactless.",FMECA!K175)),"Impactless",IF(ISNUMBER(SEARCH("Outside the scope",FMECA!K175)),"Outside Scope",IF(ISNUMBER(SEARCH("Maybe",FMECA!K175)),"Maybe","Not Applicable")))))</f>
        <v>Maybe</v>
      </c>
      <c r="F173" s="47" t="s">
        <v>676</v>
      </c>
      <c r="G173" s="47" t="str">
        <f>IF(ISNUMBER(SEARCH("Yes",FMECA!L175)),"Yes",IF(FMECA!L175="No","No",IF(ISNUMBER(SEARCH("No; impactless.",FMECA!L175)),"Impactless","Not Applicable")))</f>
        <v>No</v>
      </c>
      <c r="H173" s="47" t="str">
        <f>IF(ISNUMBER(SEARCH("CM0", FMECA!AC175)), "CM0", IF(ISNUMBER(SEARCH("CM1", FMECA!AC175)), "CM1", IF(ISNUMBER(SEARCH("CM2", FMECA!AC175)), "CM2", IF(ISNUMBER(SEARCH("CM3", FMECA!AC175)), "CM3", "Not Applicable"))))</f>
        <v>CM2</v>
      </c>
      <c r="I173" s="49">
        <f t="shared" si="18"/>
        <v>0</v>
      </c>
      <c r="J173" s="49">
        <f t="shared" si="19"/>
        <v>0</v>
      </c>
      <c r="K173" s="49">
        <f t="shared" si="20"/>
        <v>0</v>
      </c>
      <c r="L173" s="49">
        <f t="shared" si="21"/>
        <v>0</v>
      </c>
      <c r="M173" s="49">
        <f t="shared" si="22"/>
        <v>3.2256871917622881E-10</v>
      </c>
      <c r="N173" s="49">
        <f t="shared" si="23"/>
        <v>0</v>
      </c>
      <c r="O173" s="49">
        <f t="shared" si="24"/>
        <v>0</v>
      </c>
      <c r="P173" s="49">
        <f t="shared" si="25"/>
        <v>0</v>
      </c>
      <c r="Q173" s="49">
        <f t="shared" si="26"/>
        <v>0</v>
      </c>
    </row>
    <row r="174" spans="1:17">
      <c r="A174" s="47" t="str">
        <f>FMECA!A176</f>
        <v>Q_Sys</v>
      </c>
      <c r="B174" s="48" t="str">
        <f>FMECA!B176</f>
        <v>Increase of Leakage Current IGD</v>
      </c>
      <c r="C174" s="48">
        <f>FMECA!E176</f>
        <v>3.2256871917622881E-10</v>
      </c>
      <c r="D174" s="47" t="str">
        <f>FMECA!H176</f>
        <v>Safe</v>
      </c>
      <c r="E174" s="47" t="str">
        <f>IF(ISNUMBER(SEARCH("Yes",FMECA!K176)),"Yes",IF(FMECA!K176="No","No",IF(ISNUMBER(SEARCH("No; impactless.",FMECA!K176)),"Impactless",IF(ISNUMBER(SEARCH("Outside the scope",FMECA!K176)),"Outside Scope",IF(ISNUMBER(SEARCH("Maybe",FMECA!K176)),"Maybe","Not Applicable")))))</f>
        <v>Maybe</v>
      </c>
      <c r="F174" s="47" t="s">
        <v>676</v>
      </c>
      <c r="G174" s="47" t="str">
        <f>IF(ISNUMBER(SEARCH("Yes",FMECA!L176)),"Yes",IF(FMECA!L176="No","No",IF(ISNUMBER(SEARCH("No; impactless.",FMECA!L176)),"Impactless","Not Applicable")))</f>
        <v>No</v>
      </c>
      <c r="H174" s="47" t="str">
        <f>IF(ISNUMBER(SEARCH("CM0", FMECA!AC176)), "CM0", IF(ISNUMBER(SEARCH("CM1", FMECA!AC176)), "CM1", IF(ISNUMBER(SEARCH("CM2", FMECA!AC176)), "CM2", IF(ISNUMBER(SEARCH("CM3", FMECA!AC176)), "CM3", "Not Applicable"))))</f>
        <v>CM2</v>
      </c>
      <c r="I174" s="49">
        <f t="shared" si="18"/>
        <v>0</v>
      </c>
      <c r="J174" s="49">
        <f t="shared" si="19"/>
        <v>0</v>
      </c>
      <c r="K174" s="49">
        <f t="shared" si="20"/>
        <v>0</v>
      </c>
      <c r="L174" s="49">
        <f t="shared" si="21"/>
        <v>0</v>
      </c>
      <c r="M174" s="49">
        <f t="shared" si="22"/>
        <v>3.2256871917622881E-10</v>
      </c>
      <c r="N174" s="49">
        <f t="shared" si="23"/>
        <v>0</v>
      </c>
      <c r="O174" s="49">
        <f t="shared" si="24"/>
        <v>0</v>
      </c>
      <c r="P174" s="49">
        <f t="shared" si="25"/>
        <v>0</v>
      </c>
      <c r="Q174" s="49">
        <f t="shared" si="26"/>
        <v>0</v>
      </c>
    </row>
    <row r="175" spans="1:17">
      <c r="A175" s="47" t="str">
        <f>FMECA!A177</f>
        <v>Q_Sys</v>
      </c>
      <c r="B175" s="48" t="str">
        <f>FMECA!B177</f>
        <v>Change of Static Drain to Source On-State Resistance</v>
      </c>
      <c r="C175" s="48">
        <f>FMECA!E177</f>
        <v>3.2256871917622881E-10</v>
      </c>
      <c r="D175" s="47" t="str">
        <f>FMECA!H177</f>
        <v>Safe</v>
      </c>
      <c r="E175" s="47" t="str">
        <f>IF(ISNUMBER(SEARCH("Yes",FMECA!K177)),"Yes",IF(FMECA!K177="No","No",IF(ISNUMBER(SEARCH("No; impactless.",FMECA!K177)),"Impactless",IF(ISNUMBER(SEARCH("Outside the scope",FMECA!K177)),"Outside Scope",IF(ISNUMBER(SEARCH("Maybe",FMECA!K177)),"Maybe","Not Applicable")))))</f>
        <v>Maybe</v>
      </c>
      <c r="F175" s="47" t="s">
        <v>676</v>
      </c>
      <c r="G175" s="47" t="str">
        <f>IF(ISNUMBER(SEARCH("Yes",FMECA!L177)),"Yes",IF(FMECA!L177="No","No",IF(ISNUMBER(SEARCH("No; impactless.",FMECA!L177)),"Impactless","Not Applicable")))</f>
        <v>No</v>
      </c>
      <c r="H175" s="47" t="str">
        <f>IF(ISNUMBER(SEARCH("CM0", FMECA!AC177)), "CM0", IF(ISNUMBER(SEARCH("CM1", FMECA!AC177)), "CM1", IF(ISNUMBER(SEARCH("CM2", FMECA!AC177)), "CM2", IF(ISNUMBER(SEARCH("CM3", FMECA!AC177)), "CM3", "Not Applicable"))))</f>
        <v>CM2</v>
      </c>
      <c r="I175" s="49">
        <f t="shared" si="18"/>
        <v>0</v>
      </c>
      <c r="J175" s="49">
        <f t="shared" si="19"/>
        <v>0</v>
      </c>
      <c r="K175" s="49">
        <f t="shared" si="20"/>
        <v>0</v>
      </c>
      <c r="L175" s="49">
        <f t="shared" si="21"/>
        <v>0</v>
      </c>
      <c r="M175" s="49">
        <f t="shared" si="22"/>
        <v>3.2256871917622881E-10</v>
      </c>
      <c r="N175" s="49">
        <f t="shared" si="23"/>
        <v>0</v>
      </c>
      <c r="O175" s="49">
        <f t="shared" si="24"/>
        <v>0</v>
      </c>
      <c r="P175" s="49">
        <f t="shared" si="25"/>
        <v>0</v>
      </c>
      <c r="Q175" s="49">
        <f t="shared" si="26"/>
        <v>0</v>
      </c>
    </row>
    <row r="176" spans="1:17">
      <c r="A176" s="47" t="str">
        <f>FMECA!A178</f>
        <v>DZ_Sys</v>
      </c>
      <c r="B176" s="48" t="str">
        <f>FMECA!B178</f>
        <v>Open</v>
      </c>
      <c r="C176" s="48">
        <f>FMECA!E178</f>
        <v>1.8060004454454948E-6</v>
      </c>
      <c r="D176" s="47" t="str">
        <f>FMECA!H178</f>
        <v>Safe</v>
      </c>
      <c r="E176" s="47" t="str">
        <f>IF(ISNUMBER(SEARCH("Yes",FMECA!K178)),"Yes",IF(FMECA!K178="No","No",IF(ISNUMBER(SEARCH("No; impactless.",FMECA!K178)),"Impactless",IF(ISNUMBER(SEARCH("Outside the scope",FMECA!K178)),"Outside Scope",IF(ISNUMBER(SEARCH("Maybe",FMECA!K178)),"Maybe","Not Applicable")))))</f>
        <v>Outside Scope</v>
      </c>
      <c r="F176" s="47" t="s">
        <v>675</v>
      </c>
      <c r="G176" s="47" t="str">
        <f>IF(ISNUMBER(SEARCH("Yes",FMECA!L178)),"Yes",IF(FMECA!L178="No","No",IF(ISNUMBER(SEARCH("No; impactless.",FMECA!L178)),"Impactless","Not Applicable")))</f>
        <v>No</v>
      </c>
      <c r="H176" s="47" t="str">
        <f>IF(ISNUMBER(SEARCH("CM0", FMECA!AC178)), "CM0", IF(ISNUMBER(SEARCH("CM1", FMECA!AC178)), "CM1", IF(ISNUMBER(SEARCH("CM2", FMECA!AC178)), "CM2", IF(ISNUMBER(SEARCH("CM3", FMECA!AC178)), "CM3", "Not Applicable"))))</f>
        <v>Not Applicable</v>
      </c>
      <c r="I176" s="49">
        <f t="shared" si="18"/>
        <v>0</v>
      </c>
      <c r="J176" s="49">
        <f t="shared" si="19"/>
        <v>0</v>
      </c>
      <c r="K176" s="49">
        <f t="shared" si="20"/>
        <v>0</v>
      </c>
      <c r="L176" s="49">
        <f t="shared" si="21"/>
        <v>1.8060004454454948E-6</v>
      </c>
      <c r="M176" s="49">
        <f t="shared" si="22"/>
        <v>0</v>
      </c>
      <c r="N176" s="49">
        <f t="shared" si="23"/>
        <v>0</v>
      </c>
      <c r="O176" s="49">
        <f t="shared" si="24"/>
        <v>0</v>
      </c>
      <c r="P176" s="49">
        <f t="shared" si="25"/>
        <v>0</v>
      </c>
      <c r="Q176" s="49">
        <f t="shared" si="26"/>
        <v>0</v>
      </c>
    </row>
    <row r="177" spans="1:17">
      <c r="A177" s="47" t="str">
        <f>FMECA!A179</f>
        <v>DZ_Sys</v>
      </c>
      <c r="B177" s="48" t="str">
        <f>FMECA!B179</f>
        <v>Short-Circuit</v>
      </c>
      <c r="C177" s="48">
        <f>FMECA!E179</f>
        <v>8.0266686464244223E-7</v>
      </c>
      <c r="D177" s="47" t="str">
        <f>FMECA!H179</f>
        <v>Safe</v>
      </c>
      <c r="E177" s="47" t="str">
        <f>IF(ISNUMBER(SEARCH("Yes",FMECA!K179)),"Yes",IF(FMECA!K179="No","No",IF(ISNUMBER(SEARCH("No; impactless.",FMECA!K179)),"Impactless",IF(ISNUMBER(SEARCH("Outside the scope",FMECA!K179)),"Outside Scope",IF(ISNUMBER(SEARCH("Maybe",FMECA!K179)),"Maybe","Not Applicable")))))</f>
        <v>Yes</v>
      </c>
      <c r="F177" s="47" t="s">
        <v>675</v>
      </c>
      <c r="G177" s="47" t="str">
        <f>IF(ISNUMBER(SEARCH("Yes",FMECA!L179)),"Yes",IF(FMECA!L179="No","No",IF(ISNUMBER(SEARCH("No; impactless.",FMECA!L179)),"Impactless","Not Applicable")))</f>
        <v>No</v>
      </c>
      <c r="H177" s="47" t="str">
        <f>IF(ISNUMBER(SEARCH("CM0", FMECA!AC179)), "CM0", IF(ISNUMBER(SEARCH("CM1", FMECA!AC179)), "CM1", IF(ISNUMBER(SEARCH("CM2", FMECA!AC179)), "CM2", IF(ISNUMBER(SEARCH("CM3", FMECA!AC179)), "CM3", "Not Applicable"))))</f>
        <v>Not Applicable</v>
      </c>
      <c r="I177" s="49">
        <f t="shared" si="18"/>
        <v>8.0266686464244223E-7</v>
      </c>
      <c r="J177" s="49">
        <f t="shared" si="19"/>
        <v>0</v>
      </c>
      <c r="K177" s="49">
        <f t="shared" si="20"/>
        <v>0</v>
      </c>
      <c r="L177" s="49">
        <f t="shared" si="21"/>
        <v>0</v>
      </c>
      <c r="M177" s="49">
        <f t="shared" si="22"/>
        <v>0</v>
      </c>
      <c r="N177" s="49">
        <f t="shared" si="23"/>
        <v>0</v>
      </c>
      <c r="O177" s="49">
        <f t="shared" si="24"/>
        <v>0</v>
      </c>
      <c r="P177" s="49">
        <f t="shared" si="25"/>
        <v>0</v>
      </c>
      <c r="Q177" s="49">
        <f t="shared" si="26"/>
        <v>0</v>
      </c>
    </row>
    <row r="178" spans="1:17">
      <c r="A178" s="47" t="str">
        <f>FMECA!A180</f>
        <v>DZ_Sys</v>
      </c>
      <c r="B178" s="48" t="str">
        <f>FMECA!B180</f>
        <v>Increase of Zener Voltage</v>
      </c>
      <c r="C178" s="48">
        <f>FMECA!E180</f>
        <v>1.7558337664053421E-7</v>
      </c>
      <c r="D178" s="47" t="str">
        <f>FMECA!H180</f>
        <v>Safe</v>
      </c>
      <c r="E178" s="47" t="str">
        <f>IF(ISNUMBER(SEARCH("Yes",FMECA!K180)),"Yes",IF(FMECA!K180="No","No",IF(ISNUMBER(SEARCH("No; impactless.",FMECA!K180)),"Impactless",IF(ISNUMBER(SEARCH("Outside the scope",FMECA!K180)),"Outside Scope",IF(ISNUMBER(SEARCH("Maybe",FMECA!K180)),"Maybe","Not Applicable")))))</f>
        <v>Outside Scope</v>
      </c>
      <c r="F178" s="47" t="s">
        <v>675</v>
      </c>
      <c r="G178" s="47" t="str">
        <f>IF(ISNUMBER(SEARCH("Yes",FMECA!L180)),"Yes",IF(FMECA!L180="No","No",IF(ISNUMBER(SEARCH("No; impactless.",FMECA!L180)),"Impactless","Not Applicable")))</f>
        <v>No</v>
      </c>
      <c r="H178" s="47" t="str">
        <f>IF(ISNUMBER(SEARCH("CM0", FMECA!AC180)), "CM0", IF(ISNUMBER(SEARCH("CM1", FMECA!AC180)), "CM1", IF(ISNUMBER(SEARCH("CM2", FMECA!AC180)), "CM2", IF(ISNUMBER(SEARCH("CM3", FMECA!AC180)), "CM3", "Not Applicable"))))</f>
        <v>Not Applicable</v>
      </c>
      <c r="I178" s="49">
        <f t="shared" si="18"/>
        <v>0</v>
      </c>
      <c r="J178" s="49">
        <f t="shared" si="19"/>
        <v>0</v>
      </c>
      <c r="K178" s="49">
        <f t="shared" si="20"/>
        <v>0</v>
      </c>
      <c r="L178" s="49">
        <f t="shared" si="21"/>
        <v>1.7558337664053421E-7</v>
      </c>
      <c r="M178" s="49">
        <f t="shared" si="22"/>
        <v>0</v>
      </c>
      <c r="N178" s="49">
        <f t="shared" si="23"/>
        <v>0</v>
      </c>
      <c r="O178" s="49">
        <f t="shared" si="24"/>
        <v>0</v>
      </c>
      <c r="P178" s="49">
        <f t="shared" si="25"/>
        <v>0</v>
      </c>
      <c r="Q178" s="49">
        <f t="shared" si="26"/>
        <v>0</v>
      </c>
    </row>
    <row r="179" spans="1:17">
      <c r="A179" s="47" t="str">
        <f>FMECA!A181</f>
        <v>DZ_Sys</v>
      </c>
      <c r="B179" s="48" t="str">
        <f>FMECA!B181</f>
        <v>Decrease of Zener Voltage</v>
      </c>
      <c r="C179" s="48">
        <f>FMECA!E181</f>
        <v>1.7558337664053421E-7</v>
      </c>
      <c r="D179" s="47" t="str">
        <f>FMECA!H181</f>
        <v>Safe</v>
      </c>
      <c r="E179" s="47" t="str">
        <f>IF(ISNUMBER(SEARCH("Yes",FMECA!K181)),"Yes",IF(FMECA!K181="No","No",IF(ISNUMBER(SEARCH("No; impactless.",FMECA!K181)),"Impactless",IF(ISNUMBER(SEARCH("Outside the scope",FMECA!K181)),"Outside Scope",IF(ISNUMBER(SEARCH("Maybe",FMECA!K181)),"Maybe","Not Applicable")))))</f>
        <v>Maybe</v>
      </c>
      <c r="F179" s="47" t="s">
        <v>676</v>
      </c>
      <c r="G179" s="47" t="str">
        <f>IF(ISNUMBER(SEARCH("Yes",FMECA!L181)),"Yes",IF(FMECA!L181="No","No",IF(ISNUMBER(SEARCH("No; impactless.",FMECA!L181)),"Impactless","Not Applicable")))</f>
        <v>No</v>
      </c>
      <c r="H179" s="47" t="str">
        <f>IF(ISNUMBER(SEARCH("CM0", FMECA!AC181)), "CM0", IF(ISNUMBER(SEARCH("CM1", FMECA!AC181)), "CM1", IF(ISNUMBER(SEARCH("CM2", FMECA!AC181)), "CM2", IF(ISNUMBER(SEARCH("CM3", FMECA!AC181)), "CM3", "Not Applicable"))))</f>
        <v>CM2</v>
      </c>
      <c r="I179" s="49">
        <f t="shared" si="18"/>
        <v>0</v>
      </c>
      <c r="J179" s="49">
        <f t="shared" si="19"/>
        <v>0</v>
      </c>
      <c r="K179" s="49">
        <f t="shared" si="20"/>
        <v>0</v>
      </c>
      <c r="L179" s="49">
        <f t="shared" si="21"/>
        <v>0</v>
      </c>
      <c r="M179" s="49">
        <f t="shared" si="22"/>
        <v>1.7558337664053421E-7</v>
      </c>
      <c r="N179" s="49">
        <f t="shared" si="23"/>
        <v>0</v>
      </c>
      <c r="O179" s="49">
        <f t="shared" si="24"/>
        <v>0</v>
      </c>
      <c r="P179" s="49">
        <f t="shared" si="25"/>
        <v>0</v>
      </c>
      <c r="Q179" s="49">
        <f t="shared" si="26"/>
        <v>0</v>
      </c>
    </row>
    <row r="180" spans="1:17">
      <c r="A180" s="47" t="str">
        <f>FMECA!A182</f>
        <v>DZ_Sys</v>
      </c>
      <c r="B180" s="48" t="str">
        <f>FMECA!B182</f>
        <v>Increase of Leakage Current</v>
      </c>
      <c r="C180" s="48">
        <f>FMECA!E182</f>
        <v>1.7558337664053421E-7</v>
      </c>
      <c r="D180" s="47" t="str">
        <f>FMECA!H182</f>
        <v>Safe</v>
      </c>
      <c r="E180" s="47" t="str">
        <f>IF(ISNUMBER(SEARCH("Yes",FMECA!K182)),"Yes",IF(FMECA!K182="No","No",IF(ISNUMBER(SEARCH("No; impactless.",FMECA!K182)),"Impactless",IF(ISNUMBER(SEARCH("Outside the scope",FMECA!K182)),"Outside Scope",IF(ISNUMBER(SEARCH("Maybe",FMECA!K182)),"Maybe","Not Applicable")))))</f>
        <v>Maybe</v>
      </c>
      <c r="F180" s="47" t="s">
        <v>676</v>
      </c>
      <c r="G180" s="47" t="str">
        <f>IF(ISNUMBER(SEARCH("Yes",FMECA!L182)),"Yes",IF(FMECA!L182="No","No",IF(ISNUMBER(SEARCH("No; impactless.",FMECA!L182)),"Impactless","Not Applicable")))</f>
        <v>No</v>
      </c>
      <c r="H180" s="47" t="str">
        <f>IF(ISNUMBER(SEARCH("CM0", FMECA!AC182)), "CM0", IF(ISNUMBER(SEARCH("CM1", FMECA!AC182)), "CM1", IF(ISNUMBER(SEARCH("CM2", FMECA!AC182)), "CM2", IF(ISNUMBER(SEARCH("CM3", FMECA!AC182)), "CM3", "Not Applicable"))))</f>
        <v>CM2</v>
      </c>
      <c r="I180" s="49">
        <f t="shared" si="18"/>
        <v>0</v>
      </c>
      <c r="J180" s="49">
        <f t="shared" si="19"/>
        <v>0</v>
      </c>
      <c r="K180" s="49">
        <f t="shared" si="20"/>
        <v>0</v>
      </c>
      <c r="L180" s="49">
        <f t="shared" si="21"/>
        <v>0</v>
      </c>
      <c r="M180" s="49">
        <f t="shared" si="22"/>
        <v>1.7558337664053421E-7</v>
      </c>
      <c r="N180" s="49">
        <f t="shared" si="23"/>
        <v>0</v>
      </c>
      <c r="O180" s="49">
        <f t="shared" si="24"/>
        <v>0</v>
      </c>
      <c r="P180" s="49">
        <f t="shared" si="25"/>
        <v>0</v>
      </c>
      <c r="Q180" s="49">
        <f t="shared" si="26"/>
        <v>0</v>
      </c>
    </row>
    <row r="181" spans="1:17">
      <c r="A181" s="47" t="str">
        <f>FMECA!A183</f>
        <v>DZ_Sys</v>
      </c>
      <c r="B181" s="48" t="str">
        <f>FMECA!B183</f>
        <v>Change of Differential Resistance</v>
      </c>
      <c r="C181" s="48">
        <f>FMECA!E183</f>
        <v>1.7558337664053421E-7</v>
      </c>
      <c r="D181" s="47" t="str">
        <f>FMECA!H183</f>
        <v>Safe</v>
      </c>
      <c r="E181" s="47" t="str">
        <f>IF(ISNUMBER(SEARCH("Yes",FMECA!K183)),"Yes",IF(FMECA!K183="No","No",IF(ISNUMBER(SEARCH("No; impactless.",FMECA!K183)),"Impactless",IF(ISNUMBER(SEARCH("Outside the scope",FMECA!K183)),"Outside Scope",IF(ISNUMBER(SEARCH("Maybe",FMECA!K183)),"Maybe","Not Applicable")))))</f>
        <v>Outside Scope</v>
      </c>
      <c r="F181" s="47" t="s">
        <v>675</v>
      </c>
      <c r="G181" s="47" t="str">
        <f>IF(ISNUMBER(SEARCH("Yes",FMECA!L183)),"Yes",IF(FMECA!L183="No","No",IF(ISNUMBER(SEARCH("No; impactless.",FMECA!L183)),"Impactless","Not Applicable")))</f>
        <v>No</v>
      </c>
      <c r="H181" s="47" t="str">
        <f>IF(ISNUMBER(SEARCH("CM0", FMECA!AC183)), "CM0", IF(ISNUMBER(SEARCH("CM1", FMECA!AC183)), "CM1", IF(ISNUMBER(SEARCH("CM2", FMECA!AC183)), "CM2", IF(ISNUMBER(SEARCH("CM3", FMECA!AC183)), "CM3", "Not Applicable"))))</f>
        <v>Not Applicable</v>
      </c>
      <c r="I181" s="49">
        <f t="shared" si="18"/>
        <v>0</v>
      </c>
      <c r="J181" s="49">
        <f t="shared" si="19"/>
        <v>0</v>
      </c>
      <c r="K181" s="49">
        <f t="shared" si="20"/>
        <v>0</v>
      </c>
      <c r="L181" s="49">
        <f t="shared" si="21"/>
        <v>1.7558337664053421E-7</v>
      </c>
      <c r="M181" s="49">
        <f t="shared" si="22"/>
        <v>0</v>
      </c>
      <c r="N181" s="49">
        <f t="shared" si="23"/>
        <v>0</v>
      </c>
      <c r="O181" s="49">
        <f t="shared" si="24"/>
        <v>0</v>
      </c>
      <c r="P181" s="49">
        <f t="shared" si="25"/>
        <v>0</v>
      </c>
      <c r="Q181" s="49">
        <f t="shared" si="26"/>
        <v>0</v>
      </c>
    </row>
    <row r="182" spans="1:17">
      <c r="A182" s="47" t="str">
        <f>FMECA!A184</f>
        <v>DZ_Sys</v>
      </c>
      <c r="B182" s="48" t="str">
        <f>FMECA!B184</f>
        <v>Increase of Forward Conducting-State Voltage</v>
      </c>
      <c r="C182" s="48">
        <f>FMECA!E184</f>
        <v>1.7558337664053421E-7</v>
      </c>
      <c r="D182" s="47" t="str">
        <f>FMECA!H184</f>
        <v>Safe</v>
      </c>
      <c r="E182" s="47" t="str">
        <f>IF(ISNUMBER(SEARCH("Yes",FMECA!K184)),"Yes",IF(FMECA!K184="No","No",IF(ISNUMBER(SEARCH("No; impactless.",FMECA!K184)),"Impactless",IF(ISNUMBER(SEARCH("Outside the scope",FMECA!K184)),"Outside Scope",IF(ISNUMBER(SEARCH("Maybe",FMECA!K184)),"Maybe","Not Applicable")))))</f>
        <v>Impactless</v>
      </c>
      <c r="F182" s="47" t="s">
        <v>675</v>
      </c>
      <c r="G182" s="47" t="str">
        <f>IF(ISNUMBER(SEARCH("Yes",FMECA!L184)),"Yes",IF(FMECA!L184="No","No",IF(ISNUMBER(SEARCH("No; impactless.",FMECA!L184)),"Impactless","Not Applicable")))</f>
        <v>Impactless</v>
      </c>
      <c r="H182" s="47" t="str">
        <f>IF(ISNUMBER(SEARCH("CM0", FMECA!AC184)), "CM0", IF(ISNUMBER(SEARCH("CM1", FMECA!AC184)), "CM1", IF(ISNUMBER(SEARCH("CM2", FMECA!AC184)), "CM2", IF(ISNUMBER(SEARCH("CM3", FMECA!AC184)), "CM3", "Not Applicable"))))</f>
        <v>Not Applicable</v>
      </c>
      <c r="I182" s="49">
        <f t="shared" si="18"/>
        <v>0</v>
      </c>
      <c r="J182" s="49">
        <f t="shared" si="19"/>
        <v>0</v>
      </c>
      <c r="K182" s="49">
        <f t="shared" si="20"/>
        <v>0</v>
      </c>
      <c r="L182" s="49">
        <f t="shared" si="21"/>
        <v>0</v>
      </c>
      <c r="M182" s="49">
        <f t="shared" si="22"/>
        <v>0</v>
      </c>
      <c r="N182" s="49">
        <f t="shared" si="23"/>
        <v>0</v>
      </c>
      <c r="O182" s="49">
        <f t="shared" si="24"/>
        <v>0</v>
      </c>
      <c r="P182" s="49">
        <f t="shared" si="25"/>
        <v>0</v>
      </c>
      <c r="Q182" s="49">
        <f t="shared" si="26"/>
        <v>0</v>
      </c>
    </row>
    <row r="183" spans="1:17">
      <c r="A183" s="47" t="str">
        <f>FMECA!A185</f>
        <v>DZ_Sys</v>
      </c>
      <c r="B183" s="48" t="str">
        <f>FMECA!B185</f>
        <v>Decrease of Forward Conducting-State Voltage</v>
      </c>
      <c r="C183" s="48">
        <f>FMECA!E185</f>
        <v>1.7558337664053421E-7</v>
      </c>
      <c r="D183" s="47" t="str">
        <f>FMECA!H185</f>
        <v>Safe</v>
      </c>
      <c r="E183" s="47" t="str">
        <f>IF(ISNUMBER(SEARCH("Yes",FMECA!K185)),"Yes",IF(FMECA!K185="No","No",IF(ISNUMBER(SEARCH("No; impactless.",FMECA!K185)),"Impactless",IF(ISNUMBER(SEARCH("Outside the scope",FMECA!K185)),"Outside Scope",IF(ISNUMBER(SEARCH("Maybe",FMECA!K185)),"Maybe","Not Applicable")))))</f>
        <v>Impactless</v>
      </c>
      <c r="F183" s="47" t="s">
        <v>675</v>
      </c>
      <c r="G183" s="47" t="str">
        <f>IF(ISNUMBER(SEARCH("Yes",FMECA!L185)),"Yes",IF(FMECA!L185="No","No",IF(ISNUMBER(SEARCH("No; impactless.",FMECA!L185)),"Impactless","Not Applicable")))</f>
        <v>Impactless</v>
      </c>
      <c r="H183" s="47" t="str">
        <f>IF(ISNUMBER(SEARCH("CM0", FMECA!AC185)), "CM0", IF(ISNUMBER(SEARCH("CM1", FMECA!AC185)), "CM1", IF(ISNUMBER(SEARCH("CM2", FMECA!AC185)), "CM2", IF(ISNUMBER(SEARCH("CM3", FMECA!AC185)), "CM3", "Not Applicable"))))</f>
        <v>Not Applicable</v>
      </c>
      <c r="I183" s="49">
        <f t="shared" si="18"/>
        <v>0</v>
      </c>
      <c r="J183" s="49">
        <f t="shared" si="19"/>
        <v>0</v>
      </c>
      <c r="K183" s="49">
        <f t="shared" si="20"/>
        <v>0</v>
      </c>
      <c r="L183" s="49">
        <f t="shared" si="21"/>
        <v>0</v>
      </c>
      <c r="M183" s="49">
        <f t="shared" si="22"/>
        <v>0</v>
      </c>
      <c r="N183" s="49">
        <f t="shared" si="23"/>
        <v>0</v>
      </c>
      <c r="O183" s="49">
        <f t="shared" si="24"/>
        <v>0</v>
      </c>
      <c r="P183" s="49">
        <f t="shared" si="25"/>
        <v>0</v>
      </c>
      <c r="Q183" s="49">
        <f t="shared" si="26"/>
        <v>0</v>
      </c>
    </row>
    <row r="184" spans="1:17">
      <c r="A184" s="47" t="str">
        <f>FMECA!A186</f>
        <v>DZ_Sys</v>
      </c>
      <c r="B184" s="48" t="str">
        <f>FMECA!B186</f>
        <v>Increase of Forward Threshold Voltage</v>
      </c>
      <c r="C184" s="48">
        <f>FMECA!E186</f>
        <v>1.7558337664053421E-7</v>
      </c>
      <c r="D184" s="47" t="str">
        <f>FMECA!H186</f>
        <v>Safe</v>
      </c>
      <c r="E184" s="47" t="str">
        <f>IF(ISNUMBER(SEARCH("Yes",FMECA!K186)),"Yes",IF(FMECA!K186="No","No",IF(ISNUMBER(SEARCH("No; impactless.",FMECA!K186)),"Impactless",IF(ISNUMBER(SEARCH("Outside the scope",FMECA!K186)),"Outside Scope",IF(ISNUMBER(SEARCH("Maybe",FMECA!K186)),"Maybe","Not Applicable")))))</f>
        <v>Impactless</v>
      </c>
      <c r="F184" s="47" t="s">
        <v>675</v>
      </c>
      <c r="G184" s="47" t="str">
        <f>IF(ISNUMBER(SEARCH("Yes",FMECA!L186)),"Yes",IF(FMECA!L186="No","No",IF(ISNUMBER(SEARCH("No; impactless.",FMECA!L186)),"Impactless","Not Applicable")))</f>
        <v>Impactless</v>
      </c>
      <c r="H184" s="47" t="str">
        <f>IF(ISNUMBER(SEARCH("CM0", FMECA!AC186)), "CM0", IF(ISNUMBER(SEARCH("CM1", FMECA!AC186)), "CM1", IF(ISNUMBER(SEARCH("CM2", FMECA!AC186)), "CM2", IF(ISNUMBER(SEARCH("CM3", FMECA!AC186)), "CM3", "Not Applicable"))))</f>
        <v>Not Applicable</v>
      </c>
      <c r="I184" s="49">
        <f t="shared" si="18"/>
        <v>0</v>
      </c>
      <c r="J184" s="49">
        <f t="shared" si="19"/>
        <v>0</v>
      </c>
      <c r="K184" s="49">
        <f t="shared" si="20"/>
        <v>0</v>
      </c>
      <c r="L184" s="49">
        <f t="shared" si="21"/>
        <v>0</v>
      </c>
      <c r="M184" s="49">
        <f t="shared" si="22"/>
        <v>0</v>
      </c>
      <c r="N184" s="49">
        <f t="shared" si="23"/>
        <v>0</v>
      </c>
      <c r="O184" s="49">
        <f t="shared" si="24"/>
        <v>0</v>
      </c>
      <c r="P184" s="49">
        <f t="shared" si="25"/>
        <v>0</v>
      </c>
      <c r="Q184" s="49">
        <f t="shared" si="26"/>
        <v>0</v>
      </c>
    </row>
    <row r="185" spans="1:17">
      <c r="A185" s="47" t="str">
        <f>FMECA!A187</f>
        <v>DZ_Sys</v>
      </c>
      <c r="B185" s="48" t="str">
        <f>FMECA!B187</f>
        <v>Decrease of Forward Threshold Voltage</v>
      </c>
      <c r="C185" s="48">
        <f>FMECA!E187</f>
        <v>1.7558337664053421E-7</v>
      </c>
      <c r="D185" s="47" t="str">
        <f>FMECA!H187</f>
        <v>Safe</v>
      </c>
      <c r="E185" s="47" t="str">
        <f>IF(ISNUMBER(SEARCH("Yes",FMECA!K187)),"Yes",IF(FMECA!K187="No","No",IF(ISNUMBER(SEARCH("No; impactless.",FMECA!K187)),"Impactless",IF(ISNUMBER(SEARCH("Outside the scope",FMECA!K187)),"Outside Scope",IF(ISNUMBER(SEARCH("Maybe",FMECA!K187)),"Maybe","Not Applicable")))))</f>
        <v>Impactless</v>
      </c>
      <c r="F185" s="47" t="s">
        <v>675</v>
      </c>
      <c r="G185" s="47" t="str">
        <f>IF(ISNUMBER(SEARCH("Yes",FMECA!L187)),"Yes",IF(FMECA!L187="No","No",IF(ISNUMBER(SEARCH("No; impactless.",FMECA!L187)),"Impactless","Not Applicable")))</f>
        <v>Impactless</v>
      </c>
      <c r="H185" s="47" t="str">
        <f>IF(ISNUMBER(SEARCH("CM0", FMECA!AC187)), "CM0", IF(ISNUMBER(SEARCH("CM1", FMECA!AC187)), "CM1", IF(ISNUMBER(SEARCH("CM2", FMECA!AC187)), "CM2", IF(ISNUMBER(SEARCH("CM3", FMECA!AC187)), "CM3", "Not Applicable"))))</f>
        <v>Not Applicable</v>
      </c>
      <c r="I185" s="49">
        <f t="shared" si="18"/>
        <v>0</v>
      </c>
      <c r="J185" s="49">
        <f t="shared" si="19"/>
        <v>0</v>
      </c>
      <c r="K185" s="49">
        <f t="shared" si="20"/>
        <v>0</v>
      </c>
      <c r="L185" s="49">
        <f t="shared" si="21"/>
        <v>0</v>
      </c>
      <c r="M185" s="49">
        <f t="shared" si="22"/>
        <v>0</v>
      </c>
      <c r="N185" s="49">
        <f t="shared" si="23"/>
        <v>0</v>
      </c>
      <c r="O185" s="49">
        <f t="shared" si="24"/>
        <v>0</v>
      </c>
      <c r="P185" s="49">
        <f t="shared" si="25"/>
        <v>0</v>
      </c>
      <c r="Q185" s="49">
        <f t="shared" si="26"/>
        <v>0</v>
      </c>
    </row>
    <row r="186" spans="1:17">
      <c r="A186" s="47" t="str">
        <f>FMECA!A188</f>
        <v>DZ_Sys</v>
      </c>
      <c r="B186" s="48" t="str">
        <f>FMECA!B188</f>
        <v>Short-Circuit to Conductive Casing</v>
      </c>
      <c r="C186" s="48">
        <f>FMECA!E188</f>
        <v>0</v>
      </c>
      <c r="D186" s="47" t="str">
        <f>FMECA!H188</f>
        <v>Safe</v>
      </c>
      <c r="E186" s="47" t="str">
        <f>IF(ISNUMBER(SEARCH("Yes",FMECA!K188)),"Yes",IF(FMECA!K188="No","No",IF(ISNUMBER(SEARCH("No; impactless.",FMECA!K188)),"Impactless",IF(ISNUMBER(SEARCH("Outside the scope",FMECA!K188)),"Outside Scope",IF(ISNUMBER(SEARCH("Maybe",FMECA!K188)),"Maybe","Not Applicable")))))</f>
        <v>Impactless</v>
      </c>
      <c r="F186" s="47" t="s">
        <v>675</v>
      </c>
      <c r="G186" s="47" t="str">
        <f>IF(ISNUMBER(SEARCH("Yes",FMECA!L188)),"Yes",IF(FMECA!L188="No","No",IF(ISNUMBER(SEARCH("No; impactless.",FMECA!L188)),"Impactless","Not Applicable")))</f>
        <v>Impactless</v>
      </c>
      <c r="H186" s="47" t="str">
        <f>IF(ISNUMBER(SEARCH("CM0", FMECA!AC188)), "CM0", IF(ISNUMBER(SEARCH("CM1", FMECA!AC188)), "CM1", IF(ISNUMBER(SEARCH("CM2", FMECA!AC188)), "CM2", IF(ISNUMBER(SEARCH("CM3", FMECA!AC188)), "CM3", "Not Applicable"))))</f>
        <v>Not Applicable</v>
      </c>
      <c r="I186" s="49">
        <f t="shared" si="18"/>
        <v>0</v>
      </c>
      <c r="J186" s="49">
        <f t="shared" si="19"/>
        <v>0</v>
      </c>
      <c r="K186" s="49">
        <f t="shared" si="20"/>
        <v>0</v>
      </c>
      <c r="L186" s="49">
        <f t="shared" si="21"/>
        <v>0</v>
      </c>
      <c r="M186" s="49">
        <f t="shared" si="22"/>
        <v>0</v>
      </c>
      <c r="N186" s="49">
        <f t="shared" si="23"/>
        <v>0</v>
      </c>
      <c r="O186" s="49">
        <f t="shared" si="24"/>
        <v>0</v>
      </c>
      <c r="P186" s="49">
        <f t="shared" si="25"/>
        <v>0</v>
      </c>
      <c r="Q186" s="49">
        <f t="shared" si="26"/>
        <v>0</v>
      </c>
    </row>
    <row r="187" spans="1:17">
      <c r="A187" s="47" t="str">
        <f>FMECA!A189</f>
        <v>R5_Sys</v>
      </c>
      <c r="B187" s="48" t="str">
        <f>FMECA!B189</f>
        <v>Open</v>
      </c>
      <c r="C187" s="48">
        <f>FMECA!E189</f>
        <v>2.4551082459100113E-9</v>
      </c>
      <c r="D187" s="47" t="str">
        <f>FMECA!H189</f>
        <v>Safe</v>
      </c>
      <c r="E187" s="47" t="str">
        <f>IF(ISNUMBER(SEARCH("Yes",FMECA!K189)),"Yes",IF(FMECA!K189="No","No",IF(ISNUMBER(SEARCH("No; impactless.",FMECA!K189)),"Impactless",IF(ISNUMBER(SEARCH("Outside the scope",FMECA!K189)),"Outside Scope",IF(ISNUMBER(SEARCH("Maybe",FMECA!K189)),"Maybe","Not Applicable")))))</f>
        <v>Yes</v>
      </c>
      <c r="F187" s="47" t="s">
        <v>675</v>
      </c>
      <c r="G187" s="47" t="str">
        <f>IF(ISNUMBER(SEARCH("Yes",FMECA!L189)),"Yes",IF(FMECA!L189="No","No",IF(ISNUMBER(SEARCH("No; impactless.",FMECA!L189)),"Impactless","Not Applicable")))</f>
        <v>No</v>
      </c>
      <c r="H187" s="47" t="str">
        <f>IF(ISNUMBER(SEARCH("CM0", FMECA!AC189)), "CM0", IF(ISNUMBER(SEARCH("CM1", FMECA!AC189)), "CM1", IF(ISNUMBER(SEARCH("CM2", FMECA!AC189)), "CM2", IF(ISNUMBER(SEARCH("CM3", FMECA!AC189)), "CM3", "Not Applicable"))))</f>
        <v>Not Applicable</v>
      </c>
      <c r="I187" s="49">
        <f t="shared" si="18"/>
        <v>2.4551082459100113E-9</v>
      </c>
      <c r="J187" s="49">
        <f t="shared" si="19"/>
        <v>0</v>
      </c>
      <c r="K187" s="49">
        <f t="shared" si="20"/>
        <v>0</v>
      </c>
      <c r="L187" s="49">
        <f t="shared" si="21"/>
        <v>0</v>
      </c>
      <c r="M187" s="49">
        <f t="shared" si="22"/>
        <v>0</v>
      </c>
      <c r="N187" s="49">
        <f t="shared" si="23"/>
        <v>0</v>
      </c>
      <c r="O187" s="49">
        <f t="shared" si="24"/>
        <v>0</v>
      </c>
      <c r="P187" s="49">
        <f t="shared" si="25"/>
        <v>0</v>
      </c>
      <c r="Q187" s="49">
        <f t="shared" si="26"/>
        <v>0</v>
      </c>
    </row>
    <row r="188" spans="1:17">
      <c r="A188" s="47" t="str">
        <f>FMECA!A190</f>
        <v>R5_Sys</v>
      </c>
      <c r="B188" s="48" t="str">
        <f>FMECA!B190</f>
        <v>Short-Circuit</v>
      </c>
      <c r="C188" s="48">
        <f>FMECA!E190</f>
        <v>2.080600208398315E-10</v>
      </c>
      <c r="D188" s="47" t="str">
        <f>FMECA!H190</f>
        <v>Safe</v>
      </c>
      <c r="E188" s="47" t="str">
        <f>IF(ISNUMBER(SEARCH("Yes",FMECA!K190)),"Yes",IF(FMECA!K190="No","No",IF(ISNUMBER(SEARCH("No; impactless.",FMECA!K190)),"Impactless",IF(ISNUMBER(SEARCH("Outside the scope",FMECA!K190)),"Outside Scope",IF(ISNUMBER(SEARCH("Maybe",FMECA!K190)),"Maybe","Not Applicable")))))</f>
        <v>Yes</v>
      </c>
      <c r="F188" s="47" t="s">
        <v>675</v>
      </c>
      <c r="G188" s="47" t="str">
        <f>IF(ISNUMBER(SEARCH("Yes",FMECA!L190)),"Yes",IF(FMECA!L190="No","No",IF(ISNUMBER(SEARCH("No; impactless.",FMECA!L190)),"Impactless","Not Applicable")))</f>
        <v>No</v>
      </c>
      <c r="H188" s="47" t="str">
        <f>IF(ISNUMBER(SEARCH("CM0", FMECA!AC190)), "CM0", IF(ISNUMBER(SEARCH("CM1", FMECA!AC190)), "CM1", IF(ISNUMBER(SEARCH("CM2", FMECA!AC190)), "CM2", IF(ISNUMBER(SEARCH("CM3", FMECA!AC190)), "CM3", "Not Applicable"))))</f>
        <v>Not Applicable</v>
      </c>
      <c r="I188" s="49">
        <f t="shared" si="18"/>
        <v>2.080600208398315E-10</v>
      </c>
      <c r="J188" s="49">
        <f t="shared" si="19"/>
        <v>0</v>
      </c>
      <c r="K188" s="49">
        <f t="shared" si="20"/>
        <v>0</v>
      </c>
      <c r="L188" s="49">
        <f t="shared" si="21"/>
        <v>0</v>
      </c>
      <c r="M188" s="49">
        <f t="shared" si="22"/>
        <v>0</v>
      </c>
      <c r="N188" s="49">
        <f t="shared" si="23"/>
        <v>0</v>
      </c>
      <c r="O188" s="49">
        <f t="shared" si="24"/>
        <v>0</v>
      </c>
      <c r="P188" s="49">
        <f t="shared" si="25"/>
        <v>0</v>
      </c>
      <c r="Q188" s="49">
        <f t="shared" si="26"/>
        <v>0</v>
      </c>
    </row>
    <row r="189" spans="1:17">
      <c r="A189" s="47" t="str">
        <f>FMECA!A191</f>
        <v>R5_Sys</v>
      </c>
      <c r="B189" s="48" t="str">
        <f>FMECA!B191</f>
        <v>Increase of Resistance Value</v>
      </c>
      <c r="C189" s="48">
        <f>FMECA!E191</f>
        <v>7.4901607502339334E-10</v>
      </c>
      <c r="D189" s="47" t="str">
        <f>FMECA!H191</f>
        <v>Safe</v>
      </c>
      <c r="E189" s="47" t="str">
        <f>IF(ISNUMBER(SEARCH("Yes",FMECA!K191)),"Yes",IF(FMECA!K191="No","No",IF(ISNUMBER(SEARCH("No; impactless.",FMECA!K191)),"Impactless",IF(ISNUMBER(SEARCH("Outside the scope",FMECA!K191)),"Outside Scope",IF(ISNUMBER(SEARCH("Maybe",FMECA!K191)),"Maybe","Not Applicable")))))</f>
        <v>Yes</v>
      </c>
      <c r="F189" s="47" t="s">
        <v>675</v>
      </c>
      <c r="G189" s="47" t="str">
        <f>IF(ISNUMBER(SEARCH("Yes",FMECA!L191)),"Yes",IF(FMECA!L191="No","No",IF(ISNUMBER(SEARCH("No; impactless.",FMECA!L191)),"Impactless","Not Applicable")))</f>
        <v>No</v>
      </c>
      <c r="H189" s="47" t="str">
        <f>IF(ISNUMBER(SEARCH("CM0", FMECA!AC191)), "CM0", IF(ISNUMBER(SEARCH("CM1", FMECA!AC191)), "CM1", IF(ISNUMBER(SEARCH("CM2", FMECA!AC191)), "CM2", IF(ISNUMBER(SEARCH("CM3", FMECA!AC191)), "CM3", "Not Applicable"))))</f>
        <v>Not Applicable</v>
      </c>
      <c r="I189" s="49">
        <f t="shared" si="18"/>
        <v>7.4901607502339334E-10</v>
      </c>
      <c r="J189" s="49">
        <f t="shared" si="19"/>
        <v>0</v>
      </c>
      <c r="K189" s="49">
        <f t="shared" si="20"/>
        <v>0</v>
      </c>
      <c r="L189" s="49">
        <f t="shared" si="21"/>
        <v>0</v>
      </c>
      <c r="M189" s="49">
        <f t="shared" si="22"/>
        <v>0</v>
      </c>
      <c r="N189" s="49">
        <f t="shared" si="23"/>
        <v>0</v>
      </c>
      <c r="O189" s="49">
        <f t="shared" si="24"/>
        <v>0</v>
      </c>
      <c r="P189" s="49">
        <f t="shared" si="25"/>
        <v>0</v>
      </c>
      <c r="Q189" s="49">
        <f t="shared" si="26"/>
        <v>0</v>
      </c>
    </row>
    <row r="190" spans="1:17">
      <c r="A190" s="47" t="str">
        <f>FMECA!A192</f>
        <v>R5_Sys</v>
      </c>
      <c r="B190" s="48" t="str">
        <f>FMECA!B192</f>
        <v>Decrease of Resistance Value</v>
      </c>
      <c r="C190" s="48">
        <f>FMECA!E192</f>
        <v>7.4901607502339334E-10</v>
      </c>
      <c r="D190" s="47" t="str">
        <f>FMECA!H192</f>
        <v>Safe</v>
      </c>
      <c r="E190" s="47" t="str">
        <f>IF(ISNUMBER(SEARCH("Yes",FMECA!K192)),"Yes",IF(FMECA!K192="No","No",IF(ISNUMBER(SEARCH("No; impactless.",FMECA!K192)),"Impactless",IF(ISNUMBER(SEARCH("Outside the scope",FMECA!K192)),"Outside Scope",IF(ISNUMBER(SEARCH("Maybe",FMECA!K192)),"Maybe","Not Applicable")))))</f>
        <v>Yes</v>
      </c>
      <c r="F190" s="47" t="s">
        <v>675</v>
      </c>
      <c r="G190" s="47" t="str">
        <f>IF(ISNUMBER(SEARCH("Yes",FMECA!L192)),"Yes",IF(FMECA!L192="No","No",IF(ISNUMBER(SEARCH("No; impactless.",FMECA!L192)),"Impactless","Not Applicable")))</f>
        <v>No</v>
      </c>
      <c r="H190" s="47" t="str">
        <f>IF(ISNUMBER(SEARCH("CM0", FMECA!AC192)), "CM0", IF(ISNUMBER(SEARCH("CM1", FMECA!AC192)), "CM1", IF(ISNUMBER(SEARCH("CM2", FMECA!AC192)), "CM2", IF(ISNUMBER(SEARCH("CM3", FMECA!AC192)), "CM3", "Not Applicable"))))</f>
        <v>Not Applicable</v>
      </c>
      <c r="I190" s="49">
        <f t="shared" si="18"/>
        <v>7.4901607502339334E-10</v>
      </c>
      <c r="J190" s="49">
        <f t="shared" si="19"/>
        <v>0</v>
      </c>
      <c r="K190" s="49">
        <f t="shared" si="20"/>
        <v>0</v>
      </c>
      <c r="L190" s="49">
        <f t="shared" si="21"/>
        <v>0</v>
      </c>
      <c r="M190" s="49">
        <f t="shared" si="22"/>
        <v>0</v>
      </c>
      <c r="N190" s="49">
        <f t="shared" si="23"/>
        <v>0</v>
      </c>
      <c r="O190" s="49">
        <f t="shared" si="24"/>
        <v>0</v>
      </c>
      <c r="P190" s="49">
        <f t="shared" si="25"/>
        <v>0</v>
      </c>
      <c r="Q190" s="49">
        <f t="shared" si="26"/>
        <v>0</v>
      </c>
    </row>
    <row r="191" spans="1:17">
      <c r="A191" s="47" t="str">
        <f>FMECA!A193</f>
        <v>R5_Sys</v>
      </c>
      <c r="B191" s="48" t="str">
        <f>FMECA!B193</f>
        <v>Short-Circuit to Casing</v>
      </c>
      <c r="C191" s="48">
        <f>FMECA!E193</f>
        <v>0</v>
      </c>
      <c r="D191" s="47" t="str">
        <f>FMECA!H193</f>
        <v>Safe</v>
      </c>
      <c r="E191" s="47" t="str">
        <f>IF(ISNUMBER(SEARCH("Yes",FMECA!K193)),"Yes",IF(FMECA!K193="No","No",IF(ISNUMBER(SEARCH("No; impactless.",FMECA!K193)),"Impactless",IF(ISNUMBER(SEARCH("Outside the scope",FMECA!K193)),"Outside Scope",IF(ISNUMBER(SEARCH("Maybe",FMECA!K193)),"Maybe","Not Applicable")))))</f>
        <v>Impactless</v>
      </c>
      <c r="F191" s="47" t="s">
        <v>675</v>
      </c>
      <c r="G191" s="47" t="str">
        <f>IF(ISNUMBER(SEARCH("Yes",FMECA!L193)),"Yes",IF(FMECA!L193="No","No",IF(ISNUMBER(SEARCH("No; impactless.",FMECA!L193)),"Impactless","Not Applicable")))</f>
        <v>Impactless</v>
      </c>
      <c r="H191" s="47" t="str">
        <f>IF(ISNUMBER(SEARCH("CM0", FMECA!AC193)), "CM0", IF(ISNUMBER(SEARCH("CM1", FMECA!AC193)), "CM1", IF(ISNUMBER(SEARCH("CM2", FMECA!AC193)), "CM2", IF(ISNUMBER(SEARCH("CM3", FMECA!AC193)), "CM3", "Not Applicable"))))</f>
        <v>Not Applicable</v>
      </c>
      <c r="I191" s="49">
        <f t="shared" si="18"/>
        <v>0</v>
      </c>
      <c r="J191" s="49">
        <f t="shared" si="19"/>
        <v>0</v>
      </c>
      <c r="K191" s="49">
        <f t="shared" si="20"/>
        <v>0</v>
      </c>
      <c r="L191" s="49">
        <f t="shared" si="21"/>
        <v>0</v>
      </c>
      <c r="M191" s="49">
        <f t="shared" si="22"/>
        <v>0</v>
      </c>
      <c r="N191" s="49">
        <f t="shared" si="23"/>
        <v>0</v>
      </c>
      <c r="O191" s="49">
        <f t="shared" si="24"/>
        <v>0</v>
      </c>
      <c r="P191" s="49">
        <f t="shared" si="25"/>
        <v>0</v>
      </c>
      <c r="Q191" s="49">
        <f t="shared" si="26"/>
        <v>0</v>
      </c>
    </row>
    <row r="192" spans="1:17">
      <c r="A192" s="47" t="str">
        <f>FMECA!A194</f>
        <v>UC_Sys</v>
      </c>
      <c r="B192" s="48" t="str">
        <f>FMECA!B194</f>
        <v>Supply open</v>
      </c>
      <c r="C192" s="48">
        <f>FMECA!E194</f>
        <v>2.1277782984360249E-9</v>
      </c>
      <c r="D192" s="47" t="str">
        <f>FMECA!H194</f>
        <v>Safe</v>
      </c>
      <c r="E192" s="47" t="str">
        <f>IF(ISNUMBER(SEARCH("Yes",FMECA!K194)),"Yes",IF(FMECA!K194="No","No",IF(ISNUMBER(SEARCH("No; impactless.",FMECA!K194)),"Impactless",IF(ISNUMBER(SEARCH("Outside the scope",FMECA!K194)),"Outside Scope",IF(ISNUMBER(SEARCH("Maybe",FMECA!K194)),"Maybe","Not Applicable")))))</f>
        <v>Outside Scope</v>
      </c>
      <c r="F192" s="47" t="s">
        <v>675</v>
      </c>
      <c r="G192" s="47" t="str">
        <f>IF(ISNUMBER(SEARCH("Yes",FMECA!L194)),"Yes",IF(FMECA!L194="No","No",IF(ISNUMBER(SEARCH("No; impactless.",FMECA!L194)),"Impactless","Not Applicable")))</f>
        <v>No</v>
      </c>
      <c r="H192" s="47" t="str">
        <f>IF(ISNUMBER(SEARCH("CM0", FMECA!AC194)), "CM0", IF(ISNUMBER(SEARCH("CM1", FMECA!AC194)), "CM1", IF(ISNUMBER(SEARCH("CM2", FMECA!AC194)), "CM2", IF(ISNUMBER(SEARCH("CM3", FMECA!AC194)), "CM3", "Not Applicable"))))</f>
        <v>Not Applicable</v>
      </c>
      <c r="I192" s="49">
        <f t="shared" si="18"/>
        <v>0</v>
      </c>
      <c r="J192" s="49">
        <f t="shared" si="19"/>
        <v>0</v>
      </c>
      <c r="K192" s="49">
        <f t="shared" si="20"/>
        <v>0</v>
      </c>
      <c r="L192" s="49">
        <f t="shared" si="21"/>
        <v>2.1277782984360249E-9</v>
      </c>
      <c r="M192" s="49">
        <f t="shared" si="22"/>
        <v>0</v>
      </c>
      <c r="N192" s="49">
        <f t="shared" si="23"/>
        <v>0</v>
      </c>
      <c r="O192" s="49">
        <f t="shared" si="24"/>
        <v>0</v>
      </c>
      <c r="P192" s="49">
        <f t="shared" si="25"/>
        <v>0</v>
      </c>
      <c r="Q192" s="49">
        <f t="shared" si="26"/>
        <v>0</v>
      </c>
    </row>
    <row r="193" spans="1:17">
      <c r="A193" s="47" t="str">
        <f>FMECA!A195</f>
        <v>UC_Sys</v>
      </c>
      <c r="B193" s="48" t="str">
        <f>FMECA!B195</f>
        <v>Output 'Dig_Out1' open</v>
      </c>
      <c r="C193" s="48">
        <f>FMECA!E195</f>
        <v>2.1277782984360249E-9</v>
      </c>
      <c r="D193" s="47" t="str">
        <f>FMECA!H195</f>
        <v>Safe</v>
      </c>
      <c r="E193" s="47" t="str">
        <f>IF(ISNUMBER(SEARCH("Yes",FMECA!K195)),"Yes",IF(FMECA!K195="No","No",IF(ISNUMBER(SEARCH("No; impactless.",FMECA!K195)),"Impactless",IF(ISNUMBER(SEARCH("Outside the scope",FMECA!K195)),"Outside Scope",IF(ISNUMBER(SEARCH("Maybe",FMECA!K195)),"Maybe","Not Applicable")))))</f>
        <v>Outside Scope</v>
      </c>
      <c r="F193" s="47" t="s">
        <v>675</v>
      </c>
      <c r="G193" s="47" t="str">
        <f>IF(ISNUMBER(SEARCH("Yes",FMECA!L195)),"Yes",IF(FMECA!L195="No","No",IF(ISNUMBER(SEARCH("No; impactless.",FMECA!L195)),"Impactless","Not Applicable")))</f>
        <v>No</v>
      </c>
      <c r="H193" s="47" t="str">
        <f>IF(ISNUMBER(SEARCH("CM0", FMECA!AC195)), "CM0", IF(ISNUMBER(SEARCH("CM1", FMECA!AC195)), "CM1", IF(ISNUMBER(SEARCH("CM2", FMECA!AC195)), "CM2", IF(ISNUMBER(SEARCH("CM3", FMECA!AC195)), "CM3", "Not Applicable"))))</f>
        <v>Not Applicable</v>
      </c>
      <c r="I193" s="49">
        <f t="shared" si="18"/>
        <v>0</v>
      </c>
      <c r="J193" s="49">
        <f t="shared" si="19"/>
        <v>0</v>
      </c>
      <c r="K193" s="49">
        <f t="shared" si="20"/>
        <v>0</v>
      </c>
      <c r="L193" s="49">
        <f t="shared" si="21"/>
        <v>2.1277782984360249E-9</v>
      </c>
      <c r="M193" s="49">
        <f t="shared" si="22"/>
        <v>0</v>
      </c>
      <c r="N193" s="49">
        <f t="shared" si="23"/>
        <v>0</v>
      </c>
      <c r="O193" s="49">
        <f t="shared" si="24"/>
        <v>0</v>
      </c>
      <c r="P193" s="49">
        <f t="shared" si="25"/>
        <v>0</v>
      </c>
      <c r="Q193" s="49">
        <f t="shared" si="26"/>
        <v>0</v>
      </c>
    </row>
    <row r="194" spans="1:17">
      <c r="A194" s="47" t="str">
        <f>FMECA!A196</f>
        <v>UC_Sys</v>
      </c>
      <c r="B194" s="48" t="str">
        <f>FMECA!B196</f>
        <v>Output 'Dig_Out2' open</v>
      </c>
      <c r="C194" s="48">
        <f>FMECA!E196</f>
        <v>2.1277782984360249E-9</v>
      </c>
      <c r="D194" s="47" t="str">
        <f>FMECA!H196</f>
        <v>Safe</v>
      </c>
      <c r="E194" s="47" t="str">
        <f>IF(ISNUMBER(SEARCH("Yes",FMECA!K196)),"Yes",IF(FMECA!K196="No","No",IF(ISNUMBER(SEARCH("No; impactless.",FMECA!K196)),"Impactless",IF(ISNUMBER(SEARCH("Outside the scope",FMECA!K196)),"Outside Scope",IF(ISNUMBER(SEARCH("Maybe",FMECA!K196)),"Maybe","Not Applicable")))))</f>
        <v>Outside Scope</v>
      </c>
      <c r="F194" s="47" t="s">
        <v>675</v>
      </c>
      <c r="G194" s="47" t="str">
        <f>IF(ISNUMBER(SEARCH("Yes",FMECA!L196)),"Yes",IF(FMECA!L196="No","No",IF(ISNUMBER(SEARCH("No; impactless.",FMECA!L196)),"Impactless","Not Applicable")))</f>
        <v>No</v>
      </c>
      <c r="H194" s="47" t="str">
        <f>IF(ISNUMBER(SEARCH("CM0", FMECA!AC196)), "CM0", IF(ISNUMBER(SEARCH("CM1", FMECA!AC196)), "CM1", IF(ISNUMBER(SEARCH("CM2", FMECA!AC196)), "CM2", IF(ISNUMBER(SEARCH("CM3", FMECA!AC196)), "CM3", "Not Applicable"))))</f>
        <v>Not Applicable</v>
      </c>
      <c r="I194" s="49">
        <f t="shared" si="18"/>
        <v>0</v>
      </c>
      <c r="J194" s="49">
        <f t="shared" si="19"/>
        <v>0</v>
      </c>
      <c r="K194" s="49">
        <f t="shared" si="20"/>
        <v>0</v>
      </c>
      <c r="L194" s="49">
        <f t="shared" si="21"/>
        <v>2.1277782984360249E-9</v>
      </c>
      <c r="M194" s="49">
        <f t="shared" si="22"/>
        <v>0</v>
      </c>
      <c r="N194" s="49">
        <f t="shared" si="23"/>
        <v>0</v>
      </c>
      <c r="O194" s="49">
        <f t="shared" si="24"/>
        <v>0</v>
      </c>
      <c r="P194" s="49">
        <f t="shared" si="25"/>
        <v>0</v>
      </c>
      <c r="Q194" s="49">
        <f t="shared" si="26"/>
        <v>0</v>
      </c>
    </row>
    <row r="195" spans="1:17">
      <c r="A195" s="47" t="str">
        <f>FMECA!A197</f>
        <v>UC_Sys</v>
      </c>
      <c r="B195" s="48" t="str">
        <f>FMECA!B197</f>
        <v>Bidirectional Pin 'SPI' open</v>
      </c>
      <c r="C195" s="48">
        <f>FMECA!E197</f>
        <v>5.3194457460900622E-9</v>
      </c>
      <c r="D195" s="47" t="str">
        <f>FMECA!H197</f>
        <v>Safe</v>
      </c>
      <c r="E195" s="47" t="str">
        <f>IF(ISNUMBER(SEARCH("Yes",FMECA!K197)),"Yes",IF(FMECA!K197="No","No",IF(ISNUMBER(SEARCH("No; impactless.",FMECA!K197)),"Impactless",IF(ISNUMBER(SEARCH("Outside the scope",FMECA!K197)),"Outside Scope",IF(ISNUMBER(SEARCH("Maybe",FMECA!K197)),"Maybe","Not Applicable")))))</f>
        <v>Outside Scope</v>
      </c>
      <c r="F195" s="47" t="s">
        <v>675</v>
      </c>
      <c r="G195" s="47" t="str">
        <f>IF(ISNUMBER(SEARCH("Yes",FMECA!L197)),"Yes",IF(FMECA!L197="No","No",IF(ISNUMBER(SEARCH("No; impactless.",FMECA!L197)),"Impactless","Not Applicable")))</f>
        <v>No</v>
      </c>
      <c r="H195" s="47" t="str">
        <f>IF(ISNUMBER(SEARCH("CM0", FMECA!AC197)), "CM0", IF(ISNUMBER(SEARCH("CM1", FMECA!AC197)), "CM1", IF(ISNUMBER(SEARCH("CM2", FMECA!AC197)), "CM2", IF(ISNUMBER(SEARCH("CM3", FMECA!AC197)), "CM3", "Not Applicable"))))</f>
        <v>Not Applicable</v>
      </c>
      <c r="I195" s="49">
        <f t="shared" ref="I195:I217" si="27">IF(AND(E195 = "Yes", G195 = "No"), C195, 0)</f>
        <v>0</v>
      </c>
      <c r="J195" s="49">
        <f t="shared" ref="J195:J217" si="28">IF(AND(OR(E195 = "No", E195 = "Maybe"), G195 = "Yes"), C195, 0)</f>
        <v>0</v>
      </c>
      <c r="K195" s="49">
        <f t="shared" ref="K195:K217" si="29">IF(AND(E195="Yes",G195="Yes"), C195, 0)</f>
        <v>0</v>
      </c>
      <c r="L195" s="49">
        <f t="shared" ref="L195:L217" si="30">IF(E195="Outside Scope", C195, 0)</f>
        <v>5.3194457460900622E-9</v>
      </c>
      <c r="M195" s="49">
        <f t="shared" ref="M195:M217" si="31">IF(AND(E195 = "Maybe", F195 = "Yes", G195 = "No"), C195, 0)</f>
        <v>0</v>
      </c>
      <c r="N195" s="49">
        <f t="shared" ref="N195:N217" si="32">IF(AND(E195 = "Maybe", F195 = "No", G195 = "No"), C195, 0)</f>
        <v>0</v>
      </c>
      <c r="O195" s="49">
        <f t="shared" ref="O195:O217" si="33">IF(H195 = "CM1", C195, 0)</f>
        <v>0</v>
      </c>
      <c r="P195" s="49">
        <f t="shared" ref="P195:P218" si="34">IF(AND(E195&lt;&gt; "Maybe", H195 = "CM2"), C195, 0)</f>
        <v>0</v>
      </c>
      <c r="Q195" s="49">
        <f t="shared" ref="Q195:Q217" si="35">IF(H195 = "CM3", C195, 0)</f>
        <v>0</v>
      </c>
    </row>
    <row r="196" spans="1:17">
      <c r="A196" s="47" t="str">
        <f>FMECA!A198</f>
        <v>UC_Sys</v>
      </c>
      <c r="B196" s="48" t="str">
        <f>FMECA!B198</f>
        <v>Output 'Dig_Out1' stuck low</v>
      </c>
      <c r="C196" s="48">
        <f>FMECA!E198</f>
        <v>5.3194457460900624E-10</v>
      </c>
      <c r="D196" s="47" t="str">
        <f>FMECA!H198</f>
        <v>Safe</v>
      </c>
      <c r="E196" s="47" t="str">
        <f>IF(ISNUMBER(SEARCH("Yes",FMECA!K198)),"Yes",IF(FMECA!K198="No","No",IF(ISNUMBER(SEARCH("No; impactless.",FMECA!K198)),"Impactless",IF(ISNUMBER(SEARCH("Outside the scope",FMECA!K198)),"Outside Scope",IF(ISNUMBER(SEARCH("Maybe",FMECA!K198)),"Maybe","Not Applicable")))))</f>
        <v>Outside Scope</v>
      </c>
      <c r="F196" s="47" t="s">
        <v>675</v>
      </c>
      <c r="G196" s="47" t="str">
        <f>IF(ISNUMBER(SEARCH("Yes",FMECA!L198)),"Yes",IF(FMECA!L198="No","No",IF(ISNUMBER(SEARCH("No; impactless.",FMECA!L198)),"Impactless","Not Applicable")))</f>
        <v>No</v>
      </c>
      <c r="H196" s="47" t="str">
        <f>IF(ISNUMBER(SEARCH("CM0", FMECA!AC198)), "CM0", IF(ISNUMBER(SEARCH("CM1", FMECA!AC198)), "CM1", IF(ISNUMBER(SEARCH("CM2", FMECA!AC198)), "CM2", IF(ISNUMBER(SEARCH("CM3", FMECA!AC198)), "CM3", "Not Applicable"))))</f>
        <v>Not Applicable</v>
      </c>
      <c r="I196" s="49">
        <f t="shared" si="27"/>
        <v>0</v>
      </c>
      <c r="J196" s="49">
        <f t="shared" si="28"/>
        <v>0</v>
      </c>
      <c r="K196" s="49">
        <f t="shared" si="29"/>
        <v>0</v>
      </c>
      <c r="L196" s="49">
        <f t="shared" si="30"/>
        <v>5.3194457460900624E-10</v>
      </c>
      <c r="M196" s="49">
        <f t="shared" si="31"/>
        <v>0</v>
      </c>
      <c r="N196" s="49">
        <f t="shared" si="32"/>
        <v>0</v>
      </c>
      <c r="O196" s="49">
        <f t="shared" si="33"/>
        <v>0</v>
      </c>
      <c r="P196" s="49">
        <f t="shared" si="34"/>
        <v>0</v>
      </c>
      <c r="Q196" s="49">
        <f t="shared" si="35"/>
        <v>0</v>
      </c>
    </row>
    <row r="197" spans="1:17">
      <c r="A197" s="47" t="str">
        <f>FMECA!A199</f>
        <v>UC_Sys</v>
      </c>
      <c r="B197" s="48" t="str">
        <f>FMECA!B199</f>
        <v>Output 'Dig_Out2' stuck low</v>
      </c>
      <c r="C197" s="48">
        <f>FMECA!E199</f>
        <v>5.3194457460900624E-10</v>
      </c>
      <c r="D197" s="47" t="str">
        <f>FMECA!H199</f>
        <v>Safe</v>
      </c>
      <c r="E197" s="47" t="str">
        <f>IF(ISNUMBER(SEARCH("Yes",FMECA!K199)),"Yes",IF(FMECA!K199="No","No",IF(ISNUMBER(SEARCH("No; impactless.",FMECA!K199)),"Impactless",IF(ISNUMBER(SEARCH("Outside the scope",FMECA!K199)),"Outside Scope",IF(ISNUMBER(SEARCH("Maybe",FMECA!K199)),"Maybe","Not Applicable")))))</f>
        <v>Outside Scope</v>
      </c>
      <c r="F197" s="47" t="s">
        <v>675</v>
      </c>
      <c r="G197" s="47" t="str">
        <f>IF(ISNUMBER(SEARCH("Yes",FMECA!L199)),"Yes",IF(FMECA!L199="No","No",IF(ISNUMBER(SEARCH("No; impactless.",FMECA!L199)),"Impactless","Not Applicable")))</f>
        <v>No</v>
      </c>
      <c r="H197" s="47" t="str">
        <f>IF(ISNUMBER(SEARCH("CM0", FMECA!AC199)), "CM0", IF(ISNUMBER(SEARCH("CM1", FMECA!AC199)), "CM1", IF(ISNUMBER(SEARCH("CM2", FMECA!AC199)), "CM2", IF(ISNUMBER(SEARCH("CM3", FMECA!AC199)), "CM3", "Not Applicable"))))</f>
        <v>Not Applicable</v>
      </c>
      <c r="I197" s="49">
        <f t="shared" si="27"/>
        <v>0</v>
      </c>
      <c r="J197" s="49">
        <f t="shared" si="28"/>
        <v>0</v>
      </c>
      <c r="K197" s="49">
        <f t="shared" si="29"/>
        <v>0</v>
      </c>
      <c r="L197" s="49">
        <f t="shared" si="30"/>
        <v>5.3194457460900624E-10</v>
      </c>
      <c r="M197" s="49">
        <f t="shared" si="31"/>
        <v>0</v>
      </c>
      <c r="N197" s="49">
        <f t="shared" si="32"/>
        <v>0</v>
      </c>
      <c r="O197" s="49">
        <f t="shared" si="33"/>
        <v>0</v>
      </c>
      <c r="P197" s="49">
        <f t="shared" si="34"/>
        <v>0</v>
      </c>
      <c r="Q197" s="49">
        <f t="shared" si="35"/>
        <v>0</v>
      </c>
    </row>
    <row r="198" spans="1:17">
      <c r="A198" s="47" t="str">
        <f>FMECA!A200</f>
        <v>UC_Sys</v>
      </c>
      <c r="B198" s="48" t="str">
        <f>FMECA!B200</f>
        <v>Bidirectional Pin 'SPI' stuck low</v>
      </c>
      <c r="C198" s="48">
        <f>FMECA!E200</f>
        <v>5.3194457460900624E-10</v>
      </c>
      <c r="D198" s="47" t="str">
        <f>FMECA!H200</f>
        <v>Safe</v>
      </c>
      <c r="E198" s="47" t="str">
        <f>IF(ISNUMBER(SEARCH("Yes",FMECA!K200)),"Yes",IF(FMECA!K200="No","No",IF(ISNUMBER(SEARCH("No; impactless.",FMECA!K200)),"Impactless",IF(ISNUMBER(SEARCH("Outside the scope",FMECA!K200)),"Outside Scope",IF(ISNUMBER(SEARCH("Maybe",FMECA!K200)),"Maybe","Not Applicable")))))</f>
        <v>Outside Scope</v>
      </c>
      <c r="F198" s="47" t="s">
        <v>675</v>
      </c>
      <c r="G198" s="47" t="str">
        <f>IF(ISNUMBER(SEARCH("Yes",FMECA!L200)),"Yes",IF(FMECA!L200="No","No",IF(ISNUMBER(SEARCH("No; impactless.",FMECA!L200)),"Impactless","Not Applicable")))</f>
        <v>No</v>
      </c>
      <c r="H198" s="47" t="str">
        <f>IF(ISNUMBER(SEARCH("CM0", FMECA!AC200)), "CM0", IF(ISNUMBER(SEARCH("CM1", FMECA!AC200)), "CM1", IF(ISNUMBER(SEARCH("CM2", FMECA!AC200)), "CM2", IF(ISNUMBER(SEARCH("CM3", FMECA!AC200)), "CM3", "Not Applicable"))))</f>
        <v>Not Applicable</v>
      </c>
      <c r="I198" s="49">
        <f t="shared" si="27"/>
        <v>0</v>
      </c>
      <c r="J198" s="49">
        <f t="shared" si="28"/>
        <v>0</v>
      </c>
      <c r="K198" s="49">
        <f t="shared" si="29"/>
        <v>0</v>
      </c>
      <c r="L198" s="49">
        <f t="shared" si="30"/>
        <v>5.3194457460900624E-10</v>
      </c>
      <c r="M198" s="49">
        <f t="shared" si="31"/>
        <v>0</v>
      </c>
      <c r="N198" s="49">
        <f t="shared" si="32"/>
        <v>0</v>
      </c>
      <c r="O198" s="49">
        <f t="shared" si="33"/>
        <v>0</v>
      </c>
      <c r="P198" s="49">
        <f t="shared" si="34"/>
        <v>0</v>
      </c>
      <c r="Q198" s="49">
        <f t="shared" si="35"/>
        <v>0</v>
      </c>
    </row>
    <row r="199" spans="1:17">
      <c r="A199" s="47" t="str">
        <f>FMECA!A201</f>
        <v>UC_Sys</v>
      </c>
      <c r="B199" s="48" t="str">
        <f>FMECA!B201</f>
        <v>Output 'Dig_Out1' stuck high</v>
      </c>
      <c r="C199" s="48">
        <f>FMECA!E201</f>
        <v>4.7283962187467226E-10</v>
      </c>
      <c r="D199" s="47" t="str">
        <f>FMECA!H201</f>
        <v>Safe</v>
      </c>
      <c r="E199" s="47" t="str">
        <f>IF(ISNUMBER(SEARCH("Yes",FMECA!K201)),"Yes",IF(FMECA!K201="No","No",IF(ISNUMBER(SEARCH("No; impactless.",FMECA!K201)),"Impactless",IF(ISNUMBER(SEARCH("Outside the scope",FMECA!K201)),"Outside Scope",IF(ISNUMBER(SEARCH("Maybe",FMECA!K201)),"Maybe","Not Applicable")))))</f>
        <v>Yes</v>
      </c>
      <c r="F199" s="47" t="s">
        <v>675</v>
      </c>
      <c r="G199" s="47" t="str">
        <f>IF(ISNUMBER(SEARCH("Yes",FMECA!L201)),"Yes",IF(FMECA!L201="No","No",IF(ISNUMBER(SEARCH("No; impactless.",FMECA!L201)),"Impactless","Not Applicable")))</f>
        <v>No</v>
      </c>
      <c r="H199" s="47" t="str">
        <f>IF(ISNUMBER(SEARCH("CM0", FMECA!AC201)), "CM0", IF(ISNUMBER(SEARCH("CM1", FMECA!AC201)), "CM1", IF(ISNUMBER(SEARCH("CM2", FMECA!AC201)), "CM2", IF(ISNUMBER(SEARCH("CM3", FMECA!AC201)), "CM3", "Not Applicable"))))</f>
        <v>Not Applicable</v>
      </c>
      <c r="I199" s="49">
        <f t="shared" si="27"/>
        <v>4.7283962187467226E-10</v>
      </c>
      <c r="J199" s="49">
        <f t="shared" si="28"/>
        <v>0</v>
      </c>
      <c r="K199" s="49">
        <f t="shared" si="29"/>
        <v>0</v>
      </c>
      <c r="L199" s="49">
        <f t="shared" si="30"/>
        <v>0</v>
      </c>
      <c r="M199" s="49">
        <f t="shared" si="31"/>
        <v>0</v>
      </c>
      <c r="N199" s="49">
        <f t="shared" si="32"/>
        <v>0</v>
      </c>
      <c r="O199" s="49">
        <f t="shared" si="33"/>
        <v>0</v>
      </c>
      <c r="P199" s="49">
        <f t="shared" si="34"/>
        <v>0</v>
      </c>
      <c r="Q199" s="49">
        <f t="shared" si="35"/>
        <v>0</v>
      </c>
    </row>
    <row r="200" spans="1:17">
      <c r="A200" s="47" t="str">
        <f>FMECA!A202</f>
        <v>UC_Sys</v>
      </c>
      <c r="B200" s="48" t="str">
        <f>FMECA!B202</f>
        <v>Output 'Dig_Out2' stuck high</v>
      </c>
      <c r="C200" s="48">
        <f>FMECA!E202</f>
        <v>4.7283962187467226E-10</v>
      </c>
      <c r="D200" s="47" t="str">
        <f>FMECA!H202</f>
        <v>Safe</v>
      </c>
      <c r="E200" s="47" t="str">
        <f>IF(ISNUMBER(SEARCH("Yes",FMECA!K202)),"Yes",IF(FMECA!K202="No","No",IF(ISNUMBER(SEARCH("No; impactless.",FMECA!K202)),"Impactless",IF(ISNUMBER(SEARCH("Outside the scope",FMECA!K202)),"Outside Scope",IF(ISNUMBER(SEARCH("Maybe",FMECA!K202)),"Maybe","Not Applicable")))))</f>
        <v>Outside Scope</v>
      </c>
      <c r="F200" s="47" t="s">
        <v>675</v>
      </c>
      <c r="G200" s="47" t="str">
        <f>IF(ISNUMBER(SEARCH("Yes",FMECA!L202)),"Yes",IF(FMECA!L202="No","No",IF(ISNUMBER(SEARCH("No; impactless.",FMECA!L202)),"Impactless","Not Applicable")))</f>
        <v>No</v>
      </c>
      <c r="H200" s="47" t="str">
        <f>IF(ISNUMBER(SEARCH("CM0", FMECA!AC202)), "CM0", IF(ISNUMBER(SEARCH("CM1", FMECA!AC202)), "CM1", IF(ISNUMBER(SEARCH("CM2", FMECA!AC202)), "CM2", IF(ISNUMBER(SEARCH("CM3", FMECA!AC202)), "CM3", "Not Applicable"))))</f>
        <v>Not Applicable</v>
      </c>
      <c r="I200" s="49">
        <f t="shared" si="27"/>
        <v>0</v>
      </c>
      <c r="J200" s="49">
        <f t="shared" si="28"/>
        <v>0</v>
      </c>
      <c r="K200" s="49">
        <f t="shared" si="29"/>
        <v>0</v>
      </c>
      <c r="L200" s="49">
        <f t="shared" si="30"/>
        <v>4.7283962187467226E-10</v>
      </c>
      <c r="M200" s="49">
        <f t="shared" si="31"/>
        <v>0</v>
      </c>
      <c r="N200" s="49">
        <f t="shared" si="32"/>
        <v>0</v>
      </c>
      <c r="O200" s="49">
        <f t="shared" si="33"/>
        <v>0</v>
      </c>
      <c r="P200" s="49">
        <f t="shared" si="34"/>
        <v>0</v>
      </c>
      <c r="Q200" s="49">
        <f t="shared" si="35"/>
        <v>0</v>
      </c>
    </row>
    <row r="201" spans="1:17">
      <c r="A201" s="47" t="str">
        <f>FMECA!A203</f>
        <v>UC_Sys</v>
      </c>
      <c r="B201" s="48" t="str">
        <f>FMECA!B203</f>
        <v>Bidirectional 'SPI' Pin stuck high</v>
      </c>
      <c r="C201" s="48">
        <f>FMECA!E203</f>
        <v>4.7283962187467226E-10</v>
      </c>
      <c r="D201" s="47" t="str">
        <f>FMECA!H203</f>
        <v>Safe</v>
      </c>
      <c r="E201" s="47" t="str">
        <f>IF(ISNUMBER(SEARCH("Yes",FMECA!K203)),"Yes",IF(FMECA!K203="No","No",IF(ISNUMBER(SEARCH("No; impactless.",FMECA!K203)),"Impactless",IF(ISNUMBER(SEARCH("Outside the scope",FMECA!K203)),"Outside Scope",IF(ISNUMBER(SEARCH("Maybe",FMECA!K203)),"Maybe","Not Applicable")))))</f>
        <v>Outside Scope</v>
      </c>
      <c r="F201" s="47" t="s">
        <v>675</v>
      </c>
      <c r="G201" s="47" t="str">
        <f>IF(ISNUMBER(SEARCH("Yes",FMECA!L203)),"Yes",IF(FMECA!L203="No","No",IF(ISNUMBER(SEARCH("No; impactless.",FMECA!L203)),"Impactless","Not Applicable")))</f>
        <v>No</v>
      </c>
      <c r="H201" s="47" t="str">
        <f>IF(ISNUMBER(SEARCH("CM0", FMECA!AC203)), "CM0", IF(ISNUMBER(SEARCH("CM1", FMECA!AC203)), "CM1", IF(ISNUMBER(SEARCH("CM2", FMECA!AC203)), "CM2", IF(ISNUMBER(SEARCH("CM3", FMECA!AC203)), "CM3", "Not Applicable"))))</f>
        <v>Not Applicable</v>
      </c>
      <c r="I201" s="49">
        <f t="shared" si="27"/>
        <v>0</v>
      </c>
      <c r="J201" s="49">
        <f t="shared" si="28"/>
        <v>0</v>
      </c>
      <c r="K201" s="49">
        <f t="shared" si="29"/>
        <v>0</v>
      </c>
      <c r="L201" s="49">
        <f t="shared" si="30"/>
        <v>4.7283962187467226E-10</v>
      </c>
      <c r="M201" s="49">
        <f t="shared" si="31"/>
        <v>0</v>
      </c>
      <c r="N201" s="49">
        <f t="shared" si="32"/>
        <v>0</v>
      </c>
      <c r="O201" s="49">
        <f t="shared" si="33"/>
        <v>0</v>
      </c>
      <c r="P201" s="49">
        <f t="shared" si="34"/>
        <v>0</v>
      </c>
      <c r="Q201" s="49">
        <f t="shared" si="35"/>
        <v>0</v>
      </c>
    </row>
    <row r="202" spans="1:17">
      <c r="A202" s="47" t="str">
        <f>FMECA!A204</f>
        <v>UC_Sys</v>
      </c>
      <c r="B202" s="48" t="str">
        <f>FMECA!B204</f>
        <v>Input open</v>
      </c>
      <c r="C202" s="48">
        <f>FMECA!E204</f>
        <v>3.1916674476540372E-9</v>
      </c>
      <c r="D202" s="47" t="str">
        <f>FMECA!H204</f>
        <v>Safe</v>
      </c>
      <c r="E202" s="47" t="str">
        <f>IF(ISNUMBER(SEARCH("Yes",FMECA!K204)),"Yes",IF(FMECA!K204="No","No",IF(ISNUMBER(SEARCH("No; impactless.",FMECA!K204)),"Impactless",IF(ISNUMBER(SEARCH("Outside the scope",FMECA!K204)),"Outside Scope",IF(ISNUMBER(SEARCH("Maybe",FMECA!K204)),"Maybe","Not Applicable")))))</f>
        <v>Outside Scope</v>
      </c>
      <c r="F202" s="47" t="s">
        <v>675</v>
      </c>
      <c r="G202" s="47" t="str">
        <f>IF(ISNUMBER(SEARCH("Yes",FMECA!L204)),"Yes",IF(FMECA!L204="No","No",IF(ISNUMBER(SEARCH("No; impactless.",FMECA!L204)),"Impactless","Not Applicable")))</f>
        <v>No</v>
      </c>
      <c r="H202" s="47" t="str">
        <f>IF(ISNUMBER(SEARCH("CM0", FMECA!AC204)), "CM0", IF(ISNUMBER(SEARCH("CM1", FMECA!AC204)), "CM1", IF(ISNUMBER(SEARCH("CM2", FMECA!AC204)), "CM2", IF(ISNUMBER(SEARCH("CM3", FMECA!AC204)), "CM3", "Not Applicable"))))</f>
        <v>Not Applicable</v>
      </c>
      <c r="I202" s="49">
        <f t="shared" si="27"/>
        <v>0</v>
      </c>
      <c r="J202" s="49">
        <f t="shared" si="28"/>
        <v>0</v>
      </c>
      <c r="K202" s="49">
        <f t="shared" si="29"/>
        <v>0</v>
      </c>
      <c r="L202" s="49">
        <f t="shared" si="30"/>
        <v>3.1916674476540372E-9</v>
      </c>
      <c r="M202" s="49">
        <f t="shared" si="31"/>
        <v>0</v>
      </c>
      <c r="N202" s="49">
        <f t="shared" si="32"/>
        <v>0</v>
      </c>
      <c r="O202" s="49">
        <f t="shared" si="33"/>
        <v>0</v>
      </c>
      <c r="P202" s="49">
        <f t="shared" si="34"/>
        <v>0</v>
      </c>
      <c r="Q202" s="49">
        <f t="shared" si="35"/>
        <v>0</v>
      </c>
    </row>
    <row r="203" spans="1:17">
      <c r="A203" s="47" t="str">
        <f>FMECA!A205</f>
        <v>Flash_Sys</v>
      </c>
      <c r="B203" s="48" t="str">
        <f>FMECA!B205</f>
        <v>Data bit loss</v>
      </c>
      <c r="C203" s="48">
        <f>FMECA!E205</f>
        <v>6.0288947389916522E-9</v>
      </c>
      <c r="D203" s="47" t="str">
        <f>FMECA!H205</f>
        <v>Safe</v>
      </c>
      <c r="E203" s="47" t="str">
        <f>IF(ISNUMBER(SEARCH("Yes",FMECA!K205)),"Yes",IF(FMECA!K205="No","No",IF(ISNUMBER(SEARCH("No; impactless.",FMECA!K205)),"Impactless",IF(ISNUMBER(SEARCH("Outside the scope",FMECA!K205)),"Outside Scope",IF(ISNUMBER(SEARCH("Maybe",FMECA!K205)),"Maybe","Not Applicable")))))</f>
        <v>Outside Scope</v>
      </c>
      <c r="F203" s="47" t="s">
        <v>675</v>
      </c>
      <c r="G203" s="47" t="str">
        <f>IF(ISNUMBER(SEARCH("Yes",FMECA!L205)),"Yes",IF(FMECA!L205="No","No",IF(ISNUMBER(SEARCH("No; impactless.",FMECA!L205)),"Impactless","Not Applicable")))</f>
        <v>No</v>
      </c>
      <c r="H203" s="47" t="str">
        <f>IF(ISNUMBER(SEARCH("CM0", FMECA!AC205)), "CM0", IF(ISNUMBER(SEARCH("CM1", FMECA!AC205)), "CM1", IF(ISNUMBER(SEARCH("CM2", FMECA!AC205)), "CM2", IF(ISNUMBER(SEARCH("CM3", FMECA!AC205)), "CM3", "Not Applicable"))))</f>
        <v>Not Applicable</v>
      </c>
      <c r="I203" s="49">
        <f t="shared" si="27"/>
        <v>0</v>
      </c>
      <c r="J203" s="49">
        <f t="shared" si="28"/>
        <v>0</v>
      </c>
      <c r="K203" s="49">
        <f t="shared" si="29"/>
        <v>0</v>
      </c>
      <c r="L203" s="49">
        <f t="shared" si="30"/>
        <v>6.0288947389916522E-9</v>
      </c>
      <c r="M203" s="49">
        <f t="shared" si="31"/>
        <v>0</v>
      </c>
      <c r="N203" s="49">
        <f t="shared" si="32"/>
        <v>0</v>
      </c>
      <c r="O203" s="49">
        <f t="shared" si="33"/>
        <v>0</v>
      </c>
      <c r="P203" s="49">
        <f t="shared" si="34"/>
        <v>0</v>
      </c>
      <c r="Q203" s="49">
        <f t="shared" si="35"/>
        <v>0</v>
      </c>
    </row>
    <row r="204" spans="1:17">
      <c r="A204" s="47" t="str">
        <f>FMECA!A206</f>
        <v>Flash_Sys</v>
      </c>
      <c r="B204" s="48" t="str">
        <f>FMECA!B206</f>
        <v>Slow transfer of data</v>
      </c>
      <c r="C204" s="48">
        <f>FMECA!E206</f>
        <v>3.0144473694958261E-9</v>
      </c>
      <c r="D204" s="47" t="str">
        <f>FMECA!H206</f>
        <v>Safe</v>
      </c>
      <c r="E204" s="47" t="str">
        <f>IF(ISNUMBER(SEARCH("Yes",FMECA!K206)),"Yes",IF(FMECA!K206="No","No",IF(ISNUMBER(SEARCH("No; impactless.",FMECA!K206)),"Impactless",IF(ISNUMBER(SEARCH("Outside the scope",FMECA!K206)),"Outside Scope",IF(ISNUMBER(SEARCH("Maybe",FMECA!K206)),"Maybe","Not Applicable")))))</f>
        <v>Outside Scope</v>
      </c>
      <c r="F204" s="47" t="s">
        <v>675</v>
      </c>
      <c r="G204" s="47" t="str">
        <f>IF(ISNUMBER(SEARCH("Yes",FMECA!L206)),"Yes",IF(FMECA!L206="No","No",IF(ISNUMBER(SEARCH("No; impactless.",FMECA!L206)),"Impactless","Not Applicable")))</f>
        <v>No</v>
      </c>
      <c r="H204" s="47" t="str">
        <f>IF(ISNUMBER(SEARCH("CM0", FMECA!AC206)), "CM0", IF(ISNUMBER(SEARCH("CM1", FMECA!AC206)), "CM1", IF(ISNUMBER(SEARCH("CM2", FMECA!AC206)), "CM2", IF(ISNUMBER(SEARCH("CM3", FMECA!AC206)), "CM3", "Not Applicable"))))</f>
        <v>Not Applicable</v>
      </c>
      <c r="I204" s="49">
        <f t="shared" si="27"/>
        <v>0</v>
      </c>
      <c r="J204" s="49">
        <f t="shared" si="28"/>
        <v>0</v>
      </c>
      <c r="K204" s="49">
        <f t="shared" si="29"/>
        <v>0</v>
      </c>
      <c r="L204" s="49">
        <f t="shared" si="30"/>
        <v>3.0144473694958261E-9</v>
      </c>
      <c r="M204" s="49">
        <f t="shared" si="31"/>
        <v>0</v>
      </c>
      <c r="N204" s="49">
        <f t="shared" si="32"/>
        <v>0</v>
      </c>
      <c r="O204" s="49">
        <f t="shared" si="33"/>
        <v>0</v>
      </c>
      <c r="P204" s="49">
        <f t="shared" si="34"/>
        <v>0</v>
      </c>
      <c r="Q204" s="49">
        <f t="shared" si="35"/>
        <v>0</v>
      </c>
    </row>
    <row r="205" spans="1:17">
      <c r="A205" s="47" t="str">
        <f>FMECA!A207</f>
        <v>Flash_Sys</v>
      </c>
      <c r="B205" s="48" t="str">
        <f>FMECA!B207</f>
        <v>Open</v>
      </c>
      <c r="C205" s="48">
        <f>FMECA!E207</f>
        <v>4.0783699704943524E-9</v>
      </c>
      <c r="D205" s="47" t="str">
        <f>FMECA!H207</f>
        <v>Safe</v>
      </c>
      <c r="E205" s="47" t="str">
        <f>IF(ISNUMBER(SEARCH("Yes",FMECA!K207)),"Yes",IF(FMECA!K207="No","No",IF(ISNUMBER(SEARCH("No; impactless.",FMECA!K207)),"Impactless",IF(ISNUMBER(SEARCH("Outside the scope",FMECA!K207)),"Outside Scope",IF(ISNUMBER(SEARCH("Maybe",FMECA!K207)),"Maybe","Not Applicable")))))</f>
        <v>Outside Scope</v>
      </c>
      <c r="F205" s="47" t="s">
        <v>675</v>
      </c>
      <c r="G205" s="47" t="str">
        <f>IF(ISNUMBER(SEARCH("Yes",FMECA!L207)),"Yes",IF(FMECA!L207="No","No",IF(ISNUMBER(SEARCH("No; impactless.",FMECA!L207)),"Impactless","Not Applicable")))</f>
        <v>No</v>
      </c>
      <c r="H205" s="47" t="str">
        <f>IF(ISNUMBER(SEARCH("CM0", FMECA!AC207)), "CM0", IF(ISNUMBER(SEARCH("CM1", FMECA!AC207)), "CM1", IF(ISNUMBER(SEARCH("CM2", FMECA!AC207)), "CM2", IF(ISNUMBER(SEARCH("CM3", FMECA!AC207)), "CM3", "Not Applicable"))))</f>
        <v>Not Applicable</v>
      </c>
      <c r="I205" s="49">
        <f t="shared" si="27"/>
        <v>0</v>
      </c>
      <c r="J205" s="49">
        <f t="shared" si="28"/>
        <v>0</v>
      </c>
      <c r="K205" s="49">
        <f t="shared" si="29"/>
        <v>0</v>
      </c>
      <c r="L205" s="49">
        <f t="shared" si="30"/>
        <v>4.0783699704943524E-9</v>
      </c>
      <c r="M205" s="49">
        <f t="shared" si="31"/>
        <v>0</v>
      </c>
      <c r="N205" s="49">
        <f t="shared" si="32"/>
        <v>0</v>
      </c>
      <c r="O205" s="49">
        <f t="shared" si="33"/>
        <v>0</v>
      </c>
      <c r="P205" s="49">
        <f t="shared" si="34"/>
        <v>0</v>
      </c>
      <c r="Q205" s="49">
        <f t="shared" si="35"/>
        <v>0</v>
      </c>
    </row>
    <row r="206" spans="1:17">
      <c r="A206" s="47" t="str">
        <f>FMECA!A208</f>
        <v>Flash_Sys</v>
      </c>
      <c r="B206" s="48" t="str">
        <f>FMECA!B208</f>
        <v>Short-circuit</v>
      </c>
      <c r="C206" s="48">
        <f>FMECA!E208</f>
        <v>4.6103312709936158E-9</v>
      </c>
      <c r="D206" s="47" t="str">
        <f>FMECA!H208</f>
        <v>Safe</v>
      </c>
      <c r="E206" s="47" t="str">
        <f>IF(ISNUMBER(SEARCH("Yes",FMECA!K208)),"Yes",IF(FMECA!K208="No","No",IF(ISNUMBER(SEARCH("No; impactless.",FMECA!K208)),"Impactless",IF(ISNUMBER(SEARCH("Outside the scope",FMECA!K208)),"Outside Scope",IF(ISNUMBER(SEARCH("Maybe",FMECA!K208)),"Maybe","Not Applicable")))))</f>
        <v>Outside Scope</v>
      </c>
      <c r="F206" s="47" t="s">
        <v>675</v>
      </c>
      <c r="G206" s="47" t="str">
        <f>IF(ISNUMBER(SEARCH("Yes",FMECA!L208)),"Yes",IF(FMECA!L208="No","No",IF(ISNUMBER(SEARCH("No; impactless.",FMECA!L208)),"Impactless","Not Applicable")))</f>
        <v>No</v>
      </c>
      <c r="H206" s="47" t="str">
        <f>IF(ISNUMBER(SEARCH("CM0", FMECA!AC208)), "CM0", IF(ISNUMBER(SEARCH("CM1", FMECA!AC208)), "CM1", IF(ISNUMBER(SEARCH("CM2", FMECA!AC208)), "CM2", IF(ISNUMBER(SEARCH("CM3", FMECA!AC208)), "CM3", "Not Applicable"))))</f>
        <v>Not Applicable</v>
      </c>
      <c r="I206" s="49">
        <f t="shared" si="27"/>
        <v>0</v>
      </c>
      <c r="J206" s="49">
        <f t="shared" si="28"/>
        <v>0</v>
      </c>
      <c r="K206" s="49">
        <f t="shared" si="29"/>
        <v>0</v>
      </c>
      <c r="L206" s="49">
        <f t="shared" si="30"/>
        <v>4.6103312709936158E-9</v>
      </c>
      <c r="M206" s="49">
        <f t="shared" si="31"/>
        <v>0</v>
      </c>
      <c r="N206" s="49">
        <f t="shared" si="32"/>
        <v>0</v>
      </c>
      <c r="O206" s="49">
        <f t="shared" si="33"/>
        <v>0</v>
      </c>
      <c r="P206" s="49">
        <f t="shared" si="34"/>
        <v>0</v>
      </c>
      <c r="Q206" s="49">
        <f t="shared" si="35"/>
        <v>0</v>
      </c>
    </row>
    <row r="207" spans="1:17">
      <c r="A207" s="47" t="str">
        <f>FMECA!A209</f>
        <v>DC_DC_Sys</v>
      </c>
      <c r="B207" s="48" t="str">
        <f>FMECA!B209</f>
        <v>No Output</v>
      </c>
      <c r="C207" s="48">
        <f>FMECA!E209</f>
        <v>4.9192708264389344E-9</v>
      </c>
      <c r="D207" s="47" t="str">
        <f>FMECA!H209</f>
        <v>Safe</v>
      </c>
      <c r="E207" s="47" t="str">
        <f>IF(ISNUMBER(SEARCH("Yes",FMECA!K209)),"Yes",IF(FMECA!K209="No","No",IF(ISNUMBER(SEARCH("No; impactless.",FMECA!K209)),"Impactless",IF(ISNUMBER(SEARCH("Outside the scope",FMECA!K209)),"Outside Scope",IF(ISNUMBER(SEARCH("Maybe",FMECA!K209)),"Maybe","Not Applicable")))))</f>
        <v>Yes</v>
      </c>
      <c r="F207" s="47" t="s">
        <v>675</v>
      </c>
      <c r="G207" s="47" t="str">
        <f>IF(ISNUMBER(SEARCH("Yes",FMECA!L209)),"Yes",IF(FMECA!L209="No","No",IF(ISNUMBER(SEARCH("No; impactless.",FMECA!L209)),"Impactless","Not Applicable")))</f>
        <v>No</v>
      </c>
      <c r="H207" s="47" t="str">
        <f>IF(ISNUMBER(SEARCH("CM0", FMECA!AC209)), "CM0", IF(ISNUMBER(SEARCH("CM1", FMECA!AC209)), "CM1", IF(ISNUMBER(SEARCH("CM2", FMECA!AC209)), "CM2", IF(ISNUMBER(SEARCH("CM3", FMECA!AC209)), "CM3", "Not Applicable"))))</f>
        <v>Not Applicable</v>
      </c>
      <c r="I207" s="49">
        <f t="shared" si="27"/>
        <v>4.9192708264389344E-9</v>
      </c>
      <c r="J207" s="49">
        <f t="shared" si="28"/>
        <v>0</v>
      </c>
      <c r="K207" s="49">
        <f t="shared" si="29"/>
        <v>0</v>
      </c>
      <c r="L207" s="49">
        <f t="shared" si="30"/>
        <v>0</v>
      </c>
      <c r="M207" s="49">
        <f t="shared" si="31"/>
        <v>0</v>
      </c>
      <c r="N207" s="49">
        <f t="shared" si="32"/>
        <v>0</v>
      </c>
      <c r="O207" s="49">
        <f t="shared" si="33"/>
        <v>0</v>
      </c>
      <c r="P207" s="49">
        <f t="shared" si="34"/>
        <v>0</v>
      </c>
      <c r="Q207" s="49">
        <f t="shared" si="35"/>
        <v>0</v>
      </c>
    </row>
    <row r="208" spans="1:17">
      <c r="A208" s="47" t="str">
        <f>FMECA!A210</f>
        <v>DC_DC_Sys</v>
      </c>
      <c r="B208" s="48" t="str">
        <f>FMECA!B210</f>
        <v>Increase in Output Voltage</v>
      </c>
      <c r="C208" s="48">
        <f>FMECA!E210</f>
        <v>5.4896210671854778E-9</v>
      </c>
      <c r="D208" s="47" t="str">
        <f>FMECA!H210</f>
        <v>Unsafe</v>
      </c>
      <c r="E208" s="47" t="str">
        <f>IF(ISNUMBER(SEARCH("Yes",FMECA!K210)),"Yes",IF(FMECA!K210="No","No",IF(ISNUMBER(SEARCH("No; impactless.",FMECA!K210)),"Impactless",IF(ISNUMBER(SEARCH("Outside the scope",FMECA!K210)),"Outside Scope",IF(ISNUMBER(SEARCH("Maybe",FMECA!K210)),"Maybe","Not Applicable")))))</f>
        <v>No</v>
      </c>
      <c r="F208" s="47" t="s">
        <v>675</v>
      </c>
      <c r="G208" s="47" t="str">
        <f>IF(ISNUMBER(SEARCH("Yes",FMECA!L210)),"Yes",IF(FMECA!L210="No","No",IF(ISNUMBER(SEARCH("No; impactless.",FMECA!L210)),"Impactless","Not Applicable")))</f>
        <v>No</v>
      </c>
      <c r="H208" s="47" t="str">
        <f>IF(ISNUMBER(SEARCH("CM0", FMECA!AC210)), "CM0", IF(ISNUMBER(SEARCH("CM1", FMECA!AC210)), "CM1", IF(ISNUMBER(SEARCH("CM2", FMECA!AC210)), "CM2", IF(ISNUMBER(SEARCH("CM3", FMECA!AC210)), "CM3", "Not Applicable"))))</f>
        <v>CM3</v>
      </c>
      <c r="I208" s="49">
        <f t="shared" si="27"/>
        <v>0</v>
      </c>
      <c r="J208" s="49">
        <f t="shared" si="28"/>
        <v>0</v>
      </c>
      <c r="K208" s="49">
        <f t="shared" si="29"/>
        <v>0</v>
      </c>
      <c r="L208" s="49">
        <f t="shared" si="30"/>
        <v>0</v>
      </c>
      <c r="M208" s="49">
        <f t="shared" si="31"/>
        <v>0</v>
      </c>
      <c r="N208" s="49">
        <f t="shared" si="32"/>
        <v>0</v>
      </c>
      <c r="O208" s="49">
        <f t="shared" si="33"/>
        <v>0</v>
      </c>
      <c r="P208" s="49">
        <f t="shared" si="34"/>
        <v>0</v>
      </c>
      <c r="Q208" s="49">
        <f t="shared" si="35"/>
        <v>5.4896210671854778E-9</v>
      </c>
    </row>
    <row r="209" spans="1:17">
      <c r="A209" s="47" t="str">
        <f>FMECA!A211</f>
        <v>DC_DC_Sys</v>
      </c>
      <c r="B209" s="48" t="str">
        <f>FMECA!B211</f>
        <v>Decrease in Output Voltage</v>
      </c>
      <c r="C209" s="48">
        <f>FMECA!E211</f>
        <v>5.4896210671854778E-9</v>
      </c>
      <c r="D209" s="47" t="str">
        <f>FMECA!H211</f>
        <v>Unsafe</v>
      </c>
      <c r="E209" s="47" t="str">
        <f>IF(ISNUMBER(SEARCH("Yes",FMECA!K211)),"Yes",IF(FMECA!K211="No","No",IF(ISNUMBER(SEARCH("No; impactless.",FMECA!K211)),"Impactless",IF(ISNUMBER(SEARCH("Outside the scope",FMECA!K211)),"Outside Scope",IF(ISNUMBER(SEARCH("Maybe",FMECA!K211)),"Maybe","Not Applicable")))))</f>
        <v>No</v>
      </c>
      <c r="F209" s="47" t="s">
        <v>675</v>
      </c>
      <c r="G209" s="47" t="str">
        <f>IF(ISNUMBER(SEARCH("Yes",FMECA!L211)),"Yes",IF(FMECA!L211="No","No",IF(ISNUMBER(SEARCH("No; impactless.",FMECA!L211)),"Impactless","Not Applicable")))</f>
        <v>No</v>
      </c>
      <c r="H209" s="47" t="str">
        <f>IF(ISNUMBER(SEARCH("CM0", FMECA!AC211)), "CM0", IF(ISNUMBER(SEARCH("CM1", FMECA!AC211)), "CM1", IF(ISNUMBER(SEARCH("CM2", FMECA!AC211)), "CM2", IF(ISNUMBER(SEARCH("CM3", FMECA!AC211)), "CM3", "Not Applicable"))))</f>
        <v>CM3</v>
      </c>
      <c r="I209" s="49">
        <f t="shared" si="27"/>
        <v>0</v>
      </c>
      <c r="J209" s="49">
        <f t="shared" si="28"/>
        <v>0</v>
      </c>
      <c r="K209" s="49">
        <f t="shared" si="29"/>
        <v>0</v>
      </c>
      <c r="L209" s="49">
        <f t="shared" si="30"/>
        <v>0</v>
      </c>
      <c r="M209" s="49">
        <f t="shared" si="31"/>
        <v>0</v>
      </c>
      <c r="N209" s="49">
        <f t="shared" si="32"/>
        <v>0</v>
      </c>
      <c r="O209" s="49">
        <f t="shared" si="33"/>
        <v>0</v>
      </c>
      <c r="P209" s="49">
        <f t="shared" si="34"/>
        <v>0</v>
      </c>
      <c r="Q209" s="49">
        <f t="shared" si="35"/>
        <v>5.4896210671854778E-9</v>
      </c>
    </row>
    <row r="210" spans="1:17">
      <c r="A210" s="47" t="str">
        <f>FMECA!A212</f>
        <v>DC_DC_Sys</v>
      </c>
      <c r="B210" s="48" t="str">
        <f>FMECA!B212</f>
        <v>Noisy Output</v>
      </c>
      <c r="C210" s="48">
        <f>FMECA!E212</f>
        <v>5.4896210671854778E-9</v>
      </c>
      <c r="D210" s="47" t="str">
        <f>FMECA!H212</f>
        <v>Unsafe</v>
      </c>
      <c r="E210" s="47" t="str">
        <f>IF(ISNUMBER(SEARCH("Yes",FMECA!K212)),"Yes",IF(FMECA!K212="No","No",IF(ISNUMBER(SEARCH("No; impactless.",FMECA!K212)),"Impactless",IF(ISNUMBER(SEARCH("Outside the scope",FMECA!K212)),"Outside Scope",IF(ISNUMBER(SEARCH("Maybe",FMECA!K212)),"Maybe","Not Applicable")))))</f>
        <v>No</v>
      </c>
      <c r="F210" s="47" t="s">
        <v>675</v>
      </c>
      <c r="G210" s="47" t="str">
        <f>IF(ISNUMBER(SEARCH("Yes",FMECA!L212)),"Yes",IF(FMECA!L212="No","No",IF(ISNUMBER(SEARCH("No; impactless.",FMECA!L212)),"Impactless","Not Applicable")))</f>
        <v>No</v>
      </c>
      <c r="H210" s="47" t="str">
        <f>IF(ISNUMBER(SEARCH("CM0", FMECA!AC212)), "CM0", IF(ISNUMBER(SEARCH("CM1", FMECA!AC212)), "CM1", IF(ISNUMBER(SEARCH("CM2", FMECA!AC212)), "CM2", IF(ISNUMBER(SEARCH("CM3", FMECA!AC212)), "CM3", "Not Applicable"))))</f>
        <v>CM3</v>
      </c>
      <c r="I210" s="49">
        <f t="shared" si="27"/>
        <v>0</v>
      </c>
      <c r="J210" s="49">
        <f t="shared" si="28"/>
        <v>0</v>
      </c>
      <c r="K210" s="49">
        <f t="shared" si="29"/>
        <v>0</v>
      </c>
      <c r="L210" s="49">
        <f t="shared" si="30"/>
        <v>0</v>
      </c>
      <c r="M210" s="49">
        <f t="shared" si="31"/>
        <v>0</v>
      </c>
      <c r="N210" s="49">
        <f t="shared" si="32"/>
        <v>0</v>
      </c>
      <c r="O210" s="49">
        <f t="shared" si="33"/>
        <v>0</v>
      </c>
      <c r="P210" s="49">
        <f t="shared" si="34"/>
        <v>0</v>
      </c>
      <c r="Q210" s="49">
        <f t="shared" si="35"/>
        <v>5.4896210671854778E-9</v>
      </c>
    </row>
    <row r="211" spans="1:17">
      <c r="A211" s="47" t="str">
        <f>FMECA!A213</f>
        <v>C_Sys</v>
      </c>
      <c r="B211" s="48" t="str">
        <f>FMECA!B213</f>
        <v>Open</v>
      </c>
      <c r="C211" s="48">
        <f>FMECA!E213</f>
        <v>8.7026498780866543E-10</v>
      </c>
      <c r="D211" s="47" t="str">
        <f>FMECA!H213</f>
        <v>Safe</v>
      </c>
      <c r="E211" s="47" t="str">
        <f>IF(ISNUMBER(SEARCH("Yes",FMECA!K213)),"Yes",IF(FMECA!K213="No","No",IF(ISNUMBER(SEARCH("No; impactless.",FMECA!K213)),"Impactless",IF(ISNUMBER(SEARCH("Outside the scope",FMECA!K213)),"Outside Scope",IF(ISNUMBER(SEARCH("Maybe",FMECA!K213)),"Maybe","Not Applicable")))))</f>
        <v>Outside Scope</v>
      </c>
      <c r="F211" s="47" t="s">
        <v>675</v>
      </c>
      <c r="G211" s="47" t="str">
        <f>IF(ISNUMBER(SEARCH("Yes",FMECA!L213)),"Yes",IF(FMECA!L213="No","No",IF(ISNUMBER(SEARCH("No; impactless.",FMECA!L213)),"Impactless","Not Applicable")))</f>
        <v>No</v>
      </c>
      <c r="H211" s="47" t="str">
        <f>IF(ISNUMBER(SEARCH("CM0", FMECA!AC213)), "CM0", IF(ISNUMBER(SEARCH("CM1", FMECA!AC213)), "CM1", IF(ISNUMBER(SEARCH("CM2", FMECA!AC213)), "CM2", IF(ISNUMBER(SEARCH("CM3", FMECA!AC213)), "CM3", "Not Applicable"))))</f>
        <v>Not Applicable</v>
      </c>
      <c r="I211" s="49">
        <f t="shared" si="27"/>
        <v>0</v>
      </c>
      <c r="J211" s="49">
        <f t="shared" si="28"/>
        <v>0</v>
      </c>
      <c r="K211" s="49">
        <f t="shared" si="29"/>
        <v>0</v>
      </c>
      <c r="L211" s="49">
        <f t="shared" si="30"/>
        <v>8.7026498780866543E-10</v>
      </c>
      <c r="M211" s="49">
        <f t="shared" si="31"/>
        <v>0</v>
      </c>
      <c r="N211" s="49">
        <f t="shared" si="32"/>
        <v>0</v>
      </c>
      <c r="O211" s="49">
        <f t="shared" si="33"/>
        <v>0</v>
      </c>
      <c r="P211" s="49">
        <f t="shared" si="34"/>
        <v>0</v>
      </c>
      <c r="Q211" s="49">
        <f t="shared" si="35"/>
        <v>0</v>
      </c>
    </row>
    <row r="212" spans="1:17">
      <c r="A212" s="47" t="str">
        <f>FMECA!A214</f>
        <v>C_Sys</v>
      </c>
      <c r="B212" s="48" t="str">
        <f>FMECA!B214</f>
        <v>Short-Circuit</v>
      </c>
      <c r="C212" s="48">
        <f>FMECA!E214</f>
        <v>1.3178298386816936E-9</v>
      </c>
      <c r="D212" s="47" t="str">
        <f>FMECA!H214</f>
        <v>Safe</v>
      </c>
      <c r="E212" s="47" t="str">
        <f>IF(ISNUMBER(SEARCH("Yes",FMECA!K214)),"Yes",IF(FMECA!K214="No","No",IF(ISNUMBER(SEARCH("No; impactless.",FMECA!K214)),"Impactless",IF(ISNUMBER(SEARCH("Outside the scope",FMECA!K214)),"Outside Scope",IF(ISNUMBER(SEARCH("Maybe",FMECA!K214)),"Maybe","Not Applicable")))))</f>
        <v>Yes</v>
      </c>
      <c r="F212" s="47" t="s">
        <v>675</v>
      </c>
      <c r="G212" s="47" t="str">
        <f>IF(ISNUMBER(SEARCH("Yes",FMECA!L214)),"Yes",IF(FMECA!L214="No","No",IF(ISNUMBER(SEARCH("No; impactless.",FMECA!L214)),"Impactless","Not Applicable")))</f>
        <v>No</v>
      </c>
      <c r="H212" s="47" t="str">
        <f>IF(ISNUMBER(SEARCH("CM0", FMECA!AC214)), "CM0", IF(ISNUMBER(SEARCH("CM1", FMECA!AC214)), "CM1", IF(ISNUMBER(SEARCH("CM2", FMECA!AC214)), "CM2", IF(ISNUMBER(SEARCH("CM3", FMECA!AC214)), "CM3", "Not Applicable"))))</f>
        <v>Not Applicable</v>
      </c>
      <c r="I212" s="49">
        <f t="shared" si="27"/>
        <v>1.3178298386816936E-9</v>
      </c>
      <c r="J212" s="49">
        <f t="shared" si="28"/>
        <v>0</v>
      </c>
      <c r="K212" s="49">
        <f t="shared" si="29"/>
        <v>0</v>
      </c>
      <c r="L212" s="49">
        <f t="shared" si="30"/>
        <v>0</v>
      </c>
      <c r="M212" s="49">
        <f t="shared" si="31"/>
        <v>0</v>
      </c>
      <c r="N212" s="49">
        <f t="shared" si="32"/>
        <v>0</v>
      </c>
      <c r="O212" s="49">
        <f t="shared" si="33"/>
        <v>0</v>
      </c>
      <c r="P212" s="49">
        <f t="shared" si="34"/>
        <v>0</v>
      </c>
      <c r="Q212" s="49">
        <f t="shared" si="35"/>
        <v>0</v>
      </c>
    </row>
    <row r="213" spans="1:17">
      <c r="A213" s="47" t="str">
        <f>FMECA!A215</f>
        <v>C_Sys</v>
      </c>
      <c r="B213" s="48" t="str">
        <f>FMECA!B215</f>
        <v>Decrease of Parallel Resistance</v>
      </c>
      <c r="C213" s="48">
        <f>FMECA!E215</f>
        <v>0</v>
      </c>
      <c r="D213" s="47" t="str">
        <f>FMECA!H215</f>
        <v>Safe</v>
      </c>
      <c r="E213" s="47" t="str">
        <f>IF(ISNUMBER(SEARCH("Yes",FMECA!K215)),"Yes",IF(FMECA!K215="No","No",IF(ISNUMBER(SEARCH("No; impactless.",FMECA!K215)),"Impactless",IF(ISNUMBER(SEARCH("Outside the scope",FMECA!K215)),"Outside Scope",IF(ISNUMBER(SEARCH("Maybe",FMECA!K215)),"Maybe","Not Applicable")))))</f>
        <v>Yes</v>
      </c>
      <c r="F213" s="47" t="s">
        <v>675</v>
      </c>
      <c r="G213" s="47" t="str">
        <f>IF(ISNUMBER(SEARCH("Yes",FMECA!L215)),"Yes",IF(FMECA!L215="No","No",IF(ISNUMBER(SEARCH("No; impactless.",FMECA!L215)),"Impactless","Not Applicable")))</f>
        <v>No</v>
      </c>
      <c r="H213" s="47" t="str">
        <f>IF(ISNUMBER(SEARCH("CM0", FMECA!AC215)), "CM0", IF(ISNUMBER(SEARCH("CM1", FMECA!AC215)), "CM1", IF(ISNUMBER(SEARCH("CM2", FMECA!AC215)), "CM2", IF(ISNUMBER(SEARCH("CM3", FMECA!AC215)), "CM3", "Not Applicable"))))</f>
        <v>Not Applicable</v>
      </c>
      <c r="I213" s="49">
        <f t="shared" si="27"/>
        <v>0</v>
      </c>
      <c r="J213" s="49">
        <f t="shared" si="28"/>
        <v>0</v>
      </c>
      <c r="K213" s="49">
        <f t="shared" si="29"/>
        <v>0</v>
      </c>
      <c r="L213" s="49">
        <f t="shared" si="30"/>
        <v>0</v>
      </c>
      <c r="M213" s="49">
        <f t="shared" si="31"/>
        <v>0</v>
      </c>
      <c r="N213" s="49">
        <f t="shared" si="32"/>
        <v>0</v>
      </c>
      <c r="O213" s="49">
        <f t="shared" si="33"/>
        <v>0</v>
      </c>
      <c r="P213" s="49">
        <f t="shared" si="34"/>
        <v>0</v>
      </c>
      <c r="Q213" s="49">
        <f t="shared" si="35"/>
        <v>0</v>
      </c>
    </row>
    <row r="214" spans="1:17">
      <c r="A214" s="47" t="str">
        <f>FMECA!A216</f>
        <v>C_Sys</v>
      </c>
      <c r="B214" s="48" t="str">
        <f>FMECA!B216</f>
        <v>Increased Dissipation Factor</v>
      </c>
      <c r="C214" s="48">
        <f>FMECA!E216</f>
        <v>8.2882379791301472E-11</v>
      </c>
      <c r="D214" s="47" t="str">
        <f>FMECA!H216</f>
        <v>Safe</v>
      </c>
      <c r="E214" s="47" t="str">
        <f>IF(ISNUMBER(SEARCH("Yes",FMECA!K216)),"Yes",IF(FMECA!K216="No","No",IF(ISNUMBER(SEARCH("No; impactless.",FMECA!K216)),"Impactless",IF(ISNUMBER(SEARCH("Outside the scope",FMECA!K216)),"Outside Scope",IF(ISNUMBER(SEARCH("Maybe",FMECA!K216)),"Maybe","Not Applicable")))))</f>
        <v>Outside Scope</v>
      </c>
      <c r="F214" s="47" t="s">
        <v>675</v>
      </c>
      <c r="G214" s="47" t="str">
        <f>IF(ISNUMBER(SEARCH("Yes",FMECA!L216)),"Yes",IF(FMECA!L216="No","No",IF(ISNUMBER(SEARCH("No; impactless.",FMECA!L216)),"Impactless","Not Applicable")))</f>
        <v>No</v>
      </c>
      <c r="H214" s="47" t="str">
        <f>IF(ISNUMBER(SEARCH("CM0", FMECA!AC216)), "CM0", IF(ISNUMBER(SEARCH("CM1", FMECA!AC216)), "CM1", IF(ISNUMBER(SEARCH("CM2", FMECA!AC216)), "CM2", IF(ISNUMBER(SEARCH("CM3", FMECA!AC216)), "CM3", "Not Applicable"))))</f>
        <v>Not Applicable</v>
      </c>
      <c r="I214" s="49">
        <f t="shared" si="27"/>
        <v>0</v>
      </c>
      <c r="J214" s="49">
        <f t="shared" si="28"/>
        <v>0</v>
      </c>
      <c r="K214" s="49">
        <f t="shared" si="29"/>
        <v>0</v>
      </c>
      <c r="L214" s="49">
        <f t="shared" si="30"/>
        <v>8.2882379791301472E-11</v>
      </c>
      <c r="M214" s="49">
        <f t="shared" si="31"/>
        <v>0</v>
      </c>
      <c r="N214" s="49">
        <f t="shared" si="32"/>
        <v>0</v>
      </c>
      <c r="O214" s="49">
        <f t="shared" si="33"/>
        <v>0</v>
      </c>
      <c r="P214" s="49">
        <f t="shared" si="34"/>
        <v>0</v>
      </c>
      <c r="Q214" s="49">
        <f t="shared" si="35"/>
        <v>0</v>
      </c>
    </row>
    <row r="215" spans="1:17">
      <c r="A215" s="47" t="str">
        <f>FMECA!A217</f>
        <v>C_Sys</v>
      </c>
      <c r="B215" s="48" t="str">
        <f>FMECA!B217</f>
        <v>Increase of Capacitance</v>
      </c>
      <c r="C215" s="48">
        <f>FMECA!E217</f>
        <v>0</v>
      </c>
      <c r="D215" s="47" t="str">
        <f>FMECA!H217</f>
        <v>Safe</v>
      </c>
      <c r="E215" s="47" t="str">
        <f>IF(ISNUMBER(SEARCH("Yes",FMECA!K217)),"Yes",IF(FMECA!K217="No","No",IF(ISNUMBER(SEARCH("No; impactless.",FMECA!K217)),"Impactless",IF(ISNUMBER(SEARCH("Outside the scope",FMECA!K217)),"Outside Scope",IF(ISNUMBER(SEARCH("Maybe",FMECA!K217)),"Maybe","Not Applicable")))))</f>
        <v>Yes</v>
      </c>
      <c r="F215" s="47" t="s">
        <v>675</v>
      </c>
      <c r="G215" s="47" t="str">
        <f>IF(ISNUMBER(SEARCH("Yes",FMECA!L217)),"Yes",IF(FMECA!L217="No","No",IF(ISNUMBER(SEARCH("No; impactless.",FMECA!L217)),"Impactless","Not Applicable")))</f>
        <v>No</v>
      </c>
      <c r="H215" s="47" t="str">
        <f>IF(ISNUMBER(SEARCH("CM0", FMECA!AC217)), "CM0", IF(ISNUMBER(SEARCH("CM1", FMECA!AC217)), "CM1", IF(ISNUMBER(SEARCH("CM2", FMECA!AC217)), "CM2", IF(ISNUMBER(SEARCH("CM3", FMECA!AC217)), "CM3", "Not Applicable"))))</f>
        <v>Not Applicable</v>
      </c>
      <c r="I215" s="49">
        <f t="shared" si="27"/>
        <v>0</v>
      </c>
      <c r="J215" s="49">
        <f t="shared" si="28"/>
        <v>0</v>
      </c>
      <c r="K215" s="49">
        <f t="shared" si="29"/>
        <v>0</v>
      </c>
      <c r="L215" s="49">
        <f t="shared" si="30"/>
        <v>0</v>
      </c>
      <c r="M215" s="49">
        <f t="shared" si="31"/>
        <v>0</v>
      </c>
      <c r="N215" s="49">
        <f t="shared" si="32"/>
        <v>0</v>
      </c>
      <c r="O215" s="49">
        <f t="shared" si="33"/>
        <v>0</v>
      </c>
      <c r="P215" s="49">
        <f t="shared" si="34"/>
        <v>0</v>
      </c>
      <c r="Q215" s="49">
        <f t="shared" si="35"/>
        <v>0</v>
      </c>
    </row>
    <row r="216" spans="1:17">
      <c r="A216" s="47" t="str">
        <f>FMECA!A218</f>
        <v>C_Sys</v>
      </c>
      <c r="B216" s="48" t="str">
        <f>FMECA!B218</f>
        <v>Decrease of Capacitance</v>
      </c>
      <c r="C216" s="48">
        <f>FMECA!E218</f>
        <v>1.3261180766608236E-10</v>
      </c>
      <c r="D216" s="47" t="str">
        <f>FMECA!H218</f>
        <v>Safe</v>
      </c>
      <c r="E216" s="47" t="str">
        <f>IF(ISNUMBER(SEARCH("Yes",FMECA!K218)),"Yes",IF(FMECA!K218="No","No",IF(ISNUMBER(SEARCH("No; impactless.",FMECA!K218)),"Impactless",IF(ISNUMBER(SEARCH("Outside the scope",FMECA!K218)),"Outside Scope",IF(ISNUMBER(SEARCH("Maybe",FMECA!K218)),"Maybe","Not Applicable")))))</f>
        <v>Outside Scope</v>
      </c>
      <c r="F216" s="47" t="s">
        <v>675</v>
      </c>
      <c r="G216" s="47" t="str">
        <f>IF(ISNUMBER(SEARCH("Yes",FMECA!L218)),"Yes",IF(FMECA!L218="No","No",IF(ISNUMBER(SEARCH("No; impactless.",FMECA!L218)),"Impactless","Not Applicable")))</f>
        <v>No</v>
      </c>
      <c r="H216" s="47" t="str">
        <f>IF(ISNUMBER(SEARCH("CM0", FMECA!AC218)), "CM0", IF(ISNUMBER(SEARCH("CM1", FMECA!AC218)), "CM1", IF(ISNUMBER(SEARCH("CM2", FMECA!AC218)), "CM2", IF(ISNUMBER(SEARCH("CM3", FMECA!AC218)), "CM3", "Not Applicable"))))</f>
        <v>Not Applicable</v>
      </c>
      <c r="I216" s="49">
        <f t="shared" si="27"/>
        <v>0</v>
      </c>
      <c r="J216" s="49">
        <f t="shared" si="28"/>
        <v>0</v>
      </c>
      <c r="K216" s="49">
        <f t="shared" si="29"/>
        <v>0</v>
      </c>
      <c r="L216" s="49">
        <f t="shared" si="30"/>
        <v>1.3261180766608236E-10</v>
      </c>
      <c r="M216" s="49">
        <f t="shared" si="31"/>
        <v>0</v>
      </c>
      <c r="N216" s="49">
        <f t="shared" si="32"/>
        <v>0</v>
      </c>
      <c r="O216" s="49">
        <f t="shared" si="33"/>
        <v>0</v>
      </c>
      <c r="P216" s="49">
        <f t="shared" si="34"/>
        <v>0</v>
      </c>
      <c r="Q216" s="49">
        <f t="shared" si="35"/>
        <v>0</v>
      </c>
    </row>
    <row r="217" spans="1:17">
      <c r="A217" s="47" t="str">
        <f>FMECA!A219</f>
        <v>C_Sys</v>
      </c>
      <c r="B217" s="48" t="str">
        <f>FMECA!B219</f>
        <v>Increase of Series Resistance</v>
      </c>
      <c r="C217" s="48">
        <f>FMECA!E219</f>
        <v>8.2882379791301472E-11</v>
      </c>
      <c r="D217" s="47" t="str">
        <f>FMECA!H219</f>
        <v>Safe</v>
      </c>
      <c r="E217" s="47" t="str">
        <f>IF(ISNUMBER(SEARCH("Yes",FMECA!K219)),"Yes",IF(FMECA!K219="No","No",IF(ISNUMBER(SEARCH("No; impactless.",FMECA!K219)),"Impactless",IF(ISNUMBER(SEARCH("Outside the scope",FMECA!K219)),"Outside Scope",IF(ISNUMBER(SEARCH("Maybe",FMECA!K219)),"Maybe","Not Applicable")))))</f>
        <v>Outside Scope</v>
      </c>
      <c r="F217" s="47" t="s">
        <v>675</v>
      </c>
      <c r="G217" s="47" t="str">
        <f>IF(ISNUMBER(SEARCH("Yes",FMECA!L219)),"Yes",IF(FMECA!L219="No","No",IF(ISNUMBER(SEARCH("No; impactless.",FMECA!L219)),"Impactless","Not Applicable")))</f>
        <v>No</v>
      </c>
      <c r="H217" s="47" t="str">
        <f>IF(ISNUMBER(SEARCH("CM0", FMECA!AC219)), "CM0", IF(ISNUMBER(SEARCH("CM1", FMECA!AC219)), "CM1", IF(ISNUMBER(SEARCH("CM2", FMECA!AC219)), "CM2", IF(ISNUMBER(SEARCH("CM3", FMECA!AC219)), "CM3", "Not Applicable"))))</f>
        <v>Not Applicable</v>
      </c>
      <c r="I217" s="49">
        <f t="shared" si="27"/>
        <v>0</v>
      </c>
      <c r="J217" s="49">
        <f t="shared" si="28"/>
        <v>0</v>
      </c>
      <c r="K217" s="49">
        <f t="shared" si="29"/>
        <v>0</v>
      </c>
      <c r="L217" s="49">
        <f t="shared" si="30"/>
        <v>8.2882379791301472E-11</v>
      </c>
      <c r="M217" s="49">
        <f t="shared" si="31"/>
        <v>0</v>
      </c>
      <c r="N217" s="49">
        <f t="shared" si="32"/>
        <v>0</v>
      </c>
      <c r="O217" s="49">
        <f t="shared" si="33"/>
        <v>0</v>
      </c>
      <c r="P217" s="49">
        <f t="shared" si="34"/>
        <v>0</v>
      </c>
      <c r="Q217" s="49">
        <f t="shared" si="35"/>
        <v>0</v>
      </c>
    </row>
    <row r="218" spans="1:17">
      <c r="A218" s="47" t="str">
        <f>FMECA!A220</f>
        <v>C_Sys</v>
      </c>
      <c r="B218" s="48" t="str">
        <f>FMECA!B220</f>
        <v>Short-Circuit to Casing</v>
      </c>
      <c r="C218" s="48">
        <f>FMECA!E220</f>
        <v>0</v>
      </c>
      <c r="D218" s="47" t="str">
        <f>FMECA!H220</f>
        <v>Safe</v>
      </c>
      <c r="E218" s="47" t="str">
        <f>IF(ISNUMBER(SEARCH("Yes",FMECA!K220)),"Yes",IF(FMECA!K220="No","No",IF(ISNUMBER(SEARCH("No; impactless.",FMECA!K220)),"Impactless",IF(ISNUMBER(SEARCH("Outside the scope",FMECA!K220)),"Outside Scope",IF(ISNUMBER(SEARCH("Maybe",FMECA!K220)),"Maybe","Not Applicable")))))</f>
        <v>Impactless</v>
      </c>
      <c r="F218" s="47" t="s">
        <v>675</v>
      </c>
      <c r="G218" s="47" t="str">
        <f>IF(ISNUMBER(SEARCH("Yes",FMECA!L220)),"Yes",IF(FMECA!L220="No","No",IF(ISNUMBER(SEARCH("No; impactless.",FMECA!L220)),"Impactless","Not Applicable")))</f>
        <v>Impactless</v>
      </c>
      <c r="H218" s="47" t="str">
        <f>IF(ISNUMBER(SEARCH("CM0", FMECA!AC220)), "CM0", IF(ISNUMBER(SEARCH("CM1", FMECA!AC220)), "CM1", IF(ISNUMBER(SEARCH("CM2", FMECA!AC220)), "CM2", IF(ISNUMBER(SEARCH("CM3", FMECA!AC220)), "CM3", "Not Applicable"))))</f>
        <v>Not Applicable</v>
      </c>
      <c r="I218" s="49">
        <f>IF(AND(E218 = "Yes", G218 = "No"), C218, 0)</f>
        <v>0</v>
      </c>
      <c r="J218" s="49">
        <f>IF(AND(OR(E218 = "No", E218 = "Maybe"), G218 = "Yes"), C218, 0)</f>
        <v>0</v>
      </c>
      <c r="K218" s="49">
        <f>IF(AND(E218="Yes",G218="Yes"), C218, 0)</f>
        <v>0</v>
      </c>
      <c r="L218" s="49">
        <f>IF(E218="Outside Scope", C218, 0)</f>
        <v>0</v>
      </c>
      <c r="M218" s="49">
        <f>IF(AND(E218 = "Maybe", F218 = "Yes", G218 = "No"), C218, 0)</f>
        <v>0</v>
      </c>
      <c r="N218" s="49">
        <f>IF(AND(E218 = "Maybe", F218 = "No", G218 = "No"), C218, 0)</f>
        <v>0</v>
      </c>
      <c r="O218" s="49">
        <f>IF(H218 = "CM1", C218, 0)</f>
        <v>0</v>
      </c>
      <c r="P218" s="49">
        <f t="shared" si="34"/>
        <v>0</v>
      </c>
      <c r="Q218" s="49">
        <f>IF(H218 = "CM3", C218, 0)</f>
        <v>0</v>
      </c>
    </row>
    <row r="219" spans="1:17">
      <c r="A219" s="118" t="s">
        <v>730</v>
      </c>
      <c r="B219" s="118"/>
      <c r="C219" s="118"/>
      <c r="D219" s="118"/>
      <c r="E219" s="118"/>
      <c r="F219" s="118"/>
      <c r="G219" s="118"/>
      <c r="H219" s="118"/>
      <c r="I219" s="49">
        <f>SUM(I2:I218)</f>
        <v>9.2987498416742832E-7</v>
      </c>
      <c r="J219" s="49">
        <f t="shared" ref="J219:Q219" si="36">SUM(J2:J218)</f>
        <v>1.5922395138108965E-6</v>
      </c>
      <c r="K219" s="49">
        <f t="shared" si="36"/>
        <v>1.3622278237851956E-6</v>
      </c>
      <c r="L219" s="49">
        <f t="shared" si="36"/>
        <v>2.9304791630499394E-6</v>
      </c>
      <c r="M219" s="49">
        <f t="shared" si="36"/>
        <v>3.785141180555196E-7</v>
      </c>
      <c r="N219" s="49">
        <f t="shared" si="36"/>
        <v>1.4980321500467867E-9</v>
      </c>
      <c r="O219" s="49">
        <f t="shared" si="36"/>
        <v>2.9994839003739832E-8</v>
      </c>
      <c r="P219" s="49">
        <f t="shared" si="36"/>
        <v>9.1999999999999997E-9</v>
      </c>
      <c r="Q219" s="49">
        <f t="shared" si="36"/>
        <v>1.6468863201556432E-8</v>
      </c>
    </row>
  </sheetData>
  <autoFilter ref="A1:Q219"/>
  <mergeCells count="1">
    <mergeCell ref="A219:H219"/>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topLeftCell="A19" zoomScale="110" zoomScaleNormal="110" workbookViewId="0">
      <pane xSplit="1" topLeftCell="D1" activePane="topRight" state="frozen"/>
      <selection pane="topRight" activeCell="D23" sqref="D23"/>
    </sheetView>
  </sheetViews>
  <sheetFormatPr defaultRowHeight="15"/>
  <cols>
    <col min="1" max="1" width="14.5703125" style="66" customWidth="1"/>
    <col min="2" max="2" width="17.85546875" style="66" customWidth="1"/>
    <col min="3" max="3" width="12.140625" style="66" customWidth="1"/>
    <col min="4" max="4" width="124.85546875" style="66" customWidth="1"/>
    <col min="5" max="16384" width="9.140625" style="66"/>
  </cols>
  <sheetData>
    <row r="1" spans="1:4" ht="16.5" customHeight="1">
      <c r="A1" s="102" t="s">
        <v>1667</v>
      </c>
      <c r="B1" s="102" t="s">
        <v>1652</v>
      </c>
      <c r="C1" s="102"/>
      <c r="D1" s="102"/>
    </row>
    <row r="2" spans="1:4" ht="16.5" customHeight="1">
      <c r="A2" s="102"/>
      <c r="B2" s="102" t="s">
        <v>1653</v>
      </c>
      <c r="C2" s="102" t="s">
        <v>1654</v>
      </c>
      <c r="D2" s="102"/>
    </row>
    <row r="3" spans="1:4" ht="31.5">
      <c r="A3" s="102"/>
      <c r="B3" s="102"/>
      <c r="C3" s="77" t="s">
        <v>1655</v>
      </c>
      <c r="D3" s="78" t="s">
        <v>1656</v>
      </c>
    </row>
    <row r="4" spans="1:4" ht="78.75">
      <c r="A4" s="101" t="s">
        <v>1657</v>
      </c>
      <c r="B4" s="68" t="s">
        <v>1658</v>
      </c>
      <c r="C4" s="68" t="s">
        <v>1668</v>
      </c>
      <c r="D4" s="80" t="s">
        <v>1732</v>
      </c>
    </row>
    <row r="5" spans="1:4" ht="15.75">
      <c r="A5" s="101"/>
      <c r="B5" s="68" t="s">
        <v>1658</v>
      </c>
      <c r="C5" s="68" t="s">
        <v>1659</v>
      </c>
      <c r="D5" s="80" t="s">
        <v>1729</v>
      </c>
    </row>
    <row r="6" spans="1:4" ht="15.75">
      <c r="A6" s="101"/>
      <c r="B6" s="68" t="s">
        <v>1658</v>
      </c>
      <c r="C6" s="68" t="s">
        <v>429</v>
      </c>
      <c r="D6" s="80" t="s">
        <v>1660</v>
      </c>
    </row>
    <row r="7" spans="1:4" ht="63">
      <c r="A7" s="101"/>
      <c r="B7" s="68" t="s">
        <v>1658</v>
      </c>
      <c r="C7" s="68" t="s">
        <v>1661</v>
      </c>
      <c r="D7" s="80" t="s">
        <v>1730</v>
      </c>
    </row>
    <row r="8" spans="1:4" ht="408.75" customHeight="1">
      <c r="A8" s="101"/>
      <c r="B8" s="68" t="s">
        <v>1658</v>
      </c>
      <c r="C8" s="68" t="s">
        <v>1669</v>
      </c>
      <c r="D8" s="80" t="s">
        <v>1734</v>
      </c>
    </row>
    <row r="9" spans="1:4" ht="204.75">
      <c r="A9" s="101"/>
      <c r="B9" s="68" t="s">
        <v>1658</v>
      </c>
      <c r="C9" s="68" t="s">
        <v>1662</v>
      </c>
      <c r="D9" s="80" t="s">
        <v>1741</v>
      </c>
    </row>
    <row r="10" spans="1:4" ht="110.25">
      <c r="A10" s="101"/>
      <c r="B10" s="68" t="s">
        <v>1658</v>
      </c>
      <c r="C10" s="68" t="s">
        <v>1663</v>
      </c>
      <c r="D10" s="80" t="s">
        <v>1731</v>
      </c>
    </row>
    <row r="11" spans="1:4" ht="78.75">
      <c r="A11" s="101" t="s">
        <v>1664</v>
      </c>
      <c r="B11" s="68" t="s">
        <v>1658</v>
      </c>
      <c r="C11" s="68" t="s">
        <v>1668</v>
      </c>
      <c r="D11" s="80" t="s">
        <v>1732</v>
      </c>
    </row>
    <row r="12" spans="1:4" ht="15.75">
      <c r="A12" s="101"/>
      <c r="B12" s="68" t="s">
        <v>1658</v>
      </c>
      <c r="C12" s="68" t="s">
        <v>1659</v>
      </c>
      <c r="D12" s="80" t="s">
        <v>1729</v>
      </c>
    </row>
    <row r="13" spans="1:4" ht="15.75">
      <c r="A13" s="101"/>
      <c r="B13" s="68" t="s">
        <v>1658</v>
      </c>
      <c r="C13" s="68" t="s">
        <v>429</v>
      </c>
      <c r="D13" s="80" t="s">
        <v>1660</v>
      </c>
    </row>
    <row r="14" spans="1:4" ht="78.75">
      <c r="A14" s="101" t="s">
        <v>1665</v>
      </c>
      <c r="B14" s="68" t="s">
        <v>1658</v>
      </c>
      <c r="C14" s="68" t="s">
        <v>1668</v>
      </c>
      <c r="D14" s="80" t="s">
        <v>1732</v>
      </c>
    </row>
    <row r="15" spans="1:4" ht="15.75">
      <c r="A15" s="101"/>
      <c r="B15" s="68" t="s">
        <v>1658</v>
      </c>
      <c r="C15" s="68" t="s">
        <v>1659</v>
      </c>
      <c r="D15" s="80" t="s">
        <v>1729</v>
      </c>
    </row>
    <row r="16" spans="1:4" ht="15.75">
      <c r="A16" s="101"/>
      <c r="B16" s="68" t="s">
        <v>1658</v>
      </c>
      <c r="C16" s="68" t="s">
        <v>429</v>
      </c>
      <c r="D16" s="80" t="s">
        <v>1660</v>
      </c>
    </row>
    <row r="17" spans="1:4" ht="15.75">
      <c r="A17" s="68" t="s">
        <v>1666</v>
      </c>
      <c r="B17" s="68" t="s">
        <v>46</v>
      </c>
      <c r="C17" s="68" t="s">
        <v>46</v>
      </c>
      <c r="D17" s="80" t="s">
        <v>1728</v>
      </c>
    </row>
    <row r="18" spans="1:4" ht="204.75">
      <c r="A18" s="68" t="s">
        <v>1670</v>
      </c>
      <c r="B18" s="68" t="s">
        <v>1658</v>
      </c>
      <c r="C18" s="68" t="s">
        <v>1662</v>
      </c>
      <c r="D18" s="80" t="s">
        <v>1741</v>
      </c>
    </row>
    <row r="19" spans="1:4" ht="15.75">
      <c r="A19" s="68" t="s">
        <v>1671</v>
      </c>
      <c r="B19" s="68" t="s">
        <v>46</v>
      </c>
      <c r="C19" s="68" t="s">
        <v>46</v>
      </c>
      <c r="D19" s="80" t="s">
        <v>1728</v>
      </c>
    </row>
    <row r="20" spans="1:4" ht="15.75">
      <c r="A20" s="68" t="s">
        <v>1672</v>
      </c>
      <c r="B20" s="68" t="s">
        <v>46</v>
      </c>
      <c r="C20" s="68" t="s">
        <v>46</v>
      </c>
      <c r="D20" s="80" t="s">
        <v>1728</v>
      </c>
    </row>
    <row r="21" spans="1:4" ht="126">
      <c r="A21" s="68" t="s">
        <v>1673</v>
      </c>
      <c r="B21" s="68" t="s">
        <v>1658</v>
      </c>
      <c r="C21" s="68" t="s">
        <v>1742</v>
      </c>
      <c r="D21" s="80" t="s">
        <v>1736</v>
      </c>
    </row>
    <row r="22" spans="1:4" ht="47.25">
      <c r="A22" s="68" t="s">
        <v>1674</v>
      </c>
      <c r="B22" s="68" t="s">
        <v>1658</v>
      </c>
      <c r="C22" s="68" t="s">
        <v>1742</v>
      </c>
      <c r="D22" s="80" t="s">
        <v>1735</v>
      </c>
    </row>
    <row r="23" spans="1:4" ht="141.75">
      <c r="A23" s="68" t="s">
        <v>1675</v>
      </c>
      <c r="B23" s="68" t="s">
        <v>1658</v>
      </c>
      <c r="C23" s="68" t="s">
        <v>1742</v>
      </c>
      <c r="D23" s="80" t="s">
        <v>1800</v>
      </c>
    </row>
    <row r="24" spans="1:4" ht="47.25">
      <c r="A24" s="68" t="s">
        <v>1676</v>
      </c>
      <c r="B24" s="68" t="s">
        <v>1658</v>
      </c>
      <c r="C24" s="68" t="s">
        <v>1742</v>
      </c>
      <c r="D24" s="80" t="s">
        <v>1737</v>
      </c>
    </row>
    <row r="25" spans="1:4" ht="78.75">
      <c r="A25" s="68" t="s">
        <v>1677</v>
      </c>
      <c r="B25" s="68" t="s">
        <v>1658</v>
      </c>
      <c r="C25" s="68" t="s">
        <v>1742</v>
      </c>
      <c r="D25" s="80" t="s">
        <v>1738</v>
      </c>
    </row>
    <row r="26" spans="1:4" ht="63">
      <c r="A26" s="68" t="s">
        <v>1678</v>
      </c>
      <c r="B26" s="68" t="s">
        <v>1658</v>
      </c>
      <c r="C26" s="68" t="s">
        <v>1661</v>
      </c>
      <c r="D26" s="80" t="s">
        <v>1730</v>
      </c>
    </row>
    <row r="27" spans="1:4" ht="31.5">
      <c r="A27" s="68" t="s">
        <v>1679</v>
      </c>
      <c r="B27" s="68" t="s">
        <v>1658</v>
      </c>
      <c r="C27" s="68" t="s">
        <v>1733</v>
      </c>
      <c r="D27" s="80" t="s">
        <v>1739</v>
      </c>
    </row>
    <row r="28" spans="1:4" ht="31.5">
      <c r="A28" s="68" t="s">
        <v>1680</v>
      </c>
      <c r="B28" s="68" t="s">
        <v>1658</v>
      </c>
      <c r="C28" s="68" t="s">
        <v>1733</v>
      </c>
      <c r="D28" s="80" t="s">
        <v>1740</v>
      </c>
    </row>
    <row r="29" spans="1:4" ht="15.75">
      <c r="A29" s="68" t="s">
        <v>1681</v>
      </c>
      <c r="B29" s="68" t="s">
        <v>46</v>
      </c>
      <c r="C29" s="68" t="s">
        <v>46</v>
      </c>
      <c r="D29" s="80" t="s">
        <v>1728</v>
      </c>
    </row>
    <row r="30" spans="1:4" ht="15.75">
      <c r="A30" s="68" t="s">
        <v>1682</v>
      </c>
      <c r="B30" s="68" t="s">
        <v>46</v>
      </c>
      <c r="C30" s="68" t="s">
        <v>46</v>
      </c>
      <c r="D30" s="80" t="s">
        <v>1728</v>
      </c>
    </row>
    <row r="31" spans="1:4" ht="15.75">
      <c r="A31" s="68" t="s">
        <v>1683</v>
      </c>
      <c r="B31" s="68" t="s">
        <v>46</v>
      </c>
      <c r="C31" s="68" t="s">
        <v>46</v>
      </c>
      <c r="D31" s="80" t="s">
        <v>1728</v>
      </c>
    </row>
    <row r="32" spans="1:4" ht="393.75">
      <c r="A32" s="101" t="s">
        <v>1684</v>
      </c>
      <c r="B32" s="68" t="s">
        <v>1658</v>
      </c>
      <c r="C32" s="68" t="s">
        <v>1669</v>
      </c>
      <c r="D32" s="80" t="s">
        <v>1734</v>
      </c>
    </row>
    <row r="33" spans="1:4" ht="204.75">
      <c r="A33" s="101"/>
      <c r="B33" s="68" t="s">
        <v>1658</v>
      </c>
      <c r="C33" s="68" t="s">
        <v>1662</v>
      </c>
      <c r="D33" s="80" t="s">
        <v>1741</v>
      </c>
    </row>
    <row r="34" spans="1:4" ht="15.75">
      <c r="A34" s="68" t="s">
        <v>1685</v>
      </c>
      <c r="B34" s="68" t="s">
        <v>46</v>
      </c>
      <c r="C34" s="68" t="s">
        <v>46</v>
      </c>
      <c r="D34" s="80" t="s">
        <v>1728</v>
      </c>
    </row>
    <row r="35" spans="1:4" ht="15.75">
      <c r="A35" s="68" t="s">
        <v>1686</v>
      </c>
      <c r="B35" s="68" t="s">
        <v>46</v>
      </c>
      <c r="C35" s="68" t="s">
        <v>46</v>
      </c>
      <c r="D35" s="80" t="s">
        <v>1728</v>
      </c>
    </row>
    <row r="36" spans="1:4" ht="15.75">
      <c r="A36" s="68" t="s">
        <v>1687</v>
      </c>
      <c r="B36" s="68" t="s">
        <v>46</v>
      </c>
      <c r="C36" s="68" t="s">
        <v>46</v>
      </c>
      <c r="D36" s="80" t="s">
        <v>1728</v>
      </c>
    </row>
    <row r="37" spans="1:4" ht="15.75">
      <c r="A37" s="68" t="s">
        <v>1688</v>
      </c>
      <c r="B37" s="68" t="s">
        <v>46</v>
      </c>
      <c r="C37" s="68" t="s">
        <v>46</v>
      </c>
      <c r="D37" s="80" t="s">
        <v>1728</v>
      </c>
    </row>
    <row r="38" spans="1:4" ht="15.75">
      <c r="A38" s="68" t="s">
        <v>1689</v>
      </c>
      <c r="B38" s="68" t="s">
        <v>46</v>
      </c>
      <c r="C38" s="68" t="s">
        <v>46</v>
      </c>
      <c r="D38" s="80" t="s">
        <v>1728</v>
      </c>
    </row>
    <row r="39" spans="1:4" ht="15.75">
      <c r="A39" s="68" t="s">
        <v>1690</v>
      </c>
      <c r="B39" s="68" t="s">
        <v>46</v>
      </c>
      <c r="C39" s="68" t="s">
        <v>46</v>
      </c>
      <c r="D39" s="80" t="s">
        <v>1728</v>
      </c>
    </row>
    <row r="40" spans="1:4" ht="15.75">
      <c r="A40" s="68" t="s">
        <v>1691</v>
      </c>
      <c r="B40" s="68" t="s">
        <v>46</v>
      </c>
      <c r="C40" s="68" t="s">
        <v>46</v>
      </c>
      <c r="D40" s="80" t="s">
        <v>1728</v>
      </c>
    </row>
    <row r="41" spans="1:4" ht="15.75">
      <c r="A41" s="68" t="s">
        <v>1692</v>
      </c>
      <c r="B41" s="68" t="s">
        <v>46</v>
      </c>
      <c r="C41" s="68" t="s">
        <v>46</v>
      </c>
      <c r="D41" s="80" t="s">
        <v>1728</v>
      </c>
    </row>
    <row r="42" spans="1:4" ht="15.75">
      <c r="A42" s="68" t="s">
        <v>1693</v>
      </c>
      <c r="B42" s="68" t="s">
        <v>46</v>
      </c>
      <c r="C42" s="68" t="s">
        <v>46</v>
      </c>
      <c r="D42" s="80" t="s">
        <v>1728</v>
      </c>
    </row>
    <row r="43" spans="1:4" ht="15.75">
      <c r="A43" s="68" t="s">
        <v>1694</v>
      </c>
      <c r="B43" s="68" t="s">
        <v>46</v>
      </c>
      <c r="C43" s="68" t="s">
        <v>46</v>
      </c>
      <c r="D43" s="80" t="s">
        <v>1728</v>
      </c>
    </row>
    <row r="44" spans="1:4" ht="15.75">
      <c r="A44" s="68" t="s">
        <v>1695</v>
      </c>
      <c r="B44" s="68" t="s">
        <v>46</v>
      </c>
      <c r="C44" s="68" t="s">
        <v>46</v>
      </c>
      <c r="D44" s="80" t="s">
        <v>1728</v>
      </c>
    </row>
    <row r="45" spans="1:4" ht="15.75">
      <c r="A45" s="68" t="s">
        <v>1696</v>
      </c>
      <c r="B45" s="68" t="s">
        <v>46</v>
      </c>
      <c r="C45" s="68" t="s">
        <v>46</v>
      </c>
      <c r="D45" s="80" t="s">
        <v>1728</v>
      </c>
    </row>
    <row r="46" spans="1:4" ht="15.75">
      <c r="A46" s="68" t="s">
        <v>1697</v>
      </c>
      <c r="B46" s="68" t="s">
        <v>46</v>
      </c>
      <c r="C46" s="68" t="s">
        <v>46</v>
      </c>
      <c r="D46" s="80" t="s">
        <v>1728</v>
      </c>
    </row>
    <row r="47" spans="1:4" ht="15.75">
      <c r="A47" s="68" t="s">
        <v>1698</v>
      </c>
      <c r="B47" s="68" t="s">
        <v>46</v>
      </c>
      <c r="C47" s="68" t="s">
        <v>46</v>
      </c>
      <c r="D47" s="80" t="s">
        <v>1728</v>
      </c>
    </row>
    <row r="48" spans="1:4" ht="15.75">
      <c r="A48" s="68" t="s">
        <v>1699</v>
      </c>
      <c r="B48" s="68" t="s">
        <v>46</v>
      </c>
      <c r="C48" s="68" t="s">
        <v>46</v>
      </c>
      <c r="D48" s="80" t="s">
        <v>1728</v>
      </c>
    </row>
    <row r="49" spans="1:4" ht="15.75">
      <c r="A49" s="68" t="s">
        <v>1700</v>
      </c>
      <c r="B49" s="68" t="s">
        <v>46</v>
      </c>
      <c r="C49" s="68" t="s">
        <v>46</v>
      </c>
      <c r="D49" s="80" t="s">
        <v>1728</v>
      </c>
    </row>
    <row r="50" spans="1:4" ht="15.75">
      <c r="A50" s="68" t="s">
        <v>1701</v>
      </c>
      <c r="B50" s="68" t="s">
        <v>46</v>
      </c>
      <c r="C50" s="68" t="s">
        <v>46</v>
      </c>
      <c r="D50" s="80" t="s">
        <v>1728</v>
      </c>
    </row>
    <row r="51" spans="1:4" ht="15.75">
      <c r="A51" s="68" t="s">
        <v>1702</v>
      </c>
      <c r="B51" s="68" t="s">
        <v>46</v>
      </c>
      <c r="C51" s="68" t="s">
        <v>46</v>
      </c>
      <c r="D51" s="80" t="s">
        <v>1728</v>
      </c>
    </row>
    <row r="52" spans="1:4" ht="15.75">
      <c r="A52" s="68" t="s">
        <v>1703</v>
      </c>
      <c r="B52" s="68" t="s">
        <v>46</v>
      </c>
      <c r="C52" s="68" t="s">
        <v>46</v>
      </c>
      <c r="D52" s="80" t="s">
        <v>1728</v>
      </c>
    </row>
    <row r="53" spans="1:4" ht="15.75">
      <c r="A53" s="68" t="s">
        <v>1704</v>
      </c>
      <c r="B53" s="68" t="s">
        <v>46</v>
      </c>
      <c r="C53" s="68" t="s">
        <v>46</v>
      </c>
      <c r="D53" s="80" t="s">
        <v>1728</v>
      </c>
    </row>
    <row r="54" spans="1:4" ht="15.75">
      <c r="A54" s="68" t="s">
        <v>1705</v>
      </c>
      <c r="B54" s="68" t="s">
        <v>46</v>
      </c>
      <c r="C54" s="68" t="s">
        <v>46</v>
      </c>
      <c r="D54" s="80" t="s">
        <v>1728</v>
      </c>
    </row>
    <row r="55" spans="1:4" ht="15.75">
      <c r="A55" s="68" t="s">
        <v>1706</v>
      </c>
      <c r="B55" s="68" t="s">
        <v>46</v>
      </c>
      <c r="C55" s="68" t="s">
        <v>46</v>
      </c>
      <c r="D55" s="80" t="s">
        <v>1728</v>
      </c>
    </row>
    <row r="56" spans="1:4" ht="15.75">
      <c r="A56" s="68" t="s">
        <v>1707</v>
      </c>
      <c r="B56" s="68" t="s">
        <v>46</v>
      </c>
      <c r="C56" s="68" t="s">
        <v>46</v>
      </c>
      <c r="D56" s="80" t="s">
        <v>1728</v>
      </c>
    </row>
    <row r="57" spans="1:4" ht="15.75">
      <c r="A57" s="68" t="s">
        <v>1708</v>
      </c>
      <c r="B57" s="68" t="s">
        <v>46</v>
      </c>
      <c r="C57" s="68" t="s">
        <v>46</v>
      </c>
      <c r="D57" s="80" t="s">
        <v>1728</v>
      </c>
    </row>
    <row r="58" spans="1:4" ht="15.75">
      <c r="A58" s="68" t="s">
        <v>1709</v>
      </c>
      <c r="B58" s="68" t="s">
        <v>46</v>
      </c>
      <c r="C58" s="68" t="s">
        <v>46</v>
      </c>
      <c r="D58" s="80" t="s">
        <v>1728</v>
      </c>
    </row>
    <row r="59" spans="1:4" ht="15.75">
      <c r="A59" s="68" t="s">
        <v>1710</v>
      </c>
      <c r="B59" s="68" t="s">
        <v>46</v>
      </c>
      <c r="C59" s="68" t="s">
        <v>46</v>
      </c>
      <c r="D59" s="80" t="s">
        <v>1728</v>
      </c>
    </row>
    <row r="60" spans="1:4" ht="15.75">
      <c r="A60" s="68" t="s">
        <v>1711</v>
      </c>
      <c r="B60" s="68" t="s">
        <v>46</v>
      </c>
      <c r="C60" s="68" t="s">
        <v>46</v>
      </c>
      <c r="D60" s="80" t="s">
        <v>1728</v>
      </c>
    </row>
    <row r="61" spans="1:4" ht="204.75">
      <c r="A61" s="68" t="s">
        <v>1712</v>
      </c>
      <c r="B61" s="68" t="s">
        <v>1658</v>
      </c>
      <c r="C61" s="68" t="s">
        <v>1662</v>
      </c>
      <c r="D61" s="80" t="s">
        <v>1741</v>
      </c>
    </row>
    <row r="62" spans="1:4" ht="15.75">
      <c r="A62" s="68" t="s">
        <v>1713</v>
      </c>
      <c r="B62" s="68" t="s">
        <v>46</v>
      </c>
      <c r="C62" s="68" t="s">
        <v>46</v>
      </c>
      <c r="D62" s="80" t="s">
        <v>1728</v>
      </c>
    </row>
    <row r="63" spans="1:4" ht="15.75">
      <c r="A63" s="68" t="s">
        <v>1714</v>
      </c>
      <c r="B63" s="68" t="s">
        <v>46</v>
      </c>
      <c r="C63" s="68" t="s">
        <v>46</v>
      </c>
      <c r="D63" s="80" t="s">
        <v>1728</v>
      </c>
    </row>
    <row r="64" spans="1:4" ht="15.75">
      <c r="A64" s="68" t="s">
        <v>1715</v>
      </c>
      <c r="B64" s="68" t="s">
        <v>46</v>
      </c>
      <c r="C64" s="68" t="s">
        <v>46</v>
      </c>
      <c r="D64" s="80" t="s">
        <v>1728</v>
      </c>
    </row>
    <row r="65" spans="1:4" ht="15.75">
      <c r="A65" s="68" t="s">
        <v>1716</v>
      </c>
      <c r="B65" s="68" t="s">
        <v>46</v>
      </c>
      <c r="C65" s="68" t="s">
        <v>46</v>
      </c>
      <c r="D65" s="80" t="s">
        <v>1728</v>
      </c>
    </row>
    <row r="66" spans="1:4" ht="204.75">
      <c r="A66" s="68" t="s">
        <v>1717</v>
      </c>
      <c r="B66" s="68" t="s">
        <v>1658</v>
      </c>
      <c r="C66" s="68" t="s">
        <v>1662</v>
      </c>
      <c r="D66" s="80" t="s">
        <v>1741</v>
      </c>
    </row>
    <row r="67" spans="1:4" ht="15.75">
      <c r="A67" s="68" t="s">
        <v>1718</v>
      </c>
      <c r="B67" s="68" t="s">
        <v>46</v>
      </c>
      <c r="C67" s="68" t="s">
        <v>46</v>
      </c>
      <c r="D67" s="80" t="s">
        <v>1728</v>
      </c>
    </row>
    <row r="68" spans="1:4" ht="15.75">
      <c r="A68" s="68" t="s">
        <v>1719</v>
      </c>
      <c r="B68" s="68" t="s">
        <v>46</v>
      </c>
      <c r="C68" s="68" t="s">
        <v>46</v>
      </c>
      <c r="D68" s="80" t="s">
        <v>1728</v>
      </c>
    </row>
    <row r="69" spans="1:4" ht="15.75">
      <c r="A69" s="68" t="s">
        <v>1720</v>
      </c>
      <c r="B69" s="68" t="s">
        <v>46</v>
      </c>
      <c r="C69" s="68" t="s">
        <v>46</v>
      </c>
      <c r="D69" s="80" t="s">
        <v>1728</v>
      </c>
    </row>
    <row r="70" spans="1:4" ht="15.75">
      <c r="A70" s="68" t="s">
        <v>1721</v>
      </c>
      <c r="B70" s="68" t="s">
        <v>46</v>
      </c>
      <c r="C70" s="68" t="s">
        <v>46</v>
      </c>
      <c r="D70" s="80" t="s">
        <v>1728</v>
      </c>
    </row>
    <row r="71" spans="1:4" ht="15.75">
      <c r="A71" s="68" t="s">
        <v>1722</v>
      </c>
      <c r="B71" s="68" t="s">
        <v>46</v>
      </c>
      <c r="C71" s="68" t="s">
        <v>46</v>
      </c>
      <c r="D71" s="80" t="s">
        <v>1728</v>
      </c>
    </row>
    <row r="72" spans="1:4" ht="15.75">
      <c r="A72" s="68" t="s">
        <v>1723</v>
      </c>
      <c r="B72" s="68" t="s">
        <v>46</v>
      </c>
      <c r="C72" s="68" t="s">
        <v>46</v>
      </c>
      <c r="D72" s="80" t="s">
        <v>1728</v>
      </c>
    </row>
    <row r="73" spans="1:4" ht="15.75">
      <c r="A73" s="68" t="s">
        <v>1724</v>
      </c>
      <c r="B73" s="68" t="s">
        <v>46</v>
      </c>
      <c r="C73" s="68" t="s">
        <v>46</v>
      </c>
      <c r="D73" s="80" t="s">
        <v>1728</v>
      </c>
    </row>
    <row r="74" spans="1:4" ht="15.75">
      <c r="A74" s="68" t="s">
        <v>1725</v>
      </c>
      <c r="B74" s="68" t="s">
        <v>46</v>
      </c>
      <c r="C74" s="68" t="s">
        <v>46</v>
      </c>
      <c r="D74" s="80" t="s">
        <v>1728</v>
      </c>
    </row>
    <row r="75" spans="1:4" ht="15.75">
      <c r="A75" s="68" t="s">
        <v>1726</v>
      </c>
      <c r="B75" s="68" t="s">
        <v>46</v>
      </c>
      <c r="C75" s="68" t="s">
        <v>46</v>
      </c>
      <c r="D75" s="80" t="s">
        <v>1728</v>
      </c>
    </row>
    <row r="76" spans="1:4" ht="15.75">
      <c r="A76" s="68" t="s">
        <v>1727</v>
      </c>
      <c r="B76" s="68" t="s">
        <v>1658</v>
      </c>
      <c r="C76" s="68" t="s">
        <v>46</v>
      </c>
      <c r="D76" s="80" t="s">
        <v>1744</v>
      </c>
    </row>
  </sheetData>
  <autoFilter ref="A3:D76"/>
  <mergeCells count="8">
    <mergeCell ref="A32:A33"/>
    <mergeCell ref="A1:A3"/>
    <mergeCell ref="B1:D1"/>
    <mergeCell ref="B2:B3"/>
    <mergeCell ref="C2:D2"/>
    <mergeCell ref="A4:A10"/>
    <mergeCell ref="A11:A13"/>
    <mergeCell ref="A14:A16"/>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67" zoomScale="115" zoomScaleNormal="115" workbookViewId="0">
      <pane xSplit="1" topLeftCell="D1" activePane="topRight" state="frozen"/>
      <selection pane="topRight" activeCell="D73" sqref="D73"/>
    </sheetView>
  </sheetViews>
  <sheetFormatPr defaultRowHeight="15"/>
  <cols>
    <col min="1" max="1" width="14.5703125" style="66" customWidth="1"/>
    <col min="2" max="2" width="17.85546875" style="66" customWidth="1"/>
    <col min="3" max="3" width="11.7109375" style="66" customWidth="1"/>
    <col min="4" max="4" width="124.85546875" style="66" customWidth="1"/>
    <col min="5" max="16384" width="9.140625" style="66"/>
  </cols>
  <sheetData>
    <row r="1" spans="1:4" ht="16.5" customHeight="1">
      <c r="A1" s="102" t="s">
        <v>1667</v>
      </c>
      <c r="B1" s="102" t="s">
        <v>1743</v>
      </c>
      <c r="C1" s="102"/>
      <c r="D1" s="102"/>
    </row>
    <row r="2" spans="1:4" ht="16.5" customHeight="1">
      <c r="A2" s="102"/>
      <c r="B2" s="102" t="s">
        <v>1653</v>
      </c>
      <c r="C2" s="102" t="s">
        <v>1654</v>
      </c>
      <c r="D2" s="102"/>
    </row>
    <row r="3" spans="1:4" ht="31.5">
      <c r="A3" s="102"/>
      <c r="B3" s="102"/>
      <c r="C3" s="77" t="s">
        <v>1655</v>
      </c>
      <c r="D3" s="78" t="s">
        <v>1656</v>
      </c>
    </row>
    <row r="4" spans="1:4" ht="15" customHeight="1">
      <c r="A4" s="68" t="s">
        <v>1657</v>
      </c>
      <c r="B4" s="68" t="s">
        <v>46</v>
      </c>
      <c r="C4" s="68" t="s">
        <v>46</v>
      </c>
      <c r="D4" s="80" t="s">
        <v>1757</v>
      </c>
    </row>
    <row r="5" spans="1:4" ht="15" customHeight="1">
      <c r="A5" s="68" t="s">
        <v>1664</v>
      </c>
      <c r="B5" s="68" t="s">
        <v>46</v>
      </c>
      <c r="C5" s="68" t="s">
        <v>46</v>
      </c>
      <c r="D5" s="80" t="s">
        <v>1757</v>
      </c>
    </row>
    <row r="6" spans="1:4" ht="141.75">
      <c r="A6" s="101" t="s">
        <v>1665</v>
      </c>
      <c r="B6" s="68" t="s">
        <v>1658</v>
      </c>
      <c r="C6" s="68" t="s">
        <v>1747</v>
      </c>
      <c r="D6" s="80" t="s">
        <v>1768</v>
      </c>
    </row>
    <row r="7" spans="1:4" ht="47.25">
      <c r="A7" s="101"/>
      <c r="B7" s="68" t="s">
        <v>1658</v>
      </c>
      <c r="C7" s="68" t="s">
        <v>1659</v>
      </c>
      <c r="D7" s="80" t="s">
        <v>1766</v>
      </c>
    </row>
    <row r="8" spans="1:4" ht="94.5">
      <c r="A8" s="103" t="s">
        <v>1666</v>
      </c>
      <c r="B8" s="68" t="s">
        <v>1658</v>
      </c>
      <c r="C8" s="68" t="s">
        <v>1747</v>
      </c>
      <c r="D8" s="80" t="s">
        <v>1769</v>
      </c>
    </row>
    <row r="9" spans="1:4" ht="47.25">
      <c r="A9" s="104"/>
      <c r="B9" s="68" t="s">
        <v>1658</v>
      </c>
      <c r="C9" s="68" t="s">
        <v>1659</v>
      </c>
      <c r="D9" s="80" t="s">
        <v>1748</v>
      </c>
    </row>
    <row r="10" spans="1:4" ht="47.25">
      <c r="A10" s="103" t="s">
        <v>1670</v>
      </c>
      <c r="B10" s="68" t="s">
        <v>1658</v>
      </c>
      <c r="C10" s="68" t="s">
        <v>1747</v>
      </c>
      <c r="D10" s="80" t="s">
        <v>1749</v>
      </c>
    </row>
    <row r="11" spans="1:4" ht="47.25">
      <c r="A11" s="104"/>
      <c r="B11" s="68" t="s">
        <v>1658</v>
      </c>
      <c r="C11" s="68" t="s">
        <v>1659</v>
      </c>
      <c r="D11" s="80" t="s">
        <v>1750</v>
      </c>
    </row>
    <row r="12" spans="1:4" ht="63" customHeight="1">
      <c r="A12" s="103" t="s">
        <v>1671</v>
      </c>
      <c r="B12" s="68" t="s">
        <v>1658</v>
      </c>
      <c r="C12" s="68" t="s">
        <v>1747</v>
      </c>
      <c r="D12" s="80" t="s">
        <v>1775</v>
      </c>
    </row>
    <row r="13" spans="1:4" ht="47.25">
      <c r="A13" s="105"/>
      <c r="B13" s="68" t="s">
        <v>1658</v>
      </c>
      <c r="C13" s="68" t="s">
        <v>1659</v>
      </c>
      <c r="D13" s="80" t="s">
        <v>1751</v>
      </c>
    </row>
    <row r="14" spans="1:4" ht="78.75">
      <c r="A14" s="105"/>
      <c r="B14" s="68" t="s">
        <v>1658</v>
      </c>
      <c r="C14" s="68" t="s">
        <v>429</v>
      </c>
      <c r="D14" s="80" t="s">
        <v>1752</v>
      </c>
    </row>
    <row r="15" spans="1:4" ht="63">
      <c r="A15" s="105"/>
      <c r="B15" s="68" t="s">
        <v>1658</v>
      </c>
      <c r="C15" s="68" t="s">
        <v>1753</v>
      </c>
      <c r="D15" s="80" t="s">
        <v>1754</v>
      </c>
    </row>
    <row r="16" spans="1:4" ht="220.5">
      <c r="A16" s="104"/>
      <c r="B16" s="68" t="s">
        <v>1658</v>
      </c>
      <c r="C16" s="68" t="s">
        <v>1755</v>
      </c>
      <c r="D16" s="80" t="s">
        <v>1756</v>
      </c>
    </row>
    <row r="17" spans="1:4" ht="63">
      <c r="A17" s="103" t="s">
        <v>1672</v>
      </c>
      <c r="B17" s="68" t="s">
        <v>1658</v>
      </c>
      <c r="C17" s="68" t="s">
        <v>1747</v>
      </c>
      <c r="D17" s="80" t="s">
        <v>1775</v>
      </c>
    </row>
    <row r="18" spans="1:4" ht="47.25">
      <c r="A18" s="104"/>
      <c r="B18" s="79" t="s">
        <v>1658</v>
      </c>
      <c r="C18" s="79" t="s">
        <v>1659</v>
      </c>
      <c r="D18" s="80" t="s">
        <v>1763</v>
      </c>
    </row>
    <row r="19" spans="1:4" ht="15.75">
      <c r="A19" s="68" t="s">
        <v>1673</v>
      </c>
      <c r="B19" s="68" t="s">
        <v>46</v>
      </c>
      <c r="C19" s="68" t="s">
        <v>46</v>
      </c>
      <c r="D19" s="80" t="s">
        <v>1757</v>
      </c>
    </row>
    <row r="20" spans="1:4" ht="15.75">
      <c r="A20" s="68" t="s">
        <v>1674</v>
      </c>
      <c r="B20" s="68" t="s">
        <v>46</v>
      </c>
      <c r="C20" s="68" t="s">
        <v>46</v>
      </c>
      <c r="D20" s="80" t="s">
        <v>1757</v>
      </c>
    </row>
    <row r="21" spans="1:4" ht="15.75">
      <c r="A21" s="68" t="s">
        <v>1675</v>
      </c>
      <c r="B21" s="68" t="s">
        <v>46</v>
      </c>
      <c r="C21" s="68" t="s">
        <v>46</v>
      </c>
      <c r="D21" s="80" t="s">
        <v>1757</v>
      </c>
    </row>
    <row r="22" spans="1:4" ht="15.75">
      <c r="A22" s="68" t="s">
        <v>1676</v>
      </c>
      <c r="B22" s="68" t="s">
        <v>46</v>
      </c>
      <c r="C22" s="68" t="s">
        <v>46</v>
      </c>
      <c r="D22" s="80" t="s">
        <v>1757</v>
      </c>
    </row>
    <row r="23" spans="1:4" ht="15.75">
      <c r="A23" s="68" t="s">
        <v>1677</v>
      </c>
      <c r="B23" s="68" t="s">
        <v>46</v>
      </c>
      <c r="C23" s="68" t="s">
        <v>46</v>
      </c>
      <c r="D23" s="80" t="s">
        <v>1757</v>
      </c>
    </row>
    <row r="24" spans="1:4" ht="15.75">
      <c r="A24" s="68" t="s">
        <v>1678</v>
      </c>
      <c r="B24" s="68" t="s">
        <v>46</v>
      </c>
      <c r="C24" s="68" t="s">
        <v>46</v>
      </c>
      <c r="D24" s="80" t="s">
        <v>1757</v>
      </c>
    </row>
    <row r="25" spans="1:4" ht="63" customHeight="1">
      <c r="A25" s="103" t="s">
        <v>1679</v>
      </c>
      <c r="B25" s="68" t="s">
        <v>1658</v>
      </c>
      <c r="C25" s="68" t="s">
        <v>1747</v>
      </c>
      <c r="D25" s="80" t="s">
        <v>1758</v>
      </c>
    </row>
    <row r="26" spans="1:4" ht="47.25">
      <c r="A26" s="104"/>
      <c r="B26" s="68" t="s">
        <v>1658</v>
      </c>
      <c r="C26" s="68" t="s">
        <v>1659</v>
      </c>
      <c r="D26" s="80" t="s">
        <v>1759</v>
      </c>
    </row>
    <row r="27" spans="1:4" ht="94.5">
      <c r="A27" s="103" t="s">
        <v>1680</v>
      </c>
      <c r="B27" s="68" t="s">
        <v>1658</v>
      </c>
      <c r="C27" s="68" t="s">
        <v>1747</v>
      </c>
      <c r="D27" s="80" t="s">
        <v>1770</v>
      </c>
    </row>
    <row r="28" spans="1:4" ht="47.25">
      <c r="A28" s="104"/>
      <c r="B28" s="68" t="s">
        <v>1658</v>
      </c>
      <c r="C28" s="68" t="s">
        <v>1659</v>
      </c>
      <c r="D28" s="80" t="s">
        <v>1766</v>
      </c>
    </row>
    <row r="29" spans="1:4" ht="15.75">
      <c r="A29" s="68" t="s">
        <v>1681</v>
      </c>
      <c r="B29" s="68" t="s">
        <v>46</v>
      </c>
      <c r="C29" s="68" t="s">
        <v>46</v>
      </c>
      <c r="D29" s="80" t="s">
        <v>1757</v>
      </c>
    </row>
    <row r="30" spans="1:4" ht="63">
      <c r="A30" s="103" t="s">
        <v>1682</v>
      </c>
      <c r="B30" s="68" t="s">
        <v>1658</v>
      </c>
      <c r="C30" s="68" t="s">
        <v>1747</v>
      </c>
      <c r="D30" s="80" t="s">
        <v>1760</v>
      </c>
    </row>
    <row r="31" spans="1:4" ht="47.25">
      <c r="A31" s="105"/>
      <c r="B31" s="68" t="s">
        <v>1658</v>
      </c>
      <c r="C31" s="68" t="s">
        <v>1659</v>
      </c>
      <c r="D31" s="80" t="s">
        <v>1765</v>
      </c>
    </row>
    <row r="32" spans="1:4" ht="63">
      <c r="A32" s="104"/>
      <c r="B32" s="68" t="s">
        <v>1658</v>
      </c>
      <c r="C32" s="68" t="s">
        <v>429</v>
      </c>
      <c r="D32" s="80" t="s">
        <v>1761</v>
      </c>
    </row>
    <row r="33" spans="1:4" ht="15.75">
      <c r="A33" s="68" t="s">
        <v>1683</v>
      </c>
      <c r="B33" s="68" t="s">
        <v>46</v>
      </c>
      <c r="C33" s="68" t="s">
        <v>46</v>
      </c>
      <c r="D33" s="80" t="s">
        <v>1757</v>
      </c>
    </row>
    <row r="34" spans="1:4" ht="78.75">
      <c r="A34" s="68" t="s">
        <v>1684</v>
      </c>
      <c r="B34" s="68" t="s">
        <v>1658</v>
      </c>
      <c r="C34" s="68" t="s">
        <v>1747</v>
      </c>
      <c r="D34" s="80" t="s">
        <v>1785</v>
      </c>
    </row>
    <row r="35" spans="1:4" ht="173.25">
      <c r="A35" s="103" t="s">
        <v>1685</v>
      </c>
      <c r="B35" s="68" t="s">
        <v>1658</v>
      </c>
      <c r="C35" s="68" t="s">
        <v>1747</v>
      </c>
      <c r="D35" s="80" t="s">
        <v>1771</v>
      </c>
    </row>
    <row r="36" spans="1:4" ht="63">
      <c r="A36" s="104"/>
      <c r="B36" s="79" t="s">
        <v>1658</v>
      </c>
      <c r="C36" s="79" t="s">
        <v>429</v>
      </c>
      <c r="D36" s="80" t="s">
        <v>1761</v>
      </c>
    </row>
    <row r="37" spans="1:4" ht="15.75">
      <c r="A37" s="68" t="s">
        <v>1686</v>
      </c>
      <c r="B37" s="68" t="s">
        <v>46</v>
      </c>
      <c r="C37" s="68" t="s">
        <v>46</v>
      </c>
      <c r="D37" s="80" t="s">
        <v>1757</v>
      </c>
    </row>
    <row r="38" spans="1:4" ht="15.75">
      <c r="A38" s="68" t="s">
        <v>1687</v>
      </c>
      <c r="B38" s="68" t="s">
        <v>46</v>
      </c>
      <c r="C38" s="68" t="s">
        <v>46</v>
      </c>
      <c r="D38" s="80" t="s">
        <v>1757</v>
      </c>
    </row>
    <row r="39" spans="1:4" ht="15.75">
      <c r="A39" s="68" t="s">
        <v>1688</v>
      </c>
      <c r="B39" s="68" t="s">
        <v>46</v>
      </c>
      <c r="C39" s="68" t="s">
        <v>46</v>
      </c>
      <c r="D39" s="80" t="s">
        <v>1757</v>
      </c>
    </row>
    <row r="40" spans="1:4" ht="15.75">
      <c r="A40" s="68" t="s">
        <v>1689</v>
      </c>
      <c r="B40" s="68" t="s">
        <v>46</v>
      </c>
      <c r="C40" s="68" t="s">
        <v>46</v>
      </c>
      <c r="D40" s="80" t="s">
        <v>1757</v>
      </c>
    </row>
    <row r="41" spans="1:4" ht="31.5">
      <c r="A41" s="68" t="s">
        <v>1690</v>
      </c>
      <c r="B41" s="68" t="s">
        <v>46</v>
      </c>
      <c r="C41" s="68" t="s">
        <v>46</v>
      </c>
      <c r="D41" s="80" t="s">
        <v>1746</v>
      </c>
    </row>
    <row r="42" spans="1:4" ht="31.5">
      <c r="A42" s="68" t="s">
        <v>1691</v>
      </c>
      <c r="B42" s="68" t="s">
        <v>46</v>
      </c>
      <c r="C42" s="68" t="s">
        <v>46</v>
      </c>
      <c r="D42" s="80" t="s">
        <v>1746</v>
      </c>
    </row>
    <row r="43" spans="1:4" ht="31.5">
      <c r="A43" s="68" t="s">
        <v>1692</v>
      </c>
      <c r="B43" s="68" t="s">
        <v>46</v>
      </c>
      <c r="C43" s="68" t="s">
        <v>46</v>
      </c>
      <c r="D43" s="80" t="s">
        <v>1746</v>
      </c>
    </row>
    <row r="44" spans="1:4" ht="31.5">
      <c r="A44" s="68" t="s">
        <v>1693</v>
      </c>
      <c r="B44" s="68" t="s">
        <v>46</v>
      </c>
      <c r="C44" s="68" t="s">
        <v>46</v>
      </c>
      <c r="D44" s="80" t="s">
        <v>1746</v>
      </c>
    </row>
    <row r="45" spans="1:4" ht="31.5">
      <c r="A45" s="68" t="s">
        <v>1694</v>
      </c>
      <c r="B45" s="68" t="s">
        <v>46</v>
      </c>
      <c r="C45" s="68" t="s">
        <v>46</v>
      </c>
      <c r="D45" s="80" t="s">
        <v>1746</v>
      </c>
    </row>
    <row r="46" spans="1:4" ht="31.5">
      <c r="A46" s="68" t="s">
        <v>1695</v>
      </c>
      <c r="B46" s="68" t="s">
        <v>46</v>
      </c>
      <c r="C46" s="68" t="s">
        <v>46</v>
      </c>
      <c r="D46" s="80" t="s">
        <v>1746</v>
      </c>
    </row>
    <row r="47" spans="1:4" ht="31.5">
      <c r="A47" s="68" t="s">
        <v>1696</v>
      </c>
      <c r="B47" s="68" t="s">
        <v>46</v>
      </c>
      <c r="C47" s="68" t="s">
        <v>46</v>
      </c>
      <c r="D47" s="80" t="s">
        <v>1746</v>
      </c>
    </row>
    <row r="48" spans="1:4" ht="31.5">
      <c r="A48" s="68" t="s">
        <v>1697</v>
      </c>
      <c r="B48" s="68" t="s">
        <v>46</v>
      </c>
      <c r="C48" s="68" t="s">
        <v>46</v>
      </c>
      <c r="D48" s="80" t="s">
        <v>1746</v>
      </c>
    </row>
    <row r="49" spans="1:4" ht="31.5">
      <c r="A49" s="68" t="s">
        <v>1698</v>
      </c>
      <c r="B49" s="68" t="s">
        <v>46</v>
      </c>
      <c r="C49" s="68" t="s">
        <v>46</v>
      </c>
      <c r="D49" s="80" t="s">
        <v>1746</v>
      </c>
    </row>
    <row r="50" spans="1:4" ht="31.5">
      <c r="A50" s="68" t="s">
        <v>1699</v>
      </c>
      <c r="B50" s="68" t="s">
        <v>46</v>
      </c>
      <c r="C50" s="68" t="s">
        <v>46</v>
      </c>
      <c r="D50" s="80" t="s">
        <v>1746</v>
      </c>
    </row>
    <row r="51" spans="1:4" ht="31.5">
      <c r="A51" s="68" t="s">
        <v>1700</v>
      </c>
      <c r="B51" s="68" t="s">
        <v>46</v>
      </c>
      <c r="C51" s="68" t="s">
        <v>46</v>
      </c>
      <c r="D51" s="80" t="s">
        <v>1746</v>
      </c>
    </row>
    <row r="52" spans="1:4" ht="31.5">
      <c r="A52" s="68" t="s">
        <v>1701</v>
      </c>
      <c r="B52" s="68" t="s">
        <v>46</v>
      </c>
      <c r="C52" s="68" t="s">
        <v>46</v>
      </c>
      <c r="D52" s="80" t="s">
        <v>1746</v>
      </c>
    </row>
    <row r="53" spans="1:4" ht="31.5">
      <c r="A53" s="68" t="s">
        <v>1702</v>
      </c>
      <c r="B53" s="68" t="s">
        <v>46</v>
      </c>
      <c r="C53" s="68" t="s">
        <v>46</v>
      </c>
      <c r="D53" s="80" t="s">
        <v>1746</v>
      </c>
    </row>
    <row r="54" spans="1:4" ht="31.5">
      <c r="A54" s="68" t="s">
        <v>1703</v>
      </c>
      <c r="B54" s="68" t="s">
        <v>46</v>
      </c>
      <c r="C54" s="68" t="s">
        <v>46</v>
      </c>
      <c r="D54" s="80" t="s">
        <v>1746</v>
      </c>
    </row>
    <row r="55" spans="1:4" ht="31.5">
      <c r="A55" s="68" t="s">
        <v>1704</v>
      </c>
      <c r="B55" s="68" t="s">
        <v>46</v>
      </c>
      <c r="C55" s="68" t="s">
        <v>46</v>
      </c>
      <c r="D55" s="80" t="s">
        <v>1746</v>
      </c>
    </row>
    <row r="56" spans="1:4" ht="31.5">
      <c r="A56" s="68" t="s">
        <v>1705</v>
      </c>
      <c r="B56" s="68" t="s">
        <v>46</v>
      </c>
      <c r="C56" s="68" t="s">
        <v>46</v>
      </c>
      <c r="D56" s="80" t="s">
        <v>1746</v>
      </c>
    </row>
    <row r="57" spans="1:4" ht="31.5">
      <c r="A57" s="68" t="s">
        <v>1706</v>
      </c>
      <c r="B57" s="68" t="s">
        <v>46</v>
      </c>
      <c r="C57" s="68" t="s">
        <v>46</v>
      </c>
      <c r="D57" s="80" t="s">
        <v>1746</v>
      </c>
    </row>
    <row r="58" spans="1:4" ht="141.75">
      <c r="A58" s="103" t="s">
        <v>1707</v>
      </c>
      <c r="B58" s="68" t="s">
        <v>1658</v>
      </c>
      <c r="C58" s="68" t="s">
        <v>1747</v>
      </c>
      <c r="D58" s="80" t="s">
        <v>1762</v>
      </c>
    </row>
    <row r="59" spans="1:4" ht="47.25">
      <c r="A59" s="105"/>
      <c r="B59" s="79" t="s">
        <v>1658</v>
      </c>
      <c r="C59" s="79" t="s">
        <v>1659</v>
      </c>
      <c r="D59" s="80" t="s">
        <v>1764</v>
      </c>
    </row>
    <row r="60" spans="1:4" ht="63">
      <c r="A60" s="104"/>
      <c r="B60" s="79" t="s">
        <v>1658</v>
      </c>
      <c r="C60" s="79" t="s">
        <v>429</v>
      </c>
      <c r="D60" s="80" t="s">
        <v>1761</v>
      </c>
    </row>
    <row r="61" spans="1:4" ht="220.5">
      <c r="A61" s="103" t="s">
        <v>1708</v>
      </c>
      <c r="B61" s="79" t="s">
        <v>1658</v>
      </c>
      <c r="C61" s="79" t="s">
        <v>1747</v>
      </c>
      <c r="D61" s="80" t="s">
        <v>1772</v>
      </c>
    </row>
    <row r="62" spans="1:4" ht="63">
      <c r="A62" s="105"/>
      <c r="B62" s="79" t="s">
        <v>1658</v>
      </c>
      <c r="C62" s="79" t="s">
        <v>1659</v>
      </c>
      <c r="D62" s="80" t="s">
        <v>1773</v>
      </c>
    </row>
    <row r="63" spans="1:4" ht="63">
      <c r="A63" s="104"/>
      <c r="B63" s="79" t="s">
        <v>1658</v>
      </c>
      <c r="C63" s="79" t="s">
        <v>429</v>
      </c>
      <c r="D63" s="80" t="s">
        <v>1761</v>
      </c>
    </row>
    <row r="64" spans="1:4" ht="110.25">
      <c r="A64" s="103" t="s">
        <v>1709</v>
      </c>
      <c r="B64" s="79" t="s">
        <v>1658</v>
      </c>
      <c r="C64" s="79" t="s">
        <v>1747</v>
      </c>
      <c r="D64" s="80" t="s">
        <v>1767</v>
      </c>
    </row>
    <row r="65" spans="1:4" ht="47.25">
      <c r="A65" s="105"/>
      <c r="B65" s="79" t="s">
        <v>1658</v>
      </c>
      <c r="C65" s="79" t="s">
        <v>1659</v>
      </c>
      <c r="D65" s="80" t="s">
        <v>1764</v>
      </c>
    </row>
    <row r="66" spans="1:4" ht="63">
      <c r="A66" s="104"/>
      <c r="B66" s="79" t="s">
        <v>1658</v>
      </c>
      <c r="C66" s="79" t="s">
        <v>429</v>
      </c>
      <c r="D66" s="80" t="s">
        <v>1761</v>
      </c>
    </row>
    <row r="67" spans="1:4" ht="63">
      <c r="A67" s="103" t="s">
        <v>1710</v>
      </c>
      <c r="B67" s="79" t="s">
        <v>1658</v>
      </c>
      <c r="C67" s="79" t="s">
        <v>1747</v>
      </c>
      <c r="D67" s="80" t="s">
        <v>1782</v>
      </c>
    </row>
    <row r="68" spans="1:4" ht="63">
      <c r="A68" s="104"/>
      <c r="B68" s="79" t="s">
        <v>1658</v>
      </c>
      <c r="C68" s="79" t="s">
        <v>429</v>
      </c>
      <c r="D68" s="80" t="s">
        <v>1761</v>
      </c>
    </row>
    <row r="69" spans="1:4" ht="31.5">
      <c r="A69" s="68" t="s">
        <v>1711</v>
      </c>
      <c r="B69" s="68" t="s">
        <v>46</v>
      </c>
      <c r="C69" s="68" t="s">
        <v>46</v>
      </c>
      <c r="D69" s="80" t="s">
        <v>1777</v>
      </c>
    </row>
    <row r="70" spans="1:4" ht="63">
      <c r="A70" s="103" t="s">
        <v>1712</v>
      </c>
      <c r="B70" s="79" t="s">
        <v>1658</v>
      </c>
      <c r="C70" s="79" t="s">
        <v>1747</v>
      </c>
      <c r="D70" s="80" t="s">
        <v>1783</v>
      </c>
    </row>
    <row r="71" spans="1:4" ht="47.25">
      <c r="A71" s="104"/>
      <c r="B71" s="79" t="s">
        <v>1658</v>
      </c>
      <c r="C71" s="79" t="s">
        <v>1659</v>
      </c>
      <c r="D71" s="80" t="s">
        <v>1774</v>
      </c>
    </row>
    <row r="72" spans="1:4" ht="47.25">
      <c r="A72" s="68" t="s">
        <v>1713</v>
      </c>
      <c r="B72" s="79" t="s">
        <v>1658</v>
      </c>
      <c r="C72" s="79" t="s">
        <v>1747</v>
      </c>
      <c r="D72" s="80" t="s">
        <v>1776</v>
      </c>
    </row>
    <row r="73" spans="1:4" ht="94.5">
      <c r="A73" s="68" t="s">
        <v>1714</v>
      </c>
      <c r="B73" s="79" t="s">
        <v>1658</v>
      </c>
      <c r="C73" s="79" t="s">
        <v>1747</v>
      </c>
      <c r="D73" s="80" t="s">
        <v>1820</v>
      </c>
    </row>
    <row r="74" spans="1:4" ht="31.5">
      <c r="A74" s="68" t="s">
        <v>1715</v>
      </c>
      <c r="B74" s="68" t="s">
        <v>46</v>
      </c>
      <c r="C74" s="68" t="s">
        <v>46</v>
      </c>
      <c r="D74" s="80" t="s">
        <v>1746</v>
      </c>
    </row>
    <row r="75" spans="1:4" ht="31.5">
      <c r="A75" s="68" t="s">
        <v>1716</v>
      </c>
      <c r="B75" s="68" t="s">
        <v>46</v>
      </c>
      <c r="C75" s="68" t="s">
        <v>46</v>
      </c>
      <c r="D75" s="80" t="s">
        <v>1746</v>
      </c>
    </row>
    <row r="76" spans="1:4" ht="31.5">
      <c r="A76" s="68" t="s">
        <v>1717</v>
      </c>
      <c r="B76" s="68" t="s">
        <v>46</v>
      </c>
      <c r="C76" s="68" t="s">
        <v>46</v>
      </c>
      <c r="D76" s="80" t="s">
        <v>1746</v>
      </c>
    </row>
    <row r="77" spans="1:4" ht="31.5">
      <c r="A77" s="68" t="s">
        <v>1718</v>
      </c>
      <c r="B77" s="68" t="s">
        <v>46</v>
      </c>
      <c r="C77" s="68" t="s">
        <v>46</v>
      </c>
      <c r="D77" s="80" t="s">
        <v>1746</v>
      </c>
    </row>
    <row r="78" spans="1:4" ht="31.5">
      <c r="A78" s="68" t="s">
        <v>1719</v>
      </c>
      <c r="B78" s="68" t="s">
        <v>46</v>
      </c>
      <c r="C78" s="68" t="s">
        <v>46</v>
      </c>
      <c r="D78" s="80" t="s">
        <v>1746</v>
      </c>
    </row>
    <row r="79" spans="1:4" ht="189">
      <c r="A79" s="103" t="s">
        <v>1720</v>
      </c>
      <c r="B79" s="79" t="s">
        <v>1658</v>
      </c>
      <c r="C79" s="79" t="s">
        <v>1747</v>
      </c>
      <c r="D79" s="80" t="s">
        <v>1786</v>
      </c>
    </row>
    <row r="80" spans="1:4" ht="47.25">
      <c r="A80" s="104"/>
      <c r="B80" s="79" t="s">
        <v>1658</v>
      </c>
      <c r="C80" s="79" t="s">
        <v>1659</v>
      </c>
      <c r="D80" s="80" t="s">
        <v>1787</v>
      </c>
    </row>
    <row r="81" spans="1:4" ht="189">
      <c r="A81" s="103" t="s">
        <v>1721</v>
      </c>
      <c r="B81" s="79" t="s">
        <v>1658</v>
      </c>
      <c r="C81" s="79" t="s">
        <v>1747</v>
      </c>
      <c r="D81" s="80" t="s">
        <v>1786</v>
      </c>
    </row>
    <row r="82" spans="1:4" ht="47.25">
      <c r="A82" s="104"/>
      <c r="B82" s="79" t="s">
        <v>1658</v>
      </c>
      <c r="C82" s="79" t="s">
        <v>1659</v>
      </c>
      <c r="D82" s="80" t="s">
        <v>1787</v>
      </c>
    </row>
    <row r="83" spans="1:4" ht="189">
      <c r="A83" s="103" t="s">
        <v>1722</v>
      </c>
      <c r="B83" s="79" t="s">
        <v>1658</v>
      </c>
      <c r="C83" s="79" t="s">
        <v>1747</v>
      </c>
      <c r="D83" s="80" t="s">
        <v>1786</v>
      </c>
    </row>
    <row r="84" spans="1:4" ht="47.25">
      <c r="A84" s="104"/>
      <c r="B84" s="79" t="s">
        <v>1658</v>
      </c>
      <c r="C84" s="79" t="s">
        <v>1659</v>
      </c>
      <c r="D84" s="80" t="s">
        <v>1787</v>
      </c>
    </row>
    <row r="85" spans="1:4" ht="189">
      <c r="A85" s="103" t="s">
        <v>1723</v>
      </c>
      <c r="B85" s="79" t="s">
        <v>1658</v>
      </c>
      <c r="C85" s="79" t="s">
        <v>1747</v>
      </c>
      <c r="D85" s="80" t="s">
        <v>1786</v>
      </c>
    </row>
    <row r="86" spans="1:4" ht="47.25">
      <c r="A86" s="104"/>
      <c r="B86" s="79" t="s">
        <v>1658</v>
      </c>
      <c r="C86" s="79" t="s">
        <v>1659</v>
      </c>
      <c r="D86" s="80" t="s">
        <v>1787</v>
      </c>
    </row>
    <row r="87" spans="1:4" ht="189">
      <c r="A87" s="103" t="s">
        <v>1724</v>
      </c>
      <c r="B87" s="79" t="s">
        <v>1658</v>
      </c>
      <c r="C87" s="79" t="s">
        <v>1747</v>
      </c>
      <c r="D87" s="80" t="s">
        <v>1786</v>
      </c>
    </row>
    <row r="88" spans="1:4" ht="47.25">
      <c r="A88" s="104"/>
      <c r="B88" s="79" t="s">
        <v>1658</v>
      </c>
      <c r="C88" s="79" t="s">
        <v>1659</v>
      </c>
      <c r="D88" s="80" t="s">
        <v>1787</v>
      </c>
    </row>
    <row r="89" spans="1:4" ht="189">
      <c r="A89" s="103" t="s">
        <v>1725</v>
      </c>
      <c r="B89" s="79" t="s">
        <v>1658</v>
      </c>
      <c r="C89" s="79" t="s">
        <v>1747</v>
      </c>
      <c r="D89" s="80" t="s">
        <v>1786</v>
      </c>
    </row>
    <row r="90" spans="1:4" ht="47.25">
      <c r="A90" s="104"/>
      <c r="B90" s="79" t="s">
        <v>1658</v>
      </c>
      <c r="C90" s="79" t="s">
        <v>1659</v>
      </c>
      <c r="D90" s="80" t="s">
        <v>1787</v>
      </c>
    </row>
    <row r="91" spans="1:4" ht="63">
      <c r="A91" s="103" t="s">
        <v>1726</v>
      </c>
      <c r="B91" s="79" t="s">
        <v>1658</v>
      </c>
      <c r="C91" s="79" t="s">
        <v>1747</v>
      </c>
      <c r="D91" s="80" t="s">
        <v>1775</v>
      </c>
    </row>
    <row r="92" spans="1:4" ht="47.25">
      <c r="A92" s="105"/>
      <c r="B92" s="79" t="s">
        <v>1658</v>
      </c>
      <c r="C92" s="79" t="s">
        <v>1747</v>
      </c>
      <c r="D92" s="80" t="s">
        <v>1784</v>
      </c>
    </row>
    <row r="93" spans="1:4" ht="47.25">
      <c r="A93" s="105"/>
      <c r="B93" s="79" t="s">
        <v>1658</v>
      </c>
      <c r="C93" s="79" t="s">
        <v>1659</v>
      </c>
      <c r="D93" s="80" t="s">
        <v>1763</v>
      </c>
    </row>
    <row r="94" spans="1:4" ht="15.75">
      <c r="A94" s="68" t="s">
        <v>1727</v>
      </c>
      <c r="B94" s="68" t="s">
        <v>1658</v>
      </c>
      <c r="C94" s="68" t="s">
        <v>46</v>
      </c>
      <c r="D94" s="80" t="s">
        <v>1745</v>
      </c>
    </row>
  </sheetData>
  <autoFilter ref="A3:D94"/>
  <mergeCells count="25">
    <mergeCell ref="A85:A86"/>
    <mergeCell ref="A91:A93"/>
    <mergeCell ref="A79:A80"/>
    <mergeCell ref="A81:A82"/>
    <mergeCell ref="A83:A84"/>
    <mergeCell ref="A87:A88"/>
    <mergeCell ref="A89:A90"/>
    <mergeCell ref="A70:A71"/>
    <mergeCell ref="A35:A36"/>
    <mergeCell ref="A58:A60"/>
    <mergeCell ref="A61:A63"/>
    <mergeCell ref="A64:A66"/>
    <mergeCell ref="A67:A68"/>
    <mergeCell ref="A1:A3"/>
    <mergeCell ref="B1:D1"/>
    <mergeCell ref="B2:B3"/>
    <mergeCell ref="C2:D2"/>
    <mergeCell ref="A17:A18"/>
    <mergeCell ref="A27:A28"/>
    <mergeCell ref="A30:A32"/>
    <mergeCell ref="A6:A7"/>
    <mergeCell ref="A8:A9"/>
    <mergeCell ref="A10:A11"/>
    <mergeCell ref="A12:A16"/>
    <mergeCell ref="A25:A26"/>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abSelected="1" zoomScale="90" zoomScaleNormal="90" workbookViewId="0">
      <pane xSplit="1" topLeftCell="B1" activePane="topRight" state="frozen"/>
      <selection pane="topRight" sqref="A1:A3"/>
    </sheetView>
  </sheetViews>
  <sheetFormatPr defaultRowHeight="15"/>
  <cols>
    <col min="1" max="1" width="14.5703125" style="66" customWidth="1"/>
    <col min="2" max="2" width="17.85546875" style="66" customWidth="1"/>
    <col min="3" max="3" width="11.7109375" style="66" customWidth="1"/>
    <col min="4" max="4" width="124.85546875" style="66" customWidth="1"/>
    <col min="5" max="16384" width="9.140625" style="66"/>
  </cols>
  <sheetData>
    <row r="1" spans="1:4" ht="16.5" customHeight="1">
      <c r="A1" s="102" t="s">
        <v>1667</v>
      </c>
      <c r="B1" s="102" t="s">
        <v>1789</v>
      </c>
      <c r="C1" s="102"/>
      <c r="D1" s="102"/>
    </row>
    <row r="2" spans="1:4" ht="16.5" customHeight="1">
      <c r="A2" s="102"/>
      <c r="B2" s="102" t="s">
        <v>1653</v>
      </c>
      <c r="C2" s="102" t="s">
        <v>1654</v>
      </c>
      <c r="D2" s="102"/>
    </row>
    <row r="3" spans="1:4" ht="31.5">
      <c r="A3" s="102"/>
      <c r="B3" s="102"/>
      <c r="C3" s="82" t="s">
        <v>1655</v>
      </c>
      <c r="D3" s="78" t="s">
        <v>1656</v>
      </c>
    </row>
    <row r="4" spans="1:4" ht="47.25">
      <c r="A4" s="81" t="s">
        <v>1657</v>
      </c>
      <c r="B4" s="81" t="s">
        <v>1658</v>
      </c>
      <c r="C4" s="81" t="s">
        <v>1659</v>
      </c>
      <c r="D4" s="80" t="s">
        <v>1805</v>
      </c>
    </row>
    <row r="5" spans="1:4" ht="15" customHeight="1">
      <c r="A5" s="81" t="s">
        <v>1664</v>
      </c>
      <c r="B5" s="81" t="s">
        <v>46</v>
      </c>
      <c r="C5" s="81" t="s">
        <v>46</v>
      </c>
      <c r="D5" s="80" t="s">
        <v>1757</v>
      </c>
    </row>
    <row r="6" spans="1:4" ht="94.5">
      <c r="A6" s="81" t="s">
        <v>1665</v>
      </c>
      <c r="B6" s="81" t="s">
        <v>1658</v>
      </c>
      <c r="C6" s="81" t="s">
        <v>1790</v>
      </c>
      <c r="D6" s="80" t="s">
        <v>1794</v>
      </c>
    </row>
    <row r="7" spans="1:4" ht="94.5">
      <c r="A7" s="83" t="s">
        <v>1666</v>
      </c>
      <c r="B7" s="81" t="s">
        <v>1658</v>
      </c>
      <c r="C7" s="81" t="s">
        <v>1659</v>
      </c>
      <c r="D7" s="80" t="s">
        <v>1793</v>
      </c>
    </row>
    <row r="8" spans="1:4" ht="63">
      <c r="A8" s="83" t="s">
        <v>1670</v>
      </c>
      <c r="B8" s="81" t="s">
        <v>1658</v>
      </c>
      <c r="C8" s="81" t="s">
        <v>1792</v>
      </c>
      <c r="D8" s="80" t="s">
        <v>1791</v>
      </c>
    </row>
    <row r="9" spans="1:4" ht="63" customHeight="1">
      <c r="A9" s="103" t="s">
        <v>1671</v>
      </c>
      <c r="B9" s="81" t="s">
        <v>1658</v>
      </c>
      <c r="C9" s="81" t="s">
        <v>1659</v>
      </c>
      <c r="D9" s="80" t="s">
        <v>1795</v>
      </c>
    </row>
    <row r="10" spans="1:4" ht="220.5">
      <c r="A10" s="105"/>
      <c r="B10" s="81" t="s">
        <v>1658</v>
      </c>
      <c r="C10" s="81" t="s">
        <v>1796</v>
      </c>
      <c r="D10" s="80" t="s">
        <v>1797</v>
      </c>
    </row>
    <row r="11" spans="1:4" ht="63">
      <c r="A11" s="104"/>
      <c r="B11" s="81" t="s">
        <v>1658</v>
      </c>
      <c r="C11" s="81" t="s">
        <v>1753</v>
      </c>
      <c r="D11" s="80" t="s">
        <v>1798</v>
      </c>
    </row>
    <row r="12" spans="1:4" ht="63">
      <c r="A12" s="83" t="s">
        <v>1672</v>
      </c>
      <c r="B12" s="81" t="s">
        <v>1658</v>
      </c>
      <c r="C12" s="81" t="s">
        <v>1659</v>
      </c>
      <c r="D12" s="80" t="s">
        <v>1795</v>
      </c>
    </row>
    <row r="13" spans="1:4" ht="94.5">
      <c r="A13" s="81" t="s">
        <v>1673</v>
      </c>
      <c r="B13" s="81" t="s">
        <v>1658</v>
      </c>
      <c r="C13" s="81" t="s">
        <v>1659</v>
      </c>
      <c r="D13" s="80" t="s">
        <v>1799</v>
      </c>
    </row>
    <row r="14" spans="1:4" ht="94.5">
      <c r="A14" s="81" t="s">
        <v>1674</v>
      </c>
      <c r="B14" s="81" t="s">
        <v>1658</v>
      </c>
      <c r="C14" s="81" t="s">
        <v>1659</v>
      </c>
      <c r="D14" s="80" t="s">
        <v>1799</v>
      </c>
    </row>
    <row r="15" spans="1:4" ht="94.5">
      <c r="A15" s="81" t="s">
        <v>1675</v>
      </c>
      <c r="B15" s="81" t="s">
        <v>1658</v>
      </c>
      <c r="C15" s="81" t="s">
        <v>1659</v>
      </c>
      <c r="D15" s="80" t="s">
        <v>1801</v>
      </c>
    </row>
    <row r="16" spans="1:4" ht="94.5">
      <c r="A16" s="81" t="s">
        <v>1676</v>
      </c>
      <c r="B16" s="81" t="s">
        <v>1658</v>
      </c>
      <c r="C16" s="81" t="s">
        <v>1659</v>
      </c>
      <c r="D16" s="80" t="s">
        <v>1801</v>
      </c>
    </row>
    <row r="17" spans="1:4" ht="78.75">
      <c r="A17" s="81" t="s">
        <v>1677</v>
      </c>
      <c r="B17" s="81" t="s">
        <v>1658</v>
      </c>
      <c r="C17" s="81" t="s">
        <v>1659</v>
      </c>
      <c r="D17" s="80" t="s">
        <v>1802</v>
      </c>
    </row>
    <row r="18" spans="1:4" ht="78.75">
      <c r="A18" s="81" t="s">
        <v>1678</v>
      </c>
      <c r="B18" s="81" t="s">
        <v>1658</v>
      </c>
      <c r="C18" s="81" t="s">
        <v>1659</v>
      </c>
      <c r="D18" s="80" t="s">
        <v>1802</v>
      </c>
    </row>
    <row r="19" spans="1:4" ht="63" customHeight="1">
      <c r="A19" s="83" t="s">
        <v>1679</v>
      </c>
      <c r="B19" s="81" t="s">
        <v>1658</v>
      </c>
      <c r="C19" s="81" t="s">
        <v>1790</v>
      </c>
      <c r="D19" s="80" t="s">
        <v>1803</v>
      </c>
    </row>
    <row r="20" spans="1:4" ht="126">
      <c r="A20" s="83" t="s">
        <v>1680</v>
      </c>
      <c r="B20" s="81" t="s">
        <v>1658</v>
      </c>
      <c r="C20" s="81" t="s">
        <v>1796</v>
      </c>
      <c r="D20" s="80" t="s">
        <v>1804</v>
      </c>
    </row>
    <row r="21" spans="1:4" ht="204.75">
      <c r="A21" s="81" t="s">
        <v>1681</v>
      </c>
      <c r="B21" s="81" t="s">
        <v>1658</v>
      </c>
      <c r="C21" s="81" t="s">
        <v>1792</v>
      </c>
      <c r="D21" s="80" t="s">
        <v>1813</v>
      </c>
    </row>
    <row r="22" spans="1:4" ht="78.75">
      <c r="A22" s="83" t="s">
        <v>1682</v>
      </c>
      <c r="B22" s="81" t="s">
        <v>1658</v>
      </c>
      <c r="C22" s="81" t="s">
        <v>1659</v>
      </c>
      <c r="D22" s="80" t="s">
        <v>1816</v>
      </c>
    </row>
    <row r="23" spans="1:4" ht="63">
      <c r="A23" s="81" t="s">
        <v>1683</v>
      </c>
      <c r="B23" s="81" t="s">
        <v>1658</v>
      </c>
      <c r="C23" s="81" t="s">
        <v>1659</v>
      </c>
      <c r="D23" s="80" t="s">
        <v>1809</v>
      </c>
    </row>
    <row r="24" spans="1:4" ht="94.5">
      <c r="A24" s="81" t="s">
        <v>1684</v>
      </c>
      <c r="B24" s="81" t="s">
        <v>1658</v>
      </c>
      <c r="C24" s="81" t="s">
        <v>1796</v>
      </c>
      <c r="D24" s="80" t="s">
        <v>1806</v>
      </c>
    </row>
    <row r="25" spans="1:4" ht="94.5">
      <c r="A25" s="83" t="s">
        <v>1685</v>
      </c>
      <c r="B25" s="81" t="s">
        <v>1658</v>
      </c>
      <c r="C25" s="81" t="s">
        <v>1807</v>
      </c>
      <c r="D25" s="80" t="s">
        <v>1808</v>
      </c>
    </row>
    <row r="26" spans="1:4" ht="47.25">
      <c r="A26" s="81" t="s">
        <v>1686</v>
      </c>
      <c r="B26" s="81" t="s">
        <v>1658</v>
      </c>
      <c r="C26" s="81" t="s">
        <v>1659</v>
      </c>
      <c r="D26" s="80" t="s">
        <v>1810</v>
      </c>
    </row>
    <row r="27" spans="1:4" ht="63">
      <c r="A27" s="81" t="s">
        <v>1687</v>
      </c>
      <c r="B27" s="81" t="s">
        <v>1658</v>
      </c>
      <c r="C27" s="81" t="s">
        <v>1659</v>
      </c>
      <c r="D27" s="80" t="s">
        <v>1811</v>
      </c>
    </row>
    <row r="28" spans="1:4" ht="78.75">
      <c r="A28" s="81" t="s">
        <v>1688</v>
      </c>
      <c r="B28" s="81" t="s">
        <v>1658</v>
      </c>
      <c r="C28" s="81" t="s">
        <v>1659</v>
      </c>
      <c r="D28" s="80" t="s">
        <v>1812</v>
      </c>
    </row>
    <row r="29" spans="1:4" ht="94.5">
      <c r="A29" s="81" t="s">
        <v>1689</v>
      </c>
      <c r="B29" s="81" t="s">
        <v>1658</v>
      </c>
      <c r="C29" s="81" t="s">
        <v>1659</v>
      </c>
      <c r="D29" s="80" t="s">
        <v>1814</v>
      </c>
    </row>
    <row r="30" spans="1:4" ht="31.5">
      <c r="A30" s="81" t="s">
        <v>1690</v>
      </c>
      <c r="B30" s="81" t="s">
        <v>46</v>
      </c>
      <c r="C30" s="81" t="s">
        <v>46</v>
      </c>
      <c r="D30" s="80" t="s">
        <v>1746</v>
      </c>
    </row>
    <row r="31" spans="1:4" ht="31.5">
      <c r="A31" s="81" t="s">
        <v>1691</v>
      </c>
      <c r="B31" s="81" t="s">
        <v>46</v>
      </c>
      <c r="C31" s="81" t="s">
        <v>46</v>
      </c>
      <c r="D31" s="80" t="s">
        <v>1746</v>
      </c>
    </row>
    <row r="32" spans="1:4" ht="31.5">
      <c r="A32" s="81" t="s">
        <v>1692</v>
      </c>
      <c r="B32" s="81" t="s">
        <v>46</v>
      </c>
      <c r="C32" s="81" t="s">
        <v>46</v>
      </c>
      <c r="D32" s="80" t="s">
        <v>1746</v>
      </c>
    </row>
    <row r="33" spans="1:4" ht="31.5">
      <c r="A33" s="81" t="s">
        <v>1693</v>
      </c>
      <c r="B33" s="81" t="s">
        <v>46</v>
      </c>
      <c r="C33" s="81" t="s">
        <v>46</v>
      </c>
      <c r="D33" s="80" t="s">
        <v>1746</v>
      </c>
    </row>
    <row r="34" spans="1:4" ht="31.5">
      <c r="A34" s="81" t="s">
        <v>1694</v>
      </c>
      <c r="B34" s="81" t="s">
        <v>46</v>
      </c>
      <c r="C34" s="81" t="s">
        <v>46</v>
      </c>
      <c r="D34" s="80" t="s">
        <v>1746</v>
      </c>
    </row>
    <row r="35" spans="1:4" ht="31.5">
      <c r="A35" s="81" t="s">
        <v>1695</v>
      </c>
      <c r="B35" s="81" t="s">
        <v>46</v>
      </c>
      <c r="C35" s="81" t="s">
        <v>46</v>
      </c>
      <c r="D35" s="80" t="s">
        <v>1746</v>
      </c>
    </row>
    <row r="36" spans="1:4" ht="31.5">
      <c r="A36" s="81" t="s">
        <v>1696</v>
      </c>
      <c r="B36" s="81" t="s">
        <v>46</v>
      </c>
      <c r="C36" s="81" t="s">
        <v>46</v>
      </c>
      <c r="D36" s="80" t="s">
        <v>1746</v>
      </c>
    </row>
    <row r="37" spans="1:4" ht="31.5">
      <c r="A37" s="81" t="s">
        <v>1697</v>
      </c>
      <c r="B37" s="81" t="s">
        <v>46</v>
      </c>
      <c r="C37" s="81" t="s">
        <v>46</v>
      </c>
      <c r="D37" s="80" t="s">
        <v>1746</v>
      </c>
    </row>
    <row r="38" spans="1:4" ht="31.5">
      <c r="A38" s="81" t="s">
        <v>1698</v>
      </c>
      <c r="B38" s="81" t="s">
        <v>46</v>
      </c>
      <c r="C38" s="81" t="s">
        <v>46</v>
      </c>
      <c r="D38" s="80" t="s">
        <v>1746</v>
      </c>
    </row>
    <row r="39" spans="1:4" ht="31.5">
      <c r="A39" s="81" t="s">
        <v>1699</v>
      </c>
      <c r="B39" s="81" t="s">
        <v>46</v>
      </c>
      <c r="C39" s="81" t="s">
        <v>46</v>
      </c>
      <c r="D39" s="80" t="s">
        <v>1746</v>
      </c>
    </row>
    <row r="40" spans="1:4" ht="31.5">
      <c r="A40" s="81" t="s">
        <v>1700</v>
      </c>
      <c r="B40" s="81" t="s">
        <v>46</v>
      </c>
      <c r="C40" s="81" t="s">
        <v>46</v>
      </c>
      <c r="D40" s="80" t="s">
        <v>1746</v>
      </c>
    </row>
    <row r="41" spans="1:4" ht="31.5">
      <c r="A41" s="81" t="s">
        <v>1701</v>
      </c>
      <c r="B41" s="81" t="s">
        <v>46</v>
      </c>
      <c r="C41" s="81" t="s">
        <v>46</v>
      </c>
      <c r="D41" s="80" t="s">
        <v>1746</v>
      </c>
    </row>
    <row r="42" spans="1:4" ht="31.5">
      <c r="A42" s="81" t="s">
        <v>1702</v>
      </c>
      <c r="B42" s="81" t="s">
        <v>46</v>
      </c>
      <c r="C42" s="81" t="s">
        <v>46</v>
      </c>
      <c r="D42" s="80" t="s">
        <v>1746</v>
      </c>
    </row>
    <row r="43" spans="1:4" ht="31.5">
      <c r="A43" s="81" t="s">
        <v>1703</v>
      </c>
      <c r="B43" s="81" t="s">
        <v>46</v>
      </c>
      <c r="C43" s="81" t="s">
        <v>46</v>
      </c>
      <c r="D43" s="80" t="s">
        <v>1746</v>
      </c>
    </row>
    <row r="44" spans="1:4" ht="31.5">
      <c r="A44" s="81" t="s">
        <v>1704</v>
      </c>
      <c r="B44" s="81" t="s">
        <v>46</v>
      </c>
      <c r="C44" s="81" t="s">
        <v>46</v>
      </c>
      <c r="D44" s="80" t="s">
        <v>1746</v>
      </c>
    </row>
    <row r="45" spans="1:4" ht="31.5">
      <c r="A45" s="81" t="s">
        <v>1705</v>
      </c>
      <c r="B45" s="81" t="s">
        <v>46</v>
      </c>
      <c r="C45" s="81" t="s">
        <v>46</v>
      </c>
      <c r="D45" s="80" t="s">
        <v>1746</v>
      </c>
    </row>
    <row r="46" spans="1:4" ht="31.5">
      <c r="A46" s="81" t="s">
        <v>1706</v>
      </c>
      <c r="B46" s="81" t="s">
        <v>46</v>
      </c>
      <c r="C46" s="81" t="s">
        <v>46</v>
      </c>
      <c r="D46" s="80" t="s">
        <v>1746</v>
      </c>
    </row>
    <row r="47" spans="1:4" ht="94.5">
      <c r="A47" s="83" t="s">
        <v>1707</v>
      </c>
      <c r="B47" s="81" t="s">
        <v>1658</v>
      </c>
      <c r="C47" s="81" t="s">
        <v>1796</v>
      </c>
      <c r="D47" s="80" t="s">
        <v>1815</v>
      </c>
    </row>
    <row r="48" spans="1:4" ht="94.5">
      <c r="A48" s="83" t="s">
        <v>1708</v>
      </c>
      <c r="B48" s="81" t="s">
        <v>1658</v>
      </c>
      <c r="C48" s="81" t="s">
        <v>1796</v>
      </c>
      <c r="D48" s="80" t="s">
        <v>1815</v>
      </c>
    </row>
    <row r="49" spans="1:4" ht="78.75">
      <c r="A49" s="83" t="s">
        <v>1709</v>
      </c>
      <c r="B49" s="81" t="s">
        <v>1658</v>
      </c>
      <c r="C49" s="81" t="s">
        <v>1659</v>
      </c>
      <c r="D49" s="80" t="s">
        <v>1816</v>
      </c>
    </row>
    <row r="50" spans="1:4" ht="126">
      <c r="A50" s="83" t="s">
        <v>1710</v>
      </c>
      <c r="B50" s="81" t="s">
        <v>1658</v>
      </c>
      <c r="C50" s="81" t="s">
        <v>1790</v>
      </c>
      <c r="D50" s="80" t="s">
        <v>1817</v>
      </c>
    </row>
    <row r="51" spans="1:4" ht="31.5">
      <c r="A51" s="81" t="s">
        <v>1711</v>
      </c>
      <c r="B51" s="81" t="s">
        <v>46</v>
      </c>
      <c r="C51" s="81" t="s">
        <v>46</v>
      </c>
      <c r="D51" s="80" t="s">
        <v>1777</v>
      </c>
    </row>
    <row r="52" spans="1:4" ht="47.25">
      <c r="A52" s="83" t="s">
        <v>1712</v>
      </c>
      <c r="B52" s="81" t="s">
        <v>1658</v>
      </c>
      <c r="C52" s="81" t="s">
        <v>1659</v>
      </c>
      <c r="D52" s="80" t="s">
        <v>1818</v>
      </c>
    </row>
    <row r="53" spans="1:4" ht="47.25">
      <c r="A53" s="81" t="s">
        <v>1713</v>
      </c>
      <c r="B53" s="81" t="s">
        <v>1658</v>
      </c>
      <c r="C53" s="81" t="s">
        <v>1659</v>
      </c>
      <c r="D53" s="80" t="s">
        <v>1819</v>
      </c>
    </row>
    <row r="54" spans="1:4" ht="78.75">
      <c r="A54" s="81" t="s">
        <v>1714</v>
      </c>
      <c r="B54" s="81" t="s">
        <v>1658</v>
      </c>
      <c r="C54" s="81" t="s">
        <v>1659</v>
      </c>
      <c r="D54" s="80" t="s">
        <v>1821</v>
      </c>
    </row>
    <row r="55" spans="1:4" ht="31.5">
      <c r="A55" s="81" t="s">
        <v>1715</v>
      </c>
      <c r="B55" s="81" t="s">
        <v>46</v>
      </c>
      <c r="C55" s="81" t="s">
        <v>46</v>
      </c>
      <c r="D55" s="80" t="s">
        <v>1746</v>
      </c>
    </row>
    <row r="56" spans="1:4" ht="31.5">
      <c r="A56" s="81" t="s">
        <v>1716</v>
      </c>
      <c r="B56" s="81" t="s">
        <v>46</v>
      </c>
      <c r="C56" s="81" t="s">
        <v>46</v>
      </c>
      <c r="D56" s="80" t="s">
        <v>1746</v>
      </c>
    </row>
    <row r="57" spans="1:4" ht="31.5">
      <c r="A57" s="81" t="s">
        <v>1717</v>
      </c>
      <c r="B57" s="81" t="s">
        <v>46</v>
      </c>
      <c r="C57" s="81" t="s">
        <v>46</v>
      </c>
      <c r="D57" s="80" t="s">
        <v>1746</v>
      </c>
    </row>
    <row r="58" spans="1:4" ht="31.5">
      <c r="A58" s="81" t="s">
        <v>1718</v>
      </c>
      <c r="B58" s="81" t="s">
        <v>46</v>
      </c>
      <c r="C58" s="81" t="s">
        <v>46</v>
      </c>
      <c r="D58" s="80" t="s">
        <v>1746</v>
      </c>
    </row>
    <row r="59" spans="1:4" ht="31.5">
      <c r="A59" s="81" t="s">
        <v>1719</v>
      </c>
      <c r="B59" s="81" t="s">
        <v>46</v>
      </c>
      <c r="C59" s="81" t="s">
        <v>46</v>
      </c>
      <c r="D59" s="80" t="s">
        <v>1746</v>
      </c>
    </row>
    <row r="60" spans="1:4" ht="94.5">
      <c r="A60" s="83" t="s">
        <v>1720</v>
      </c>
      <c r="B60" s="81" t="s">
        <v>1658</v>
      </c>
      <c r="C60" s="81" t="s">
        <v>1796</v>
      </c>
      <c r="D60" s="80" t="s">
        <v>1806</v>
      </c>
    </row>
    <row r="61" spans="1:4" ht="126">
      <c r="A61" s="83" t="s">
        <v>1721</v>
      </c>
      <c r="B61" s="81" t="s">
        <v>1658</v>
      </c>
      <c r="C61" s="81" t="s">
        <v>1796</v>
      </c>
      <c r="D61" s="80" t="s">
        <v>1822</v>
      </c>
    </row>
    <row r="62" spans="1:4" ht="126">
      <c r="A62" s="83" t="s">
        <v>1722</v>
      </c>
      <c r="B62" s="81" t="s">
        <v>1658</v>
      </c>
      <c r="C62" s="81" t="s">
        <v>1796</v>
      </c>
      <c r="D62" s="80" t="s">
        <v>1822</v>
      </c>
    </row>
    <row r="63" spans="1:4" ht="126">
      <c r="A63" s="83" t="s">
        <v>1723</v>
      </c>
      <c r="B63" s="81" t="s">
        <v>1658</v>
      </c>
      <c r="C63" s="81" t="s">
        <v>1796</v>
      </c>
      <c r="D63" s="80" t="s">
        <v>1822</v>
      </c>
    </row>
    <row r="64" spans="1:4" ht="126">
      <c r="A64" s="83" t="s">
        <v>1724</v>
      </c>
      <c r="B64" s="81" t="s">
        <v>1658</v>
      </c>
      <c r="C64" s="81" t="s">
        <v>1796</v>
      </c>
      <c r="D64" s="80" t="s">
        <v>1822</v>
      </c>
    </row>
    <row r="65" spans="1:4" ht="126">
      <c r="A65" s="83" t="s">
        <v>1725</v>
      </c>
      <c r="B65" s="81" t="s">
        <v>1658</v>
      </c>
      <c r="C65" s="81" t="s">
        <v>1796</v>
      </c>
      <c r="D65" s="80" t="s">
        <v>1822</v>
      </c>
    </row>
    <row r="66" spans="1:4" ht="63">
      <c r="A66" s="83" t="s">
        <v>1726</v>
      </c>
      <c r="B66" s="81" t="s">
        <v>1658</v>
      </c>
      <c r="C66" s="81" t="s">
        <v>1659</v>
      </c>
      <c r="D66" s="80" t="s">
        <v>1795</v>
      </c>
    </row>
    <row r="67" spans="1:4" ht="15.75">
      <c r="A67" s="81" t="s">
        <v>1727</v>
      </c>
      <c r="B67" s="81" t="s">
        <v>1658</v>
      </c>
      <c r="C67" s="81" t="s">
        <v>46</v>
      </c>
      <c r="D67" s="80" t="s">
        <v>1745</v>
      </c>
    </row>
  </sheetData>
  <autoFilter ref="A3:D67"/>
  <mergeCells count="5">
    <mergeCell ref="A9:A11"/>
    <mergeCell ref="A1:A3"/>
    <mergeCell ref="B1:D1"/>
    <mergeCell ref="B2:B3"/>
    <mergeCell ref="C2:D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heetViews>
  <sheetFormatPr defaultRowHeight="15"/>
  <cols>
    <col min="1" max="1" width="28" bestFit="1" customWidth="1"/>
    <col min="2" max="2" width="9.42578125" bestFit="1" customWidth="1"/>
    <col min="3" max="3" width="23.7109375" bestFit="1" customWidth="1"/>
    <col min="4" max="4" width="13.7109375" bestFit="1" customWidth="1"/>
    <col min="5" max="5" width="27.28515625" bestFit="1" customWidth="1"/>
  </cols>
  <sheetData>
    <row r="1" spans="1:5">
      <c r="A1" s="71" t="s">
        <v>1638</v>
      </c>
      <c r="B1" s="71" t="s">
        <v>1637</v>
      </c>
      <c r="C1" s="71" t="s">
        <v>1636</v>
      </c>
      <c r="D1" s="71" t="s">
        <v>1635</v>
      </c>
      <c r="E1" s="71" t="s">
        <v>1639</v>
      </c>
    </row>
    <row r="2" spans="1:5">
      <c r="A2" s="30" t="s">
        <v>1634</v>
      </c>
      <c r="B2" s="30" t="s">
        <v>1471</v>
      </c>
      <c r="C2" s="30" t="s">
        <v>1633</v>
      </c>
      <c r="D2" s="30" t="s">
        <v>1632</v>
      </c>
      <c r="E2" s="30" t="s">
        <v>1646</v>
      </c>
    </row>
    <row r="3" spans="1:5">
      <c r="A3" s="30" t="s">
        <v>1631</v>
      </c>
      <c r="B3" s="30" t="s">
        <v>1471</v>
      </c>
      <c r="C3" s="30" t="s">
        <v>1630</v>
      </c>
      <c r="D3" s="30" t="s">
        <v>1629</v>
      </c>
      <c r="E3" s="30" t="s">
        <v>1647</v>
      </c>
    </row>
    <row r="4" spans="1:5">
      <c r="A4" s="30" t="s">
        <v>1628</v>
      </c>
      <c r="B4" s="30" t="s">
        <v>1471</v>
      </c>
      <c r="C4" s="30" t="s">
        <v>1642</v>
      </c>
      <c r="D4" s="30" t="s">
        <v>1644</v>
      </c>
      <c r="E4" s="30" t="s">
        <v>1648</v>
      </c>
    </row>
    <row r="5" spans="1:5">
      <c r="A5" s="30" t="s">
        <v>1627</v>
      </c>
      <c r="B5" s="30" t="s">
        <v>1471</v>
      </c>
      <c r="C5" s="30" t="s">
        <v>1643</v>
      </c>
      <c r="D5" s="30" t="s">
        <v>1645</v>
      </c>
      <c r="E5" s="30" t="s">
        <v>1649</v>
      </c>
    </row>
    <row r="6" spans="1:5">
      <c r="A6" s="30" t="s">
        <v>1626</v>
      </c>
      <c r="B6" s="30" t="s">
        <v>1476</v>
      </c>
      <c r="C6" s="30" t="s">
        <v>1625</v>
      </c>
      <c r="D6" s="30" t="s">
        <v>1624</v>
      </c>
      <c r="E6" s="30"/>
    </row>
    <row r="7" spans="1:5">
      <c r="A7" s="30" t="s">
        <v>1623</v>
      </c>
      <c r="B7" s="30" t="s">
        <v>1476</v>
      </c>
      <c r="C7" s="30" t="s">
        <v>1622</v>
      </c>
      <c r="D7" s="30" t="s">
        <v>1621</v>
      </c>
      <c r="E7" s="30"/>
    </row>
    <row r="8" spans="1:5">
      <c r="A8" s="30" t="s">
        <v>1620</v>
      </c>
      <c r="B8" s="30" t="s">
        <v>1476</v>
      </c>
      <c r="C8" s="30" t="s">
        <v>1619</v>
      </c>
      <c r="D8" s="30" t="s">
        <v>1618</v>
      </c>
      <c r="E8" s="30"/>
    </row>
    <row r="9" spans="1:5">
      <c r="A9" s="30" t="s">
        <v>1617</v>
      </c>
      <c r="B9" s="30" t="s">
        <v>1476</v>
      </c>
      <c r="C9" s="30" t="s">
        <v>1616</v>
      </c>
      <c r="D9" s="30" t="s">
        <v>1615</v>
      </c>
      <c r="E9" s="30"/>
    </row>
    <row r="10" spans="1:5">
      <c r="A10" s="30" t="s">
        <v>1614</v>
      </c>
      <c r="B10" s="30" t="s">
        <v>1476</v>
      </c>
      <c r="C10" s="30" t="s">
        <v>1613</v>
      </c>
      <c r="D10" s="30" t="s">
        <v>1612</v>
      </c>
      <c r="E10" s="30"/>
    </row>
    <row r="11" spans="1:5">
      <c r="A11" s="30" t="s">
        <v>1611</v>
      </c>
      <c r="B11" s="30" t="s">
        <v>1476</v>
      </c>
      <c r="C11" s="30" t="s">
        <v>1610</v>
      </c>
      <c r="D11" s="30" t="s">
        <v>1609</v>
      </c>
      <c r="E11" s="30"/>
    </row>
    <row r="12" spans="1:5">
      <c r="A12" s="30" t="s">
        <v>1608</v>
      </c>
      <c r="B12" s="30" t="s">
        <v>1476</v>
      </c>
      <c r="C12" s="30" t="s">
        <v>1607</v>
      </c>
      <c r="D12" s="30" t="s">
        <v>1606</v>
      </c>
      <c r="E12" s="30"/>
    </row>
    <row r="13" spans="1:5">
      <c r="A13" s="30" t="s">
        <v>1605</v>
      </c>
      <c r="B13" s="30" t="s">
        <v>1476</v>
      </c>
      <c r="C13" s="30" t="s">
        <v>1604</v>
      </c>
      <c r="D13" s="30" t="s">
        <v>1603</v>
      </c>
      <c r="E13" s="30"/>
    </row>
    <row r="14" spans="1:5">
      <c r="A14" s="30" t="s">
        <v>1602</v>
      </c>
      <c r="B14" s="30" t="s">
        <v>1476</v>
      </c>
      <c r="C14" s="30" t="s">
        <v>1601</v>
      </c>
      <c r="D14" s="30" t="s">
        <v>1600</v>
      </c>
      <c r="E14" s="30"/>
    </row>
    <row r="15" spans="1:5">
      <c r="A15" s="30" t="s">
        <v>1599</v>
      </c>
      <c r="B15" s="30" t="s">
        <v>1476</v>
      </c>
      <c r="C15" s="30" t="s">
        <v>1598</v>
      </c>
      <c r="D15" s="30" t="s">
        <v>1597</v>
      </c>
      <c r="E15" s="30"/>
    </row>
    <row r="16" spans="1:5">
      <c r="A16" s="30" t="s">
        <v>1596</v>
      </c>
      <c r="B16" s="30" t="s">
        <v>1476</v>
      </c>
      <c r="C16" s="30" t="s">
        <v>1595</v>
      </c>
      <c r="D16" s="30" t="s">
        <v>1594</v>
      </c>
      <c r="E16" s="30"/>
    </row>
    <row r="17" spans="1:5">
      <c r="A17" s="30" t="s">
        <v>1593</v>
      </c>
      <c r="B17" s="30" t="s">
        <v>1476</v>
      </c>
      <c r="C17" s="30" t="s">
        <v>1592</v>
      </c>
      <c r="D17" s="30" t="s">
        <v>1591</v>
      </c>
      <c r="E17" s="30"/>
    </row>
    <row r="18" spans="1:5">
      <c r="A18" s="30" t="s">
        <v>1590</v>
      </c>
      <c r="B18" s="30" t="s">
        <v>1476</v>
      </c>
      <c r="C18" s="30" t="s">
        <v>1589</v>
      </c>
      <c r="D18" s="30" t="s">
        <v>1588</v>
      </c>
      <c r="E18" s="30"/>
    </row>
    <row r="19" spans="1:5">
      <c r="A19" s="30" t="s">
        <v>1587</v>
      </c>
      <c r="B19" s="30" t="s">
        <v>1476</v>
      </c>
      <c r="C19" s="30" t="s">
        <v>1586</v>
      </c>
      <c r="D19" s="30" t="s">
        <v>1585</v>
      </c>
      <c r="E19" s="30"/>
    </row>
    <row r="20" spans="1:5">
      <c r="A20" s="30" t="s">
        <v>1584</v>
      </c>
      <c r="B20" s="30" t="s">
        <v>1476</v>
      </c>
      <c r="C20" s="30" t="s">
        <v>1583</v>
      </c>
      <c r="D20" s="30" t="s">
        <v>1582</v>
      </c>
      <c r="E20" s="30"/>
    </row>
    <row r="21" spans="1:5">
      <c r="A21" s="30" t="s">
        <v>1581</v>
      </c>
      <c r="B21" s="30" t="s">
        <v>1476</v>
      </c>
      <c r="C21" s="30" t="s">
        <v>1580</v>
      </c>
      <c r="D21" s="30" t="s">
        <v>1579</v>
      </c>
      <c r="E21" s="30"/>
    </row>
    <row r="22" spans="1:5">
      <c r="A22" s="30" t="s">
        <v>1578</v>
      </c>
      <c r="B22" s="30" t="s">
        <v>1476</v>
      </c>
      <c r="C22" s="30" t="s">
        <v>1577</v>
      </c>
      <c r="D22" s="30" t="s">
        <v>1576</v>
      </c>
      <c r="E22" s="30"/>
    </row>
    <row r="23" spans="1:5">
      <c r="A23" s="30" t="s">
        <v>1575</v>
      </c>
      <c r="B23" s="30" t="s">
        <v>1476</v>
      </c>
      <c r="C23" s="30" t="s">
        <v>1574</v>
      </c>
      <c r="D23" s="30" t="s">
        <v>1573</v>
      </c>
      <c r="E23" s="30"/>
    </row>
    <row r="24" spans="1:5">
      <c r="A24" s="30" t="s">
        <v>1572</v>
      </c>
      <c r="B24" s="30" t="s">
        <v>1476</v>
      </c>
      <c r="C24" s="30" t="s">
        <v>1571</v>
      </c>
      <c r="D24" s="30" t="s">
        <v>1570</v>
      </c>
      <c r="E24" s="30"/>
    </row>
    <row r="25" spans="1:5">
      <c r="A25" s="30" t="s">
        <v>1569</v>
      </c>
      <c r="B25" s="30" t="s">
        <v>1476</v>
      </c>
      <c r="C25" s="30" t="s">
        <v>1568</v>
      </c>
      <c r="D25" s="30" t="s">
        <v>1567</v>
      </c>
      <c r="E25" s="30"/>
    </row>
    <row r="26" spans="1:5">
      <c r="A26" s="30" t="s">
        <v>1566</v>
      </c>
      <c r="B26" s="30" t="s">
        <v>1476</v>
      </c>
      <c r="C26" s="30" t="s">
        <v>1565</v>
      </c>
      <c r="D26" s="30" t="s">
        <v>1564</v>
      </c>
      <c r="E26" s="30"/>
    </row>
    <row r="27" spans="1:5">
      <c r="A27" s="30" t="s">
        <v>1563</v>
      </c>
      <c r="B27" s="30" t="s">
        <v>1476</v>
      </c>
      <c r="C27" s="30" t="s">
        <v>1562</v>
      </c>
      <c r="D27" s="30" t="s">
        <v>1561</v>
      </c>
      <c r="E27" s="30"/>
    </row>
    <row r="28" spans="1:5">
      <c r="A28" s="30" t="s">
        <v>1560</v>
      </c>
      <c r="B28" s="30" t="s">
        <v>1476</v>
      </c>
      <c r="C28" s="30" t="s">
        <v>1559</v>
      </c>
      <c r="D28" s="30" t="s">
        <v>1558</v>
      </c>
      <c r="E28" s="30"/>
    </row>
    <row r="29" spans="1:5">
      <c r="A29" s="30" t="s">
        <v>1557</v>
      </c>
      <c r="B29" s="30" t="s">
        <v>1476</v>
      </c>
      <c r="C29" s="30" t="s">
        <v>1556</v>
      </c>
      <c r="D29" s="30" t="s">
        <v>1555</v>
      </c>
      <c r="E29" s="30"/>
    </row>
    <row r="30" spans="1:5">
      <c r="A30" s="30" t="s">
        <v>1554</v>
      </c>
      <c r="B30" s="30" t="s">
        <v>1476</v>
      </c>
      <c r="C30" s="30" t="s">
        <v>1553</v>
      </c>
      <c r="D30" s="30" t="s">
        <v>1552</v>
      </c>
      <c r="E30" s="30"/>
    </row>
    <row r="31" spans="1:5">
      <c r="A31" s="30" t="s">
        <v>1551</v>
      </c>
      <c r="B31" s="30" t="s">
        <v>1476</v>
      </c>
      <c r="C31" s="30" t="s">
        <v>1550</v>
      </c>
      <c r="D31" s="30" t="s">
        <v>1549</v>
      </c>
      <c r="E31" s="30"/>
    </row>
    <row r="32" spans="1:5">
      <c r="A32" s="30" t="s">
        <v>1548</v>
      </c>
      <c r="B32" s="30" t="s">
        <v>1476</v>
      </c>
      <c r="C32" s="30" t="s">
        <v>1547</v>
      </c>
      <c r="D32" s="30" t="s">
        <v>1546</v>
      </c>
      <c r="E32" s="30"/>
    </row>
    <row r="33" spans="1:5">
      <c r="A33" s="30" t="s">
        <v>1545</v>
      </c>
      <c r="B33" s="30" t="s">
        <v>1476</v>
      </c>
      <c r="C33" s="30" t="s">
        <v>1544</v>
      </c>
      <c r="D33" s="30" t="s">
        <v>1543</v>
      </c>
      <c r="E33" s="30"/>
    </row>
    <row r="34" spans="1:5">
      <c r="A34" s="30" t="s">
        <v>1542</v>
      </c>
      <c r="B34" s="30" t="s">
        <v>1476</v>
      </c>
      <c r="C34" s="30" t="s">
        <v>1541</v>
      </c>
      <c r="D34" s="30" t="s">
        <v>1540</v>
      </c>
      <c r="E34" s="30"/>
    </row>
    <row r="35" spans="1:5">
      <c r="A35" s="30" t="s">
        <v>1539</v>
      </c>
      <c r="B35" s="30" t="s">
        <v>1476</v>
      </c>
      <c r="C35" s="30" t="s">
        <v>1538</v>
      </c>
      <c r="D35" s="30" t="s">
        <v>1537</v>
      </c>
      <c r="E35" s="30"/>
    </row>
    <row r="36" spans="1:5">
      <c r="A36" s="30" t="s">
        <v>1536</v>
      </c>
      <c r="B36" s="30" t="s">
        <v>1476</v>
      </c>
      <c r="C36" s="30" t="s">
        <v>1535</v>
      </c>
      <c r="D36" s="30" t="s">
        <v>1534</v>
      </c>
      <c r="E36" s="30"/>
    </row>
    <row r="37" spans="1:5">
      <c r="A37" s="30" t="s">
        <v>1533</v>
      </c>
      <c r="B37" s="30" t="s">
        <v>1476</v>
      </c>
      <c r="C37" s="30" t="s">
        <v>1532</v>
      </c>
      <c r="D37" s="30" t="s">
        <v>1531</v>
      </c>
      <c r="E37" s="30"/>
    </row>
    <row r="38" spans="1:5">
      <c r="A38" s="30" t="s">
        <v>1530</v>
      </c>
      <c r="B38" s="30" t="s">
        <v>1476</v>
      </c>
      <c r="C38" s="30" t="s">
        <v>1529</v>
      </c>
      <c r="D38" s="30" t="s">
        <v>1528</v>
      </c>
      <c r="E38" s="30"/>
    </row>
    <row r="39" spans="1:5">
      <c r="A39" s="30" t="s">
        <v>1527</v>
      </c>
      <c r="B39" s="30" t="s">
        <v>1476</v>
      </c>
      <c r="C39" s="30" t="s">
        <v>1526</v>
      </c>
      <c r="D39" s="30" t="s">
        <v>1525</v>
      </c>
      <c r="E39" s="30"/>
    </row>
    <row r="40" spans="1:5">
      <c r="A40" s="30" t="s">
        <v>1524</v>
      </c>
      <c r="B40" s="30" t="s">
        <v>1476</v>
      </c>
      <c r="C40" s="30" t="s">
        <v>1523</v>
      </c>
      <c r="D40" s="30" t="s">
        <v>1522</v>
      </c>
      <c r="E40" s="30"/>
    </row>
    <row r="41" spans="1:5">
      <c r="A41" s="30" t="s">
        <v>1521</v>
      </c>
      <c r="B41" s="30" t="s">
        <v>1476</v>
      </c>
      <c r="C41" s="30" t="s">
        <v>1520</v>
      </c>
      <c r="D41" s="30" t="s">
        <v>1519</v>
      </c>
      <c r="E41" s="30"/>
    </row>
    <row r="42" spans="1:5">
      <c r="A42" s="30" t="s">
        <v>1518</v>
      </c>
      <c r="B42" s="30" t="s">
        <v>1476</v>
      </c>
      <c r="C42" s="30" t="s">
        <v>1517</v>
      </c>
      <c r="D42" s="30" t="s">
        <v>1516</v>
      </c>
      <c r="E42" s="30"/>
    </row>
    <row r="43" spans="1:5">
      <c r="A43" s="30" t="s">
        <v>1515</v>
      </c>
      <c r="B43" s="30" t="s">
        <v>1476</v>
      </c>
      <c r="C43" s="30" t="s">
        <v>1514</v>
      </c>
      <c r="D43" s="30" t="s">
        <v>1513</v>
      </c>
      <c r="E43" s="30"/>
    </row>
    <row r="44" spans="1:5">
      <c r="A44" s="30" t="s">
        <v>1512</v>
      </c>
      <c r="B44" s="30" t="s">
        <v>1476</v>
      </c>
      <c r="C44" s="30" t="s">
        <v>1511</v>
      </c>
      <c r="D44" s="30" t="s">
        <v>1510</v>
      </c>
      <c r="E44" s="30"/>
    </row>
    <row r="45" spans="1:5">
      <c r="A45" s="30" t="s">
        <v>1509</v>
      </c>
      <c r="B45" s="30" t="s">
        <v>1476</v>
      </c>
      <c r="C45" s="30" t="s">
        <v>1508</v>
      </c>
      <c r="D45" s="30" t="s">
        <v>1507</v>
      </c>
      <c r="E45" s="30"/>
    </row>
    <row r="46" spans="1:5">
      <c r="A46" s="30" t="s">
        <v>1506</v>
      </c>
      <c r="B46" s="30" t="s">
        <v>1476</v>
      </c>
      <c r="C46" s="30" t="s">
        <v>1505</v>
      </c>
      <c r="D46" s="30" t="s">
        <v>1504</v>
      </c>
      <c r="E46" s="30"/>
    </row>
    <row r="47" spans="1:5">
      <c r="A47" s="30" t="s">
        <v>1503</v>
      </c>
      <c r="B47" s="30" t="s">
        <v>1476</v>
      </c>
      <c r="C47" s="30" t="s">
        <v>1502</v>
      </c>
      <c r="D47" s="30" t="s">
        <v>1501</v>
      </c>
      <c r="E47" s="30"/>
    </row>
    <row r="48" spans="1:5">
      <c r="A48" s="30" t="s">
        <v>1500</v>
      </c>
      <c r="B48" s="30" t="s">
        <v>1476</v>
      </c>
      <c r="C48" s="30" t="s">
        <v>1499</v>
      </c>
      <c r="D48" s="30" t="s">
        <v>1498</v>
      </c>
      <c r="E48" s="30"/>
    </row>
    <row r="49" spans="1:5">
      <c r="A49" s="30" t="s">
        <v>1497</v>
      </c>
      <c r="B49" s="30" t="s">
        <v>1476</v>
      </c>
      <c r="C49" s="30" t="s">
        <v>1496</v>
      </c>
      <c r="D49" s="30" t="s">
        <v>1495</v>
      </c>
      <c r="E49" s="30"/>
    </row>
    <row r="50" spans="1:5">
      <c r="A50" s="30" t="s">
        <v>1494</v>
      </c>
      <c r="B50" s="30" t="s">
        <v>1476</v>
      </c>
      <c r="C50" s="30" t="s">
        <v>1493</v>
      </c>
      <c r="D50" s="30" t="s">
        <v>1492</v>
      </c>
      <c r="E50" s="30"/>
    </row>
    <row r="51" spans="1:5">
      <c r="A51" s="30" t="s">
        <v>1491</v>
      </c>
      <c r="B51" s="30" t="s">
        <v>1476</v>
      </c>
      <c r="C51" s="30" t="s">
        <v>1490</v>
      </c>
      <c r="D51" s="30" t="s">
        <v>1489</v>
      </c>
      <c r="E51" s="30"/>
    </row>
    <row r="52" spans="1:5">
      <c r="A52" s="30" t="s">
        <v>734</v>
      </c>
      <c r="B52" s="30" t="s">
        <v>1476</v>
      </c>
      <c r="C52" s="30" t="s">
        <v>1488</v>
      </c>
      <c r="D52" s="30" t="s">
        <v>1487</v>
      </c>
      <c r="E52" s="30"/>
    </row>
    <row r="53" spans="1:5">
      <c r="A53" s="30" t="s">
        <v>1486</v>
      </c>
      <c r="B53" s="30" t="s">
        <v>1476</v>
      </c>
      <c r="C53" s="30" t="s">
        <v>1485</v>
      </c>
      <c r="D53" s="30" t="s">
        <v>1484</v>
      </c>
      <c r="E53" s="30"/>
    </row>
    <row r="54" spans="1:5">
      <c r="A54" s="30" t="s">
        <v>1483</v>
      </c>
      <c r="B54" s="30" t="s">
        <v>1471</v>
      </c>
      <c r="C54" s="30" t="s">
        <v>1482</v>
      </c>
      <c r="D54" s="30" t="s">
        <v>1481</v>
      </c>
      <c r="E54" s="30"/>
    </row>
    <row r="55" spans="1:5">
      <c r="A55" s="30" t="s">
        <v>1480</v>
      </c>
      <c r="B55" s="30" t="s">
        <v>1471</v>
      </c>
      <c r="C55" s="30" t="s">
        <v>1479</v>
      </c>
      <c r="D55" s="30" t="s">
        <v>1478</v>
      </c>
      <c r="E55" s="30"/>
    </row>
    <row r="56" spans="1:5">
      <c r="A56" s="30" t="s">
        <v>1477</v>
      </c>
      <c r="B56" s="30" t="s">
        <v>1476</v>
      </c>
      <c r="C56" s="30" t="s">
        <v>1475</v>
      </c>
      <c r="D56" s="30" t="s">
        <v>1474</v>
      </c>
      <c r="E56" s="30"/>
    </row>
    <row r="57" spans="1:5">
      <c r="A57" s="30" t="s">
        <v>1473</v>
      </c>
      <c r="B57" s="30" t="s">
        <v>1471</v>
      </c>
      <c r="C57" s="30" t="s">
        <v>1640</v>
      </c>
      <c r="D57" s="30" t="s">
        <v>1641</v>
      </c>
      <c r="E57" s="30"/>
    </row>
    <row r="58" spans="1:5">
      <c r="A58" s="30" t="s">
        <v>1472</v>
      </c>
      <c r="B58" s="30" t="s">
        <v>1471</v>
      </c>
      <c r="C58" s="30" t="s">
        <v>1470</v>
      </c>
      <c r="D58" s="30" t="s">
        <v>1469</v>
      </c>
      <c r="E58" s="30"/>
    </row>
  </sheetData>
  <autoFilter ref="A1:E58"/>
  <pageMargins left="0.511811024" right="0.511811024" top="0.78740157499999996" bottom="0.78740157499999996" header="0.31496062000000002" footer="0.31496062000000002"/>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workbookViewId="0">
      <selection activeCell="B24" sqref="B24:D24"/>
    </sheetView>
  </sheetViews>
  <sheetFormatPr defaultRowHeight="15"/>
  <cols>
    <col min="1" max="1" width="2.5703125" customWidth="1"/>
    <col min="2" max="4" width="4.7109375" customWidth="1"/>
    <col min="6" max="8" width="4.7109375" customWidth="1"/>
  </cols>
  <sheetData>
    <row r="2" spans="2:8" ht="18.75">
      <c r="B2" s="106">
        <v>0</v>
      </c>
      <c r="C2" s="106"/>
      <c r="D2" s="106"/>
      <c r="F2" s="73"/>
      <c r="G2" s="73"/>
      <c r="H2" s="73"/>
    </row>
    <row r="3" spans="2:8" ht="18.75">
      <c r="B3" s="106">
        <v>5</v>
      </c>
      <c r="C3" s="72"/>
      <c r="D3" s="106">
        <v>1</v>
      </c>
      <c r="F3" s="74"/>
      <c r="G3" s="74"/>
      <c r="H3" s="74"/>
    </row>
    <row r="4" spans="2:8" ht="18.75">
      <c r="B4" s="106"/>
      <c r="C4" s="72"/>
      <c r="D4" s="106"/>
      <c r="F4" s="74"/>
      <c r="G4" s="74"/>
      <c r="H4" s="74"/>
    </row>
    <row r="5" spans="2:8" ht="18.75">
      <c r="B5" s="106">
        <v>6</v>
      </c>
      <c r="C5" s="106"/>
      <c r="D5" s="106"/>
      <c r="F5" s="73"/>
      <c r="G5" s="73"/>
      <c r="H5" s="73"/>
    </row>
    <row r="6" spans="2:8" ht="18.75">
      <c r="B6" s="106">
        <v>4</v>
      </c>
      <c r="C6" s="72"/>
      <c r="D6" s="106">
        <v>2</v>
      </c>
      <c r="F6" s="74"/>
      <c r="G6" s="74"/>
      <c r="H6" s="74"/>
    </row>
    <row r="7" spans="2:8" ht="18.75">
      <c r="B7" s="106"/>
      <c r="C7" s="72"/>
      <c r="D7" s="106"/>
      <c r="F7" s="74"/>
      <c r="G7" s="74"/>
      <c r="H7" s="74"/>
    </row>
    <row r="8" spans="2:8" ht="18.75">
      <c r="B8" s="106">
        <v>3</v>
      </c>
      <c r="C8" s="106"/>
      <c r="D8" s="106"/>
      <c r="F8" s="73"/>
      <c r="G8" s="73"/>
      <c r="H8" s="73"/>
    </row>
    <row r="10" spans="2:8" ht="18.75">
      <c r="B10" s="107">
        <v>0</v>
      </c>
      <c r="C10" s="107"/>
      <c r="D10" s="107"/>
      <c r="F10" s="107">
        <v>0</v>
      </c>
      <c r="G10" s="107"/>
      <c r="H10" s="107"/>
    </row>
    <row r="11" spans="2:8" ht="18.75">
      <c r="B11" s="107">
        <v>5</v>
      </c>
      <c r="C11" s="72"/>
      <c r="D11" s="106"/>
      <c r="F11" s="107">
        <v>5</v>
      </c>
      <c r="G11" s="72"/>
      <c r="H11" s="106"/>
    </row>
    <row r="12" spans="2:8" ht="18.75">
      <c r="B12" s="107"/>
      <c r="C12" s="72"/>
      <c r="D12" s="106"/>
      <c r="F12" s="107"/>
      <c r="G12" s="72"/>
      <c r="H12" s="106"/>
    </row>
    <row r="13" spans="2:8" ht="18.75">
      <c r="B13" s="107">
        <v>6</v>
      </c>
      <c r="C13" s="107"/>
      <c r="D13" s="107"/>
      <c r="F13" s="107">
        <v>6</v>
      </c>
      <c r="G13" s="107"/>
      <c r="H13" s="107"/>
    </row>
    <row r="14" spans="2:8" ht="18.75">
      <c r="B14" s="107">
        <v>4</v>
      </c>
      <c r="C14" s="72"/>
      <c r="D14" s="107">
        <v>2</v>
      </c>
      <c r="F14" s="106"/>
      <c r="G14" s="72"/>
      <c r="H14" s="107">
        <v>2</v>
      </c>
    </row>
    <row r="15" spans="2:8" ht="18.75">
      <c r="B15" s="107"/>
      <c r="C15" s="72"/>
      <c r="D15" s="107"/>
      <c r="F15" s="106"/>
      <c r="G15" s="72"/>
      <c r="H15" s="107"/>
    </row>
    <row r="16" spans="2:8" ht="18.75">
      <c r="B16" s="107">
        <v>3</v>
      </c>
      <c r="C16" s="107"/>
      <c r="D16" s="107"/>
      <c r="F16" s="106"/>
      <c r="G16" s="106"/>
      <c r="H16" s="106"/>
    </row>
    <row r="18" spans="2:8" ht="18.75">
      <c r="B18" s="107">
        <v>0</v>
      </c>
      <c r="C18" s="107"/>
      <c r="D18" s="107"/>
      <c r="F18" s="107">
        <v>0</v>
      </c>
      <c r="G18" s="107"/>
      <c r="H18" s="107"/>
    </row>
    <row r="19" spans="2:8" ht="18.75">
      <c r="B19" s="107">
        <v>5</v>
      </c>
      <c r="C19" s="72"/>
      <c r="D19" s="107">
        <v>1</v>
      </c>
      <c r="F19" s="107">
        <v>5</v>
      </c>
      <c r="G19" s="72"/>
      <c r="H19" s="107">
        <v>1</v>
      </c>
    </row>
    <row r="20" spans="2:8" ht="18.75">
      <c r="B20" s="107"/>
      <c r="C20" s="72"/>
      <c r="D20" s="107"/>
      <c r="F20" s="107"/>
      <c r="G20" s="72"/>
      <c r="H20" s="107"/>
    </row>
    <row r="21" spans="2:8" ht="18.75">
      <c r="B21" s="107">
        <v>6</v>
      </c>
      <c r="C21" s="107"/>
      <c r="D21" s="107"/>
      <c r="F21" s="106"/>
      <c r="G21" s="106"/>
      <c r="H21" s="106"/>
    </row>
    <row r="22" spans="2:8" ht="18.75">
      <c r="B22" s="107">
        <v>4</v>
      </c>
      <c r="C22" s="72"/>
      <c r="D22" s="107">
        <v>2</v>
      </c>
      <c r="F22" s="106"/>
      <c r="G22" s="72"/>
      <c r="H22" s="106"/>
    </row>
    <row r="23" spans="2:8" ht="18.75">
      <c r="B23" s="107"/>
      <c r="C23" s="72"/>
      <c r="D23" s="107"/>
      <c r="F23" s="106"/>
      <c r="G23" s="72"/>
      <c r="H23" s="106"/>
    </row>
    <row r="24" spans="2:8" ht="18.75">
      <c r="B24" s="106"/>
      <c r="C24" s="106"/>
      <c r="D24" s="106"/>
      <c r="F24" s="106"/>
      <c r="G24" s="106"/>
      <c r="H24" s="106"/>
    </row>
  </sheetData>
  <mergeCells count="35">
    <mergeCell ref="B10:D10"/>
    <mergeCell ref="B13:D13"/>
    <mergeCell ref="B16:D16"/>
    <mergeCell ref="B11:B12"/>
    <mergeCell ref="D11:D12"/>
    <mergeCell ref="B14:B15"/>
    <mergeCell ref="D14:D15"/>
    <mergeCell ref="B2:D2"/>
    <mergeCell ref="B5:D5"/>
    <mergeCell ref="B8:D8"/>
    <mergeCell ref="D3:D4"/>
    <mergeCell ref="D6:D7"/>
    <mergeCell ref="B6:B7"/>
    <mergeCell ref="B3:B4"/>
    <mergeCell ref="B18:D18"/>
    <mergeCell ref="B21:D21"/>
    <mergeCell ref="B24:D24"/>
    <mergeCell ref="B19:B20"/>
    <mergeCell ref="D19:D20"/>
    <mergeCell ref="B22:B23"/>
    <mergeCell ref="D22:D23"/>
    <mergeCell ref="F10:H10"/>
    <mergeCell ref="F11:F12"/>
    <mergeCell ref="H11:H12"/>
    <mergeCell ref="F13:H13"/>
    <mergeCell ref="F14:F15"/>
    <mergeCell ref="H14:H15"/>
    <mergeCell ref="F24:H24"/>
    <mergeCell ref="F16:H16"/>
    <mergeCell ref="F18:H18"/>
    <mergeCell ref="F19:F20"/>
    <mergeCell ref="H19:H20"/>
    <mergeCell ref="F21:H21"/>
    <mergeCell ref="F22:F23"/>
    <mergeCell ref="H22:H23"/>
  </mergeCells>
  <pageMargins left="0.511811024" right="0.511811024" top="0.78740157499999996" bottom="0.78740157499999996" header="0.31496062000000002" footer="0.31496062000000002"/>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D1" zoomScale="90" zoomScaleNormal="90" workbookViewId="0">
      <pane ySplit="4" topLeftCell="A5" activePane="bottomLeft" state="frozen"/>
      <selection sqref="A1:Y4"/>
      <selection pane="bottomLeft" activeCell="M25" sqref="M25"/>
    </sheetView>
  </sheetViews>
  <sheetFormatPr defaultRowHeight="12"/>
  <cols>
    <col min="1" max="1" width="3.42578125" style="50" bestFit="1" customWidth="1"/>
    <col min="2" max="2" width="8.28515625" style="50" bestFit="1" customWidth="1"/>
    <col min="3" max="3" width="6" style="50" bestFit="1" customWidth="1"/>
    <col min="4" max="4" width="11.7109375" style="50" bestFit="1" customWidth="1"/>
    <col min="5" max="5" width="12.5703125" style="50" customWidth="1"/>
    <col min="6" max="6" width="14.85546875" style="50" bestFit="1" customWidth="1"/>
    <col min="7" max="7" width="10.85546875" style="50" bestFit="1" customWidth="1"/>
    <col min="8" max="8" width="12.5703125" style="50" customWidth="1"/>
    <col min="9" max="9" width="14.85546875" style="50" bestFit="1" customWidth="1"/>
    <col min="10" max="10" width="10.85546875" style="50" bestFit="1" customWidth="1"/>
    <col min="11" max="11" width="12.140625" style="50" bestFit="1" customWidth="1"/>
    <col min="12" max="12" width="14.85546875" style="50" bestFit="1" customWidth="1"/>
    <col min="13" max="13" width="14.7109375" style="50" bestFit="1" customWidth="1"/>
    <col min="14" max="14" width="8.5703125" style="50" bestFit="1" customWidth="1"/>
    <col min="15" max="15" width="12.140625" style="50" customWidth="1"/>
    <col min="16" max="16" width="14.85546875" style="50" bestFit="1" customWidth="1"/>
    <col min="17" max="17" width="10.85546875" style="50" bestFit="1" customWidth="1"/>
    <col min="18" max="18" width="12.42578125" style="50" customWidth="1"/>
    <col min="19" max="19" width="14.85546875" style="50" bestFit="1" customWidth="1"/>
    <col min="20" max="20" width="10.85546875" style="50" bestFit="1" customWidth="1"/>
    <col min="21" max="21" width="12.140625" style="50" bestFit="1" customWidth="1"/>
    <col min="22" max="22" width="14.85546875" style="50" bestFit="1" customWidth="1"/>
    <col min="23" max="23" width="14.7109375" style="50" bestFit="1" customWidth="1"/>
    <col min="24" max="24" width="8.5703125" style="50" bestFit="1" customWidth="1"/>
    <col min="25" max="25" width="13.5703125" style="50" customWidth="1"/>
    <col min="26" max="16384" width="9.140625" style="50"/>
  </cols>
  <sheetData>
    <row r="1" spans="1:25">
      <c r="A1" s="108" t="s">
        <v>743</v>
      </c>
      <c r="B1" s="109" t="s">
        <v>742</v>
      </c>
      <c r="C1" s="109"/>
      <c r="D1" s="109"/>
      <c r="E1" s="110" t="s">
        <v>1467</v>
      </c>
      <c r="F1" s="110"/>
      <c r="G1" s="110"/>
      <c r="H1" s="110"/>
      <c r="I1" s="110"/>
      <c r="J1" s="110"/>
      <c r="K1" s="110"/>
      <c r="L1" s="110"/>
      <c r="M1" s="110"/>
      <c r="N1" s="110"/>
      <c r="O1" s="109" t="s">
        <v>1468</v>
      </c>
      <c r="P1" s="109"/>
      <c r="Q1" s="109"/>
      <c r="R1" s="109"/>
      <c r="S1" s="109"/>
      <c r="T1" s="109"/>
      <c r="U1" s="109"/>
      <c r="V1" s="109"/>
      <c r="W1" s="109"/>
      <c r="X1" s="109"/>
      <c r="Y1" s="111" t="s">
        <v>741</v>
      </c>
    </row>
    <row r="2" spans="1:25">
      <c r="A2" s="108"/>
      <c r="B2" s="109"/>
      <c r="C2" s="109"/>
      <c r="D2" s="109"/>
      <c r="E2" s="110" t="s">
        <v>740</v>
      </c>
      <c r="F2" s="110"/>
      <c r="G2" s="110"/>
      <c r="H2" s="110" t="s">
        <v>739</v>
      </c>
      <c r="I2" s="110"/>
      <c r="J2" s="110"/>
      <c r="K2" s="110" t="s">
        <v>738</v>
      </c>
      <c r="L2" s="110"/>
      <c r="M2" s="110"/>
      <c r="N2" s="110"/>
      <c r="O2" s="109" t="s">
        <v>740</v>
      </c>
      <c r="P2" s="109"/>
      <c r="Q2" s="109"/>
      <c r="R2" s="109" t="s">
        <v>739</v>
      </c>
      <c r="S2" s="109"/>
      <c r="T2" s="109"/>
      <c r="U2" s="109" t="s">
        <v>738</v>
      </c>
      <c r="V2" s="109"/>
      <c r="W2" s="109"/>
      <c r="X2" s="109"/>
      <c r="Y2" s="108"/>
    </row>
    <row r="3" spans="1:25">
      <c r="A3" s="108"/>
      <c r="B3" s="109"/>
      <c r="C3" s="109"/>
      <c r="D3" s="109"/>
      <c r="E3" s="110" t="s">
        <v>737</v>
      </c>
      <c r="F3" s="110"/>
      <c r="G3" s="112" t="s">
        <v>1650</v>
      </c>
      <c r="H3" s="110" t="s">
        <v>736</v>
      </c>
      <c r="I3" s="110"/>
      <c r="J3" s="112" t="s">
        <v>1651</v>
      </c>
      <c r="K3" s="110" t="s">
        <v>735</v>
      </c>
      <c r="L3" s="110"/>
      <c r="M3" s="110" t="s">
        <v>1788</v>
      </c>
      <c r="N3" s="110" t="s">
        <v>734</v>
      </c>
      <c r="O3" s="109" t="s">
        <v>737</v>
      </c>
      <c r="P3" s="109"/>
      <c r="Q3" s="113" t="s">
        <v>1650</v>
      </c>
      <c r="R3" s="109" t="s">
        <v>736</v>
      </c>
      <c r="S3" s="109"/>
      <c r="T3" s="113" t="s">
        <v>1651</v>
      </c>
      <c r="U3" s="109" t="s">
        <v>735</v>
      </c>
      <c r="V3" s="109"/>
      <c r="W3" s="109" t="s">
        <v>1788</v>
      </c>
      <c r="X3" s="109" t="s">
        <v>734</v>
      </c>
      <c r="Y3" s="108"/>
    </row>
    <row r="4" spans="1:25">
      <c r="A4" s="108"/>
      <c r="B4" s="52" t="s">
        <v>744</v>
      </c>
      <c r="C4" s="52" t="s">
        <v>745</v>
      </c>
      <c r="D4" s="52" t="s">
        <v>746</v>
      </c>
      <c r="E4" s="70" t="s">
        <v>733</v>
      </c>
      <c r="F4" s="70" t="s">
        <v>732</v>
      </c>
      <c r="G4" s="112"/>
      <c r="H4" s="70" t="s">
        <v>733</v>
      </c>
      <c r="I4" s="70" t="s">
        <v>732</v>
      </c>
      <c r="J4" s="112"/>
      <c r="K4" s="53" t="s">
        <v>733</v>
      </c>
      <c r="L4" s="53" t="s">
        <v>732</v>
      </c>
      <c r="M4" s="110"/>
      <c r="N4" s="110"/>
      <c r="O4" s="69" t="s">
        <v>733</v>
      </c>
      <c r="P4" s="69" t="s">
        <v>732</v>
      </c>
      <c r="Q4" s="113"/>
      <c r="R4" s="69" t="s">
        <v>733</v>
      </c>
      <c r="S4" s="69" t="s">
        <v>732</v>
      </c>
      <c r="T4" s="113"/>
      <c r="U4" s="52" t="s">
        <v>733</v>
      </c>
      <c r="V4" s="52" t="s">
        <v>732</v>
      </c>
      <c r="W4" s="109"/>
      <c r="X4" s="109"/>
      <c r="Y4" s="108"/>
    </row>
    <row r="5" spans="1:25">
      <c r="A5" s="51">
        <v>0</v>
      </c>
      <c r="B5" s="51" t="s">
        <v>731</v>
      </c>
      <c r="C5" s="51" t="s">
        <v>731</v>
      </c>
      <c r="D5" s="51" t="s">
        <v>731</v>
      </c>
      <c r="E5" s="51" t="b">
        <v>1</v>
      </c>
      <c r="F5" s="51">
        <v>0</v>
      </c>
      <c r="G5" s="51" t="b">
        <v>0</v>
      </c>
      <c r="H5" s="51" t="b">
        <v>1</v>
      </c>
      <c r="I5" s="51">
        <v>0</v>
      </c>
      <c r="J5" s="51" t="b">
        <v>0</v>
      </c>
      <c r="K5" s="51" t="b">
        <v>1</v>
      </c>
      <c r="L5" s="51">
        <v>0</v>
      </c>
      <c r="M5" s="51">
        <v>1</v>
      </c>
      <c r="N5" s="51">
        <v>1</v>
      </c>
      <c r="O5" s="51" t="b">
        <v>1</v>
      </c>
      <c r="P5" s="51">
        <v>0</v>
      </c>
      <c r="Q5" s="51" t="b">
        <v>0</v>
      </c>
      <c r="R5" s="51" t="b">
        <v>1</v>
      </c>
      <c r="S5" s="51">
        <v>0</v>
      </c>
      <c r="T5" s="51" t="b">
        <v>0</v>
      </c>
      <c r="U5" s="51" t="b">
        <v>1</v>
      </c>
      <c r="V5" s="51">
        <v>0</v>
      </c>
      <c r="W5" s="51">
        <v>1</v>
      </c>
      <c r="X5" s="51">
        <v>1</v>
      </c>
      <c r="Y5" s="51" t="b">
        <f>AND(E5=O5,F5=P5,G5=Q5,H5=R5,I5=S5,J5=T5,K5=U5,L5=V5,M5=W5,N5=X5)</f>
        <v>1</v>
      </c>
    </row>
  </sheetData>
  <mergeCells count="25">
    <mergeCell ref="T3:T4"/>
    <mergeCell ref="U3:V3"/>
    <mergeCell ref="W3:W4"/>
    <mergeCell ref="X3:X4"/>
    <mergeCell ref="M3:M4"/>
    <mergeCell ref="N3:N4"/>
    <mergeCell ref="O3:P3"/>
    <mergeCell ref="Q3:Q4"/>
    <mergeCell ref="R3:S3"/>
    <mergeCell ref="A1:A4"/>
    <mergeCell ref="B1:D3"/>
    <mergeCell ref="E1:N1"/>
    <mergeCell ref="O1:X1"/>
    <mergeCell ref="Y1:Y4"/>
    <mergeCell ref="E2:G2"/>
    <mergeCell ref="H2:J2"/>
    <mergeCell ref="K2:N2"/>
    <mergeCell ref="O2:Q2"/>
    <mergeCell ref="R2:T2"/>
    <mergeCell ref="U2:X2"/>
    <mergeCell ref="E3:F3"/>
    <mergeCell ref="G3:G4"/>
    <mergeCell ref="H3:I3"/>
    <mergeCell ref="J3:J4"/>
    <mergeCell ref="K3:L3"/>
  </mergeCells>
  <pageMargins left="0.511811024" right="0.511811024" top="0.78740157499999996" bottom="0.78740157499999996" header="0.31496062000000002" footer="0.31496062000000002"/>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zoomScale="90" zoomScaleNormal="90" workbookViewId="0">
      <pane ySplit="4" topLeftCell="A29" activePane="bottomLeft" state="frozen"/>
      <selection sqref="A1:Y4"/>
      <selection pane="bottomLeft" activeCell="W3" sqref="W3:W4"/>
    </sheetView>
  </sheetViews>
  <sheetFormatPr defaultRowHeight="12"/>
  <cols>
    <col min="1" max="1" width="3.42578125" style="50" bestFit="1" customWidth="1"/>
    <col min="2" max="2" width="7.5703125" style="50" customWidth="1"/>
    <col min="3" max="3" width="5.5703125" style="50" customWidth="1"/>
    <col min="4" max="4" width="10.7109375" style="50" customWidth="1"/>
    <col min="5" max="5" width="12.140625" style="50" bestFit="1" customWidth="1"/>
    <col min="6" max="6" width="14.42578125" style="50" bestFit="1" customWidth="1"/>
    <col min="7" max="7" width="12.85546875" style="50" customWidth="1"/>
    <col min="8" max="8" width="12.140625" style="50" bestFit="1" customWidth="1"/>
    <col min="9" max="9" width="14.42578125" style="50" bestFit="1" customWidth="1"/>
    <col min="10" max="10" width="13.42578125" style="50" customWidth="1"/>
    <col min="11" max="11" width="12.140625" style="50" bestFit="1" customWidth="1"/>
    <col min="12" max="12" width="14.42578125" style="50" bestFit="1" customWidth="1"/>
    <col min="13" max="13" width="14.7109375" style="50" bestFit="1" customWidth="1"/>
    <col min="14" max="14" width="8.5703125" style="50" bestFit="1" customWidth="1"/>
    <col min="15" max="15" width="12.140625" style="50" bestFit="1" customWidth="1"/>
    <col min="16" max="16" width="14.42578125" style="50" bestFit="1" customWidth="1"/>
    <col min="17" max="17" width="13.5703125" style="50" customWidth="1"/>
    <col min="18" max="18" width="12.140625" style="50" bestFit="1" customWidth="1"/>
    <col min="19" max="19" width="14.42578125" style="50" bestFit="1" customWidth="1"/>
    <col min="20" max="20" width="13.7109375" style="50" customWidth="1"/>
    <col min="21" max="21" width="12.140625" style="50" bestFit="1" customWidth="1"/>
    <col min="22" max="22" width="14.42578125" style="50" bestFit="1" customWidth="1"/>
    <col min="23" max="23" width="14.7109375" style="50" bestFit="1" customWidth="1"/>
    <col min="24" max="24" width="8.5703125" style="50" bestFit="1" customWidth="1"/>
    <col min="25" max="25" width="12.28515625" style="50" customWidth="1"/>
    <col min="26" max="16384" width="9.140625" style="50"/>
  </cols>
  <sheetData>
    <row r="1" spans="1:25" ht="12" customHeight="1">
      <c r="A1" s="108" t="s">
        <v>743</v>
      </c>
      <c r="B1" s="109" t="s">
        <v>742</v>
      </c>
      <c r="C1" s="109"/>
      <c r="D1" s="109"/>
      <c r="E1" s="110" t="s">
        <v>1467</v>
      </c>
      <c r="F1" s="110"/>
      <c r="G1" s="110"/>
      <c r="H1" s="110"/>
      <c r="I1" s="110"/>
      <c r="J1" s="110"/>
      <c r="K1" s="110"/>
      <c r="L1" s="110"/>
      <c r="M1" s="110"/>
      <c r="N1" s="110"/>
      <c r="O1" s="109" t="s">
        <v>1468</v>
      </c>
      <c r="P1" s="109"/>
      <c r="Q1" s="109"/>
      <c r="R1" s="109"/>
      <c r="S1" s="109"/>
      <c r="T1" s="109"/>
      <c r="U1" s="109"/>
      <c r="V1" s="109"/>
      <c r="W1" s="109"/>
      <c r="X1" s="109"/>
      <c r="Y1" s="111" t="s">
        <v>741</v>
      </c>
    </row>
    <row r="2" spans="1:25">
      <c r="A2" s="108"/>
      <c r="B2" s="109"/>
      <c r="C2" s="109"/>
      <c r="D2" s="109"/>
      <c r="E2" s="110" t="s">
        <v>740</v>
      </c>
      <c r="F2" s="110"/>
      <c r="G2" s="110"/>
      <c r="H2" s="110" t="s">
        <v>739</v>
      </c>
      <c r="I2" s="110"/>
      <c r="J2" s="110"/>
      <c r="K2" s="110" t="s">
        <v>738</v>
      </c>
      <c r="L2" s="110"/>
      <c r="M2" s="110"/>
      <c r="N2" s="110"/>
      <c r="O2" s="109" t="s">
        <v>740</v>
      </c>
      <c r="P2" s="109"/>
      <c r="Q2" s="109"/>
      <c r="R2" s="109" t="s">
        <v>739</v>
      </c>
      <c r="S2" s="109"/>
      <c r="T2" s="109"/>
      <c r="U2" s="109" t="s">
        <v>738</v>
      </c>
      <c r="V2" s="109"/>
      <c r="W2" s="109"/>
      <c r="X2" s="109"/>
      <c r="Y2" s="108"/>
    </row>
    <row r="3" spans="1:25">
      <c r="A3" s="108"/>
      <c r="B3" s="109"/>
      <c r="C3" s="109"/>
      <c r="D3" s="109"/>
      <c r="E3" s="110" t="s">
        <v>737</v>
      </c>
      <c r="F3" s="110"/>
      <c r="G3" s="112" t="s">
        <v>1650</v>
      </c>
      <c r="H3" s="110" t="s">
        <v>736</v>
      </c>
      <c r="I3" s="110"/>
      <c r="J3" s="112" t="s">
        <v>1651</v>
      </c>
      <c r="K3" s="110" t="s">
        <v>735</v>
      </c>
      <c r="L3" s="110"/>
      <c r="M3" s="110" t="s">
        <v>1788</v>
      </c>
      <c r="N3" s="110" t="s">
        <v>734</v>
      </c>
      <c r="O3" s="109" t="s">
        <v>737</v>
      </c>
      <c r="P3" s="109"/>
      <c r="Q3" s="113" t="s">
        <v>1650</v>
      </c>
      <c r="R3" s="109" t="s">
        <v>736</v>
      </c>
      <c r="S3" s="109"/>
      <c r="T3" s="113" t="s">
        <v>1651</v>
      </c>
      <c r="U3" s="109" t="s">
        <v>735</v>
      </c>
      <c r="V3" s="109"/>
      <c r="W3" s="109" t="s">
        <v>1788</v>
      </c>
      <c r="X3" s="109" t="s">
        <v>734</v>
      </c>
      <c r="Y3" s="108"/>
    </row>
    <row r="4" spans="1:25">
      <c r="A4" s="108"/>
      <c r="B4" s="52" t="s">
        <v>744</v>
      </c>
      <c r="C4" s="52" t="s">
        <v>745</v>
      </c>
      <c r="D4" s="52" t="s">
        <v>746</v>
      </c>
      <c r="E4" s="53" t="s">
        <v>733</v>
      </c>
      <c r="F4" s="53" t="s">
        <v>732</v>
      </c>
      <c r="G4" s="112"/>
      <c r="H4" s="53" t="s">
        <v>733</v>
      </c>
      <c r="I4" s="53" t="s">
        <v>732</v>
      </c>
      <c r="J4" s="112"/>
      <c r="K4" s="53" t="s">
        <v>733</v>
      </c>
      <c r="L4" s="53" t="s">
        <v>732</v>
      </c>
      <c r="M4" s="110"/>
      <c r="N4" s="110"/>
      <c r="O4" s="52" t="s">
        <v>733</v>
      </c>
      <c r="P4" s="52" t="s">
        <v>732</v>
      </c>
      <c r="Q4" s="113"/>
      <c r="R4" s="52" t="s">
        <v>733</v>
      </c>
      <c r="S4" s="52" t="s">
        <v>732</v>
      </c>
      <c r="T4" s="113"/>
      <c r="U4" s="52" t="s">
        <v>733</v>
      </c>
      <c r="V4" s="52" t="s">
        <v>732</v>
      </c>
      <c r="W4" s="109"/>
      <c r="X4" s="109"/>
      <c r="Y4" s="108"/>
    </row>
    <row r="5" spans="1:25">
      <c r="A5" s="51">
        <v>1</v>
      </c>
      <c r="B5" s="51">
        <v>166321</v>
      </c>
      <c r="C5" s="51">
        <v>28630</v>
      </c>
      <c r="D5" s="51">
        <v>4761</v>
      </c>
      <c r="E5" s="51" t="b">
        <f>AND(F5/4096 &lt; 1)</f>
        <v>1</v>
      </c>
      <c r="F5" s="51">
        <v>41</v>
      </c>
      <c r="G5" s="51" t="b">
        <f>AND(H5/4096 &lt; 1)</f>
        <v>1</v>
      </c>
      <c r="H5" s="51" t="b">
        <f>AND(I5/4096 &lt; 1)</f>
        <v>1</v>
      </c>
      <c r="I5" s="51">
        <v>449</v>
      </c>
      <c r="J5" s="51" t="b">
        <f>AND(K5/4096 &lt; 1)</f>
        <v>1</v>
      </c>
      <c r="K5" s="51" t="b">
        <f>AND(L5/4096 &lt; 1)</f>
        <v>1</v>
      </c>
      <c r="L5" s="51">
        <v>245</v>
      </c>
      <c r="M5" s="51">
        <v>1</v>
      </c>
      <c r="N5" s="51">
        <v>1</v>
      </c>
      <c r="O5" s="51" t="b">
        <v>1</v>
      </c>
      <c r="P5" s="51">
        <v>41</v>
      </c>
      <c r="Q5" s="51" t="b">
        <v>1</v>
      </c>
      <c r="R5" s="51" t="b">
        <v>1</v>
      </c>
      <c r="S5" s="51">
        <v>449</v>
      </c>
      <c r="T5" s="51" t="b">
        <v>1</v>
      </c>
      <c r="U5" s="51" t="b">
        <v>1</v>
      </c>
      <c r="V5" s="51">
        <v>245</v>
      </c>
      <c r="W5" s="51">
        <v>1</v>
      </c>
      <c r="X5" s="51">
        <v>1</v>
      </c>
      <c r="Y5" s="51" t="b">
        <f>AND(E5=O5,F5=P5,G5=Q5,H5=R5,I5=S5,J5=T5,K5=U5,L5=V5,M5=W5,N5=X5)</f>
        <v>1</v>
      </c>
    </row>
    <row r="6" spans="1:25">
      <c r="A6" s="51">
        <v>2</v>
      </c>
      <c r="B6" s="51">
        <v>165033</v>
      </c>
      <c r="C6" s="51">
        <v>22035</v>
      </c>
      <c r="D6" s="51">
        <v>3809</v>
      </c>
      <c r="E6" s="51" t="b">
        <f>AND(F6/4096 &lt; 1)</f>
        <v>1</v>
      </c>
      <c r="F6" s="51">
        <v>474</v>
      </c>
      <c r="G6" s="51" t="b">
        <f>AND(H6/4096 &lt; 1)</f>
        <v>1</v>
      </c>
      <c r="H6" s="51" t="b">
        <f t="shared" ref="H6:H64" si="0">AND(I6/4096 &lt; 1)</f>
        <v>1</v>
      </c>
      <c r="I6" s="51">
        <v>2696</v>
      </c>
      <c r="J6" s="51" t="b">
        <f>AND(K6/4096 &lt; 1)</f>
        <v>1</v>
      </c>
      <c r="K6" s="51" t="b">
        <f t="shared" ref="K6:K64" si="1">AND(L6/4096 &lt; 1)</f>
        <v>1</v>
      </c>
      <c r="L6" s="51">
        <v>1585</v>
      </c>
      <c r="M6" s="51">
        <v>1</v>
      </c>
      <c r="N6" s="51">
        <v>1</v>
      </c>
      <c r="O6" s="51" t="b">
        <v>1</v>
      </c>
      <c r="P6" s="51">
        <v>474</v>
      </c>
      <c r="Q6" s="51" t="b">
        <v>1</v>
      </c>
      <c r="R6" s="51" t="b">
        <v>1</v>
      </c>
      <c r="S6" s="51">
        <v>2696</v>
      </c>
      <c r="T6" s="51" t="b">
        <v>1</v>
      </c>
      <c r="U6" s="51" t="b">
        <v>1</v>
      </c>
      <c r="V6" s="51">
        <v>1585</v>
      </c>
      <c r="W6" s="51">
        <v>1</v>
      </c>
      <c r="X6" s="51">
        <v>1</v>
      </c>
      <c r="Y6" s="51" t="b">
        <f t="shared" ref="Y6:Y64" si="2">AND(E6=O6,F6=P6,G6=Q6,H6=R6,I6=S6,J6=T6,K6=U6,L6=V6,M6=W6,N6=X6)</f>
        <v>1</v>
      </c>
    </row>
    <row r="7" spans="1:25">
      <c r="A7" s="51">
        <v>3</v>
      </c>
      <c r="B7" s="51">
        <v>174037</v>
      </c>
      <c r="C7" s="51">
        <v>26549</v>
      </c>
      <c r="D7" s="51">
        <v>4761</v>
      </c>
      <c r="E7" s="51" t="b">
        <f t="shared" ref="E7:G64" si="3">AND(F7/4096 &lt; 1)</f>
        <v>1</v>
      </c>
      <c r="F7" s="51">
        <v>894</v>
      </c>
      <c r="G7" s="51" t="b">
        <f t="shared" si="3"/>
        <v>1</v>
      </c>
      <c r="H7" s="51" t="b">
        <f t="shared" si="0"/>
        <v>1</v>
      </c>
      <c r="I7" s="51">
        <v>1882</v>
      </c>
      <c r="J7" s="51" t="b">
        <f t="shared" ref="J7:J64" si="4">AND(K7/4096 &lt; 1)</f>
        <v>1</v>
      </c>
      <c r="K7" s="51" t="b">
        <f t="shared" si="1"/>
        <v>1</v>
      </c>
      <c r="L7" s="51">
        <v>1388</v>
      </c>
      <c r="M7" s="51">
        <v>1</v>
      </c>
      <c r="N7" s="51">
        <v>1</v>
      </c>
      <c r="O7" s="51" t="b">
        <v>1</v>
      </c>
      <c r="P7" s="51">
        <v>894</v>
      </c>
      <c r="Q7" s="51" t="b">
        <v>1</v>
      </c>
      <c r="R7" s="51" t="b">
        <v>1</v>
      </c>
      <c r="S7" s="51">
        <v>1882</v>
      </c>
      <c r="T7" s="51" t="b">
        <v>1</v>
      </c>
      <c r="U7" s="51" t="b">
        <v>1</v>
      </c>
      <c r="V7" s="51">
        <v>1388</v>
      </c>
      <c r="W7" s="51">
        <v>1</v>
      </c>
      <c r="X7" s="51">
        <v>1</v>
      </c>
      <c r="Y7" s="51" t="b">
        <f t="shared" si="2"/>
        <v>1</v>
      </c>
    </row>
    <row r="8" spans="1:25">
      <c r="A8" s="51">
        <v>4</v>
      </c>
      <c r="B8" s="51">
        <v>169952</v>
      </c>
      <c r="C8" s="51">
        <v>4161</v>
      </c>
      <c r="D8" s="51">
        <v>5713</v>
      </c>
      <c r="E8" s="51" t="b">
        <f t="shared" si="3"/>
        <v>1</v>
      </c>
      <c r="F8" s="51">
        <v>4095</v>
      </c>
      <c r="G8" s="51" t="b">
        <f t="shared" si="3"/>
        <v>1</v>
      </c>
      <c r="H8" s="51" t="b">
        <f t="shared" si="0"/>
        <v>1</v>
      </c>
      <c r="I8" s="51">
        <v>2906</v>
      </c>
      <c r="J8" s="51" t="b">
        <f t="shared" si="4"/>
        <v>1</v>
      </c>
      <c r="K8" s="51" t="b">
        <f t="shared" si="1"/>
        <v>1</v>
      </c>
      <c r="L8" s="51">
        <v>3500</v>
      </c>
      <c r="M8" s="51">
        <v>1</v>
      </c>
      <c r="N8" s="51">
        <v>0</v>
      </c>
      <c r="O8" s="51" t="b">
        <v>1</v>
      </c>
      <c r="P8" s="51">
        <v>4095</v>
      </c>
      <c r="Q8" s="51" t="b">
        <v>1</v>
      </c>
      <c r="R8" s="51" t="b">
        <v>1</v>
      </c>
      <c r="S8" s="51">
        <v>2906</v>
      </c>
      <c r="T8" s="51" t="b">
        <v>1</v>
      </c>
      <c r="U8" s="51" t="b">
        <v>1</v>
      </c>
      <c r="V8" s="51">
        <v>3500</v>
      </c>
      <c r="W8" s="51">
        <v>1</v>
      </c>
      <c r="X8" s="51">
        <v>0</v>
      </c>
      <c r="Y8" s="51" t="b">
        <f t="shared" si="2"/>
        <v>1</v>
      </c>
    </row>
    <row r="9" spans="1:25">
      <c r="A9" s="51">
        <v>5</v>
      </c>
      <c r="B9" s="51">
        <v>164528</v>
      </c>
      <c r="C9" s="51">
        <v>28294</v>
      </c>
      <c r="D9" s="51">
        <v>2662</v>
      </c>
      <c r="E9" s="51" t="b">
        <f t="shared" si="3"/>
        <v>1</v>
      </c>
      <c r="F9" s="51">
        <v>41</v>
      </c>
      <c r="G9" s="51" t="b">
        <f t="shared" si="3"/>
        <v>1</v>
      </c>
      <c r="H9" s="51" t="b">
        <f t="shared" si="0"/>
        <v>1</v>
      </c>
      <c r="I9" s="51">
        <v>176</v>
      </c>
      <c r="J9" s="51" t="b">
        <f t="shared" si="4"/>
        <v>1</v>
      </c>
      <c r="K9" s="51" t="b">
        <f t="shared" si="1"/>
        <v>1</v>
      </c>
      <c r="L9" s="51">
        <v>108</v>
      </c>
      <c r="M9" s="51">
        <v>1</v>
      </c>
      <c r="N9" s="51">
        <v>1</v>
      </c>
      <c r="O9" s="51" t="b">
        <v>1</v>
      </c>
      <c r="P9" s="51">
        <v>41</v>
      </c>
      <c r="Q9" s="51" t="b">
        <v>1</v>
      </c>
      <c r="R9" s="51" t="b">
        <v>1</v>
      </c>
      <c r="S9" s="51">
        <v>176</v>
      </c>
      <c r="T9" s="51" t="b">
        <v>1</v>
      </c>
      <c r="U9" s="51" t="b">
        <v>1</v>
      </c>
      <c r="V9" s="51">
        <v>108</v>
      </c>
      <c r="W9" s="51">
        <v>1</v>
      </c>
      <c r="X9" s="51">
        <v>1</v>
      </c>
      <c r="Y9" s="51" t="b">
        <f t="shared" si="2"/>
        <v>1</v>
      </c>
    </row>
    <row r="10" spans="1:25">
      <c r="A10" s="51">
        <v>6</v>
      </c>
      <c r="B10" s="51">
        <v>150568</v>
      </c>
      <c r="C10" s="51">
        <v>4104</v>
      </c>
      <c r="D10" s="51">
        <v>3809</v>
      </c>
      <c r="E10" s="51" t="b">
        <f t="shared" si="3"/>
        <v>1</v>
      </c>
      <c r="F10" s="51">
        <v>4095</v>
      </c>
      <c r="G10" s="51" t="b">
        <f t="shared" si="3"/>
        <v>1</v>
      </c>
      <c r="H10" s="51" t="b">
        <f t="shared" si="0"/>
        <v>1</v>
      </c>
      <c r="I10" s="51">
        <v>2906</v>
      </c>
      <c r="J10" s="51" t="b">
        <f t="shared" si="4"/>
        <v>1</v>
      </c>
      <c r="K10" s="51" t="b">
        <f t="shared" si="1"/>
        <v>1</v>
      </c>
      <c r="L10" s="51">
        <v>3500</v>
      </c>
      <c r="M10" s="51">
        <v>1</v>
      </c>
      <c r="N10" s="51">
        <v>0</v>
      </c>
      <c r="O10" s="51" t="b">
        <v>1</v>
      </c>
      <c r="P10" s="51">
        <v>4095</v>
      </c>
      <c r="Q10" s="51" t="b">
        <v>1</v>
      </c>
      <c r="R10" s="51" t="b">
        <v>1</v>
      </c>
      <c r="S10" s="51">
        <v>2906</v>
      </c>
      <c r="T10" s="51" t="b">
        <v>1</v>
      </c>
      <c r="U10" s="51" t="b">
        <v>1</v>
      </c>
      <c r="V10" s="51">
        <v>3500</v>
      </c>
      <c r="W10" s="51">
        <v>1</v>
      </c>
      <c r="X10" s="51">
        <v>0</v>
      </c>
      <c r="Y10" s="51" t="b">
        <f t="shared" si="2"/>
        <v>1</v>
      </c>
    </row>
    <row r="11" spans="1:25">
      <c r="A11" s="51">
        <v>7</v>
      </c>
      <c r="B11" s="51">
        <v>176955</v>
      </c>
      <c r="C11" s="51">
        <v>19235</v>
      </c>
      <c r="D11" s="51">
        <v>4761</v>
      </c>
      <c r="E11" s="51" t="b">
        <f t="shared" si="3"/>
        <v>1</v>
      </c>
      <c r="F11" s="51">
        <v>1406</v>
      </c>
      <c r="G11" s="51" t="b">
        <f t="shared" si="3"/>
        <v>1</v>
      </c>
      <c r="H11" s="51" t="b">
        <f t="shared" si="0"/>
        <v>1</v>
      </c>
      <c r="I11" s="51">
        <v>2696</v>
      </c>
      <c r="J11" s="51" t="b">
        <f t="shared" si="4"/>
        <v>1</v>
      </c>
      <c r="K11" s="51" t="b">
        <f t="shared" si="1"/>
        <v>1</v>
      </c>
      <c r="L11" s="51">
        <v>2051</v>
      </c>
      <c r="M11" s="51">
        <v>1</v>
      </c>
      <c r="N11" s="51">
        <v>0</v>
      </c>
      <c r="O11" s="51" t="b">
        <v>1</v>
      </c>
      <c r="P11" s="51">
        <v>1406</v>
      </c>
      <c r="Q11" s="51" t="b">
        <v>1</v>
      </c>
      <c r="R11" s="51" t="b">
        <v>1</v>
      </c>
      <c r="S11" s="51">
        <v>2696</v>
      </c>
      <c r="T11" s="51" t="b">
        <v>1</v>
      </c>
      <c r="U11" s="51" t="b">
        <v>1</v>
      </c>
      <c r="V11" s="51">
        <v>2051</v>
      </c>
      <c r="W11" s="51">
        <v>1</v>
      </c>
      <c r="X11" s="51">
        <v>0</v>
      </c>
      <c r="Y11" s="51" t="b">
        <f t="shared" si="2"/>
        <v>1</v>
      </c>
    </row>
    <row r="12" spans="1:25">
      <c r="A12" s="51">
        <v>8</v>
      </c>
      <c r="B12" s="51">
        <v>166321</v>
      </c>
      <c r="C12" s="51">
        <v>28630</v>
      </c>
      <c r="D12" s="51">
        <v>4791</v>
      </c>
      <c r="E12" s="51" t="b">
        <f t="shared" si="3"/>
        <v>1</v>
      </c>
      <c r="F12" s="51">
        <v>41</v>
      </c>
      <c r="G12" s="51" t="b">
        <f t="shared" si="3"/>
        <v>1</v>
      </c>
      <c r="H12" s="51" t="b">
        <f t="shared" si="0"/>
        <v>1</v>
      </c>
      <c r="I12" s="51">
        <v>449</v>
      </c>
      <c r="J12" s="51" t="b">
        <f t="shared" si="4"/>
        <v>1</v>
      </c>
      <c r="K12" s="51" t="b">
        <f t="shared" si="1"/>
        <v>1</v>
      </c>
      <c r="L12" s="51">
        <v>245</v>
      </c>
      <c r="M12" s="51">
        <v>1</v>
      </c>
      <c r="N12" s="51">
        <v>1</v>
      </c>
      <c r="O12" s="51" t="b">
        <v>1</v>
      </c>
      <c r="P12" s="51">
        <v>41</v>
      </c>
      <c r="Q12" s="51" t="b">
        <v>1</v>
      </c>
      <c r="R12" s="51" t="b">
        <v>1</v>
      </c>
      <c r="S12" s="51">
        <v>449</v>
      </c>
      <c r="T12" s="51" t="b">
        <v>1</v>
      </c>
      <c r="U12" s="51" t="b">
        <v>1</v>
      </c>
      <c r="V12" s="51">
        <v>245</v>
      </c>
      <c r="W12" s="51">
        <v>1</v>
      </c>
      <c r="X12" s="51">
        <v>1</v>
      </c>
      <c r="Y12" s="51" t="b">
        <f t="shared" si="2"/>
        <v>1</v>
      </c>
    </row>
    <row r="13" spans="1:25">
      <c r="A13" s="51">
        <v>9</v>
      </c>
      <c r="B13" s="51">
        <v>164528</v>
      </c>
      <c r="C13" s="51">
        <v>28294</v>
      </c>
      <c r="D13" s="51">
        <v>2662</v>
      </c>
      <c r="E13" s="51" t="b">
        <f t="shared" si="3"/>
        <v>1</v>
      </c>
      <c r="F13" s="51">
        <v>41</v>
      </c>
      <c r="G13" s="51" t="b">
        <f t="shared" si="3"/>
        <v>1</v>
      </c>
      <c r="H13" s="51" t="b">
        <f t="shared" si="0"/>
        <v>1</v>
      </c>
      <c r="I13" s="51">
        <v>176</v>
      </c>
      <c r="J13" s="51" t="b">
        <f t="shared" si="4"/>
        <v>1</v>
      </c>
      <c r="K13" s="51" t="b">
        <f t="shared" si="1"/>
        <v>1</v>
      </c>
      <c r="L13" s="51">
        <v>108</v>
      </c>
      <c r="M13" s="51">
        <v>1</v>
      </c>
      <c r="N13" s="51">
        <v>1</v>
      </c>
      <c r="O13" s="51" t="b">
        <v>1</v>
      </c>
      <c r="P13" s="51">
        <v>41</v>
      </c>
      <c r="Q13" s="51" t="b">
        <v>1</v>
      </c>
      <c r="R13" s="51" t="b">
        <v>1</v>
      </c>
      <c r="S13" s="51">
        <v>176</v>
      </c>
      <c r="T13" s="51" t="b">
        <v>1</v>
      </c>
      <c r="U13" s="51" t="b">
        <v>1</v>
      </c>
      <c r="V13" s="51">
        <v>108</v>
      </c>
      <c r="W13" s="51">
        <v>1</v>
      </c>
      <c r="X13" s="51">
        <v>1</v>
      </c>
      <c r="Y13" s="51" t="b">
        <f t="shared" si="2"/>
        <v>1</v>
      </c>
    </row>
    <row r="14" spans="1:25">
      <c r="A14" s="51">
        <v>10</v>
      </c>
      <c r="B14" s="51">
        <v>162984</v>
      </c>
      <c r="C14" s="51">
        <v>9840</v>
      </c>
      <c r="D14" s="51">
        <v>4761</v>
      </c>
      <c r="E14" s="51" t="b">
        <f t="shared" si="3"/>
        <v>1</v>
      </c>
      <c r="F14" s="51">
        <v>4095</v>
      </c>
      <c r="G14" s="51" t="b">
        <f t="shared" si="3"/>
        <v>1</v>
      </c>
      <c r="H14" s="51" t="b">
        <f t="shared" si="0"/>
        <v>1</v>
      </c>
      <c r="I14" s="51">
        <v>2906</v>
      </c>
      <c r="J14" s="51" t="b">
        <f t="shared" si="4"/>
        <v>1</v>
      </c>
      <c r="K14" s="51" t="b">
        <f t="shared" si="1"/>
        <v>1</v>
      </c>
      <c r="L14" s="51">
        <v>3500</v>
      </c>
      <c r="M14" s="51">
        <v>1</v>
      </c>
      <c r="N14" s="51">
        <v>0</v>
      </c>
      <c r="O14" s="51" t="b">
        <v>1</v>
      </c>
      <c r="P14" s="51">
        <v>4095</v>
      </c>
      <c r="Q14" s="51" t="b">
        <v>1</v>
      </c>
      <c r="R14" s="51" t="b">
        <v>1</v>
      </c>
      <c r="S14" s="51">
        <v>2906</v>
      </c>
      <c r="T14" s="51" t="b">
        <v>1</v>
      </c>
      <c r="U14" s="51" t="b">
        <v>1</v>
      </c>
      <c r="V14" s="51">
        <v>3500</v>
      </c>
      <c r="W14" s="51">
        <v>1</v>
      </c>
      <c r="X14" s="51">
        <v>0</v>
      </c>
      <c r="Y14" s="51" t="b">
        <f t="shared" si="2"/>
        <v>1</v>
      </c>
    </row>
    <row r="15" spans="1:25">
      <c r="A15" s="51">
        <v>11</v>
      </c>
      <c r="B15" s="51">
        <v>169705</v>
      </c>
      <c r="C15" s="51">
        <v>17186</v>
      </c>
      <c r="D15" s="51">
        <v>3194</v>
      </c>
      <c r="E15" s="51" t="b">
        <f t="shared" si="3"/>
        <v>1</v>
      </c>
      <c r="F15" s="51">
        <v>2781</v>
      </c>
      <c r="G15" s="51" t="b">
        <f t="shared" si="3"/>
        <v>1</v>
      </c>
      <c r="H15" s="51" t="b">
        <f t="shared" si="0"/>
        <v>1</v>
      </c>
      <c r="I15" s="51">
        <v>2906</v>
      </c>
      <c r="J15" s="51" t="b">
        <f t="shared" si="4"/>
        <v>1</v>
      </c>
      <c r="K15" s="51" t="b">
        <f t="shared" si="1"/>
        <v>1</v>
      </c>
      <c r="L15" s="51">
        <v>2843</v>
      </c>
      <c r="M15" s="51">
        <v>1</v>
      </c>
      <c r="N15" s="51">
        <v>0</v>
      </c>
      <c r="O15" s="51" t="b">
        <v>1</v>
      </c>
      <c r="P15" s="51">
        <v>2781</v>
      </c>
      <c r="Q15" s="51" t="b">
        <v>1</v>
      </c>
      <c r="R15" s="51" t="b">
        <v>1</v>
      </c>
      <c r="S15" s="51">
        <v>2906</v>
      </c>
      <c r="T15" s="51" t="b">
        <v>1</v>
      </c>
      <c r="U15" s="51" t="b">
        <v>1</v>
      </c>
      <c r="V15" s="51">
        <v>2843</v>
      </c>
      <c r="W15" s="51">
        <v>1</v>
      </c>
      <c r="X15" s="51">
        <v>0</v>
      </c>
      <c r="Y15" s="51" t="b">
        <f t="shared" si="2"/>
        <v>1</v>
      </c>
    </row>
    <row r="16" spans="1:25">
      <c r="A16" s="51">
        <v>12</v>
      </c>
      <c r="B16" s="51">
        <v>162870</v>
      </c>
      <c r="C16" s="51">
        <v>32282</v>
      </c>
      <c r="D16" s="51">
        <v>3809</v>
      </c>
      <c r="E16" s="51" t="b">
        <f t="shared" si="3"/>
        <v>1</v>
      </c>
      <c r="F16" s="51">
        <v>41</v>
      </c>
      <c r="G16" s="51" t="b">
        <f t="shared" si="3"/>
        <v>1</v>
      </c>
      <c r="H16" s="51" t="b">
        <f t="shared" si="0"/>
        <v>1</v>
      </c>
      <c r="I16" s="51">
        <v>176</v>
      </c>
      <c r="J16" s="51" t="b">
        <f t="shared" si="4"/>
        <v>1</v>
      </c>
      <c r="K16" s="51" t="b">
        <f t="shared" si="1"/>
        <v>1</v>
      </c>
      <c r="L16" s="51">
        <v>108</v>
      </c>
      <c r="M16" s="51">
        <v>1</v>
      </c>
      <c r="N16" s="51">
        <v>1</v>
      </c>
      <c r="O16" s="51" t="b">
        <v>1</v>
      </c>
      <c r="P16" s="51">
        <v>41</v>
      </c>
      <c r="Q16" s="51" t="b">
        <v>1</v>
      </c>
      <c r="R16" s="51" t="b">
        <v>1</v>
      </c>
      <c r="S16" s="51">
        <v>176</v>
      </c>
      <c r="T16" s="51" t="b">
        <v>1</v>
      </c>
      <c r="U16" s="51" t="b">
        <v>1</v>
      </c>
      <c r="V16" s="51">
        <v>108</v>
      </c>
      <c r="W16" s="51">
        <v>1</v>
      </c>
      <c r="X16" s="51">
        <v>1</v>
      </c>
      <c r="Y16" s="51" t="b">
        <f t="shared" si="2"/>
        <v>1</v>
      </c>
    </row>
    <row r="17" spans="1:25">
      <c r="A17" s="51">
        <v>13</v>
      </c>
      <c r="B17" s="51">
        <v>164665</v>
      </c>
      <c r="C17" s="51">
        <v>10368</v>
      </c>
      <c r="D17" s="51">
        <v>3194</v>
      </c>
      <c r="E17" s="51" t="b">
        <f t="shared" si="3"/>
        <v>1</v>
      </c>
      <c r="F17" s="51">
        <v>4095</v>
      </c>
      <c r="G17" s="51" t="b">
        <f t="shared" si="3"/>
        <v>1</v>
      </c>
      <c r="H17" s="51" t="b">
        <f t="shared" si="0"/>
        <v>1</v>
      </c>
      <c r="I17" s="51">
        <v>2906</v>
      </c>
      <c r="J17" s="51" t="b">
        <f t="shared" si="4"/>
        <v>1</v>
      </c>
      <c r="K17" s="51" t="b">
        <f t="shared" si="1"/>
        <v>1</v>
      </c>
      <c r="L17" s="51">
        <v>3500</v>
      </c>
      <c r="M17" s="51">
        <v>1</v>
      </c>
      <c r="N17" s="51">
        <v>0</v>
      </c>
      <c r="O17" s="51" t="b">
        <v>1</v>
      </c>
      <c r="P17" s="51">
        <v>4095</v>
      </c>
      <c r="Q17" s="51" t="b">
        <v>1</v>
      </c>
      <c r="R17" s="51" t="b">
        <v>1</v>
      </c>
      <c r="S17" s="51">
        <v>2906</v>
      </c>
      <c r="T17" s="51" t="b">
        <v>1</v>
      </c>
      <c r="U17" s="51" t="b">
        <v>1</v>
      </c>
      <c r="V17" s="51">
        <v>3500</v>
      </c>
      <c r="W17" s="51">
        <v>1</v>
      </c>
      <c r="X17" s="51">
        <v>0</v>
      </c>
      <c r="Y17" s="51" t="b">
        <f t="shared" si="2"/>
        <v>1</v>
      </c>
    </row>
    <row r="18" spans="1:25">
      <c r="A18" s="51">
        <v>14</v>
      </c>
      <c r="B18" s="51">
        <v>165172</v>
      </c>
      <c r="C18" s="51">
        <v>20146</v>
      </c>
      <c r="D18" s="51">
        <v>3194</v>
      </c>
      <c r="E18" s="51" t="b">
        <f t="shared" si="3"/>
        <v>1</v>
      </c>
      <c r="F18" s="51">
        <v>474</v>
      </c>
      <c r="G18" s="51" t="b">
        <f t="shared" si="3"/>
        <v>1</v>
      </c>
      <c r="H18" s="51" t="b">
        <f t="shared" si="0"/>
        <v>1</v>
      </c>
      <c r="I18" s="51">
        <v>2696</v>
      </c>
      <c r="J18" s="51" t="b">
        <f t="shared" si="4"/>
        <v>1</v>
      </c>
      <c r="K18" s="51" t="b">
        <f t="shared" si="1"/>
        <v>1</v>
      </c>
      <c r="L18" s="51">
        <v>1585</v>
      </c>
      <c r="M18" s="51">
        <v>1</v>
      </c>
      <c r="N18" s="51">
        <v>1</v>
      </c>
      <c r="O18" s="51" t="b">
        <v>1</v>
      </c>
      <c r="P18" s="51">
        <v>474</v>
      </c>
      <c r="Q18" s="51" t="b">
        <v>1</v>
      </c>
      <c r="R18" s="51" t="b">
        <v>1</v>
      </c>
      <c r="S18" s="51">
        <v>2696</v>
      </c>
      <c r="T18" s="51" t="b">
        <v>1</v>
      </c>
      <c r="U18" s="51" t="b">
        <v>1</v>
      </c>
      <c r="V18" s="51">
        <v>1585</v>
      </c>
      <c r="W18" s="51">
        <v>1</v>
      </c>
      <c r="X18" s="51">
        <v>1</v>
      </c>
      <c r="Y18" s="51" t="b">
        <f t="shared" si="2"/>
        <v>1</v>
      </c>
    </row>
    <row r="19" spans="1:25">
      <c r="A19" s="51">
        <v>15</v>
      </c>
      <c r="B19" s="51">
        <v>163705</v>
      </c>
      <c r="C19" s="51">
        <v>14045</v>
      </c>
      <c r="D19" s="51">
        <v>4761</v>
      </c>
      <c r="E19" s="51" t="b">
        <f t="shared" si="3"/>
        <v>1</v>
      </c>
      <c r="F19" s="51">
        <v>3039</v>
      </c>
      <c r="G19" s="51" t="b">
        <f t="shared" si="3"/>
        <v>1</v>
      </c>
      <c r="H19" s="51" t="b">
        <f t="shared" si="0"/>
        <v>1</v>
      </c>
      <c r="I19" s="51">
        <v>2906</v>
      </c>
      <c r="J19" s="51" t="b">
        <f t="shared" si="4"/>
        <v>1</v>
      </c>
      <c r="K19" s="51" t="b">
        <f t="shared" si="1"/>
        <v>1</v>
      </c>
      <c r="L19" s="51">
        <v>2972</v>
      </c>
      <c r="M19" s="51">
        <v>1</v>
      </c>
      <c r="N19" s="51">
        <v>0</v>
      </c>
      <c r="O19" s="51" t="b">
        <v>1</v>
      </c>
      <c r="P19" s="51">
        <v>3039</v>
      </c>
      <c r="Q19" s="51" t="b">
        <v>1</v>
      </c>
      <c r="R19" s="51" t="b">
        <v>1</v>
      </c>
      <c r="S19" s="51">
        <v>2906</v>
      </c>
      <c r="T19" s="51" t="b">
        <v>1</v>
      </c>
      <c r="U19" s="51" t="b">
        <v>1</v>
      </c>
      <c r="V19" s="51">
        <v>2972</v>
      </c>
      <c r="W19" s="51">
        <v>1</v>
      </c>
      <c r="X19" s="51">
        <v>0</v>
      </c>
      <c r="Y19" s="51" t="b">
        <f t="shared" si="2"/>
        <v>1</v>
      </c>
    </row>
    <row r="20" spans="1:25">
      <c r="A20" s="51">
        <v>16</v>
      </c>
      <c r="B20" s="51">
        <v>154178</v>
      </c>
      <c r="C20" s="51">
        <v>11834</v>
      </c>
      <c r="D20" s="51">
        <v>5713</v>
      </c>
      <c r="E20" s="51" t="b">
        <f t="shared" si="3"/>
        <v>1</v>
      </c>
      <c r="F20" s="51">
        <v>4095</v>
      </c>
      <c r="G20" s="51" t="b">
        <f t="shared" si="3"/>
        <v>1</v>
      </c>
      <c r="H20" s="51" t="b">
        <f t="shared" si="0"/>
        <v>1</v>
      </c>
      <c r="I20" s="51">
        <v>2906</v>
      </c>
      <c r="J20" s="51" t="b">
        <f t="shared" si="4"/>
        <v>1</v>
      </c>
      <c r="K20" s="51" t="b">
        <f t="shared" si="1"/>
        <v>1</v>
      </c>
      <c r="L20" s="51">
        <v>3500</v>
      </c>
      <c r="M20" s="51">
        <v>1</v>
      </c>
      <c r="N20" s="51">
        <v>0</v>
      </c>
      <c r="O20" s="51" t="b">
        <v>1</v>
      </c>
      <c r="P20" s="51">
        <v>4095</v>
      </c>
      <c r="Q20" s="51" t="b">
        <v>1</v>
      </c>
      <c r="R20" s="51" t="b">
        <v>1</v>
      </c>
      <c r="S20" s="51">
        <v>2906</v>
      </c>
      <c r="T20" s="51" t="b">
        <v>1</v>
      </c>
      <c r="U20" s="51" t="b">
        <v>1</v>
      </c>
      <c r="V20" s="51">
        <v>3500</v>
      </c>
      <c r="W20" s="51">
        <v>1</v>
      </c>
      <c r="X20" s="51">
        <v>0</v>
      </c>
      <c r="Y20" s="51" t="b">
        <f t="shared" si="2"/>
        <v>1</v>
      </c>
    </row>
    <row r="21" spans="1:25">
      <c r="A21" s="51">
        <v>17</v>
      </c>
      <c r="B21" s="51">
        <v>163970</v>
      </c>
      <c r="C21" s="51">
        <v>3985</v>
      </c>
      <c r="D21" s="51">
        <v>4761</v>
      </c>
      <c r="E21" s="51" t="b">
        <f t="shared" si="3"/>
        <v>1</v>
      </c>
      <c r="F21" s="51">
        <v>4095</v>
      </c>
      <c r="G21" s="51" t="b">
        <f t="shared" si="3"/>
        <v>1</v>
      </c>
      <c r="H21" s="51" t="b">
        <f t="shared" si="0"/>
        <v>1</v>
      </c>
      <c r="I21" s="51">
        <v>2906</v>
      </c>
      <c r="J21" s="51" t="b">
        <f t="shared" si="4"/>
        <v>1</v>
      </c>
      <c r="K21" s="51" t="b">
        <f t="shared" si="1"/>
        <v>1</v>
      </c>
      <c r="L21" s="51">
        <v>3500</v>
      </c>
      <c r="M21" s="51">
        <v>1</v>
      </c>
      <c r="N21" s="51">
        <v>0</v>
      </c>
      <c r="O21" s="51" t="b">
        <v>1</v>
      </c>
      <c r="P21" s="51">
        <v>4095</v>
      </c>
      <c r="Q21" s="51" t="b">
        <v>1</v>
      </c>
      <c r="R21" s="51" t="b">
        <v>1</v>
      </c>
      <c r="S21" s="51">
        <v>2906</v>
      </c>
      <c r="T21" s="51" t="b">
        <v>1</v>
      </c>
      <c r="U21" s="51" t="b">
        <v>1</v>
      </c>
      <c r="V21" s="51">
        <v>3500</v>
      </c>
      <c r="W21" s="51">
        <v>1</v>
      </c>
      <c r="X21" s="51">
        <v>0</v>
      </c>
      <c r="Y21" s="51" t="b">
        <f t="shared" si="2"/>
        <v>1</v>
      </c>
    </row>
    <row r="22" spans="1:25">
      <c r="A22" s="51">
        <v>18</v>
      </c>
      <c r="B22" s="51">
        <v>162376</v>
      </c>
      <c r="C22" s="51">
        <v>6045</v>
      </c>
      <c r="D22" s="51">
        <v>3809</v>
      </c>
      <c r="E22" s="51" t="b">
        <f t="shared" si="3"/>
        <v>1</v>
      </c>
      <c r="F22" s="51">
        <v>4095</v>
      </c>
      <c r="G22" s="51" t="b">
        <f t="shared" si="3"/>
        <v>1</v>
      </c>
      <c r="H22" s="51" t="b">
        <f t="shared" si="0"/>
        <v>1</v>
      </c>
      <c r="I22" s="51">
        <v>2906</v>
      </c>
      <c r="J22" s="51" t="b">
        <f t="shared" si="4"/>
        <v>1</v>
      </c>
      <c r="K22" s="51" t="b">
        <f t="shared" si="1"/>
        <v>1</v>
      </c>
      <c r="L22" s="51">
        <v>3500</v>
      </c>
      <c r="M22" s="51">
        <v>1</v>
      </c>
      <c r="N22" s="51">
        <v>0</v>
      </c>
      <c r="O22" s="51" t="b">
        <v>1</v>
      </c>
      <c r="P22" s="51">
        <v>4095</v>
      </c>
      <c r="Q22" s="51" t="b">
        <v>1</v>
      </c>
      <c r="R22" s="51" t="b">
        <v>1</v>
      </c>
      <c r="S22" s="51">
        <v>2906</v>
      </c>
      <c r="T22" s="51" t="b">
        <v>1</v>
      </c>
      <c r="U22" s="51" t="b">
        <v>1</v>
      </c>
      <c r="V22" s="51">
        <v>3500</v>
      </c>
      <c r="W22" s="51">
        <v>1</v>
      </c>
      <c r="X22" s="51">
        <v>0</v>
      </c>
      <c r="Y22" s="51" t="b">
        <f t="shared" si="2"/>
        <v>1</v>
      </c>
    </row>
    <row r="23" spans="1:25">
      <c r="A23" s="51">
        <v>19</v>
      </c>
      <c r="B23" s="51">
        <v>174003</v>
      </c>
      <c r="C23" s="51">
        <v>13930</v>
      </c>
      <c r="D23" s="51">
        <v>3809</v>
      </c>
      <c r="E23" s="51" t="b">
        <f t="shared" si="3"/>
        <v>1</v>
      </c>
      <c r="F23" s="51">
        <v>3971</v>
      </c>
      <c r="G23" s="51" t="b">
        <f t="shared" si="3"/>
        <v>1</v>
      </c>
      <c r="H23" s="51" t="b">
        <f t="shared" si="0"/>
        <v>1</v>
      </c>
      <c r="I23" s="51">
        <v>2906</v>
      </c>
      <c r="J23" s="51" t="b">
        <f t="shared" si="4"/>
        <v>1</v>
      </c>
      <c r="K23" s="51" t="b">
        <f t="shared" si="1"/>
        <v>1</v>
      </c>
      <c r="L23" s="51">
        <v>3438</v>
      </c>
      <c r="M23" s="51">
        <v>1</v>
      </c>
      <c r="N23" s="51">
        <v>0</v>
      </c>
      <c r="O23" s="51" t="b">
        <v>1</v>
      </c>
      <c r="P23" s="51">
        <v>3971</v>
      </c>
      <c r="Q23" s="51" t="b">
        <v>1</v>
      </c>
      <c r="R23" s="51" t="b">
        <v>1</v>
      </c>
      <c r="S23" s="51">
        <v>2906</v>
      </c>
      <c r="T23" s="51" t="b">
        <v>1</v>
      </c>
      <c r="U23" s="51" t="b">
        <v>1</v>
      </c>
      <c r="V23" s="51">
        <v>3438</v>
      </c>
      <c r="W23" s="51">
        <v>1</v>
      </c>
      <c r="X23" s="51">
        <v>0</v>
      </c>
      <c r="Y23" s="51" t="b">
        <f t="shared" si="2"/>
        <v>1</v>
      </c>
    </row>
    <row r="24" spans="1:25">
      <c r="A24" s="51">
        <v>20</v>
      </c>
      <c r="B24" s="51">
        <v>157223</v>
      </c>
      <c r="C24" s="51">
        <v>8262</v>
      </c>
      <c r="D24" s="51">
        <v>5713</v>
      </c>
      <c r="E24" s="51" t="b">
        <f t="shared" si="3"/>
        <v>1</v>
      </c>
      <c r="F24" s="51">
        <v>4095</v>
      </c>
      <c r="G24" s="51" t="b">
        <f t="shared" si="3"/>
        <v>1</v>
      </c>
      <c r="H24" s="51" t="b">
        <f t="shared" si="0"/>
        <v>1</v>
      </c>
      <c r="I24" s="51">
        <v>2906</v>
      </c>
      <c r="J24" s="51" t="b">
        <f t="shared" si="4"/>
        <v>1</v>
      </c>
      <c r="K24" s="51" t="b">
        <f t="shared" si="1"/>
        <v>1</v>
      </c>
      <c r="L24" s="51">
        <v>3500</v>
      </c>
      <c r="M24" s="51">
        <v>1</v>
      </c>
      <c r="N24" s="51">
        <v>0</v>
      </c>
      <c r="O24" s="51" t="b">
        <v>1</v>
      </c>
      <c r="P24" s="51">
        <v>4095</v>
      </c>
      <c r="Q24" s="51" t="b">
        <v>1</v>
      </c>
      <c r="R24" s="51" t="b">
        <v>1</v>
      </c>
      <c r="S24" s="51">
        <v>2906</v>
      </c>
      <c r="T24" s="51" t="b">
        <v>1</v>
      </c>
      <c r="U24" s="51" t="b">
        <v>1</v>
      </c>
      <c r="V24" s="51">
        <v>3500</v>
      </c>
      <c r="W24" s="51">
        <v>1</v>
      </c>
      <c r="X24" s="51">
        <v>0</v>
      </c>
      <c r="Y24" s="51" t="b">
        <f t="shared" si="2"/>
        <v>1</v>
      </c>
    </row>
    <row r="25" spans="1:25">
      <c r="A25" s="51">
        <v>21</v>
      </c>
      <c r="B25" s="51">
        <v>169257</v>
      </c>
      <c r="C25" s="51">
        <v>20107</v>
      </c>
      <c r="D25" s="51">
        <v>2662</v>
      </c>
      <c r="E25" s="51" t="b">
        <f t="shared" si="3"/>
        <v>1</v>
      </c>
      <c r="F25" s="51">
        <v>474</v>
      </c>
      <c r="G25" s="51" t="b">
        <f t="shared" si="3"/>
        <v>1</v>
      </c>
      <c r="H25" s="51" t="b">
        <f t="shared" si="0"/>
        <v>1</v>
      </c>
      <c r="I25" s="51">
        <v>1541</v>
      </c>
      <c r="J25" s="51" t="b">
        <f t="shared" si="4"/>
        <v>1</v>
      </c>
      <c r="K25" s="51" t="b">
        <f t="shared" si="1"/>
        <v>1</v>
      </c>
      <c r="L25" s="51">
        <v>1007</v>
      </c>
      <c r="M25" s="51">
        <v>1</v>
      </c>
      <c r="N25" s="51">
        <v>1</v>
      </c>
      <c r="O25" s="51" t="b">
        <v>1</v>
      </c>
      <c r="P25" s="51">
        <v>474</v>
      </c>
      <c r="Q25" s="51" t="b">
        <v>1</v>
      </c>
      <c r="R25" s="51" t="b">
        <v>1</v>
      </c>
      <c r="S25" s="51">
        <v>1541</v>
      </c>
      <c r="T25" s="51" t="b">
        <v>1</v>
      </c>
      <c r="U25" s="51" t="b">
        <v>1</v>
      </c>
      <c r="V25" s="51">
        <v>1007</v>
      </c>
      <c r="W25" s="51">
        <v>1</v>
      </c>
      <c r="X25" s="51">
        <v>1</v>
      </c>
      <c r="Y25" s="51" t="b">
        <f t="shared" si="2"/>
        <v>1</v>
      </c>
    </row>
    <row r="26" spans="1:25">
      <c r="A26" s="51">
        <v>22</v>
      </c>
      <c r="B26" s="51">
        <v>159854</v>
      </c>
      <c r="C26" s="51">
        <v>11756</v>
      </c>
      <c r="D26" s="51">
        <v>4761</v>
      </c>
      <c r="E26" s="51" t="b">
        <f t="shared" si="3"/>
        <v>1</v>
      </c>
      <c r="F26" s="51">
        <v>4095</v>
      </c>
      <c r="G26" s="51" t="b">
        <f t="shared" si="3"/>
        <v>1</v>
      </c>
      <c r="H26" s="51" t="b">
        <f t="shared" si="0"/>
        <v>1</v>
      </c>
      <c r="I26" s="51">
        <v>2906</v>
      </c>
      <c r="J26" s="51" t="b">
        <f t="shared" si="4"/>
        <v>1</v>
      </c>
      <c r="K26" s="51" t="b">
        <f t="shared" si="1"/>
        <v>1</v>
      </c>
      <c r="L26" s="51">
        <v>3500</v>
      </c>
      <c r="M26" s="51">
        <v>1</v>
      </c>
      <c r="N26" s="51">
        <v>0</v>
      </c>
      <c r="O26" s="51" t="b">
        <v>1</v>
      </c>
      <c r="P26" s="51">
        <v>4095</v>
      </c>
      <c r="Q26" s="51" t="b">
        <v>1</v>
      </c>
      <c r="R26" s="51" t="b">
        <v>1</v>
      </c>
      <c r="S26" s="51">
        <v>2906</v>
      </c>
      <c r="T26" s="51" t="b">
        <v>1</v>
      </c>
      <c r="U26" s="51" t="b">
        <v>1</v>
      </c>
      <c r="V26" s="51">
        <v>3500</v>
      </c>
      <c r="W26" s="51">
        <v>1</v>
      </c>
      <c r="X26" s="51">
        <v>0</v>
      </c>
      <c r="Y26" s="51" t="b">
        <f t="shared" si="2"/>
        <v>1</v>
      </c>
    </row>
    <row r="27" spans="1:25">
      <c r="A27" s="51">
        <v>23</v>
      </c>
      <c r="B27" s="51">
        <v>164528</v>
      </c>
      <c r="C27" s="51">
        <v>28294</v>
      </c>
      <c r="D27" s="51">
        <v>2662</v>
      </c>
      <c r="E27" s="51" t="b">
        <f t="shared" si="3"/>
        <v>1</v>
      </c>
      <c r="F27" s="51">
        <v>41</v>
      </c>
      <c r="G27" s="51" t="b">
        <f t="shared" si="3"/>
        <v>1</v>
      </c>
      <c r="H27" s="51" t="b">
        <f t="shared" si="0"/>
        <v>1</v>
      </c>
      <c r="I27" s="51">
        <v>176</v>
      </c>
      <c r="J27" s="51" t="b">
        <f t="shared" si="4"/>
        <v>1</v>
      </c>
      <c r="K27" s="51" t="b">
        <f t="shared" si="1"/>
        <v>1</v>
      </c>
      <c r="L27" s="51">
        <v>108</v>
      </c>
      <c r="M27" s="51">
        <v>1</v>
      </c>
      <c r="N27" s="51">
        <v>1</v>
      </c>
      <c r="O27" s="51" t="b">
        <v>1</v>
      </c>
      <c r="P27" s="51">
        <v>41</v>
      </c>
      <c r="Q27" s="51" t="b">
        <v>1</v>
      </c>
      <c r="R27" s="51" t="b">
        <v>1</v>
      </c>
      <c r="S27" s="51">
        <v>176</v>
      </c>
      <c r="T27" s="51" t="b">
        <v>1</v>
      </c>
      <c r="U27" s="51" t="b">
        <v>1</v>
      </c>
      <c r="V27" s="51">
        <v>108</v>
      </c>
      <c r="W27" s="51">
        <v>1</v>
      </c>
      <c r="X27" s="51">
        <v>1</v>
      </c>
      <c r="Y27" s="51" t="b">
        <f t="shared" si="2"/>
        <v>1</v>
      </c>
    </row>
    <row r="28" spans="1:25">
      <c r="A28" s="51">
        <v>24</v>
      </c>
      <c r="B28" s="51">
        <v>167057</v>
      </c>
      <c r="C28" s="51">
        <v>3969</v>
      </c>
      <c r="D28" s="51">
        <v>2662</v>
      </c>
      <c r="E28" s="51" t="b">
        <f t="shared" si="3"/>
        <v>1</v>
      </c>
      <c r="F28" s="51">
        <v>4095</v>
      </c>
      <c r="G28" s="51" t="b">
        <f t="shared" si="3"/>
        <v>1</v>
      </c>
      <c r="H28" s="51" t="b">
        <f t="shared" si="0"/>
        <v>1</v>
      </c>
      <c r="I28" s="51">
        <v>2906</v>
      </c>
      <c r="J28" s="51" t="b">
        <f t="shared" si="4"/>
        <v>1</v>
      </c>
      <c r="K28" s="51" t="b">
        <f t="shared" si="1"/>
        <v>1</v>
      </c>
      <c r="L28" s="51">
        <v>3500</v>
      </c>
      <c r="M28" s="51">
        <v>1</v>
      </c>
      <c r="N28" s="51">
        <v>0</v>
      </c>
      <c r="O28" s="51" t="b">
        <v>1</v>
      </c>
      <c r="P28" s="51">
        <v>4095</v>
      </c>
      <c r="Q28" s="51" t="b">
        <v>1</v>
      </c>
      <c r="R28" s="51" t="b">
        <v>1</v>
      </c>
      <c r="S28" s="51">
        <v>2906</v>
      </c>
      <c r="T28" s="51" t="b">
        <v>1</v>
      </c>
      <c r="U28" s="51" t="b">
        <v>1</v>
      </c>
      <c r="V28" s="51">
        <v>3500</v>
      </c>
      <c r="W28" s="51">
        <v>1</v>
      </c>
      <c r="X28" s="51">
        <v>0</v>
      </c>
      <c r="Y28" s="51" t="b">
        <f t="shared" si="2"/>
        <v>1</v>
      </c>
    </row>
    <row r="29" spans="1:25">
      <c r="A29" s="51">
        <v>25</v>
      </c>
      <c r="B29" s="51">
        <v>176955</v>
      </c>
      <c r="C29" s="51">
        <v>19235</v>
      </c>
      <c r="D29" s="51">
        <v>4761</v>
      </c>
      <c r="E29" s="51" t="b">
        <f t="shared" si="3"/>
        <v>1</v>
      </c>
      <c r="F29" s="51">
        <v>1406</v>
      </c>
      <c r="G29" s="51" t="b">
        <f t="shared" si="3"/>
        <v>1</v>
      </c>
      <c r="H29" s="51" t="b">
        <f t="shared" si="0"/>
        <v>1</v>
      </c>
      <c r="I29" s="51">
        <v>2696</v>
      </c>
      <c r="J29" s="51" t="b">
        <f t="shared" si="4"/>
        <v>1</v>
      </c>
      <c r="K29" s="51" t="b">
        <f t="shared" si="1"/>
        <v>1</v>
      </c>
      <c r="L29" s="51">
        <v>2051</v>
      </c>
      <c r="M29" s="51">
        <v>1</v>
      </c>
      <c r="N29" s="51">
        <v>0</v>
      </c>
      <c r="O29" s="51" t="b">
        <v>1</v>
      </c>
      <c r="P29" s="51">
        <v>1406</v>
      </c>
      <c r="Q29" s="51" t="b">
        <v>1</v>
      </c>
      <c r="R29" s="51" t="b">
        <v>1</v>
      </c>
      <c r="S29" s="51">
        <v>2696</v>
      </c>
      <c r="T29" s="51" t="b">
        <v>1</v>
      </c>
      <c r="U29" s="51" t="b">
        <v>1</v>
      </c>
      <c r="V29" s="51">
        <v>2051</v>
      </c>
      <c r="W29" s="51">
        <v>1</v>
      </c>
      <c r="X29" s="51">
        <v>0</v>
      </c>
      <c r="Y29" s="51" t="b">
        <f t="shared" si="2"/>
        <v>1</v>
      </c>
    </row>
    <row r="30" spans="1:25">
      <c r="A30" s="51">
        <v>26</v>
      </c>
      <c r="B30" s="51">
        <v>176214</v>
      </c>
      <c r="C30" s="51">
        <v>12217</v>
      </c>
      <c r="D30" s="51">
        <v>2662</v>
      </c>
      <c r="E30" s="51" t="b">
        <f t="shared" si="3"/>
        <v>1</v>
      </c>
      <c r="F30" s="51">
        <v>4095</v>
      </c>
      <c r="G30" s="51" t="b">
        <f t="shared" si="3"/>
        <v>1</v>
      </c>
      <c r="H30" s="51" t="b">
        <f t="shared" si="0"/>
        <v>1</v>
      </c>
      <c r="I30" s="51">
        <v>2906</v>
      </c>
      <c r="J30" s="51" t="b">
        <f t="shared" si="4"/>
        <v>1</v>
      </c>
      <c r="K30" s="51" t="b">
        <f t="shared" si="1"/>
        <v>1</v>
      </c>
      <c r="L30" s="51">
        <v>3500</v>
      </c>
      <c r="M30" s="51">
        <v>1</v>
      </c>
      <c r="N30" s="51">
        <v>0</v>
      </c>
      <c r="O30" s="51" t="b">
        <v>1</v>
      </c>
      <c r="P30" s="51">
        <v>4095</v>
      </c>
      <c r="Q30" s="51" t="b">
        <v>1</v>
      </c>
      <c r="R30" s="51" t="b">
        <v>1</v>
      </c>
      <c r="S30" s="51">
        <v>2906</v>
      </c>
      <c r="T30" s="51" t="b">
        <v>1</v>
      </c>
      <c r="U30" s="51" t="b">
        <v>1</v>
      </c>
      <c r="V30" s="51">
        <v>3500</v>
      </c>
      <c r="W30" s="51">
        <v>1</v>
      </c>
      <c r="X30" s="51">
        <v>0</v>
      </c>
      <c r="Y30" s="51" t="b">
        <f t="shared" ref="Y30" si="5">AND(E30=O30,F30=P30,G30=Q30,H30=R30,I30=S30,J30=T30,K30=U30,L30=V30,M30=W30,N30=X30)</f>
        <v>1</v>
      </c>
    </row>
    <row r="31" spans="1:25">
      <c r="A31" s="51">
        <v>27</v>
      </c>
      <c r="B31" s="51">
        <v>169952</v>
      </c>
      <c r="C31" s="51">
        <v>4161</v>
      </c>
      <c r="D31" s="51">
        <v>5713</v>
      </c>
      <c r="E31" s="51" t="b">
        <f t="shared" si="3"/>
        <v>1</v>
      </c>
      <c r="F31" s="51">
        <v>4095</v>
      </c>
      <c r="G31" s="51" t="b">
        <f t="shared" si="3"/>
        <v>1</v>
      </c>
      <c r="H31" s="51" t="b">
        <f t="shared" si="0"/>
        <v>1</v>
      </c>
      <c r="I31" s="51">
        <v>2906</v>
      </c>
      <c r="J31" s="51" t="b">
        <f t="shared" si="4"/>
        <v>1</v>
      </c>
      <c r="K31" s="51" t="b">
        <f t="shared" si="1"/>
        <v>1</v>
      </c>
      <c r="L31" s="51">
        <v>3500</v>
      </c>
      <c r="M31" s="51">
        <v>1</v>
      </c>
      <c r="N31" s="51">
        <v>0</v>
      </c>
      <c r="O31" s="51" t="b">
        <v>1</v>
      </c>
      <c r="P31" s="51">
        <v>4095</v>
      </c>
      <c r="Q31" s="51" t="b">
        <v>1</v>
      </c>
      <c r="R31" s="51" t="b">
        <v>1</v>
      </c>
      <c r="S31" s="51">
        <v>2906</v>
      </c>
      <c r="T31" s="51" t="b">
        <v>1</v>
      </c>
      <c r="U31" s="51" t="b">
        <v>1</v>
      </c>
      <c r="V31" s="51">
        <v>3500</v>
      </c>
      <c r="W31" s="51">
        <v>1</v>
      </c>
      <c r="X31" s="51">
        <v>0</v>
      </c>
      <c r="Y31" s="51" t="b">
        <f t="shared" si="2"/>
        <v>1</v>
      </c>
    </row>
    <row r="32" spans="1:25">
      <c r="A32" s="51">
        <v>28</v>
      </c>
      <c r="B32" s="51">
        <v>176955</v>
      </c>
      <c r="C32" s="51">
        <v>19235</v>
      </c>
      <c r="D32" s="51">
        <v>4761</v>
      </c>
      <c r="E32" s="51" t="b">
        <f t="shared" si="3"/>
        <v>1</v>
      </c>
      <c r="F32" s="51">
        <v>1406</v>
      </c>
      <c r="G32" s="51" t="b">
        <f t="shared" si="3"/>
        <v>1</v>
      </c>
      <c r="H32" s="51" t="b">
        <f t="shared" si="0"/>
        <v>1</v>
      </c>
      <c r="I32" s="51">
        <v>2696</v>
      </c>
      <c r="J32" s="51" t="b">
        <f t="shared" si="4"/>
        <v>1</v>
      </c>
      <c r="K32" s="51" t="b">
        <f t="shared" si="1"/>
        <v>1</v>
      </c>
      <c r="L32" s="51">
        <v>2051</v>
      </c>
      <c r="M32" s="51">
        <v>1</v>
      </c>
      <c r="N32" s="51">
        <v>0</v>
      </c>
      <c r="O32" s="51" t="b">
        <v>1</v>
      </c>
      <c r="P32" s="51">
        <v>1406</v>
      </c>
      <c r="Q32" s="51" t="b">
        <v>1</v>
      </c>
      <c r="R32" s="51" t="b">
        <v>1</v>
      </c>
      <c r="S32" s="51">
        <v>2696</v>
      </c>
      <c r="T32" s="51" t="b">
        <v>1</v>
      </c>
      <c r="U32" s="51" t="b">
        <v>1</v>
      </c>
      <c r="V32" s="51">
        <v>2051</v>
      </c>
      <c r="W32" s="51">
        <v>1</v>
      </c>
      <c r="X32" s="51">
        <v>0</v>
      </c>
      <c r="Y32" s="51" t="b">
        <f t="shared" si="2"/>
        <v>1</v>
      </c>
    </row>
    <row r="33" spans="1:25">
      <c r="A33" s="51">
        <v>29</v>
      </c>
      <c r="B33" s="51">
        <v>150568</v>
      </c>
      <c r="C33" s="51">
        <v>8683</v>
      </c>
      <c r="D33" s="51">
        <v>4761</v>
      </c>
      <c r="E33" s="51" t="b">
        <f t="shared" si="3"/>
        <v>1</v>
      </c>
      <c r="F33" s="51">
        <v>4095</v>
      </c>
      <c r="G33" s="51" t="b">
        <f t="shared" si="3"/>
        <v>1</v>
      </c>
      <c r="H33" s="51" t="b">
        <f t="shared" si="0"/>
        <v>1</v>
      </c>
      <c r="I33" s="51">
        <v>2906</v>
      </c>
      <c r="J33" s="51" t="b">
        <f t="shared" si="4"/>
        <v>1</v>
      </c>
      <c r="K33" s="51" t="b">
        <f t="shared" si="1"/>
        <v>1</v>
      </c>
      <c r="L33" s="51">
        <v>3500</v>
      </c>
      <c r="M33" s="51">
        <v>1</v>
      </c>
      <c r="N33" s="51">
        <v>0</v>
      </c>
      <c r="O33" s="51" t="b">
        <v>1</v>
      </c>
      <c r="P33" s="51">
        <v>4095</v>
      </c>
      <c r="Q33" s="51" t="b">
        <v>1</v>
      </c>
      <c r="R33" s="51" t="b">
        <v>1</v>
      </c>
      <c r="S33" s="51">
        <v>2906</v>
      </c>
      <c r="T33" s="51" t="b">
        <v>1</v>
      </c>
      <c r="U33" s="51" t="b">
        <v>1</v>
      </c>
      <c r="V33" s="51">
        <v>3500</v>
      </c>
      <c r="W33" s="51">
        <v>1</v>
      </c>
      <c r="X33" s="51">
        <v>0</v>
      </c>
      <c r="Y33" s="51" t="b">
        <f t="shared" si="2"/>
        <v>1</v>
      </c>
    </row>
    <row r="34" spans="1:25">
      <c r="A34" s="51">
        <v>30</v>
      </c>
      <c r="B34" s="51">
        <v>169952</v>
      </c>
      <c r="C34" s="51">
        <v>4161</v>
      </c>
      <c r="D34" s="51">
        <v>5713</v>
      </c>
      <c r="E34" s="51" t="b">
        <f t="shared" si="3"/>
        <v>1</v>
      </c>
      <c r="F34" s="51">
        <v>4095</v>
      </c>
      <c r="G34" s="51" t="b">
        <f t="shared" si="3"/>
        <v>1</v>
      </c>
      <c r="H34" s="51" t="b">
        <f t="shared" si="0"/>
        <v>1</v>
      </c>
      <c r="I34" s="51">
        <v>2906</v>
      </c>
      <c r="J34" s="51" t="b">
        <f t="shared" si="4"/>
        <v>1</v>
      </c>
      <c r="K34" s="51" t="b">
        <f t="shared" si="1"/>
        <v>1</v>
      </c>
      <c r="L34" s="51">
        <v>3500</v>
      </c>
      <c r="M34" s="51">
        <v>1</v>
      </c>
      <c r="N34" s="51">
        <v>0</v>
      </c>
      <c r="O34" s="51" t="b">
        <v>1</v>
      </c>
      <c r="P34" s="51">
        <v>4095</v>
      </c>
      <c r="Q34" s="51" t="b">
        <v>1</v>
      </c>
      <c r="R34" s="51" t="b">
        <v>1</v>
      </c>
      <c r="S34" s="51">
        <v>2906</v>
      </c>
      <c r="T34" s="51" t="b">
        <v>1</v>
      </c>
      <c r="U34" s="51" t="b">
        <v>1</v>
      </c>
      <c r="V34" s="51">
        <v>3500</v>
      </c>
      <c r="W34" s="51">
        <v>1</v>
      </c>
      <c r="X34" s="51">
        <v>0</v>
      </c>
      <c r="Y34" s="51" t="b">
        <f t="shared" si="2"/>
        <v>1</v>
      </c>
    </row>
    <row r="35" spans="1:25">
      <c r="A35" s="51">
        <v>31</v>
      </c>
      <c r="B35" s="51">
        <v>165821</v>
      </c>
      <c r="C35" s="51">
        <v>19251</v>
      </c>
      <c r="D35" s="51">
        <v>5713</v>
      </c>
      <c r="E35" s="51" t="b">
        <f t="shared" si="3"/>
        <v>1</v>
      </c>
      <c r="F35" s="51">
        <v>474</v>
      </c>
      <c r="G35" s="51" t="b">
        <f t="shared" si="3"/>
        <v>1</v>
      </c>
      <c r="H35" s="51" t="b">
        <f t="shared" si="0"/>
        <v>1</v>
      </c>
      <c r="I35" s="51">
        <v>2696</v>
      </c>
      <c r="J35" s="51" t="b">
        <f t="shared" si="4"/>
        <v>1</v>
      </c>
      <c r="K35" s="51" t="b">
        <f t="shared" si="1"/>
        <v>1</v>
      </c>
      <c r="L35" s="51">
        <v>1585</v>
      </c>
      <c r="M35" s="51">
        <v>1</v>
      </c>
      <c r="N35" s="51">
        <v>1</v>
      </c>
      <c r="O35" s="51" t="b">
        <v>1</v>
      </c>
      <c r="P35" s="51">
        <v>474</v>
      </c>
      <c r="Q35" s="51" t="b">
        <v>1</v>
      </c>
      <c r="R35" s="51" t="b">
        <v>1</v>
      </c>
      <c r="S35" s="51">
        <v>2696</v>
      </c>
      <c r="T35" s="51" t="b">
        <v>1</v>
      </c>
      <c r="U35" s="51" t="b">
        <v>1</v>
      </c>
      <c r="V35" s="51">
        <v>1585</v>
      </c>
      <c r="W35" s="51">
        <v>1</v>
      </c>
      <c r="X35" s="51">
        <v>1</v>
      </c>
      <c r="Y35" s="51" t="b">
        <f t="shared" si="2"/>
        <v>1</v>
      </c>
    </row>
    <row r="36" spans="1:25">
      <c r="A36" s="51">
        <v>32</v>
      </c>
      <c r="B36" s="51">
        <v>165162</v>
      </c>
      <c r="C36" s="51">
        <v>31303</v>
      </c>
      <c r="D36" s="51">
        <v>3194</v>
      </c>
      <c r="E36" s="51" t="b">
        <f t="shared" si="3"/>
        <v>1</v>
      </c>
      <c r="F36" s="51">
        <v>41</v>
      </c>
      <c r="G36" s="51" t="b">
        <f t="shared" si="3"/>
        <v>1</v>
      </c>
      <c r="H36" s="51" t="b">
        <f t="shared" si="0"/>
        <v>1</v>
      </c>
      <c r="I36" s="51">
        <v>176</v>
      </c>
      <c r="J36" s="51" t="b">
        <f t="shared" si="4"/>
        <v>1</v>
      </c>
      <c r="K36" s="51" t="b">
        <f t="shared" si="1"/>
        <v>1</v>
      </c>
      <c r="L36" s="51">
        <v>108</v>
      </c>
      <c r="M36" s="51">
        <v>1</v>
      </c>
      <c r="N36" s="51">
        <v>1</v>
      </c>
      <c r="O36" s="51" t="b">
        <v>1</v>
      </c>
      <c r="P36" s="51">
        <v>41</v>
      </c>
      <c r="Q36" s="51" t="b">
        <v>1</v>
      </c>
      <c r="R36" s="51" t="b">
        <v>1</v>
      </c>
      <c r="S36" s="51">
        <v>176</v>
      </c>
      <c r="T36" s="51" t="b">
        <v>1</v>
      </c>
      <c r="U36" s="51" t="b">
        <v>1</v>
      </c>
      <c r="V36" s="51">
        <v>108</v>
      </c>
      <c r="W36" s="51">
        <v>1</v>
      </c>
      <c r="X36" s="51">
        <v>1</v>
      </c>
      <c r="Y36" s="51" t="b">
        <f t="shared" si="2"/>
        <v>1</v>
      </c>
    </row>
    <row r="37" spans="1:25">
      <c r="A37" s="51">
        <v>33</v>
      </c>
      <c r="B37" s="51">
        <v>176214</v>
      </c>
      <c r="C37" s="51">
        <v>12217</v>
      </c>
      <c r="D37" s="51">
        <v>2662</v>
      </c>
      <c r="E37" s="51" t="b">
        <f t="shared" si="3"/>
        <v>1</v>
      </c>
      <c r="F37" s="51">
        <v>4095</v>
      </c>
      <c r="G37" s="51" t="b">
        <f t="shared" si="3"/>
        <v>1</v>
      </c>
      <c r="H37" s="51" t="b">
        <f t="shared" si="0"/>
        <v>1</v>
      </c>
      <c r="I37" s="51">
        <v>2906</v>
      </c>
      <c r="J37" s="51" t="b">
        <f t="shared" si="4"/>
        <v>1</v>
      </c>
      <c r="K37" s="51" t="b">
        <f t="shared" si="1"/>
        <v>1</v>
      </c>
      <c r="L37" s="51">
        <v>3500</v>
      </c>
      <c r="M37" s="51">
        <v>1</v>
      </c>
      <c r="N37" s="51">
        <v>0</v>
      </c>
      <c r="O37" s="51" t="b">
        <v>1</v>
      </c>
      <c r="P37" s="51">
        <v>4095</v>
      </c>
      <c r="Q37" s="51" t="b">
        <v>1</v>
      </c>
      <c r="R37" s="51" t="b">
        <v>1</v>
      </c>
      <c r="S37" s="51">
        <v>2906</v>
      </c>
      <c r="T37" s="51" t="b">
        <v>1</v>
      </c>
      <c r="U37" s="51" t="b">
        <v>1</v>
      </c>
      <c r="V37" s="51">
        <v>3500</v>
      </c>
      <c r="W37" s="51">
        <v>1</v>
      </c>
      <c r="X37" s="51">
        <v>0</v>
      </c>
      <c r="Y37" s="51" t="b">
        <f t="shared" si="2"/>
        <v>1</v>
      </c>
    </row>
    <row r="38" spans="1:25">
      <c r="A38" s="51">
        <v>34</v>
      </c>
      <c r="B38" s="51">
        <v>168847</v>
      </c>
      <c r="C38" s="51">
        <v>30676</v>
      </c>
      <c r="D38" s="51">
        <v>5713</v>
      </c>
      <c r="E38" s="51" t="b">
        <f t="shared" si="3"/>
        <v>1</v>
      </c>
      <c r="F38" s="51">
        <v>41</v>
      </c>
      <c r="G38" s="51" t="b">
        <f t="shared" si="3"/>
        <v>1</v>
      </c>
      <c r="H38" s="51" t="b">
        <f t="shared" si="0"/>
        <v>1</v>
      </c>
      <c r="I38" s="51">
        <v>176</v>
      </c>
      <c r="J38" s="51" t="b">
        <f t="shared" si="4"/>
        <v>1</v>
      </c>
      <c r="K38" s="51" t="b">
        <f t="shared" si="1"/>
        <v>1</v>
      </c>
      <c r="L38" s="51">
        <v>108</v>
      </c>
      <c r="M38" s="51">
        <v>1</v>
      </c>
      <c r="N38" s="51">
        <v>1</v>
      </c>
      <c r="O38" s="51" t="b">
        <v>1</v>
      </c>
      <c r="P38" s="51">
        <v>41</v>
      </c>
      <c r="Q38" s="51" t="b">
        <v>1</v>
      </c>
      <c r="R38" s="51" t="b">
        <v>1</v>
      </c>
      <c r="S38" s="51">
        <v>176</v>
      </c>
      <c r="T38" s="51" t="b">
        <v>1</v>
      </c>
      <c r="U38" s="51" t="b">
        <v>1</v>
      </c>
      <c r="V38" s="51">
        <v>108</v>
      </c>
      <c r="W38" s="51">
        <v>1</v>
      </c>
      <c r="X38" s="51">
        <v>1</v>
      </c>
      <c r="Y38" s="51" t="b">
        <f t="shared" si="2"/>
        <v>1</v>
      </c>
    </row>
    <row r="39" spans="1:25">
      <c r="A39" s="51">
        <v>35</v>
      </c>
      <c r="B39" s="51">
        <v>170253</v>
      </c>
      <c r="C39" s="51">
        <v>14485</v>
      </c>
      <c r="D39" s="51">
        <v>2662</v>
      </c>
      <c r="E39" s="51" t="b">
        <f t="shared" si="3"/>
        <v>1</v>
      </c>
      <c r="F39" s="51">
        <v>3971</v>
      </c>
      <c r="G39" s="51" t="b">
        <f t="shared" si="3"/>
        <v>1</v>
      </c>
      <c r="H39" s="51" t="b">
        <f t="shared" si="0"/>
        <v>1</v>
      </c>
      <c r="I39" s="51">
        <v>2906</v>
      </c>
      <c r="J39" s="51" t="b">
        <f t="shared" si="4"/>
        <v>1</v>
      </c>
      <c r="K39" s="51" t="b">
        <f t="shared" si="1"/>
        <v>1</v>
      </c>
      <c r="L39" s="51">
        <v>3438</v>
      </c>
      <c r="M39" s="51">
        <v>1</v>
      </c>
      <c r="N39" s="51">
        <v>0</v>
      </c>
      <c r="O39" s="51" t="b">
        <v>1</v>
      </c>
      <c r="P39" s="51">
        <v>3971</v>
      </c>
      <c r="Q39" s="51" t="b">
        <v>1</v>
      </c>
      <c r="R39" s="51" t="b">
        <v>1</v>
      </c>
      <c r="S39" s="51">
        <v>2906</v>
      </c>
      <c r="T39" s="51" t="b">
        <v>1</v>
      </c>
      <c r="U39" s="51" t="b">
        <v>1</v>
      </c>
      <c r="V39" s="51">
        <v>3438</v>
      </c>
      <c r="W39" s="51">
        <v>1</v>
      </c>
      <c r="X39" s="51">
        <v>0</v>
      </c>
      <c r="Y39" s="51" t="b">
        <f t="shared" si="2"/>
        <v>1</v>
      </c>
    </row>
    <row r="40" spans="1:25">
      <c r="A40" s="51">
        <v>36</v>
      </c>
      <c r="B40" s="51">
        <v>161411</v>
      </c>
      <c r="C40" s="51">
        <v>10450</v>
      </c>
      <c r="D40" s="51">
        <v>2662</v>
      </c>
      <c r="E40" s="51" t="b">
        <f t="shared" si="3"/>
        <v>1</v>
      </c>
      <c r="F40" s="51">
        <v>4095</v>
      </c>
      <c r="G40" s="51" t="b">
        <f t="shared" si="3"/>
        <v>1</v>
      </c>
      <c r="H40" s="51" t="b">
        <f t="shared" si="0"/>
        <v>1</v>
      </c>
      <c r="I40" s="51">
        <v>2906</v>
      </c>
      <c r="J40" s="51" t="b">
        <f t="shared" si="4"/>
        <v>1</v>
      </c>
      <c r="K40" s="51" t="b">
        <f t="shared" si="1"/>
        <v>1</v>
      </c>
      <c r="L40" s="51">
        <v>3500</v>
      </c>
      <c r="M40" s="51">
        <v>1</v>
      </c>
      <c r="N40" s="51">
        <v>0</v>
      </c>
      <c r="O40" s="51" t="b">
        <v>1</v>
      </c>
      <c r="P40" s="51">
        <v>4095</v>
      </c>
      <c r="Q40" s="51" t="b">
        <v>1</v>
      </c>
      <c r="R40" s="51" t="b">
        <v>1</v>
      </c>
      <c r="S40" s="51">
        <v>2906</v>
      </c>
      <c r="T40" s="51" t="b">
        <v>1</v>
      </c>
      <c r="U40" s="51" t="b">
        <v>1</v>
      </c>
      <c r="V40" s="51">
        <v>3500</v>
      </c>
      <c r="W40" s="51">
        <v>1</v>
      </c>
      <c r="X40" s="51">
        <v>0</v>
      </c>
      <c r="Y40" s="51" t="b">
        <f t="shared" si="2"/>
        <v>1</v>
      </c>
    </row>
    <row r="41" spans="1:25">
      <c r="A41" s="51">
        <v>37</v>
      </c>
      <c r="B41" s="51">
        <v>163315</v>
      </c>
      <c r="C41" s="51">
        <v>15928</v>
      </c>
      <c r="D41" s="51">
        <v>3809</v>
      </c>
      <c r="E41" s="51" t="b">
        <f t="shared" si="3"/>
        <v>1</v>
      </c>
      <c r="F41" s="51">
        <v>1849</v>
      </c>
      <c r="G41" s="51" t="b">
        <f t="shared" si="3"/>
        <v>1</v>
      </c>
      <c r="H41" s="51" t="b">
        <f t="shared" si="0"/>
        <v>1</v>
      </c>
      <c r="I41" s="51">
        <v>2906</v>
      </c>
      <c r="J41" s="51" t="b">
        <f t="shared" si="4"/>
        <v>1</v>
      </c>
      <c r="K41" s="51" t="b">
        <f t="shared" si="1"/>
        <v>1</v>
      </c>
      <c r="L41" s="51">
        <v>2377</v>
      </c>
      <c r="M41" s="51">
        <v>1</v>
      </c>
      <c r="N41" s="51">
        <v>0</v>
      </c>
      <c r="O41" s="51" t="b">
        <v>1</v>
      </c>
      <c r="P41" s="51">
        <v>1849</v>
      </c>
      <c r="Q41" s="51" t="b">
        <v>1</v>
      </c>
      <c r="R41" s="51" t="b">
        <v>1</v>
      </c>
      <c r="S41" s="51">
        <v>2906</v>
      </c>
      <c r="T41" s="51" t="b">
        <v>1</v>
      </c>
      <c r="U41" s="51" t="b">
        <v>1</v>
      </c>
      <c r="V41" s="51">
        <v>2377</v>
      </c>
      <c r="W41" s="51">
        <v>1</v>
      </c>
      <c r="X41" s="51">
        <v>0</v>
      </c>
      <c r="Y41" s="51" t="b">
        <f t="shared" si="2"/>
        <v>1</v>
      </c>
    </row>
    <row r="42" spans="1:25">
      <c r="A42" s="51">
        <v>38</v>
      </c>
      <c r="B42" s="51">
        <v>177111</v>
      </c>
      <c r="C42" s="51">
        <v>25575</v>
      </c>
      <c r="D42" s="51">
        <v>3809</v>
      </c>
      <c r="E42" s="51" t="b">
        <f t="shared" si="3"/>
        <v>1</v>
      </c>
      <c r="F42" s="51">
        <v>894</v>
      </c>
      <c r="G42" s="51" t="b">
        <f t="shared" si="3"/>
        <v>1</v>
      </c>
      <c r="H42" s="51" t="b">
        <f t="shared" si="0"/>
        <v>1</v>
      </c>
      <c r="I42" s="51">
        <v>1427</v>
      </c>
      <c r="J42" s="51" t="b">
        <f t="shared" si="4"/>
        <v>1</v>
      </c>
      <c r="K42" s="51" t="b">
        <f t="shared" si="1"/>
        <v>1</v>
      </c>
      <c r="L42" s="51">
        <v>1160</v>
      </c>
      <c r="M42" s="51">
        <v>1</v>
      </c>
      <c r="N42" s="51">
        <v>1</v>
      </c>
      <c r="O42" s="51" t="b">
        <v>1</v>
      </c>
      <c r="P42" s="51">
        <v>894</v>
      </c>
      <c r="Q42" s="51" t="b">
        <v>1</v>
      </c>
      <c r="R42" s="51" t="b">
        <v>1</v>
      </c>
      <c r="S42" s="51">
        <v>1427</v>
      </c>
      <c r="T42" s="51" t="b">
        <v>1</v>
      </c>
      <c r="U42" s="51" t="b">
        <v>1</v>
      </c>
      <c r="V42" s="51">
        <v>1160</v>
      </c>
      <c r="W42" s="51">
        <v>1</v>
      </c>
      <c r="X42" s="51">
        <v>1</v>
      </c>
      <c r="Y42" s="51" t="b">
        <f t="shared" si="2"/>
        <v>1</v>
      </c>
    </row>
    <row r="43" spans="1:25">
      <c r="A43" s="51">
        <v>39</v>
      </c>
      <c r="B43" s="51">
        <v>166052</v>
      </c>
      <c r="C43" s="51">
        <v>27841</v>
      </c>
      <c r="D43" s="51">
        <v>3809</v>
      </c>
      <c r="E43" s="51" t="b">
        <f t="shared" si="3"/>
        <v>1</v>
      </c>
      <c r="F43" s="51">
        <v>41</v>
      </c>
      <c r="G43" s="51" t="b">
        <f t="shared" si="3"/>
        <v>1</v>
      </c>
      <c r="H43" s="51" t="b">
        <f t="shared" si="0"/>
        <v>1</v>
      </c>
      <c r="I43" s="51">
        <v>449</v>
      </c>
      <c r="J43" s="51" t="b">
        <f t="shared" si="4"/>
        <v>1</v>
      </c>
      <c r="K43" s="51" t="b">
        <f t="shared" si="1"/>
        <v>1</v>
      </c>
      <c r="L43" s="51">
        <v>245</v>
      </c>
      <c r="M43" s="51">
        <v>1</v>
      </c>
      <c r="N43" s="51">
        <v>1</v>
      </c>
      <c r="O43" s="51" t="b">
        <v>1</v>
      </c>
      <c r="P43" s="51">
        <v>41</v>
      </c>
      <c r="Q43" s="51" t="b">
        <v>1</v>
      </c>
      <c r="R43" s="51" t="b">
        <v>1</v>
      </c>
      <c r="S43" s="51">
        <v>449</v>
      </c>
      <c r="T43" s="51" t="b">
        <v>1</v>
      </c>
      <c r="U43" s="51" t="b">
        <v>1</v>
      </c>
      <c r="V43" s="51">
        <v>245</v>
      </c>
      <c r="W43" s="51">
        <v>1</v>
      </c>
      <c r="X43" s="51">
        <v>1</v>
      </c>
      <c r="Y43" s="51" t="b">
        <f t="shared" si="2"/>
        <v>1</v>
      </c>
    </row>
    <row r="44" spans="1:25">
      <c r="A44" s="51">
        <v>40</v>
      </c>
      <c r="B44" s="51">
        <v>164528</v>
      </c>
      <c r="C44" s="51">
        <v>28294</v>
      </c>
      <c r="D44" s="51">
        <v>2662</v>
      </c>
      <c r="E44" s="51" t="b">
        <f t="shared" si="3"/>
        <v>1</v>
      </c>
      <c r="F44" s="51">
        <v>41</v>
      </c>
      <c r="G44" s="51" t="b">
        <f t="shared" si="3"/>
        <v>1</v>
      </c>
      <c r="H44" s="51" t="b">
        <f t="shared" si="0"/>
        <v>1</v>
      </c>
      <c r="I44" s="51">
        <v>176</v>
      </c>
      <c r="J44" s="51" t="b">
        <f t="shared" si="4"/>
        <v>1</v>
      </c>
      <c r="K44" s="51" t="b">
        <f t="shared" si="1"/>
        <v>1</v>
      </c>
      <c r="L44" s="51">
        <v>108</v>
      </c>
      <c r="M44" s="51">
        <v>1</v>
      </c>
      <c r="N44" s="51">
        <v>1</v>
      </c>
      <c r="O44" s="51" t="b">
        <v>1</v>
      </c>
      <c r="P44" s="51">
        <v>41</v>
      </c>
      <c r="Q44" s="51" t="b">
        <v>1</v>
      </c>
      <c r="R44" s="51" t="b">
        <v>1</v>
      </c>
      <c r="S44" s="51">
        <v>176</v>
      </c>
      <c r="T44" s="51" t="b">
        <v>1</v>
      </c>
      <c r="U44" s="51" t="b">
        <v>1</v>
      </c>
      <c r="V44" s="51">
        <v>108</v>
      </c>
      <c r="W44" s="51">
        <v>1</v>
      </c>
      <c r="X44" s="51">
        <v>1</v>
      </c>
      <c r="Y44" s="51" t="b">
        <f t="shared" si="2"/>
        <v>1</v>
      </c>
    </row>
    <row r="45" spans="1:25">
      <c r="A45" s="51">
        <v>41</v>
      </c>
      <c r="B45" s="51">
        <v>163970</v>
      </c>
      <c r="C45" s="51">
        <v>3985</v>
      </c>
      <c r="D45" s="51">
        <v>4761</v>
      </c>
      <c r="E45" s="51" t="b">
        <f t="shared" si="3"/>
        <v>1</v>
      </c>
      <c r="F45" s="51">
        <v>4095</v>
      </c>
      <c r="G45" s="51" t="b">
        <f t="shared" si="3"/>
        <v>1</v>
      </c>
      <c r="H45" s="51" t="b">
        <f t="shared" si="0"/>
        <v>1</v>
      </c>
      <c r="I45" s="51">
        <v>2906</v>
      </c>
      <c r="J45" s="51" t="b">
        <f t="shared" si="4"/>
        <v>1</v>
      </c>
      <c r="K45" s="51" t="b">
        <f t="shared" si="1"/>
        <v>1</v>
      </c>
      <c r="L45" s="51">
        <v>3500</v>
      </c>
      <c r="M45" s="51">
        <v>1</v>
      </c>
      <c r="N45" s="51">
        <v>0</v>
      </c>
      <c r="O45" s="51" t="b">
        <v>1</v>
      </c>
      <c r="P45" s="51">
        <v>4095</v>
      </c>
      <c r="Q45" s="51" t="b">
        <v>1</v>
      </c>
      <c r="R45" s="51" t="b">
        <v>1</v>
      </c>
      <c r="S45" s="51">
        <v>2906</v>
      </c>
      <c r="T45" s="51" t="b">
        <v>1</v>
      </c>
      <c r="U45" s="51" t="b">
        <v>1</v>
      </c>
      <c r="V45" s="51">
        <v>3500</v>
      </c>
      <c r="W45" s="51">
        <v>1</v>
      </c>
      <c r="X45" s="51">
        <v>0</v>
      </c>
      <c r="Y45" s="51" t="b">
        <f t="shared" si="2"/>
        <v>1</v>
      </c>
    </row>
    <row r="46" spans="1:25">
      <c r="A46" s="51">
        <v>42</v>
      </c>
      <c r="B46" s="51">
        <v>160380</v>
      </c>
      <c r="C46" s="51">
        <v>6211</v>
      </c>
      <c r="D46" s="51">
        <v>3194</v>
      </c>
      <c r="E46" s="51" t="b">
        <f t="shared" si="3"/>
        <v>1</v>
      </c>
      <c r="F46" s="51">
        <v>4095</v>
      </c>
      <c r="G46" s="51" t="b">
        <f t="shared" si="3"/>
        <v>1</v>
      </c>
      <c r="H46" s="51" t="b">
        <f t="shared" si="0"/>
        <v>1</v>
      </c>
      <c r="I46" s="51">
        <v>2906</v>
      </c>
      <c r="J46" s="51" t="b">
        <f t="shared" si="4"/>
        <v>1</v>
      </c>
      <c r="K46" s="51" t="b">
        <f t="shared" si="1"/>
        <v>1</v>
      </c>
      <c r="L46" s="51">
        <v>3500</v>
      </c>
      <c r="M46" s="51">
        <v>1</v>
      </c>
      <c r="N46" s="51">
        <v>0</v>
      </c>
      <c r="O46" s="51" t="b">
        <v>1</v>
      </c>
      <c r="P46" s="51">
        <v>4095</v>
      </c>
      <c r="Q46" s="51" t="b">
        <v>1</v>
      </c>
      <c r="R46" s="51" t="b">
        <v>1</v>
      </c>
      <c r="S46" s="51">
        <v>2906</v>
      </c>
      <c r="T46" s="51" t="b">
        <v>1</v>
      </c>
      <c r="U46" s="51" t="b">
        <v>1</v>
      </c>
      <c r="V46" s="51">
        <v>3500</v>
      </c>
      <c r="W46" s="51">
        <v>1</v>
      </c>
      <c r="X46" s="51">
        <v>0</v>
      </c>
      <c r="Y46" s="51" t="b">
        <f t="shared" si="2"/>
        <v>1</v>
      </c>
    </row>
    <row r="47" spans="1:25">
      <c r="A47" s="51">
        <v>43</v>
      </c>
      <c r="B47" s="51">
        <v>161694</v>
      </c>
      <c r="C47" s="51">
        <v>10123</v>
      </c>
      <c r="D47" s="51">
        <v>3809</v>
      </c>
      <c r="E47" s="51" t="b">
        <f t="shared" si="3"/>
        <v>1</v>
      </c>
      <c r="F47" s="51">
        <v>4095</v>
      </c>
      <c r="G47" s="51" t="b">
        <f t="shared" si="3"/>
        <v>1</v>
      </c>
      <c r="H47" s="51" t="b">
        <f t="shared" si="0"/>
        <v>1</v>
      </c>
      <c r="I47" s="51">
        <v>2906</v>
      </c>
      <c r="J47" s="51" t="b">
        <f t="shared" si="4"/>
        <v>1</v>
      </c>
      <c r="K47" s="51" t="b">
        <f t="shared" si="1"/>
        <v>1</v>
      </c>
      <c r="L47" s="51">
        <v>3500</v>
      </c>
      <c r="M47" s="51">
        <v>1</v>
      </c>
      <c r="N47" s="51">
        <v>0</v>
      </c>
      <c r="O47" s="51" t="b">
        <v>1</v>
      </c>
      <c r="P47" s="51">
        <v>4095</v>
      </c>
      <c r="Q47" s="51" t="b">
        <v>1</v>
      </c>
      <c r="R47" s="51" t="b">
        <v>1</v>
      </c>
      <c r="S47" s="51">
        <v>2906</v>
      </c>
      <c r="T47" s="51" t="b">
        <v>1</v>
      </c>
      <c r="U47" s="51" t="b">
        <v>1</v>
      </c>
      <c r="V47" s="51">
        <v>3500</v>
      </c>
      <c r="W47" s="51">
        <v>1</v>
      </c>
      <c r="X47" s="51">
        <v>0</v>
      </c>
      <c r="Y47" s="51" t="b">
        <f t="shared" si="2"/>
        <v>1</v>
      </c>
    </row>
    <row r="48" spans="1:25">
      <c r="A48" s="51">
        <v>44</v>
      </c>
      <c r="B48" s="51">
        <v>162984</v>
      </c>
      <c r="C48" s="51">
        <v>9840</v>
      </c>
      <c r="D48" s="51">
        <v>4761</v>
      </c>
      <c r="E48" s="51" t="b">
        <f t="shared" si="3"/>
        <v>1</v>
      </c>
      <c r="F48" s="51">
        <v>4095</v>
      </c>
      <c r="G48" s="51" t="b">
        <f t="shared" si="3"/>
        <v>1</v>
      </c>
      <c r="H48" s="51" t="b">
        <f t="shared" si="0"/>
        <v>1</v>
      </c>
      <c r="I48" s="51">
        <v>2906</v>
      </c>
      <c r="J48" s="51" t="b">
        <f t="shared" si="4"/>
        <v>1</v>
      </c>
      <c r="K48" s="51" t="b">
        <f t="shared" si="1"/>
        <v>1</v>
      </c>
      <c r="L48" s="51">
        <v>3500</v>
      </c>
      <c r="M48" s="51">
        <v>1</v>
      </c>
      <c r="N48" s="51">
        <v>0</v>
      </c>
      <c r="O48" s="51" t="b">
        <v>1</v>
      </c>
      <c r="P48" s="51">
        <v>4095</v>
      </c>
      <c r="Q48" s="51" t="b">
        <v>1</v>
      </c>
      <c r="R48" s="51" t="b">
        <v>1</v>
      </c>
      <c r="S48" s="51">
        <v>2906</v>
      </c>
      <c r="T48" s="51" t="b">
        <v>1</v>
      </c>
      <c r="U48" s="51" t="b">
        <v>1</v>
      </c>
      <c r="V48" s="51">
        <v>3500</v>
      </c>
      <c r="W48" s="51">
        <v>1</v>
      </c>
      <c r="X48" s="51">
        <v>0</v>
      </c>
      <c r="Y48" s="51" t="b">
        <f t="shared" si="2"/>
        <v>1</v>
      </c>
    </row>
    <row r="49" spans="1:25">
      <c r="A49" s="51">
        <v>45</v>
      </c>
      <c r="B49" s="51">
        <v>160308</v>
      </c>
      <c r="C49" s="51">
        <v>18152</v>
      </c>
      <c r="D49" s="51">
        <v>3194</v>
      </c>
      <c r="E49" s="51" t="b">
        <f t="shared" si="3"/>
        <v>1</v>
      </c>
      <c r="F49" s="51">
        <v>1849</v>
      </c>
      <c r="G49" s="51" t="b">
        <f t="shared" si="3"/>
        <v>1</v>
      </c>
      <c r="H49" s="51" t="b">
        <f t="shared" si="0"/>
        <v>1</v>
      </c>
      <c r="I49" s="51">
        <v>2906</v>
      </c>
      <c r="J49" s="51" t="b">
        <f t="shared" si="4"/>
        <v>1</v>
      </c>
      <c r="K49" s="51" t="b">
        <f t="shared" si="1"/>
        <v>1</v>
      </c>
      <c r="L49" s="51">
        <v>2377</v>
      </c>
      <c r="M49" s="51">
        <v>1</v>
      </c>
      <c r="N49" s="51">
        <v>0</v>
      </c>
      <c r="O49" s="51" t="b">
        <v>1</v>
      </c>
      <c r="P49" s="51">
        <v>1849</v>
      </c>
      <c r="Q49" s="51" t="b">
        <v>1</v>
      </c>
      <c r="R49" s="51" t="b">
        <v>1</v>
      </c>
      <c r="S49" s="51">
        <v>2906</v>
      </c>
      <c r="T49" s="51" t="b">
        <v>1</v>
      </c>
      <c r="U49" s="51" t="b">
        <v>1</v>
      </c>
      <c r="V49" s="51">
        <v>2377</v>
      </c>
      <c r="W49" s="51">
        <v>1</v>
      </c>
      <c r="X49" s="76">
        <v>0</v>
      </c>
      <c r="Y49" s="51" t="b">
        <f t="shared" si="2"/>
        <v>1</v>
      </c>
    </row>
    <row r="50" spans="1:25">
      <c r="A50" s="51">
        <v>46</v>
      </c>
      <c r="B50" s="51">
        <v>169349</v>
      </c>
      <c r="C50" s="51">
        <v>22218</v>
      </c>
      <c r="D50" s="51">
        <v>3194</v>
      </c>
      <c r="E50" s="51" t="b">
        <f t="shared" si="3"/>
        <v>1</v>
      </c>
      <c r="F50" s="51">
        <v>474</v>
      </c>
      <c r="G50" s="51" t="b">
        <f t="shared" si="3"/>
        <v>1</v>
      </c>
      <c r="H50" s="51" t="b">
        <f t="shared" si="0"/>
        <v>1</v>
      </c>
      <c r="I50" s="51">
        <v>1604</v>
      </c>
      <c r="J50" s="51" t="b">
        <f t="shared" si="4"/>
        <v>1</v>
      </c>
      <c r="K50" s="51" t="b">
        <f t="shared" si="1"/>
        <v>1</v>
      </c>
      <c r="L50" s="51">
        <v>1039</v>
      </c>
      <c r="M50" s="51">
        <v>1</v>
      </c>
      <c r="N50" s="51">
        <v>1</v>
      </c>
      <c r="O50" s="51" t="b">
        <v>1</v>
      </c>
      <c r="P50" s="51">
        <v>474</v>
      </c>
      <c r="Q50" s="51" t="b">
        <v>1</v>
      </c>
      <c r="R50" s="51" t="b">
        <v>1</v>
      </c>
      <c r="S50" s="51">
        <v>1604</v>
      </c>
      <c r="T50" s="51" t="b">
        <v>1</v>
      </c>
      <c r="U50" s="51" t="b">
        <v>1</v>
      </c>
      <c r="V50" s="51">
        <v>1039</v>
      </c>
      <c r="W50" s="51">
        <v>1</v>
      </c>
      <c r="X50" s="76">
        <v>1</v>
      </c>
      <c r="Y50" s="51" t="b">
        <f t="shared" si="2"/>
        <v>1</v>
      </c>
    </row>
    <row r="51" spans="1:25">
      <c r="A51" s="51">
        <v>47</v>
      </c>
      <c r="B51" s="51">
        <v>166519</v>
      </c>
      <c r="C51" s="51">
        <v>22780</v>
      </c>
      <c r="D51" s="51">
        <v>5713</v>
      </c>
      <c r="E51" s="51" t="b">
        <f t="shared" si="3"/>
        <v>1</v>
      </c>
      <c r="F51" s="51">
        <v>474</v>
      </c>
      <c r="G51" s="51" t="b">
        <f t="shared" si="3"/>
        <v>1</v>
      </c>
      <c r="H51" s="51" t="b">
        <f t="shared" si="0"/>
        <v>1</v>
      </c>
      <c r="I51" s="51">
        <v>1604</v>
      </c>
      <c r="J51" s="51" t="b">
        <f t="shared" si="4"/>
        <v>1</v>
      </c>
      <c r="K51" s="51" t="b">
        <f t="shared" si="1"/>
        <v>1</v>
      </c>
      <c r="L51" s="51">
        <v>1039</v>
      </c>
      <c r="M51" s="51">
        <v>1</v>
      </c>
      <c r="N51" s="51">
        <v>1</v>
      </c>
      <c r="O51" s="51" t="b">
        <v>1</v>
      </c>
      <c r="P51" s="51">
        <v>474</v>
      </c>
      <c r="Q51" s="51" t="b">
        <v>1</v>
      </c>
      <c r="R51" s="51" t="b">
        <v>1</v>
      </c>
      <c r="S51" s="51">
        <v>1604</v>
      </c>
      <c r="T51" s="51" t="b">
        <v>1</v>
      </c>
      <c r="U51" s="51" t="b">
        <v>1</v>
      </c>
      <c r="V51" s="51">
        <v>1039</v>
      </c>
      <c r="W51" s="51">
        <v>1</v>
      </c>
      <c r="X51" s="76">
        <v>1</v>
      </c>
      <c r="Y51" s="51" t="b">
        <f t="shared" si="2"/>
        <v>1</v>
      </c>
    </row>
    <row r="52" spans="1:25">
      <c r="A52" s="51">
        <v>48</v>
      </c>
      <c r="B52" s="51">
        <v>152850</v>
      </c>
      <c r="C52" s="51">
        <v>24614</v>
      </c>
      <c r="D52" s="51">
        <v>3194</v>
      </c>
      <c r="E52" s="51" t="b">
        <f t="shared" si="3"/>
        <v>1</v>
      </c>
      <c r="F52" s="51">
        <v>474</v>
      </c>
      <c r="G52" s="51" t="b">
        <f t="shared" si="3"/>
        <v>1</v>
      </c>
      <c r="H52" s="51" t="b">
        <f t="shared" si="0"/>
        <v>1</v>
      </c>
      <c r="I52" s="51">
        <v>176</v>
      </c>
      <c r="J52" s="51" t="b">
        <f t="shared" si="4"/>
        <v>1</v>
      </c>
      <c r="K52" s="51" t="b">
        <f t="shared" si="1"/>
        <v>1</v>
      </c>
      <c r="L52" s="51">
        <v>325</v>
      </c>
      <c r="M52" s="51">
        <v>1</v>
      </c>
      <c r="N52" s="51">
        <v>1</v>
      </c>
      <c r="O52" s="51" t="b">
        <v>1</v>
      </c>
      <c r="P52" s="51">
        <v>474</v>
      </c>
      <c r="Q52" s="51" t="b">
        <v>1</v>
      </c>
      <c r="R52" s="51" t="b">
        <v>1</v>
      </c>
      <c r="S52" s="51">
        <v>176</v>
      </c>
      <c r="T52" s="51" t="b">
        <v>1</v>
      </c>
      <c r="U52" s="51" t="b">
        <v>1</v>
      </c>
      <c r="V52" s="51">
        <v>325</v>
      </c>
      <c r="W52" s="51">
        <v>1</v>
      </c>
      <c r="X52" s="76">
        <v>1</v>
      </c>
      <c r="Y52" s="51" t="b">
        <f t="shared" si="2"/>
        <v>1</v>
      </c>
    </row>
    <row r="53" spans="1:25">
      <c r="A53" s="51">
        <v>49</v>
      </c>
      <c r="B53" s="51">
        <v>177111</v>
      </c>
      <c r="C53" s="51">
        <v>25575</v>
      </c>
      <c r="D53" s="51">
        <v>3809</v>
      </c>
      <c r="E53" s="51" t="b">
        <f t="shared" si="3"/>
        <v>1</v>
      </c>
      <c r="F53" s="51">
        <v>894</v>
      </c>
      <c r="G53" s="51" t="b">
        <f t="shared" si="3"/>
        <v>1</v>
      </c>
      <c r="H53" s="51" t="b">
        <f t="shared" si="0"/>
        <v>1</v>
      </c>
      <c r="I53" s="51">
        <v>1427</v>
      </c>
      <c r="J53" s="51" t="b">
        <f t="shared" si="4"/>
        <v>1</v>
      </c>
      <c r="K53" s="51" t="b">
        <f t="shared" si="1"/>
        <v>1</v>
      </c>
      <c r="L53" s="51">
        <v>1160</v>
      </c>
      <c r="M53" s="51">
        <v>1</v>
      </c>
      <c r="N53" s="51">
        <v>1</v>
      </c>
      <c r="O53" s="51" t="b">
        <v>1</v>
      </c>
      <c r="P53" s="51">
        <v>894</v>
      </c>
      <c r="Q53" s="51" t="b">
        <v>1</v>
      </c>
      <c r="R53" s="51" t="b">
        <v>1</v>
      </c>
      <c r="S53" s="51">
        <v>1427</v>
      </c>
      <c r="T53" s="51" t="b">
        <v>1</v>
      </c>
      <c r="U53" s="51" t="b">
        <v>1</v>
      </c>
      <c r="V53" s="51">
        <v>1160</v>
      </c>
      <c r="W53" s="51">
        <v>1</v>
      </c>
      <c r="X53" s="76">
        <v>1</v>
      </c>
      <c r="Y53" s="51" t="b">
        <f t="shared" si="2"/>
        <v>1</v>
      </c>
    </row>
    <row r="54" spans="1:25">
      <c r="A54" s="51">
        <v>50</v>
      </c>
      <c r="B54" s="51">
        <v>167057</v>
      </c>
      <c r="C54" s="51">
        <v>3969</v>
      </c>
      <c r="D54" s="51">
        <v>2662</v>
      </c>
      <c r="E54" s="51" t="b">
        <f t="shared" si="3"/>
        <v>1</v>
      </c>
      <c r="F54" s="51">
        <v>4095</v>
      </c>
      <c r="G54" s="51" t="b">
        <f t="shared" si="3"/>
        <v>1</v>
      </c>
      <c r="H54" s="51" t="b">
        <f t="shared" si="0"/>
        <v>1</v>
      </c>
      <c r="I54" s="51">
        <v>2906</v>
      </c>
      <c r="J54" s="51" t="b">
        <f t="shared" si="4"/>
        <v>1</v>
      </c>
      <c r="K54" s="51" t="b">
        <f t="shared" si="1"/>
        <v>1</v>
      </c>
      <c r="L54" s="51">
        <v>3500</v>
      </c>
      <c r="M54" s="51">
        <v>1</v>
      </c>
      <c r="N54" s="51">
        <v>0</v>
      </c>
      <c r="O54" s="51" t="b">
        <v>1</v>
      </c>
      <c r="P54" s="51">
        <v>4095</v>
      </c>
      <c r="Q54" s="51" t="b">
        <v>1</v>
      </c>
      <c r="R54" s="51" t="b">
        <v>1</v>
      </c>
      <c r="S54" s="51">
        <v>2906</v>
      </c>
      <c r="T54" s="51" t="b">
        <v>1</v>
      </c>
      <c r="U54" s="51" t="b">
        <v>1</v>
      </c>
      <c r="V54" s="51">
        <v>3500</v>
      </c>
      <c r="W54" s="51">
        <v>1</v>
      </c>
      <c r="X54" s="51">
        <v>0</v>
      </c>
      <c r="Y54" s="51" t="b">
        <f t="shared" ref="Y54" si="6">AND(E54=O54,F54=P54,G54=Q54,H54=R54,I54=S54,J54=T54,K54=U54,L54=V54,M54=W54,N54=X54)</f>
        <v>1</v>
      </c>
    </row>
    <row r="55" spans="1:25">
      <c r="A55" s="51">
        <v>51</v>
      </c>
      <c r="B55" s="51">
        <v>170312</v>
      </c>
      <c r="C55" s="51">
        <v>16828</v>
      </c>
      <c r="D55" s="51">
        <v>4761</v>
      </c>
      <c r="E55" s="51" t="b">
        <f t="shared" si="3"/>
        <v>1</v>
      </c>
      <c r="F55" s="51">
        <v>2781</v>
      </c>
      <c r="G55" s="51" t="b">
        <f t="shared" si="3"/>
        <v>1</v>
      </c>
      <c r="H55" s="51" t="b">
        <f t="shared" si="0"/>
        <v>1</v>
      </c>
      <c r="I55" s="51">
        <v>2906</v>
      </c>
      <c r="J55" s="51" t="b">
        <f t="shared" si="4"/>
        <v>1</v>
      </c>
      <c r="K55" s="51" t="b">
        <f t="shared" si="1"/>
        <v>1</v>
      </c>
      <c r="L55" s="51">
        <v>2843</v>
      </c>
      <c r="M55" s="51">
        <v>1</v>
      </c>
      <c r="N55" s="51">
        <v>0</v>
      </c>
      <c r="O55" s="51" t="b">
        <v>1</v>
      </c>
      <c r="P55" s="51">
        <v>2781</v>
      </c>
      <c r="Q55" s="51" t="b">
        <v>1</v>
      </c>
      <c r="R55" s="51" t="b">
        <v>1</v>
      </c>
      <c r="S55" s="51">
        <v>2906</v>
      </c>
      <c r="T55" s="51" t="b">
        <v>1</v>
      </c>
      <c r="U55" s="51" t="b">
        <v>1</v>
      </c>
      <c r="V55" s="51">
        <v>2843</v>
      </c>
      <c r="W55" s="51">
        <v>1</v>
      </c>
      <c r="X55" s="51">
        <v>0</v>
      </c>
      <c r="Y55" s="51" t="b">
        <f t="shared" si="2"/>
        <v>1</v>
      </c>
    </row>
    <row r="56" spans="1:25">
      <c r="A56" s="51">
        <v>52</v>
      </c>
      <c r="B56" s="51">
        <v>174039</v>
      </c>
      <c r="C56" s="51">
        <v>30207</v>
      </c>
      <c r="D56" s="51">
        <v>2662</v>
      </c>
      <c r="E56" s="51" t="b">
        <f t="shared" si="3"/>
        <v>1</v>
      </c>
      <c r="F56" s="51">
        <v>351</v>
      </c>
      <c r="G56" s="51" t="b">
        <f t="shared" si="3"/>
        <v>1</v>
      </c>
      <c r="H56" s="51" t="b">
        <f t="shared" si="0"/>
        <v>1</v>
      </c>
      <c r="I56" s="51">
        <v>176</v>
      </c>
      <c r="J56" s="51" t="b">
        <f t="shared" si="4"/>
        <v>1</v>
      </c>
      <c r="K56" s="51" t="b">
        <f t="shared" si="1"/>
        <v>1</v>
      </c>
      <c r="L56" s="51">
        <v>263</v>
      </c>
      <c r="M56" s="51">
        <v>1</v>
      </c>
      <c r="N56" s="51">
        <v>1</v>
      </c>
      <c r="O56" s="51" t="b">
        <v>1</v>
      </c>
      <c r="P56" s="51">
        <v>351</v>
      </c>
      <c r="Q56" s="51" t="b">
        <v>1</v>
      </c>
      <c r="R56" s="51" t="b">
        <v>1</v>
      </c>
      <c r="S56" s="51">
        <v>176</v>
      </c>
      <c r="T56" s="51" t="b">
        <v>1</v>
      </c>
      <c r="U56" s="51" t="b">
        <v>1</v>
      </c>
      <c r="V56" s="51">
        <v>263</v>
      </c>
      <c r="W56" s="51">
        <v>1</v>
      </c>
      <c r="X56" s="51">
        <v>1</v>
      </c>
      <c r="Y56" s="51" t="b">
        <f t="shared" si="2"/>
        <v>1</v>
      </c>
    </row>
    <row r="57" spans="1:25">
      <c r="A57" s="51">
        <v>53</v>
      </c>
      <c r="B57" s="51">
        <v>161702</v>
      </c>
      <c r="C57" s="51">
        <v>31494</v>
      </c>
      <c r="D57" s="51">
        <v>4761</v>
      </c>
      <c r="E57" s="51" t="b">
        <f t="shared" si="3"/>
        <v>1</v>
      </c>
      <c r="F57" s="51">
        <v>41</v>
      </c>
      <c r="G57" s="51" t="b">
        <f t="shared" si="3"/>
        <v>1</v>
      </c>
      <c r="H57" s="51" t="b">
        <f t="shared" si="0"/>
        <v>1</v>
      </c>
      <c r="I57" s="51">
        <v>176</v>
      </c>
      <c r="J57" s="51" t="b">
        <f t="shared" si="4"/>
        <v>1</v>
      </c>
      <c r="K57" s="51" t="b">
        <f t="shared" si="1"/>
        <v>1</v>
      </c>
      <c r="L57" s="51">
        <v>108</v>
      </c>
      <c r="M57" s="51">
        <v>1</v>
      </c>
      <c r="N57" s="51">
        <v>1</v>
      </c>
      <c r="O57" s="51" t="b">
        <v>1</v>
      </c>
      <c r="P57" s="51">
        <v>41</v>
      </c>
      <c r="Q57" s="51" t="b">
        <v>1</v>
      </c>
      <c r="R57" s="51" t="b">
        <v>1</v>
      </c>
      <c r="S57" s="51">
        <v>176</v>
      </c>
      <c r="T57" s="51" t="b">
        <v>1</v>
      </c>
      <c r="U57" s="51" t="b">
        <v>1</v>
      </c>
      <c r="V57" s="51">
        <v>108</v>
      </c>
      <c r="W57" s="51">
        <v>1</v>
      </c>
      <c r="X57" s="51">
        <v>1</v>
      </c>
      <c r="Y57" s="51" t="b">
        <f t="shared" si="2"/>
        <v>1</v>
      </c>
    </row>
    <row r="58" spans="1:25">
      <c r="A58" s="51">
        <v>54</v>
      </c>
      <c r="B58" s="75">
        <v>161702</v>
      </c>
      <c r="C58" s="51">
        <v>31494</v>
      </c>
      <c r="D58" s="51">
        <v>4761</v>
      </c>
      <c r="E58" s="51" t="b">
        <f t="shared" si="3"/>
        <v>1</v>
      </c>
      <c r="F58" s="51">
        <v>41</v>
      </c>
      <c r="G58" s="51" t="b">
        <f t="shared" si="3"/>
        <v>1</v>
      </c>
      <c r="H58" s="51" t="b">
        <f t="shared" si="0"/>
        <v>1</v>
      </c>
      <c r="I58" s="51">
        <v>176</v>
      </c>
      <c r="J58" s="51" t="b">
        <f t="shared" si="4"/>
        <v>1</v>
      </c>
      <c r="K58" s="51" t="b">
        <f t="shared" si="1"/>
        <v>1</v>
      </c>
      <c r="L58" s="51">
        <v>108</v>
      </c>
      <c r="M58" s="51">
        <v>1</v>
      </c>
      <c r="N58" s="51">
        <v>1</v>
      </c>
      <c r="O58" s="51" t="b">
        <v>1</v>
      </c>
      <c r="P58" s="51">
        <v>41</v>
      </c>
      <c r="Q58" s="51" t="b">
        <v>1</v>
      </c>
      <c r="R58" s="51" t="b">
        <v>1</v>
      </c>
      <c r="S58" s="51">
        <v>176</v>
      </c>
      <c r="T58" s="51" t="b">
        <v>1</v>
      </c>
      <c r="U58" s="51" t="b">
        <v>1</v>
      </c>
      <c r="V58" s="51">
        <v>108</v>
      </c>
      <c r="W58" s="51">
        <v>1</v>
      </c>
      <c r="X58" s="51">
        <v>1</v>
      </c>
      <c r="Y58" s="51" t="b">
        <f t="shared" si="2"/>
        <v>1</v>
      </c>
    </row>
    <row r="59" spans="1:25">
      <c r="A59" s="51">
        <v>55</v>
      </c>
      <c r="B59" s="51">
        <v>169257</v>
      </c>
      <c r="C59" s="51">
        <v>20107</v>
      </c>
      <c r="D59" s="51">
        <v>2662</v>
      </c>
      <c r="E59" s="51" t="b">
        <f t="shared" si="3"/>
        <v>1</v>
      </c>
      <c r="F59" s="51">
        <v>474</v>
      </c>
      <c r="G59" s="51" t="b">
        <f t="shared" si="3"/>
        <v>1</v>
      </c>
      <c r="H59" s="51" t="b">
        <f t="shared" si="0"/>
        <v>1</v>
      </c>
      <c r="I59" s="51">
        <v>1541</v>
      </c>
      <c r="J59" s="51" t="b">
        <f t="shared" si="4"/>
        <v>1</v>
      </c>
      <c r="K59" s="51" t="b">
        <f t="shared" si="1"/>
        <v>1</v>
      </c>
      <c r="L59" s="51">
        <v>1007</v>
      </c>
      <c r="M59" s="51">
        <v>1</v>
      </c>
      <c r="N59" s="51">
        <v>1</v>
      </c>
      <c r="O59" s="51" t="b">
        <v>1</v>
      </c>
      <c r="P59" s="51">
        <v>474</v>
      </c>
      <c r="Q59" s="51" t="b">
        <v>1</v>
      </c>
      <c r="R59" s="51" t="b">
        <v>1</v>
      </c>
      <c r="S59" s="51">
        <v>1541</v>
      </c>
      <c r="T59" s="51" t="b">
        <v>1</v>
      </c>
      <c r="U59" s="51" t="b">
        <v>1</v>
      </c>
      <c r="V59" s="51">
        <v>1007</v>
      </c>
      <c r="W59" s="51">
        <v>1</v>
      </c>
      <c r="X59" s="51">
        <v>1</v>
      </c>
      <c r="Y59" s="51" t="b">
        <f t="shared" si="2"/>
        <v>1</v>
      </c>
    </row>
    <row r="60" spans="1:25">
      <c r="A60" s="51">
        <v>56</v>
      </c>
      <c r="B60" s="51">
        <v>170312</v>
      </c>
      <c r="C60" s="51">
        <v>16828</v>
      </c>
      <c r="D60" s="51">
        <v>4761</v>
      </c>
      <c r="E60" s="51" t="b">
        <f t="shared" si="3"/>
        <v>1</v>
      </c>
      <c r="F60" s="51">
        <v>2781</v>
      </c>
      <c r="G60" s="51" t="b">
        <f t="shared" si="3"/>
        <v>1</v>
      </c>
      <c r="H60" s="51" t="b">
        <f t="shared" si="0"/>
        <v>1</v>
      </c>
      <c r="I60" s="51">
        <v>2906</v>
      </c>
      <c r="J60" s="51" t="b">
        <f t="shared" si="4"/>
        <v>1</v>
      </c>
      <c r="K60" s="51" t="b">
        <f t="shared" si="1"/>
        <v>1</v>
      </c>
      <c r="L60" s="51">
        <v>2843</v>
      </c>
      <c r="M60" s="51">
        <v>1</v>
      </c>
      <c r="N60" s="51">
        <v>0</v>
      </c>
      <c r="O60" s="51" t="b">
        <v>1</v>
      </c>
      <c r="P60" s="51">
        <v>2781</v>
      </c>
      <c r="Q60" s="51" t="b">
        <v>1</v>
      </c>
      <c r="R60" s="51" t="b">
        <v>1</v>
      </c>
      <c r="S60" s="51">
        <v>2906</v>
      </c>
      <c r="T60" s="51" t="b">
        <v>1</v>
      </c>
      <c r="U60" s="51" t="b">
        <v>1</v>
      </c>
      <c r="V60" s="51">
        <v>2843</v>
      </c>
      <c r="W60" s="51">
        <v>1</v>
      </c>
      <c r="X60" s="51">
        <v>0</v>
      </c>
      <c r="Y60" s="51" t="b">
        <f t="shared" si="2"/>
        <v>1</v>
      </c>
    </row>
    <row r="61" spans="1:25">
      <c r="A61" s="51">
        <v>57</v>
      </c>
      <c r="B61" s="51">
        <v>166052</v>
      </c>
      <c r="C61" s="51">
        <v>27841</v>
      </c>
      <c r="D61" s="51">
        <v>3809</v>
      </c>
      <c r="E61" s="51" t="b">
        <f t="shared" si="3"/>
        <v>1</v>
      </c>
      <c r="F61" s="51">
        <v>41</v>
      </c>
      <c r="G61" s="51" t="b">
        <f t="shared" si="3"/>
        <v>1</v>
      </c>
      <c r="H61" s="51" t="b">
        <f t="shared" si="0"/>
        <v>1</v>
      </c>
      <c r="I61" s="51">
        <v>449</v>
      </c>
      <c r="J61" s="51" t="b">
        <f t="shared" si="4"/>
        <v>1</v>
      </c>
      <c r="K61" s="51" t="b">
        <f t="shared" si="1"/>
        <v>1</v>
      </c>
      <c r="L61" s="51">
        <v>245</v>
      </c>
      <c r="M61" s="51">
        <v>1</v>
      </c>
      <c r="N61" s="51">
        <v>1</v>
      </c>
      <c r="O61" s="51" t="b">
        <v>1</v>
      </c>
      <c r="P61" s="51">
        <v>41</v>
      </c>
      <c r="Q61" s="51" t="b">
        <v>1</v>
      </c>
      <c r="R61" s="51" t="b">
        <v>1</v>
      </c>
      <c r="S61" s="51">
        <v>449</v>
      </c>
      <c r="T61" s="51" t="b">
        <v>1</v>
      </c>
      <c r="U61" s="51" t="b">
        <v>1</v>
      </c>
      <c r="V61" s="51">
        <v>245</v>
      </c>
      <c r="W61" s="51">
        <v>1</v>
      </c>
      <c r="X61" s="51">
        <v>1</v>
      </c>
      <c r="Y61" s="51" t="b">
        <f t="shared" si="2"/>
        <v>1</v>
      </c>
    </row>
    <row r="62" spans="1:25">
      <c r="A62" s="51">
        <v>58</v>
      </c>
      <c r="B62" s="51">
        <v>158496</v>
      </c>
      <c r="C62" s="51">
        <v>14702</v>
      </c>
      <c r="D62" s="51">
        <v>5713</v>
      </c>
      <c r="E62" s="51" t="b">
        <f t="shared" si="3"/>
        <v>1</v>
      </c>
      <c r="F62" s="51">
        <v>3039</v>
      </c>
      <c r="G62" s="51" t="b">
        <f t="shared" si="3"/>
        <v>1</v>
      </c>
      <c r="H62" s="51" t="b">
        <f t="shared" si="0"/>
        <v>1</v>
      </c>
      <c r="I62" s="51">
        <v>2906</v>
      </c>
      <c r="J62" s="51" t="b">
        <f t="shared" si="4"/>
        <v>1</v>
      </c>
      <c r="K62" s="51" t="b">
        <f t="shared" si="1"/>
        <v>1</v>
      </c>
      <c r="L62" s="51">
        <v>2972</v>
      </c>
      <c r="M62" s="51">
        <v>1</v>
      </c>
      <c r="N62" s="51">
        <v>0</v>
      </c>
      <c r="O62" s="51" t="b">
        <v>1</v>
      </c>
      <c r="P62" s="51">
        <v>3039</v>
      </c>
      <c r="Q62" s="51" t="b">
        <v>1</v>
      </c>
      <c r="R62" s="51" t="b">
        <v>1</v>
      </c>
      <c r="S62" s="51">
        <v>2906</v>
      </c>
      <c r="T62" s="51" t="b">
        <v>1</v>
      </c>
      <c r="U62" s="51" t="b">
        <v>1</v>
      </c>
      <c r="V62" s="51">
        <v>2972</v>
      </c>
      <c r="W62" s="51">
        <v>1</v>
      </c>
      <c r="X62" s="51">
        <v>0</v>
      </c>
      <c r="Y62" s="51" t="b">
        <f t="shared" si="2"/>
        <v>1</v>
      </c>
    </row>
    <row r="63" spans="1:25">
      <c r="A63" s="51">
        <v>59</v>
      </c>
      <c r="B63" s="51">
        <v>165033</v>
      </c>
      <c r="C63" s="51">
        <v>22035</v>
      </c>
      <c r="D63" s="51">
        <v>3809</v>
      </c>
      <c r="E63" s="51" t="b">
        <f t="shared" si="3"/>
        <v>1</v>
      </c>
      <c r="F63" s="51">
        <v>474</v>
      </c>
      <c r="G63" s="51" t="b">
        <f t="shared" si="3"/>
        <v>1</v>
      </c>
      <c r="H63" s="51" t="b">
        <f t="shared" si="0"/>
        <v>1</v>
      </c>
      <c r="I63" s="51">
        <v>2696</v>
      </c>
      <c r="J63" s="51" t="b">
        <f t="shared" si="4"/>
        <v>1</v>
      </c>
      <c r="K63" s="51" t="b">
        <f t="shared" si="1"/>
        <v>1</v>
      </c>
      <c r="L63" s="51">
        <v>1585</v>
      </c>
      <c r="M63" s="51">
        <v>1</v>
      </c>
      <c r="N63" s="51">
        <v>1</v>
      </c>
      <c r="O63" s="51" t="b">
        <v>1</v>
      </c>
      <c r="P63" s="51">
        <v>474</v>
      </c>
      <c r="Q63" s="51" t="b">
        <v>1</v>
      </c>
      <c r="R63" s="51" t="b">
        <v>1</v>
      </c>
      <c r="S63" s="51">
        <v>2696</v>
      </c>
      <c r="T63" s="51" t="b">
        <v>1</v>
      </c>
      <c r="U63" s="51" t="b">
        <v>1</v>
      </c>
      <c r="V63" s="51">
        <v>1585</v>
      </c>
      <c r="W63" s="51">
        <v>1</v>
      </c>
      <c r="X63" s="51">
        <v>1</v>
      </c>
      <c r="Y63" s="51" t="b">
        <f t="shared" si="2"/>
        <v>1</v>
      </c>
    </row>
    <row r="64" spans="1:25">
      <c r="A64" s="51">
        <v>60</v>
      </c>
      <c r="B64" s="51">
        <v>163315</v>
      </c>
      <c r="C64" s="51">
        <v>15928</v>
      </c>
      <c r="D64" s="51">
        <v>3809</v>
      </c>
      <c r="E64" s="51" t="b">
        <f t="shared" si="3"/>
        <v>1</v>
      </c>
      <c r="F64" s="51">
        <v>1849</v>
      </c>
      <c r="G64" s="51" t="b">
        <f t="shared" si="3"/>
        <v>1</v>
      </c>
      <c r="H64" s="51" t="b">
        <f t="shared" si="0"/>
        <v>1</v>
      </c>
      <c r="I64" s="51">
        <v>2906</v>
      </c>
      <c r="J64" s="51" t="b">
        <f t="shared" si="4"/>
        <v>1</v>
      </c>
      <c r="K64" s="51" t="b">
        <f t="shared" si="1"/>
        <v>1</v>
      </c>
      <c r="L64" s="51">
        <v>2377</v>
      </c>
      <c r="M64" s="51">
        <v>1</v>
      </c>
      <c r="N64" s="51">
        <v>0</v>
      </c>
      <c r="O64" s="51" t="b">
        <v>1</v>
      </c>
      <c r="P64" s="51">
        <v>1849</v>
      </c>
      <c r="Q64" s="51" t="b">
        <v>1</v>
      </c>
      <c r="R64" s="51" t="b">
        <v>1</v>
      </c>
      <c r="S64" s="51">
        <v>2906</v>
      </c>
      <c r="T64" s="51" t="b">
        <v>1</v>
      </c>
      <c r="U64" s="51" t="b">
        <v>1</v>
      </c>
      <c r="V64" s="51">
        <v>2377</v>
      </c>
      <c r="W64" s="51">
        <v>1</v>
      </c>
      <c r="X64" s="51">
        <v>0</v>
      </c>
      <c r="Y64" s="51" t="b">
        <f t="shared" si="2"/>
        <v>1</v>
      </c>
    </row>
  </sheetData>
  <mergeCells count="25">
    <mergeCell ref="T3:T4"/>
    <mergeCell ref="U3:V3"/>
    <mergeCell ref="W3:W4"/>
    <mergeCell ref="X3:X4"/>
    <mergeCell ref="M3:M4"/>
    <mergeCell ref="N3:N4"/>
    <mergeCell ref="O3:P3"/>
    <mergeCell ref="Q3:Q4"/>
    <mergeCell ref="R3:S3"/>
    <mergeCell ref="A1:A4"/>
    <mergeCell ref="B1:D3"/>
    <mergeCell ref="E1:N1"/>
    <mergeCell ref="O1:X1"/>
    <mergeCell ref="Y1:Y4"/>
    <mergeCell ref="E2:G2"/>
    <mergeCell ref="H2:J2"/>
    <mergeCell ref="K2:N2"/>
    <mergeCell ref="O2:Q2"/>
    <mergeCell ref="R2:T2"/>
    <mergeCell ref="U2:X2"/>
    <mergeCell ref="E3:F3"/>
    <mergeCell ref="G3:G4"/>
    <mergeCell ref="H3:I3"/>
    <mergeCell ref="J3:J4"/>
    <mergeCell ref="K3:L3"/>
  </mergeCell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27</vt:i4>
      </vt:variant>
    </vt:vector>
  </HeadingPairs>
  <TitlesOfParts>
    <vt:vector size="27" baseType="lpstr">
      <vt:lpstr>Hazard and Risk Analyses</vt:lpstr>
      <vt:lpstr>Safety Requirements - H&amp;R Anal.</vt:lpstr>
      <vt:lpstr>Traceability Matrix 2</vt:lpstr>
      <vt:lpstr>Traceability Matrix 3</vt:lpstr>
      <vt:lpstr>Traceability Matrix 4</vt:lpstr>
      <vt:lpstr>Phy Tests Pin Planner DE0-CV</vt:lpstr>
      <vt:lpstr>7-Segment with Burnt Segment 4</vt:lpstr>
      <vt:lpstr>Scenario 1 - Physical</vt:lpstr>
      <vt:lpstr>Scenario 2 - Physical</vt:lpstr>
      <vt:lpstr>Subscenario 3.1 - Physical</vt:lpstr>
      <vt:lpstr>Subscenario 3.2 - Physical</vt:lpstr>
      <vt:lpstr>Scenario 4 - Physical</vt:lpstr>
      <vt:lpstr>Lambda-UC_Diag</vt:lpstr>
      <vt:lpstr>Lambda-UC_Sys</vt:lpstr>
      <vt:lpstr>Lambda-Flash (All)</vt:lpstr>
      <vt:lpstr>Lambda-Resistor (All)</vt:lpstr>
      <vt:lpstr>Lambda-Optocoupler (All)</vt:lpstr>
      <vt:lpstr>Lambda-OR Gate</vt:lpstr>
      <vt:lpstr>Lambda-MOSFET</vt:lpstr>
      <vt:lpstr>Lambda-Fuse</vt:lpstr>
      <vt:lpstr>Lambda-Relay</vt:lpstr>
      <vt:lpstr>Lambda-Diode</vt:lpstr>
      <vt:lpstr>Lambda-Zener</vt:lpstr>
      <vt:lpstr>Lambda-DC DC Converter (All)</vt:lpstr>
      <vt:lpstr>Lambda-Capacitor</vt:lpstr>
      <vt:lpstr>FMECA</vt:lpstr>
      <vt:lpstr>Failure Rates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Vieira da Silva Neto</dc:creator>
  <cp:lastModifiedBy>Arnaldo</cp:lastModifiedBy>
  <dcterms:created xsi:type="dcterms:W3CDTF">2022-11-03T18:45:52Z</dcterms:created>
  <dcterms:modified xsi:type="dcterms:W3CDTF">2023-07-31T23:07:13Z</dcterms:modified>
</cp:coreProperties>
</file>