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 Template" sheetId="1" r:id="rId4"/>
    <sheet state="visible" name="Components List" sheetId="2" r:id="rId5"/>
    <sheet state="visible" name="Simulation Params" sheetId="3" r:id="rId6"/>
    <sheet state="visible" name="Consolidated Results" sheetId="4" r:id="rId7"/>
    <sheet state="visible" name="OC_Diag" sheetId="5" r:id="rId8"/>
    <sheet state="visible" name="DZ_Sys" sheetId="6" r:id="rId9"/>
    <sheet state="visible" name="D_Sys" sheetId="7" r:id="rId10"/>
    <sheet state="visible" name="K_Sys" sheetId="8" r:id="rId11"/>
    <sheet state="visible" name="OC1_Sys" sheetId="9" r:id="rId12"/>
    <sheet state="visible" name="Q_Sys" sheetId="10" r:id="rId13"/>
    <sheet state="visible" name="Test1" sheetId="11" r:id="rId14"/>
    <sheet state="visible" name="Test2" sheetId="12" r:id="rId15"/>
    <sheet state="visible" name="Test3" sheetId="13" r:id="rId16"/>
    <sheet state="visible" name="Test4" sheetId="14" r:id="rId17"/>
    <sheet state="visible" name="Test5" sheetId="15" r:id="rId18"/>
    <sheet state="visible" name="Test6" sheetId="16" r:id="rId19"/>
    <sheet state="visible" name="Test7" sheetId="17" r:id="rId20"/>
    <sheet state="visible" name="Test8" sheetId="18" r:id="rId21"/>
    <sheet state="visible" name="Test9" sheetId="19" r:id="rId22"/>
    <sheet state="visible" name="Test10" sheetId="20" r:id="rId23"/>
    <sheet state="visible" name="Test11" sheetId="21" r:id="rId24"/>
    <sheet state="visible" name="Test12" sheetId="22" r:id="rId25"/>
    <sheet state="visible" name="Test13" sheetId="23" r:id="rId26"/>
    <sheet state="visible" name="Test14" sheetId="24" r:id="rId27"/>
    <sheet state="visible" name="Test15" sheetId="25" r:id="rId28"/>
  </sheets>
  <definedNames>
    <definedName hidden="1" localSheetId="1" name="_xlnm._FilterDatabase">'Components List'!$B$4:$D$28</definedName>
    <definedName hidden="1" localSheetId="4" name="_xlnm._FilterDatabase">OC_Diag!$B$5:$Q$16</definedName>
    <definedName hidden="1" localSheetId="5" name="_xlnm._FilterDatabase">DZ_Sys!$B$5:$Q$15</definedName>
    <definedName hidden="1" localSheetId="6" name="_xlnm._FilterDatabase">D_Sys!$B$5:$Q$13</definedName>
    <definedName hidden="1" localSheetId="7" name="_xlnm._FilterDatabase">K_Sys!$B$5:$Q$27</definedName>
    <definedName hidden="1" localSheetId="8" name="_xlnm._FilterDatabase">OC1_Sys!$B$5:$Q$16</definedName>
    <definedName hidden="1" localSheetId="9" name="_xlnm._FilterDatabase">Q_Sys!$B$5:$Q$32</definedName>
  </definedNames>
  <calcPr/>
  <pivotCaches>
    <pivotCache cacheId="0" r:id="rId29"/>
    <pivotCache cacheId="1" r:id="rId30"/>
    <pivotCache cacheId="2" r:id="rId31"/>
    <pivotCache cacheId="3" r:id="rId32"/>
  </pivotCaches>
</workbook>
</file>

<file path=xl/sharedStrings.xml><?xml version="1.0" encoding="utf-8"?>
<sst xmlns="http://schemas.openxmlformats.org/spreadsheetml/2006/main" count="1119" uniqueCount="215">
  <si>
    <t>Random Test Scenario</t>
  </si>
  <si>
    <t>Random Seed:</t>
  </si>
  <si>
    <t>Number of Failed Components:</t>
  </si>
  <si>
    <t>Simulation End:</t>
  </si>
  <si>
    <t>Reason for End:</t>
  </si>
  <si>
    <t>Failure Detected</t>
  </si>
  <si>
    <t>Iteration on Failure</t>
  </si>
  <si>
    <t>Failure Time (h)</t>
  </si>
  <si>
    <t>Component</t>
  </si>
  <si>
    <t>Fault Mode</t>
  </si>
  <si>
    <t>Iteration on Detection</t>
  </si>
  <si>
    <t>Metric used for Detection</t>
  </si>
  <si>
    <t>Unsafe Failure</t>
  </si>
  <si>
    <t>Outside Scope Failure</t>
  </si>
  <si>
    <t>Detectable Failure</t>
  </si>
  <si>
    <t>Impactless Failure</t>
  </si>
  <si>
    <t>Name</t>
  </si>
  <si>
    <t>Probability</t>
  </si>
  <si>
    <t>fmDetectableFuse</t>
  </si>
  <si>
    <t>fmDetectableKeepPow</t>
  </si>
  <si>
    <t>classMultipleFaults</t>
  </si>
  <si>
    <t>Components List</t>
  </si>
  <si>
    <t>ComponentId</t>
  </si>
  <si>
    <t>Fault Rate</t>
  </si>
  <si>
    <t>DZ_Sys</t>
  </si>
  <si>
    <t>K_Sys</t>
  </si>
  <si>
    <t>D_Sys</t>
  </si>
  <si>
    <t>OC_Diag</t>
  </si>
  <si>
    <t>OC1_Sys</t>
  </si>
  <si>
    <t>OC2_Sys</t>
  </si>
  <si>
    <t>OC3_Sys</t>
  </si>
  <si>
    <t>Q_Sys</t>
  </si>
  <si>
    <t>DC_DC_Diag</t>
  </si>
  <si>
    <t>DC_DC_Sys</t>
  </si>
  <si>
    <t>Flash_Diag</t>
  </si>
  <si>
    <t>Flash_Sys</t>
  </si>
  <si>
    <t>UC_Diag</t>
  </si>
  <si>
    <t>UC_Sys</t>
  </si>
  <si>
    <t>OR_Sys</t>
  </si>
  <si>
    <t>F_Sys</t>
  </si>
  <si>
    <t>R1_Diag</t>
  </si>
  <si>
    <t>R2_Diag</t>
  </si>
  <si>
    <t>R1_Sys</t>
  </si>
  <si>
    <t>R2_Sys</t>
  </si>
  <si>
    <t>R3_Sys</t>
  </si>
  <si>
    <t>R4_Sys</t>
  </si>
  <si>
    <t>R5_Sys</t>
  </si>
  <si>
    <t>C_Sys</t>
  </si>
  <si>
    <t>Main Parameters of the Simulations</t>
  </si>
  <si>
    <t>Parameter</t>
  </si>
  <si>
    <t>Value</t>
  </si>
  <si>
    <t>overallSilhouetteTolerance</t>
  </si>
  <si>
    <t>silhouetteDiffTolerance</t>
  </si>
  <si>
    <t>numberOfPointsPerClusterDiffTolerance</t>
  </si>
  <si>
    <t>nominalFuseResultBurn</t>
  </si>
  <si>
    <t>nominalFuseResultNotBurn</t>
  </si>
  <si>
    <t>minNominalFuseResultBurn</t>
  </si>
  <si>
    <t>maxNominalFuseResultBurn</t>
  </si>
  <si>
    <t>minNominalFuseResultNotBurn</t>
  </si>
  <si>
    <t>maxNominalFuseResultNotBurn</t>
  </si>
  <si>
    <t>maxStdDeviation</t>
  </si>
  <si>
    <t>iterationEquivalentTime</t>
  </si>
  <si>
    <t>supervisorMaxNumberOfRegisters</t>
  </si>
  <si>
    <t>Consolidated Results</t>
  </si>
  <si>
    <t>C4</t>
  </si>
  <si>
    <t>C5</t>
  </si>
  <si>
    <t>C6</t>
  </si>
  <si>
    <t>C7</t>
  </si>
  <si>
    <t>Final States of the System</t>
  </si>
  <si>
    <t>Test Number</t>
  </si>
  <si>
    <t>Seed</t>
  </si>
  <si>
    <t>Simulated Time</t>
  </si>
  <si>
    <t>Simulation Duration (h)</t>
  </si>
  <si>
    <t>Final number of Failed Components</t>
  </si>
  <si>
    <t>Reason for End</t>
  </si>
  <si>
    <t>Frequency of each Reason for End</t>
  </si>
  <si>
    <t>COUNTA of Reason for End</t>
  </si>
  <si>
    <t>Failure Detected Total</t>
  </si>
  <si>
    <t>Outside Scope Failure Total</t>
  </si>
  <si>
    <t>Grand Total</t>
  </si>
  <si>
    <t>Failure Events</t>
  </si>
  <si>
    <t>Failed Component</t>
  </si>
  <si>
    <t>Fault Mode Probability</t>
  </si>
  <si>
    <t>Detectable Fuse Type</t>
  </si>
  <si>
    <t>Detectable Keep Power Type</t>
  </si>
  <si>
    <t>Probability Rank</t>
  </si>
  <si>
    <t>Failure Rate</t>
  </si>
  <si>
    <t>Failure Rate Rank</t>
  </si>
  <si>
    <t>MTTF</t>
  </si>
  <si>
    <t>Failure Events Summary</t>
  </si>
  <si>
    <t>Number of Occurrences</t>
  </si>
  <si>
    <t>Average Probability Rank of Fault Modes</t>
  </si>
  <si>
    <t>Average of Failure Time (hours)</t>
  </si>
  <si>
    <t>MTTF (hours)</t>
  </si>
  <si>
    <t>Relative Difference 
(Average of Failure Time and MTTF)</t>
  </si>
  <si>
    <t>DZ_Sys Fault Modes</t>
  </si>
  <si>
    <t>Absolute Frequency</t>
  </si>
  <si>
    <t>Change of Differential Resistance</t>
  </si>
  <si>
    <t>Decrease of Forward Conducting-State Voltage</t>
  </si>
  <si>
    <t>Increase of Zener Voltage</t>
  </si>
  <si>
    <t>Open</t>
  </si>
  <si>
    <t>Short-Circuit</t>
  </si>
  <si>
    <t>K_Sys Fault Modes</t>
  </si>
  <si>
    <t>Decrease of pick-up current</t>
  </si>
  <si>
    <t>Interruption of Any Coil</t>
  </si>
  <si>
    <t>Interruption of NC Contact</t>
  </si>
  <si>
    <t>Short-circuit or decrease of insulation resistance across open contacts</t>
  </si>
  <si>
    <t>OC_Diag Fault Modes</t>
  </si>
  <si>
    <t>id</t>
  </si>
  <si>
    <t>name</t>
  </si>
  <si>
    <t>probability</t>
  </si>
  <si>
    <t>Ranking Prob</t>
  </si>
  <si>
    <t>meanValueFuseResultBurn</t>
  </si>
  <si>
    <t>meanValueFuseResultNotBurn</t>
  </si>
  <si>
    <t>minFuseResultBurn</t>
  </si>
  <si>
    <t>maxFuseResultBurn</t>
  </si>
  <si>
    <t>minFuseResultNotBurn</t>
  </si>
  <si>
    <t>maxFuseResultNotBurn</t>
  </si>
  <si>
    <t>keepPowerReadbackOff</t>
  </si>
  <si>
    <t>keepPowerReadbackOn</t>
  </si>
  <si>
    <t>fmSafety</t>
  </si>
  <si>
    <t>Open Diode</t>
  </si>
  <si>
    <t>safe</t>
  </si>
  <si>
    <t>no</t>
  </si>
  <si>
    <t>yes</t>
  </si>
  <si>
    <t>not_applicable</t>
  </si>
  <si>
    <t>Open Emitter</t>
  </si>
  <si>
    <t>Open Collector</t>
  </si>
  <si>
    <t>Open Base</t>
  </si>
  <si>
    <t>impactless</t>
  </si>
  <si>
    <t>Increase of Light Sensitivity</t>
  </si>
  <si>
    <t>Decrease of Light Sensitivity</t>
  </si>
  <si>
    <t>Increase of Leakage Current</t>
  </si>
  <si>
    <t>Reduced Insulation Between Input and Output</t>
  </si>
  <si>
    <t>cm1</t>
  </si>
  <si>
    <t>Change on Switching Time</t>
  </si>
  <si>
    <t>Increase on Current Gain</t>
  </si>
  <si>
    <t>Decrease on Current Gain</t>
  </si>
  <si>
    <t>outside_scope</t>
  </si>
  <si>
    <t>Decrease of Zener Voltage</t>
  </si>
  <si>
    <t>maybe</t>
  </si>
  <si>
    <t>cm2</t>
  </si>
  <si>
    <t>Increase of Forward Conducting-State Voltage</t>
  </si>
  <si>
    <t>Increase of Forward Threshold Voltage</t>
  </si>
  <si>
    <t>Decrease of Forward Threshold Voltage</t>
  </si>
  <si>
    <t>COUNTA of fmDetectableFuse</t>
  </si>
  <si>
    <t>D_Sys Fault Modes</t>
  </si>
  <si>
    <t>Increase of Reverse Current</t>
  </si>
  <si>
    <t>Decrease of Reverse Breakdown Voltage</t>
  </si>
  <si>
    <t>Increase of Conducting-State Voltage</t>
  </si>
  <si>
    <t>Decrease of Conducting-State Voltage</t>
  </si>
  <si>
    <t>Increase of Threshold Voltage</t>
  </si>
  <si>
    <t>Decrease of Threshold Voltage</t>
  </si>
  <si>
    <t>Interruption of NO Contact</t>
  </si>
  <si>
    <t>Short-circuit or decrease of insulation resistance between coil and contact</t>
  </si>
  <si>
    <t>Short-circuit or decrease of insulation resistance between contact and contact</t>
  </si>
  <si>
    <t>Welding of NO contacts</t>
  </si>
  <si>
    <t>Welding of NC contacts</t>
  </si>
  <si>
    <t>Increase of NO contact resistance</t>
  </si>
  <si>
    <t>Increase of NC contact resistance</t>
  </si>
  <si>
    <t>Contact chatter</t>
  </si>
  <si>
    <t>Increase of pick-up current</t>
  </si>
  <si>
    <t>Increase of drop-away current</t>
  </si>
  <si>
    <t>Decrease of drop-away current</t>
  </si>
  <si>
    <t>Change of pick-up to drop-away ratio</t>
  </si>
  <si>
    <t>Increase of pick-up time</t>
  </si>
  <si>
    <t>Decrease of pick-up time</t>
  </si>
  <si>
    <t>Increase of drop-away time</t>
  </si>
  <si>
    <t>Decrease of drop-away time</t>
  </si>
  <si>
    <t>Relay does not pick up</t>
  </si>
  <si>
    <t>Relay does not drop away</t>
  </si>
  <si>
    <t>OC1_Sys Fault Modes</t>
  </si>
  <si>
    <t>Q_Sys Fault Modes</t>
  </si>
  <si>
    <t>Interruption of Gate</t>
  </si>
  <si>
    <t>Interruption of Source</t>
  </si>
  <si>
    <t>Interruption of Drain</t>
  </si>
  <si>
    <t>Interruption of Gate and Source</t>
  </si>
  <si>
    <t>Interruption of Gate and Drain</t>
  </si>
  <si>
    <t>Interruption of Source and Drain</t>
  </si>
  <si>
    <t>Interruption of Gate; Source and Drain</t>
  </si>
  <si>
    <t>Short-Circuit Between Source and Drain</t>
  </si>
  <si>
    <t>Short-Circuit Between Gate and Drain</t>
  </si>
  <si>
    <t>Short-Circuit Between Source and Gate</t>
  </si>
  <si>
    <t>Short-Circuit Between Source; Gate and Drain</t>
  </si>
  <si>
    <t>Short-Circuit Between Source and Drain with Interruption of Gate</t>
  </si>
  <si>
    <t>Short-Circuit Between Gate and Drain with Interruption of Source</t>
  </si>
  <si>
    <t>Short-Circuit Between Source and Gate with Interruption of Drain</t>
  </si>
  <si>
    <t>Increase of Forward Transcondutance</t>
  </si>
  <si>
    <t>Decrease of Forward Transcondutance</t>
  </si>
  <si>
    <t>Increase of Gate Threshold Voltage</t>
  </si>
  <si>
    <t>Decrease of Gate Threshold Voltage</t>
  </si>
  <si>
    <t>Decrease of Drain-Source Breakdown Voltage</t>
  </si>
  <si>
    <t>Decrease of Gate-Source Maximum Rated Voltage</t>
  </si>
  <si>
    <t>Decrease of Drain-Gate Maximum Rated Voltage</t>
  </si>
  <si>
    <t>Change of Turn-On Time</t>
  </si>
  <si>
    <t>Change of Turn-Off Time</t>
  </si>
  <si>
    <t>Increase of Leakage Current IGS</t>
  </si>
  <si>
    <t>Increase of Leakage Current IDS</t>
  </si>
  <si>
    <t>Increase of Leakage Current IGD</t>
  </si>
  <si>
    <t>Change of Static Drain to Source On-State Resistance</t>
  </si>
  <si>
    <t>Failure Events History</t>
  </si>
  <si>
    <t>imbalanceNumPoints</t>
  </si>
  <si>
    <t>Random Test Scenario 3</t>
  </si>
  <si>
    <t>-</t>
  </si>
  <si>
    <t>Random Test Scenario 4</t>
  </si>
  <si>
    <t>Random Test Scenario 5</t>
  </si>
  <si>
    <t>Random Test Scenario 6</t>
  </si>
  <si>
    <t>Random Test Scenario 7</t>
  </si>
  <si>
    <t>Random Test Scenario 8</t>
  </si>
  <si>
    <t>Random Test Scenario 9</t>
  </si>
  <si>
    <t>Random Test Scenario 10</t>
  </si>
  <si>
    <t>Random Test Scenario 11</t>
  </si>
  <si>
    <t>Random Test Scenario 12</t>
  </si>
  <si>
    <t>Random Test Scenario 13</t>
  </si>
  <si>
    <t>Random Test Scenario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</si>
</sst>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E+00"/>
    <numFmt numFmtId="165" formatCode="0.0"/>
  </numFmts>
  <fonts count="18">
    <font>
      <sz val="10.0"/>
      <color rgb="FF000000"/>
      <name val="Arial"/>
      <scheme val="minor"/>
    </font>
    <font>
      <u/>
      <sz val="14.0"/>
      <color theme="1"/>
      <name val="Verdana"/>
    </font>
    <font>
      <sz val="10.0"/>
      <color rgb="FF434343"/>
      <name val="Arial"/>
      <scheme val="minor"/>
    </font>
    <font>
      <color theme="1"/>
      <name val="Arial"/>
      <scheme val="minor"/>
    </font>
    <font>
      <b/>
      <sz val="10.0"/>
      <color rgb="FF434343"/>
      <name val="Arial"/>
      <scheme val="minor"/>
    </font>
    <font>
      <color rgb="FFFFFFFF"/>
      <name val="Arial"/>
      <scheme val="minor"/>
    </font>
    <font/>
    <font>
      <color rgb="FF000000"/>
      <name val="Arial"/>
      <scheme val="minor"/>
    </font>
    <font>
      <sz val="14.0"/>
      <color theme="1"/>
      <name val="Verdana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8.0"/>
      <color theme="1"/>
      <name val="Verdana"/>
    </font>
    <font>
      <sz val="12.0"/>
      <color theme="1"/>
      <name val="Arial"/>
      <scheme val="minor"/>
    </font>
    <font>
      <sz val="10.0"/>
      <color rgb="FFFFFFFF"/>
      <name val="Arial"/>
      <scheme val="minor"/>
    </font>
    <font>
      <sz val="12.0"/>
      <color rgb="FF434343"/>
      <name val="Arial"/>
      <scheme val="minor"/>
    </font>
    <font>
      <sz val="12.0"/>
      <color rgb="FF073763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D8E2E7"/>
        <bgColor rgb="FFD8E2E7"/>
      </patternFill>
    </fill>
  </fills>
  <borders count="40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FFFFFF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FFFFFF"/>
      </right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bottom style="thick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left style="thick">
        <color rgb="FF000000"/>
      </left>
      <right style="thin">
        <color rgb="FFFFFFFF"/>
      </right>
      <top style="thick">
        <color rgb="FF000000"/>
      </top>
      <bottom style="thin">
        <color rgb="FF000000"/>
      </bottom>
    </border>
    <border>
      <right style="thin">
        <color rgb="FFFFFFFF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D9D9D9"/>
      </bottom>
    </border>
    <border>
      <right style="thick">
        <color rgb="FF000000"/>
      </right>
      <bottom style="thin">
        <color rgb="FFD9D9D9"/>
      </bottom>
    </border>
    <border>
      <left style="thick">
        <color rgb="FF000000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ck">
        <color rgb="FF000000"/>
      </right>
      <top style="thin">
        <color rgb="FFD9D9D9"/>
      </top>
      <bottom style="thin">
        <color rgb="FFD9D9D9"/>
      </bottom>
    </border>
    <border>
      <left style="thick">
        <color rgb="FF000000"/>
      </left>
      <top style="thin">
        <color rgb="FFD9D9D9"/>
      </top>
      <bottom style="thick">
        <color rgb="FF000000"/>
      </bottom>
    </border>
    <border>
      <top style="thin">
        <color rgb="FFD9D9D9"/>
      </top>
      <bottom style="thick">
        <color rgb="FF000000"/>
      </bottom>
    </border>
    <border>
      <right style="thick">
        <color rgb="FF000000"/>
      </right>
      <top style="thin">
        <color rgb="FFD9D9D9"/>
      </top>
      <bottom style="thick">
        <color rgb="FF000000"/>
      </bottom>
    </border>
    <border>
      <top style="double">
        <color rgb="FF000000"/>
      </top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top style="thin">
        <color rgb="FFCCCCCC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1" fillId="2" fontId="5" numFmtId="0" xfId="0" applyAlignment="1" applyBorder="1" applyFill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3" fillId="2" fontId="5" numFmtId="0" xfId="0" applyAlignment="1" applyBorder="1" applyFont="1">
      <alignment horizontal="center" readingOrder="0"/>
    </xf>
    <xf borderId="1" fillId="0" fontId="6" numFmtId="0" xfId="0" applyBorder="1" applyFont="1"/>
    <xf borderId="3" fillId="2" fontId="5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0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left" readingOrder="0"/>
    </xf>
    <xf borderId="7" fillId="4" fontId="9" numFmtId="0" xfId="0" applyAlignment="1" applyBorder="1" applyFill="1" applyFont="1">
      <alignment horizontal="center" readingOrder="0" vertical="center"/>
    </xf>
    <xf borderId="8" fillId="0" fontId="10" numFmtId="0" xfId="0" applyAlignment="1" applyBorder="1" applyFont="1">
      <alignment horizontal="center" readingOrder="0" vertical="center"/>
    </xf>
    <xf borderId="8" fillId="0" fontId="10" numFmtId="164" xfId="0" applyAlignment="1" applyBorder="1" applyFont="1" applyNumberFormat="1">
      <alignment horizontal="center" readingOrder="0" vertical="center"/>
    </xf>
    <xf borderId="8" fillId="0" fontId="10" numFmtId="11" xfId="0" applyAlignment="1" applyBorder="1" applyFont="1" applyNumberFormat="1">
      <alignment horizontal="center" readingOrder="0" vertical="center"/>
    </xf>
    <xf borderId="0" fillId="0" fontId="11" numFmtId="0" xfId="0" applyFont="1"/>
    <xf borderId="9" fillId="0" fontId="10" numFmtId="0" xfId="0" applyAlignment="1" applyBorder="1" applyFont="1">
      <alignment horizontal="center" readingOrder="0" vertical="center"/>
    </xf>
    <xf borderId="9" fillId="0" fontId="10" numFmtId="11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0"/>
    </xf>
    <xf borderId="10" fillId="5" fontId="5" numFmtId="0" xfId="0" applyAlignment="1" applyBorder="1" applyFill="1" applyFont="1">
      <alignment horizontal="center" readingOrder="0"/>
    </xf>
    <xf borderId="11" fillId="0" fontId="3" numFmtId="0" xfId="0" applyAlignment="1" applyBorder="1" applyFont="1">
      <alignment readingOrder="0"/>
    </xf>
    <xf borderId="11" fillId="0" fontId="12" numFmtId="10" xfId="0" applyAlignment="1" applyBorder="1" applyFont="1" applyNumberFormat="1">
      <alignment readingOrder="0" vertical="bottom"/>
    </xf>
    <xf borderId="11" fillId="0" fontId="12" numFmtId="0" xfId="0" applyAlignment="1" applyBorder="1" applyFont="1">
      <alignment readingOrder="0" vertical="bottom"/>
    </xf>
    <xf borderId="12" fillId="0" fontId="3" numFmtId="0" xfId="0" applyAlignment="1" applyBorder="1" applyFont="1">
      <alignment readingOrder="0"/>
    </xf>
    <xf borderId="12" fillId="0" fontId="12" numFmtId="0" xfId="0" applyAlignment="1" applyBorder="1" applyFont="1">
      <alignment readingOrder="0" vertical="bottom"/>
    </xf>
    <xf borderId="0" fillId="0" fontId="8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13" fillId="0" fontId="13" numFmtId="0" xfId="0" applyAlignment="1" applyBorder="1" applyFont="1">
      <alignment horizontal="left" readingOrder="0"/>
    </xf>
    <xf borderId="13" fillId="0" fontId="6" numFmtId="0" xfId="0" applyBorder="1" applyFont="1"/>
    <xf borderId="0" fillId="0" fontId="5" numFmtId="0" xfId="0" applyAlignment="1" applyFont="1">
      <alignment readingOrder="0"/>
    </xf>
    <xf borderId="0" fillId="0" fontId="14" numFmtId="0" xfId="0" applyAlignment="1" applyFont="1">
      <alignment readingOrder="0"/>
    </xf>
    <xf borderId="14" fillId="5" fontId="5" numFmtId="0" xfId="0" applyAlignment="1" applyBorder="1" applyFont="1">
      <alignment horizontal="center" readingOrder="0" vertical="center"/>
    </xf>
    <xf borderId="14" fillId="5" fontId="1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165" xfId="0" applyAlignment="1" applyFont="1" applyNumberFormat="1">
      <alignment shrinkToFit="0" wrapText="1"/>
    </xf>
    <xf borderId="15" fillId="0" fontId="3" numFmtId="0" xfId="0" applyAlignment="1" applyBorder="1" applyFont="1">
      <alignment readingOrder="0"/>
    </xf>
    <xf borderId="15" fillId="0" fontId="3" numFmtId="0" xfId="0" applyBorder="1" applyFont="1"/>
    <xf borderId="0" fillId="0" fontId="3" numFmtId="0" xfId="0" applyFont="1"/>
    <xf borderId="0" fillId="0" fontId="3" numFmtId="10" xfId="0" applyFont="1" applyNumberFormat="1"/>
    <xf borderId="11" fillId="0" fontId="3" numFmtId="0" xfId="0" applyBorder="1" applyFont="1"/>
    <xf borderId="12" fillId="0" fontId="3" numFmtId="0" xfId="0" applyBorder="1" applyFont="1"/>
    <xf borderId="16" fillId="2" fontId="5" numFmtId="0" xfId="0" applyAlignment="1" applyBorder="1" applyFont="1">
      <alignment horizontal="center" readingOrder="0" vertical="center"/>
    </xf>
    <xf borderId="17" fillId="2" fontId="5" numFmtId="0" xfId="0" applyAlignment="1" applyBorder="1" applyFont="1">
      <alignment horizontal="center" readingOrder="0" vertical="center"/>
    </xf>
    <xf borderId="18" fillId="2" fontId="5" numFmtId="0" xfId="0" applyAlignment="1" applyBorder="1" applyFont="1">
      <alignment horizontal="center" readingOrder="0" vertical="center"/>
    </xf>
    <xf borderId="19" fillId="2" fontId="5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7" fillId="0" fontId="3" numFmtId="10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7" fillId="0" fontId="3" numFmtId="11" xfId="0" applyAlignment="1" applyBorder="1" applyFont="1" applyNumberFormat="1">
      <alignment horizontal="center" vertical="center"/>
    </xf>
    <xf borderId="21" fillId="0" fontId="3" numFmtId="11" xfId="0" applyAlignment="1" applyBorder="1" applyFont="1" applyNumberFormat="1">
      <alignment horizontal="center" vertic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10" xfId="0" applyAlignment="1" applyBorder="1" applyFont="1" applyNumberFormat="1">
      <alignment horizontal="center" vertical="center"/>
    </xf>
    <xf borderId="23" fillId="0" fontId="3" numFmtId="3" xfId="0" applyAlignment="1" applyBorder="1" applyFont="1" applyNumberFormat="1">
      <alignment horizontal="center" vertical="center"/>
    </xf>
    <xf borderId="23" fillId="0" fontId="3" numFmtId="11" xfId="0" applyAlignment="1" applyBorder="1" applyFont="1" applyNumberFormat="1">
      <alignment horizontal="center" vertical="center"/>
    </xf>
    <xf borderId="24" fillId="0" fontId="3" numFmtId="11" xfId="0" applyAlignment="1" applyBorder="1" applyFont="1" applyNumberFormat="1">
      <alignment horizontal="center" vertical="center"/>
    </xf>
    <xf borderId="23" fillId="0" fontId="3" numFmtId="164" xfId="0" applyAlignment="1" applyBorder="1" applyFont="1" applyNumberFormat="1">
      <alignment horizontal="center" vertical="center"/>
    </xf>
    <xf borderId="24" fillId="0" fontId="3" numFmtId="164" xfId="0" applyAlignment="1" applyBorder="1" applyFont="1" applyNumberFormat="1">
      <alignment horizontal="center" vertical="center"/>
    </xf>
    <xf borderId="24" fillId="0" fontId="3" numFmtId="3" xfId="0" applyAlignment="1" applyBorder="1" applyFont="1" applyNumberForma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shrinkToFit="0" vertical="center" wrapText="1"/>
    </xf>
    <xf borderId="26" fillId="0" fontId="3" numFmtId="10" xfId="0" applyAlignment="1" applyBorder="1" applyFont="1" applyNumberFormat="1">
      <alignment horizontal="center" vertical="center"/>
    </xf>
    <xf borderId="26" fillId="0" fontId="3" numFmtId="3" xfId="0" applyAlignment="1" applyBorder="1" applyFont="1" applyNumberFormat="1">
      <alignment horizontal="center" vertical="center"/>
    </xf>
    <xf borderId="26" fillId="0" fontId="3" numFmtId="11" xfId="0" applyAlignment="1" applyBorder="1" applyFont="1" applyNumberFormat="1">
      <alignment horizontal="center" vertical="center"/>
    </xf>
    <xf borderId="27" fillId="0" fontId="3" numFmtId="11" xfId="0" applyAlignment="1" applyBorder="1" applyFont="1" applyNumberFormat="1">
      <alignment horizontal="center" vertical="center"/>
    </xf>
    <xf borderId="0" fillId="6" fontId="3" numFmtId="0" xfId="0" applyAlignment="1" applyFill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0" fontId="3" numFmtId="1" xfId="0" applyFont="1" applyNumberFormat="1"/>
    <xf borderId="0" fillId="0" fontId="3" numFmtId="4" xfId="0" applyFont="1" applyNumberFormat="1"/>
    <xf borderId="0" fillId="0" fontId="3" numFmtId="3" xfId="0" applyFont="1" applyNumberFormat="1"/>
    <xf borderId="28" fillId="6" fontId="3" numFmtId="0" xfId="0" applyBorder="1" applyFont="1"/>
    <xf borderId="29" fillId="0" fontId="3" numFmtId="0" xfId="0" applyAlignment="1" applyBorder="1" applyFont="1">
      <alignment horizontal="left" shrinkToFit="0" wrapText="1"/>
    </xf>
    <xf borderId="29" fillId="0" fontId="3" numFmtId="0" xfId="0" applyAlignment="1" applyBorder="1" applyFont="1">
      <alignment vertical="center"/>
    </xf>
    <xf borderId="29" fillId="0" fontId="3" numFmtId="3" xfId="0" applyAlignment="1" applyBorder="1" applyFont="1" applyNumberFormat="1">
      <alignment vertical="center"/>
    </xf>
    <xf borderId="29" fillId="0" fontId="3" numFmtId="10" xfId="0" applyAlignment="1" applyBorder="1" applyFont="1" applyNumberFormat="1">
      <alignment horizontal="center" vertical="center"/>
    </xf>
    <xf borderId="30" fillId="0" fontId="3" numFmtId="0" xfId="0" applyAlignment="1" applyBorder="1" applyFont="1">
      <alignment horizontal="left" shrinkToFit="0" wrapText="1"/>
    </xf>
    <xf borderId="30" fillId="0" fontId="3" numFmtId="0" xfId="0" applyAlignment="1" applyBorder="1" applyFont="1">
      <alignment vertical="center"/>
    </xf>
    <xf borderId="30" fillId="0" fontId="3" numFmtId="3" xfId="0" applyAlignment="1" applyBorder="1" applyFont="1" applyNumberFormat="1">
      <alignment vertical="center"/>
    </xf>
    <xf borderId="30" fillId="0" fontId="3" numFmtId="10" xfId="0" applyAlignment="1" applyBorder="1" applyFont="1" applyNumberFormat="1">
      <alignment horizontal="center" vertical="center"/>
    </xf>
    <xf borderId="31" fillId="0" fontId="3" numFmtId="0" xfId="0" applyAlignment="1" applyBorder="1" applyFont="1">
      <alignment horizontal="left" shrinkToFit="0" wrapText="1"/>
    </xf>
    <xf borderId="31" fillId="0" fontId="3" numFmtId="0" xfId="0" applyAlignment="1" applyBorder="1" applyFont="1">
      <alignment vertical="center"/>
    </xf>
    <xf borderId="31" fillId="0" fontId="3" numFmtId="3" xfId="0" applyAlignment="1" applyBorder="1" applyFont="1" applyNumberFormat="1">
      <alignment vertical="center"/>
    </xf>
    <xf borderId="31" fillId="0" fontId="3" numFmtId="10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shrinkToFit="0" wrapText="1"/>
    </xf>
    <xf borderId="0" fillId="0" fontId="3" numFmtId="3" xfId="0" applyAlignment="1" applyFont="1" applyNumberFormat="1">
      <alignment vertical="center"/>
    </xf>
    <xf borderId="0" fillId="0" fontId="3" numFmtId="0" xfId="0" applyAlignment="1" applyFont="1">
      <alignment horizontal="left" shrinkToFit="0" vertical="center" wrapText="1"/>
    </xf>
    <xf borderId="32" fillId="0" fontId="3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4" fillId="0" fontId="3" numFmtId="0" xfId="0" applyAlignment="1" applyBorder="1" applyFont="1">
      <alignment readingOrder="0"/>
    </xf>
    <xf borderId="35" fillId="0" fontId="3" numFmtId="0" xfId="0" applyAlignment="1" applyBorder="1" applyFont="1">
      <alignment readingOrder="0"/>
    </xf>
    <xf borderId="36" fillId="0" fontId="3" numFmtId="0" xfId="0" applyAlignment="1" applyBorder="1" applyFont="1">
      <alignment readingOrder="0"/>
    </xf>
    <xf borderId="37" fillId="0" fontId="3" numFmtId="0" xfId="0" applyAlignment="1" applyBorder="1" applyFont="1">
      <alignment readingOrder="0"/>
    </xf>
    <xf borderId="38" fillId="0" fontId="3" numFmtId="0" xfId="0" applyAlignment="1" applyBorder="1" applyFont="1">
      <alignment readingOrder="0"/>
    </xf>
    <xf borderId="39" fillId="0" fontId="3" numFmtId="0" xfId="0" applyAlignment="1" applyBorder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3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EA9999"/>
          <bgColor rgb="FFEA9999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7:G22" sheet="Consolidated Results"/>
  </cacheSource>
  <cacheFields>
    <cacheField name="Test 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Seed" numFmtId="0">
      <sharedItems containsSemiMixedTypes="0" containsString="0" containsNumber="1" containsInteger="1">
        <n v="3.944864314E9"/>
        <n v="3.510813216E9"/>
        <n v="1.451051205E9"/>
        <n v="8.8888888E7"/>
        <n v="309734.0"/>
        <n v="1.6592846E8"/>
        <n v="1.030606255E9"/>
        <n v="1.5972584E7"/>
        <n v="1.367599788E9"/>
        <n v="2.0"/>
        <n v="4.94586423E8"/>
        <n v="5.10922216E8"/>
        <n v="10.0"/>
        <n v="11600.0"/>
        <n v="8.84474421E8"/>
      </sharedItems>
    </cacheField>
    <cacheField name="Simulated Time" numFmtId="0">
      <sharedItems>
        <s v="8 years, 274 days and 12 hours"/>
        <s v="34 years, 349 days and 12 hours"/>
        <s v="14 years, 164 days and 12 hours"/>
        <s v="2 years, 338 days and 12 hours"/>
        <s v="14 years, 43 days and 12 hours"/>
        <s v="12 years, 3 days and 12 hours"/>
        <s v="13 years, 51 days and 12 hours"/>
        <s v="31 years, 5 days and 12 hours"/>
        <s v="24 years, 97 days and 12 hours"/>
        <s v="61 years, 344 days and 0 hours"/>
        <s v="14 years, 185 days and 12 hours"/>
        <s v="21 years, 333 days and 12 hours"/>
        <s v="34 years, 20 days and 12 hours"/>
        <s v="19 years, 177 days and 12 hours"/>
        <s v="10 years, 188 days and 0 hours"/>
      </sharedItems>
    </cacheField>
    <cacheField name="Simulation Duration (h)" numFmtId="0">
      <sharedItems containsSemiMixedTypes="0" containsString="0" containsNumber="1" containsInteger="1">
        <n v="74004.0"/>
        <n v="305124.0"/>
        <n v="125724.0"/>
        <n v="18588.0"/>
        <n v="127428.0"/>
        <n v="112788.0"/>
        <n v="121596.0"/>
        <n v="275580.0"/>
        <n v="212892.0"/>
        <n v="537624.0"/>
        <n v="131220.0"/>
        <n v="185388.0"/>
        <n v="300780.0"/>
        <n v="172092.0"/>
        <n v="95088.0"/>
      </sharedItems>
    </cacheField>
    <cacheField name="Final number of Failed Components" numFmtId="0">
      <sharedItems containsSemiMixedTypes="0" containsString="0" containsNumber="1" containsInteger="1">
        <n v="1.0"/>
        <n v="2.0"/>
        <n v="3.0"/>
      </sharedItems>
    </cacheField>
    <cacheField name="Reason for End" numFmtId="0">
      <sharedItems>
        <s v="Outside Scope Failure"/>
        <s v="Failure Detect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6:L45" sheet="Consolidated Results"/>
  </cacheSource>
  <cacheFields>
    <cacheField name="Test Number" numFmtId="0">
      <sharedItems containsSemiMixedTypes="0" containsString="0" containsNumber="1" containsInteger="1">
        <n v="2.0"/>
        <n v="6.0"/>
        <n v="4.0"/>
        <n v="10.0"/>
        <n v="1.0"/>
        <n v="3.0"/>
        <n v="5.0"/>
        <n v="8.0"/>
        <n v="9.0"/>
        <n v="11.0"/>
        <n v="14.0"/>
        <n v="12.0"/>
        <n v="13.0"/>
        <n v="7.0"/>
        <n v="15.0"/>
      </sharedItems>
    </cacheField>
    <cacheField name="Failure Time (h)" numFmtId="0">
      <sharedItems containsSemiMixedTypes="0" containsString="0" containsNumber="1" containsInteger="1">
        <n v="305124.0"/>
        <n v="112788.0"/>
        <n v="18576.0"/>
        <n v="477636.0"/>
        <n v="74004.0"/>
        <n v="125712.0"/>
        <n v="127416.0"/>
        <n v="275580.0"/>
        <n v="212892.0"/>
        <n v="131220.0"/>
        <n v="172080.0"/>
        <n v="185388.0"/>
        <n v="89256.0"/>
        <n v="201036.0"/>
        <n v="121596.0"/>
        <n v="95076.0"/>
        <n v="537612.0"/>
        <n v="300780.0"/>
        <n v="392328.0"/>
      </sharedItems>
    </cacheField>
    <cacheField name="Failed Component" numFmtId="0">
      <sharedItems>
        <s v="D_Sys"/>
        <s v="DZ_Sys"/>
        <s v="K_Sys"/>
        <s v="OC1_Sys"/>
        <s v="OC_Diag"/>
      </sharedItems>
    </cacheField>
    <cacheField name="Fault Mode" numFmtId="0">
      <sharedItems>
        <s v="Decrease of Reverse Breakdown Voltage"/>
        <s v="Short-Circuit"/>
        <s v="Change of Differential Resistance"/>
        <s v="Decrease of Forward Conducting-State Voltage"/>
        <s v="Increase of Zener Voltage"/>
        <s v="Open"/>
        <s v="Decrease of pick-up current"/>
        <s v="Interruption of Any Coil"/>
        <s v="Interruption of NC Contact"/>
        <s v="Short-circuit or decrease of insulation resistance across open contacts"/>
        <s v="Open Diode"/>
        <s v="Open Base"/>
      </sharedItems>
    </cacheField>
    <cacheField name="Fault Mode Probability" numFmtId="10">
      <sharedItems containsSemiMixedTypes="0" containsString="0" containsNumber="1">
        <n v="0.03333"/>
        <n v="0.51"/>
        <n v="0.04375"/>
        <n v="0.45"/>
        <n v="0.2"/>
        <n v="0.028889"/>
        <n v="0.078571"/>
        <n v="0.014444"/>
        <n v="0.115903"/>
        <n v="0.08333"/>
      </sharedItems>
    </cacheField>
    <cacheField name="Detectable Fuse Type" numFmtId="10">
      <sharedItems>
        <s v="yes"/>
        <s v="outside_scope"/>
        <s v="impactless"/>
        <s v="no"/>
      </sharedItems>
    </cacheField>
    <cacheField name="Detectable Keep Power Type" numFmtId="10">
      <sharedItems>
        <s v="yes"/>
        <s v="no"/>
        <s v="impactless"/>
      </sharedItems>
    </cacheField>
    <cacheField name="Probability Rank" numFmtId="3">
      <sharedItems containsSemiMixedTypes="0" containsString="0" containsNumber="1" containsInteger="1">
        <n v="3.0"/>
        <n v="1.0"/>
        <n v="2.0"/>
        <n v="11.0"/>
        <n v="17.0"/>
        <n v="8.0"/>
      </sharedItems>
    </cacheField>
    <cacheField name="Failure Rate" numFmtId="11">
      <sharedItems containsSemiMixedTypes="0" containsString="0" containsNumber="1">
        <n v="2.89074E-7"/>
        <n v="4.01333E-6"/>
        <n v="4.00856E-6"/>
        <n v="8.45586E-8"/>
      </sharedItems>
    </cacheField>
    <cacheField name="Failure Rate Rank" numFmtId="3">
      <sharedItems containsSemiMixedTypes="0" containsString="0" containsNumber="1" containsInteger="1">
        <n v="3.0"/>
        <n v="1.0"/>
        <n v="2.0"/>
        <n v="4.0"/>
      </sharedItems>
    </cacheField>
    <cacheField name="MTTF" numFmtId="11">
      <sharedItems containsSemiMixedTypes="0" containsString="0" containsNumber="1">
        <n v="3459321.8345475555"/>
        <n v="249169.6421674769"/>
        <n v="249466.142455146"/>
        <n v="1.18261182186081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6:I45" sheet="Consolidated Results"/>
  </cacheSource>
  <cacheFields>
    <cacheField name="Test Number" numFmtId="0">
      <sharedItems containsSemiMixedTypes="0" containsString="0" containsNumber="1" containsInteger="1">
        <n v="2.0"/>
        <n v="6.0"/>
        <n v="4.0"/>
        <n v="10.0"/>
        <n v="1.0"/>
        <n v="3.0"/>
        <n v="5.0"/>
        <n v="8.0"/>
        <n v="9.0"/>
        <n v="11.0"/>
        <n v="14.0"/>
        <n v="12.0"/>
        <n v="13.0"/>
        <n v="7.0"/>
        <n v="15.0"/>
      </sharedItems>
    </cacheField>
    <cacheField name="Failure Time (h)" numFmtId="0">
      <sharedItems containsSemiMixedTypes="0" containsString="0" containsNumber="1" containsInteger="1">
        <n v="305124.0"/>
        <n v="112788.0"/>
        <n v="18576.0"/>
        <n v="477636.0"/>
        <n v="74004.0"/>
        <n v="125712.0"/>
        <n v="127416.0"/>
        <n v="275580.0"/>
        <n v="212892.0"/>
        <n v="131220.0"/>
        <n v="172080.0"/>
        <n v="185388.0"/>
        <n v="89256.0"/>
        <n v="201036.0"/>
        <n v="121596.0"/>
        <n v="95076.0"/>
        <n v="537612.0"/>
        <n v="300780.0"/>
        <n v="392328.0"/>
      </sharedItems>
    </cacheField>
    <cacheField name="Failed Component" numFmtId="0">
      <sharedItems>
        <s v="D_Sys"/>
        <s v="DZ_Sys"/>
        <s v="K_Sys"/>
        <s v="OC1_Sys"/>
        <s v="OC_Diag"/>
      </sharedItems>
    </cacheField>
    <cacheField name="Fault Mode" numFmtId="0">
      <sharedItems>
        <s v="Decrease of Reverse Breakdown Voltage"/>
        <s v="Short-Circuit"/>
        <s v="Change of Differential Resistance"/>
        <s v="Decrease of Forward Conducting-State Voltage"/>
        <s v="Increase of Zener Voltage"/>
        <s v="Open"/>
        <s v="Decrease of pick-up current"/>
        <s v="Interruption of Any Coil"/>
        <s v="Interruption of NC Contact"/>
        <s v="Short-circuit or decrease of insulation resistance across open contacts"/>
        <s v="Open Diode"/>
        <s v="Open Base"/>
      </sharedItems>
    </cacheField>
    <cacheField name="Fault Mode Probability" numFmtId="10">
      <sharedItems containsSemiMixedTypes="0" containsString="0" containsNumber="1">
        <n v="0.03333"/>
        <n v="0.51"/>
        <n v="0.04375"/>
        <n v="0.45"/>
        <n v="0.2"/>
        <n v="0.028889"/>
        <n v="0.078571"/>
        <n v="0.014444"/>
        <n v="0.115903"/>
        <n v="0.08333"/>
      </sharedItems>
    </cacheField>
    <cacheField name="Detectable Fuse Type" numFmtId="10">
      <sharedItems>
        <s v="yes"/>
        <s v="outside_scope"/>
        <s v="impactless"/>
        <s v="no"/>
      </sharedItems>
    </cacheField>
    <cacheField name="Detectable Keep Power Type" numFmtId="10">
      <sharedItems>
        <s v="yes"/>
        <s v="no"/>
        <s v="impactless"/>
      </sharedItems>
    </cacheField>
    <cacheField name="Probability Rank" numFmtId="3">
      <sharedItems containsSemiMixedTypes="0" containsString="0" containsNumber="1" containsInteger="1">
        <n v="3.0"/>
        <n v="1.0"/>
        <n v="2.0"/>
        <n v="11.0"/>
        <n v="17.0"/>
        <n v="8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Q15" sheet="DZ_Sys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name" numFmtId="0">
      <sharedItems>
        <s v="Open"/>
        <s v="Short-Circuit"/>
        <s v="Increase of Zener Voltage"/>
        <s v="Decrease of Zener Voltage"/>
        <s v="Increase of Leakage Current"/>
        <s v="Change of Differential Resistance"/>
        <s v="Increase of Forward Conducting-State Voltage"/>
        <s v="Decrease of Forward Conducting-State Voltage"/>
        <s v="Increase of Forward Threshold Voltage"/>
        <s v="Decrease of Forward Threshold Voltage"/>
      </sharedItems>
    </cacheField>
    <cacheField name="probability" numFmtId="10">
      <sharedItems containsSemiMixedTypes="0" containsString="0" containsNumber="1">
        <n v="0.45"/>
        <n v="0.2"/>
        <n v="0.04375"/>
      </sharedItems>
    </cacheField>
    <cacheField name="Ranking Prob" numFmtId="0">
      <sharedItems containsSemiMixedTypes="0" containsString="0" containsNumber="1" containsInteger="1">
        <n v="1.0"/>
        <n v="2.0"/>
        <n v="3.0"/>
      </sharedItems>
    </cacheField>
    <cacheField name="meanValueFuseResultBurn" numFmtId="0">
      <sharedItems containsSemiMixedTypes="0" containsString="0" containsNumber="1" containsInteger="1">
        <n v="0.0"/>
        <n v="54.0"/>
      </sharedItems>
    </cacheField>
    <cacheField name="meanValueFuseResultNotBurn" numFmtId="0">
      <sharedItems containsSemiMixedTypes="0" containsString="0" containsNumber="1" containsInteger="1">
        <n v="0.0"/>
        <n v="2038.0"/>
        <n v="4092.0"/>
      </sharedItems>
    </cacheField>
    <cacheField name="minFuseResultBurn" numFmtId="0">
      <sharedItems containsSemiMixedTypes="0" containsString="0" containsNumber="1" containsInteger="1">
        <n v="0.0"/>
        <n v="51.0"/>
      </sharedItems>
    </cacheField>
    <cacheField name="maxFuseResultBurn" numFmtId="0">
      <sharedItems containsSemiMixedTypes="0" containsString="0" containsNumber="1" containsInteger="1">
        <n v="0.0"/>
        <n v="57.0"/>
      </sharedItems>
    </cacheField>
    <cacheField name="minFuseResultNotBurn" numFmtId="0">
      <sharedItems containsSemiMixedTypes="0" containsString="0" containsNumber="1" containsInteger="1">
        <n v="0.0"/>
        <n v="4091.0"/>
      </sharedItems>
    </cacheField>
    <cacheField name="maxFuseResultNotBurn" numFmtId="0">
      <sharedItems containsSemiMixedTypes="0" containsString="0" containsNumber="1" containsInteger="1">
        <n v="0.0"/>
        <n v="4095.0"/>
      </sharedItems>
    </cacheField>
    <cacheField name="keepPowerReadbackOff" numFmtId="0">
      <sharedItems containsSemiMixedTypes="0" containsString="0" containsNumber="1" containsInteger="1">
        <n v="0.0"/>
      </sharedItems>
    </cacheField>
    <cacheField name="keepPowerReadbackOn" numFmtId="0">
      <sharedItems containsSemiMixedTypes="0" containsString="0" containsNumber="1" containsInteger="1">
        <n v="1.0"/>
      </sharedItems>
    </cacheField>
    <cacheField name="fmSafety" numFmtId="0">
      <sharedItems>
        <s v="safe"/>
      </sharedItems>
    </cacheField>
    <cacheField name="fmDetectableFuse" numFmtId="0">
      <sharedItems>
        <s v="outside_scope"/>
        <s v="yes"/>
        <s v="maybe"/>
        <s v="impactless"/>
      </sharedItems>
    </cacheField>
    <cacheField name="fmDetectableKeepPow" numFmtId="0">
      <sharedItems>
        <s v="no"/>
        <s v="impactless"/>
      </sharedItems>
    </cacheField>
    <cacheField name="classMultipleFaults" numFmtId="0">
      <sharedItems>
        <s v="not_applicable"/>
        <s v="cm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nsolidated Results" cacheId="0" dataCaption="" compact="0" compactData="0">
  <location ref="I7:L15" firstHeaderRow="0" firstDataRow="3" firstDataCol="0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imulate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imulation Duration (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inal number of Failed Components" axis="axisRow" compact="0" outline="0" multipleItemSelectionAllowed="1" showAll="0" sortType="ascending">
      <items>
        <item x="0"/>
        <item x="1"/>
        <item x="2"/>
        <item t="default"/>
      </items>
    </pivotField>
    <pivotField name="Reason for End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5"/>
    <field x="4"/>
  </rowFields>
  <colFields>
    <field x="-2"/>
  </colFields>
  <dataFields>
    <dataField name="Frequency of each Reason for End" fld="5" subtotal="count" baseField="0"/>
    <dataField name="COUNTA of Reason for End" fld="5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Consolidated Results 2" cacheId="1" dataCaption="" compact="0" compactData="0">
  <location ref="B49:F55" firstHeaderRow="0" firstDataRow="2" firstDataCol="0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ailure Time (h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ailed Component" axis="axisRow" dataField="1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Fault M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ault Mode Proba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tectable Fuse Type" compact="0" numFmtId="10" outline="0" multipleItemSelectionAllowed="1" showAll="0">
      <items>
        <item x="0"/>
        <item x="1"/>
        <item x="2"/>
        <item x="3"/>
        <item t="default"/>
      </items>
    </pivotField>
    <pivotField name="Detectable Keep Power Type" compact="0" numFmtId="10" outline="0" multipleItemSelectionAllowed="1" showAll="0">
      <items>
        <item x="0"/>
        <item x="1"/>
        <item x="2"/>
        <item t="default"/>
      </items>
    </pivotField>
    <pivotField name="Probability Rank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ailure Rate" compact="0" numFmtId="11" outline="0" multipleItemSelectionAllowed="1" showAll="0">
      <items>
        <item x="0"/>
        <item x="1"/>
        <item x="2"/>
        <item x="3"/>
        <item t="default"/>
      </items>
    </pivotField>
    <pivotField name="Failure Rate Rank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MTTF" compact="0" numFmtId="11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-2"/>
  </colFields>
  <dataFields>
    <dataField name="Failure Rate Rank" fld="9" subtotal="average" baseField="0"/>
    <dataField name="Number of Occurrences" fld="2" subtotal="count" baseField="0"/>
    <dataField name="Average Probability Rank of Fault Modes" fld="7" subtotal="average" baseField="0"/>
    <dataField name="Average of Failure Time (hours)" fld="1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nsolidated Results 3" cacheId="2" dataCaption="" compact="0" compactData="0">
  <location ref="B73:D78" firstHeaderRow="0" firstDataRow="2" firstDataCol="0" rowPageCount="1" colPageCount="1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ailure Time (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ailed Component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K_Sys Fault Modes" axis="axisRow" dataField="1" compact="0" outline="0" multipleItemSelectionAllowed="1" showAll="0" sortType="ascending">
      <items>
        <item x="2"/>
        <item x="3"/>
        <item x="6"/>
        <item x="0"/>
        <item x="4"/>
        <item x="7"/>
        <item x="8"/>
        <item x="5"/>
        <item x="11"/>
        <item x="10"/>
        <item x="1"/>
        <item x="9"/>
        <item t="default"/>
      </items>
    </pivotField>
    <pivotField name="Fault Mode Proba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tectable Fuse Type" compact="0" numFmtId="10" outline="0" multipleItemSelectionAllowed="1" showAll="0">
      <items>
        <item x="0"/>
        <item x="1"/>
        <item x="2"/>
        <item x="3"/>
        <item t="default"/>
      </items>
    </pivotField>
    <pivotField name="Detectable Keep Power Type" compact="0" numFmtId="10" outline="0" multipleItemSelectionAllowed="1" showAll="0">
      <items>
        <item x="0"/>
        <item x="1"/>
        <item x="2"/>
        <item t="default"/>
      </items>
    </pivotField>
    <pivotField name="Probability Rank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colFields>
    <field x="-2"/>
  </colFields>
  <pageFields>
    <pageField fld="2"/>
  </pageFields>
  <dataFields>
    <dataField name="Absolute Frequency" fld="3" subtotal="count" baseField="0"/>
    <dataField name="Probability Rank" fld="7" subtotal="average" baseField="0"/>
  </dataFields>
</pivotTableDefinition>
</file>

<file path=xl/pivotTables/pivotTable4.xml><?xml version="1.0" encoding="utf-8"?>
<pivotTableDefinition xmlns="http://schemas.openxmlformats.org/spreadsheetml/2006/main" name="DZ_Sys" cacheId="3" dataCaption="" compact="0" compactData="0">
  <location ref="B18:F2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bability" axis="axisCol" compact="0" numFmtId="10" outline="0" multipleItemSelectionAllowed="1" showAll="0" sortType="ascending">
      <items>
        <item x="2"/>
        <item x="1"/>
        <item x="0"/>
        <item t="default"/>
      </items>
    </pivotField>
    <pivotField name="Ranking Prob" compact="0" outline="0" multipleItemSelectionAllowed="1" showAll="0">
      <items>
        <item x="0"/>
        <item x="1"/>
        <item x="2"/>
        <item t="default"/>
      </items>
    </pivotField>
    <pivotField name="meanValueFuseResultBurn" compact="0" outline="0" multipleItemSelectionAllowed="1" showAll="0">
      <items>
        <item x="0"/>
        <item x="1"/>
        <item t="default"/>
      </items>
    </pivotField>
    <pivotField name="meanValueFuseResultNotBurn" compact="0" outline="0" multipleItemSelectionAllowed="1" showAll="0">
      <items>
        <item x="0"/>
        <item x="1"/>
        <item x="2"/>
        <item t="default"/>
      </items>
    </pivotField>
    <pivotField name="minFuseResultBurn" compact="0" outline="0" multipleItemSelectionAllowed="1" showAll="0">
      <items>
        <item x="0"/>
        <item x="1"/>
        <item t="default"/>
      </items>
    </pivotField>
    <pivotField name="maxFuseResultBurn" compact="0" outline="0" multipleItemSelectionAllowed="1" showAll="0">
      <items>
        <item x="0"/>
        <item x="1"/>
        <item t="default"/>
      </items>
    </pivotField>
    <pivotField name="minFuseResultNotBurn" compact="0" outline="0" multipleItemSelectionAllowed="1" showAll="0">
      <items>
        <item x="0"/>
        <item x="1"/>
        <item t="default"/>
      </items>
    </pivotField>
    <pivotField name="maxFuseResultNotBurn" compact="0" outline="0" multipleItemSelectionAllowed="1" showAll="0">
      <items>
        <item x="0"/>
        <item x="1"/>
        <item t="default"/>
      </items>
    </pivotField>
    <pivotField name="keepPowerReadbackOff" compact="0" outline="0" multipleItemSelectionAllowed="1" showAll="0">
      <items>
        <item x="0"/>
        <item t="default"/>
      </items>
    </pivotField>
    <pivotField name="keepPowerReadbackOn" compact="0" outline="0" multipleItemSelectionAllowed="1" showAll="0">
      <items>
        <item x="0"/>
        <item t="default"/>
      </items>
    </pivotField>
    <pivotField name="fmSafety" compact="0" outline="0" multipleItemSelectionAllowed="1" showAll="0">
      <items>
        <item x="0"/>
        <item t="default"/>
      </items>
    </pivotField>
    <pivotField name="fmDetectableFuse" axis="axisRow" dataField="1" compact="0" outline="0" multipleItemSelectionAllowed="1" showAll="0" sortType="ascending">
      <items>
        <item x="3"/>
        <item x="2"/>
        <item x="0"/>
        <item x="1"/>
        <item t="default"/>
      </items>
    </pivotField>
    <pivotField name="fmDetectableKeepPow" compact="0" outline="0" multipleItemSelectionAllowed="1" showAll="0">
      <items>
        <item x="0"/>
        <item x="1"/>
        <item t="default"/>
      </items>
    </pivotField>
    <pivotField name="classMultipleFaults" compact="0" outline="0" multipleItemSelectionAllowed="1" showAll="0">
      <items>
        <item x="0"/>
        <item x="1"/>
        <item t="default"/>
      </items>
    </pivotField>
  </pivotFields>
  <rowFields>
    <field x="13"/>
  </rowFields>
  <colFields>
    <field x="2"/>
  </colFields>
  <dataFields>
    <dataField name="COUNTA of fmDetectableFus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0</v>
      </c>
    </row>
    <row r="4">
      <c r="B4" s="2" t="s">
        <v>1</v>
      </c>
      <c r="C4" s="2"/>
    </row>
    <row r="5">
      <c r="B5" s="3" t="s">
        <v>2</v>
      </c>
      <c r="C5" s="3"/>
    </row>
    <row r="6">
      <c r="B6" s="3" t="s">
        <v>3</v>
      </c>
      <c r="C6" s="4"/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B12" s="19"/>
      <c r="C12" s="19">
        <f>B12*'Simulation Params'!$C$16</f>
        <v>0</v>
      </c>
      <c r="D12" s="19"/>
      <c r="E12" s="20"/>
      <c r="F12" s="21"/>
      <c r="G12" s="19"/>
      <c r="H12" s="19"/>
      <c r="I12" s="19"/>
      <c r="J12" s="19"/>
      <c r="K12" s="19"/>
      <c r="L12" s="19"/>
      <c r="M12" s="19"/>
      <c r="N12" s="19"/>
      <c r="O12" s="19"/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19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172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173</v>
      </c>
      <c r="D6" s="116">
        <v>0.0264286</v>
      </c>
      <c r="E6" s="117">
        <f t="shared" ref="E6:E32" si="1">RANK(D6,$D$6:$D$32)</f>
        <v>8</v>
      </c>
      <c r="F6" s="5">
        <v>4092.0</v>
      </c>
      <c r="G6" s="5">
        <v>4093.0</v>
      </c>
      <c r="H6" s="5">
        <v>4092.0</v>
      </c>
      <c r="I6" s="5">
        <v>4092.0</v>
      </c>
      <c r="J6" s="5">
        <v>4093.0</v>
      </c>
      <c r="K6" s="5">
        <v>4093.0</v>
      </c>
      <c r="L6" s="5">
        <v>0.0</v>
      </c>
      <c r="M6" s="5">
        <v>1.0</v>
      </c>
      <c r="N6" s="5" t="s">
        <v>122</v>
      </c>
      <c r="O6" s="5" t="s">
        <v>124</v>
      </c>
      <c r="P6" s="5" t="s">
        <v>124</v>
      </c>
      <c r="Q6" s="5" t="s">
        <v>125</v>
      </c>
    </row>
    <row r="7">
      <c r="B7" s="5">
        <v>1.0</v>
      </c>
      <c r="C7" s="5" t="s">
        <v>174</v>
      </c>
      <c r="D7" s="116">
        <v>0.0264286</v>
      </c>
      <c r="E7" s="117">
        <f t="shared" si="1"/>
        <v>8</v>
      </c>
      <c r="F7" s="5">
        <v>4092.0</v>
      </c>
      <c r="G7" s="5">
        <v>4093.0</v>
      </c>
      <c r="H7" s="5">
        <v>4092.0</v>
      </c>
      <c r="I7" s="5">
        <v>4092.0</v>
      </c>
      <c r="J7" s="5">
        <v>4093.0</v>
      </c>
      <c r="K7" s="5">
        <v>4093.0</v>
      </c>
      <c r="L7" s="5">
        <v>0.0</v>
      </c>
      <c r="M7" s="5">
        <v>1.0</v>
      </c>
      <c r="N7" s="5" t="s">
        <v>122</v>
      </c>
      <c r="O7" s="5" t="s">
        <v>124</v>
      </c>
      <c r="P7" s="5" t="s">
        <v>124</v>
      </c>
      <c r="Q7" s="5" t="s">
        <v>125</v>
      </c>
    </row>
    <row r="8">
      <c r="B8" s="5">
        <v>2.0</v>
      </c>
      <c r="C8" s="5" t="s">
        <v>175</v>
      </c>
      <c r="D8" s="116">
        <v>0.0264286</v>
      </c>
      <c r="E8" s="117">
        <f t="shared" si="1"/>
        <v>8</v>
      </c>
      <c r="F8" s="5">
        <v>4092.0</v>
      </c>
      <c r="G8" s="5">
        <v>4093.0</v>
      </c>
      <c r="H8" s="5">
        <v>4092.0</v>
      </c>
      <c r="I8" s="5">
        <v>4092.0</v>
      </c>
      <c r="J8" s="5">
        <v>4093.0</v>
      </c>
      <c r="K8" s="5">
        <v>4093.0</v>
      </c>
      <c r="L8" s="5">
        <v>0.0</v>
      </c>
      <c r="M8" s="5">
        <v>1.0</v>
      </c>
      <c r="N8" s="5" t="s">
        <v>122</v>
      </c>
      <c r="O8" s="5" t="s">
        <v>124</v>
      </c>
      <c r="P8" s="5" t="s">
        <v>124</v>
      </c>
      <c r="Q8" s="5" t="s">
        <v>125</v>
      </c>
    </row>
    <row r="9">
      <c r="B9" s="5">
        <v>3.0</v>
      </c>
      <c r="C9" s="5" t="s">
        <v>176</v>
      </c>
      <c r="D9" s="116">
        <v>0.0264286</v>
      </c>
      <c r="E9" s="117">
        <f t="shared" si="1"/>
        <v>8</v>
      </c>
      <c r="F9" s="5">
        <v>4092.0</v>
      </c>
      <c r="G9" s="5">
        <v>4093.0</v>
      </c>
      <c r="H9" s="5">
        <v>4092.0</v>
      </c>
      <c r="I9" s="5">
        <v>4092.0</v>
      </c>
      <c r="J9" s="5">
        <v>4093.0</v>
      </c>
      <c r="K9" s="5">
        <v>4093.0</v>
      </c>
      <c r="L9" s="5">
        <v>0.0</v>
      </c>
      <c r="M9" s="5">
        <v>1.0</v>
      </c>
      <c r="N9" s="5" t="s">
        <v>122</v>
      </c>
      <c r="O9" s="5" t="s">
        <v>124</v>
      </c>
      <c r="P9" s="5" t="s">
        <v>124</v>
      </c>
      <c r="Q9" s="5" t="s">
        <v>125</v>
      </c>
    </row>
    <row r="10">
      <c r="B10" s="5">
        <v>4.0</v>
      </c>
      <c r="C10" s="5" t="s">
        <v>177</v>
      </c>
      <c r="D10" s="116">
        <v>0.0264286</v>
      </c>
      <c r="E10" s="117">
        <f t="shared" si="1"/>
        <v>8</v>
      </c>
      <c r="F10" s="5">
        <v>4092.0</v>
      </c>
      <c r="G10" s="5">
        <v>4093.0</v>
      </c>
      <c r="H10" s="5">
        <v>4092.0</v>
      </c>
      <c r="I10" s="5">
        <v>4092.0</v>
      </c>
      <c r="J10" s="5">
        <v>4093.0</v>
      </c>
      <c r="K10" s="5">
        <v>4093.0</v>
      </c>
      <c r="L10" s="5">
        <v>0.0</v>
      </c>
      <c r="M10" s="5">
        <v>1.0</v>
      </c>
      <c r="N10" s="5" t="s">
        <v>122</v>
      </c>
      <c r="O10" s="5" t="s">
        <v>124</v>
      </c>
      <c r="P10" s="5" t="s">
        <v>124</v>
      </c>
      <c r="Q10" s="5" t="s">
        <v>125</v>
      </c>
    </row>
    <row r="11">
      <c r="B11" s="5">
        <v>5.0</v>
      </c>
      <c r="C11" s="5" t="s">
        <v>178</v>
      </c>
      <c r="D11" s="116">
        <v>0.0264286</v>
      </c>
      <c r="E11" s="117">
        <f t="shared" si="1"/>
        <v>8</v>
      </c>
      <c r="F11" s="5">
        <v>4092.0</v>
      </c>
      <c r="G11" s="5">
        <v>4093.0</v>
      </c>
      <c r="H11" s="5">
        <v>4092.0</v>
      </c>
      <c r="I11" s="5">
        <v>4092.0</v>
      </c>
      <c r="J11" s="5">
        <v>4093.0</v>
      </c>
      <c r="K11" s="5">
        <v>4093.0</v>
      </c>
      <c r="L11" s="5">
        <v>0.0</v>
      </c>
      <c r="M11" s="5">
        <v>1.0</v>
      </c>
      <c r="N11" s="5" t="s">
        <v>122</v>
      </c>
      <c r="O11" s="5" t="s">
        <v>124</v>
      </c>
      <c r="P11" s="5" t="s">
        <v>124</v>
      </c>
      <c r="Q11" s="5" t="s">
        <v>125</v>
      </c>
    </row>
    <row r="12">
      <c r="B12" s="5">
        <v>6.0</v>
      </c>
      <c r="C12" s="5" t="s">
        <v>179</v>
      </c>
      <c r="D12" s="116">
        <v>0.0264286</v>
      </c>
      <c r="E12" s="117">
        <f t="shared" si="1"/>
        <v>8</v>
      </c>
      <c r="F12" s="5">
        <v>4092.0</v>
      </c>
      <c r="G12" s="5">
        <v>4093.0</v>
      </c>
      <c r="H12" s="5">
        <v>4092.0</v>
      </c>
      <c r="I12" s="5">
        <v>4092.0</v>
      </c>
      <c r="J12" s="5">
        <v>4093.0</v>
      </c>
      <c r="K12" s="5">
        <v>4093.0</v>
      </c>
      <c r="L12" s="5">
        <v>0.0</v>
      </c>
      <c r="M12" s="5">
        <v>1.0</v>
      </c>
      <c r="N12" s="5" t="s">
        <v>122</v>
      </c>
      <c r="O12" s="5" t="s">
        <v>124</v>
      </c>
      <c r="P12" s="5" t="s">
        <v>124</v>
      </c>
      <c r="Q12" s="5" t="s">
        <v>125</v>
      </c>
    </row>
    <row r="13">
      <c r="B13" s="5">
        <v>7.0</v>
      </c>
      <c r="C13" s="5" t="s">
        <v>180</v>
      </c>
      <c r="D13" s="116">
        <v>0.0921429</v>
      </c>
      <c r="E13" s="117">
        <f t="shared" si="1"/>
        <v>1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1.0</v>
      </c>
      <c r="N13" s="5" t="s">
        <v>122</v>
      </c>
      <c r="O13" s="5" t="s">
        <v>124</v>
      </c>
      <c r="P13" s="5" t="s">
        <v>123</v>
      </c>
      <c r="Q13" s="5" t="s">
        <v>125</v>
      </c>
    </row>
    <row r="14">
      <c r="B14" s="5">
        <v>8.0</v>
      </c>
      <c r="C14" s="5" t="s">
        <v>181</v>
      </c>
      <c r="D14" s="116">
        <v>0.0921429</v>
      </c>
      <c r="E14" s="117">
        <f t="shared" si="1"/>
        <v>1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1.0</v>
      </c>
      <c r="N14" s="5" t="s">
        <v>122</v>
      </c>
      <c r="O14" s="5" t="s">
        <v>124</v>
      </c>
      <c r="P14" s="5" t="s">
        <v>123</v>
      </c>
      <c r="Q14" s="5" t="s">
        <v>125</v>
      </c>
    </row>
    <row r="15">
      <c r="B15" s="5">
        <v>9.0</v>
      </c>
      <c r="C15" s="5" t="s">
        <v>182</v>
      </c>
      <c r="D15" s="116">
        <v>0.0921429</v>
      </c>
      <c r="E15" s="117">
        <f t="shared" si="1"/>
        <v>1</v>
      </c>
      <c r="F15" s="5">
        <v>4092.0</v>
      </c>
      <c r="G15" s="5">
        <v>4093.0</v>
      </c>
      <c r="H15" s="5">
        <v>4092.0</v>
      </c>
      <c r="I15" s="5">
        <v>4092.0</v>
      </c>
      <c r="J15" s="5">
        <v>4093.0</v>
      </c>
      <c r="K15" s="5">
        <v>4093.0</v>
      </c>
      <c r="L15" s="5">
        <v>0.0</v>
      </c>
      <c r="M15" s="5">
        <v>1.0</v>
      </c>
      <c r="N15" s="5" t="s">
        <v>122</v>
      </c>
      <c r="O15" s="5" t="s">
        <v>124</v>
      </c>
      <c r="P15" s="5" t="s">
        <v>124</v>
      </c>
      <c r="Q15" s="5" t="s">
        <v>125</v>
      </c>
    </row>
    <row r="16">
      <c r="B16" s="5">
        <v>10.0</v>
      </c>
      <c r="C16" s="5" t="s">
        <v>183</v>
      </c>
      <c r="D16" s="116">
        <v>0.0921429</v>
      </c>
      <c r="E16" s="117">
        <f t="shared" si="1"/>
        <v>1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1.0</v>
      </c>
      <c r="N16" s="5" t="s">
        <v>122</v>
      </c>
      <c r="O16" s="5" t="s">
        <v>124</v>
      </c>
      <c r="P16" s="5" t="s">
        <v>123</v>
      </c>
      <c r="Q16" s="5" t="s">
        <v>125</v>
      </c>
    </row>
    <row r="17">
      <c r="B17" s="5">
        <v>11.0</v>
      </c>
      <c r="C17" s="5" t="s">
        <v>184</v>
      </c>
      <c r="D17" s="116">
        <v>0.0921429</v>
      </c>
      <c r="E17" s="117">
        <f t="shared" si="1"/>
        <v>1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1.0</v>
      </c>
      <c r="N17" s="5" t="s">
        <v>122</v>
      </c>
      <c r="O17" s="5" t="s">
        <v>124</v>
      </c>
      <c r="P17" s="5" t="s">
        <v>123</v>
      </c>
      <c r="Q17" s="5" t="s">
        <v>125</v>
      </c>
    </row>
    <row r="18">
      <c r="B18" s="5">
        <v>12.0</v>
      </c>
      <c r="C18" s="5" t="s">
        <v>185</v>
      </c>
      <c r="D18" s="116">
        <v>0.0921429</v>
      </c>
      <c r="E18" s="117">
        <f t="shared" si="1"/>
        <v>1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1.0</v>
      </c>
      <c r="N18" s="5" t="s">
        <v>122</v>
      </c>
      <c r="O18" s="5" t="s">
        <v>124</v>
      </c>
      <c r="P18" s="5" t="s">
        <v>123</v>
      </c>
      <c r="Q18" s="5" t="s">
        <v>125</v>
      </c>
    </row>
    <row r="19">
      <c r="B19" s="5">
        <v>13.0</v>
      </c>
      <c r="C19" s="5" t="s">
        <v>186</v>
      </c>
      <c r="D19" s="116">
        <v>0.0921429</v>
      </c>
      <c r="E19" s="117">
        <f t="shared" si="1"/>
        <v>1</v>
      </c>
      <c r="F19" s="5">
        <v>4092.0</v>
      </c>
      <c r="G19" s="5">
        <v>4093.0</v>
      </c>
      <c r="H19" s="5">
        <v>4092.0</v>
      </c>
      <c r="I19" s="5">
        <v>4092.0</v>
      </c>
      <c r="J19" s="5">
        <v>4093.0</v>
      </c>
      <c r="K19" s="5">
        <v>4093.0</v>
      </c>
      <c r="L19" s="5">
        <v>0.0</v>
      </c>
      <c r="M19" s="5">
        <v>1.0</v>
      </c>
      <c r="N19" s="5" t="s">
        <v>122</v>
      </c>
      <c r="O19" s="5" t="s">
        <v>124</v>
      </c>
      <c r="P19" s="5" t="s">
        <v>124</v>
      </c>
      <c r="Q19" s="5" t="s">
        <v>125</v>
      </c>
    </row>
    <row r="20">
      <c r="B20" s="5">
        <v>14.0</v>
      </c>
      <c r="C20" s="5" t="s">
        <v>187</v>
      </c>
      <c r="D20" s="116">
        <v>0.0130769</v>
      </c>
      <c r="E20" s="117">
        <f t="shared" si="1"/>
        <v>15</v>
      </c>
      <c r="F20" s="5">
        <v>54.0</v>
      </c>
      <c r="G20" s="5">
        <v>4092.0</v>
      </c>
      <c r="H20" s="5">
        <v>51.0</v>
      </c>
      <c r="I20" s="5">
        <v>57.0</v>
      </c>
      <c r="J20" s="5">
        <v>4091.0</v>
      </c>
      <c r="K20" s="5">
        <v>4095.0</v>
      </c>
      <c r="L20" s="5">
        <v>0.0</v>
      </c>
      <c r="M20" s="5">
        <v>1.0</v>
      </c>
      <c r="N20" s="5" t="s">
        <v>122</v>
      </c>
      <c r="O20" s="5" t="s">
        <v>129</v>
      </c>
      <c r="P20" s="5" t="s">
        <v>129</v>
      </c>
      <c r="Q20" s="5" t="s">
        <v>125</v>
      </c>
    </row>
    <row r="21">
      <c r="B21" s="5">
        <v>15.0</v>
      </c>
      <c r="C21" s="5" t="s">
        <v>188</v>
      </c>
      <c r="D21" s="116">
        <v>0.0130769</v>
      </c>
      <c r="E21" s="117">
        <f t="shared" si="1"/>
        <v>15</v>
      </c>
      <c r="F21" s="5">
        <v>2038.0</v>
      </c>
      <c r="G21" s="5">
        <v>4093.0</v>
      </c>
      <c r="H21" s="5">
        <v>51.0</v>
      </c>
      <c r="I21" s="5">
        <v>4092.0</v>
      </c>
      <c r="J21" s="5">
        <v>4093.0</v>
      </c>
      <c r="K21" s="5">
        <v>4093.0</v>
      </c>
      <c r="L21" s="5">
        <v>0.0</v>
      </c>
      <c r="M21" s="5">
        <v>1.0</v>
      </c>
      <c r="N21" s="5" t="s">
        <v>122</v>
      </c>
      <c r="O21" s="5" t="s">
        <v>124</v>
      </c>
      <c r="P21" s="5" t="s">
        <v>124</v>
      </c>
      <c r="Q21" s="5" t="s">
        <v>125</v>
      </c>
    </row>
    <row r="22">
      <c r="B22" s="5">
        <v>16.0</v>
      </c>
      <c r="C22" s="5" t="s">
        <v>189</v>
      </c>
      <c r="D22" s="116">
        <v>0.0130769</v>
      </c>
      <c r="E22" s="117">
        <f t="shared" si="1"/>
        <v>15</v>
      </c>
      <c r="F22" s="5">
        <v>2038.0</v>
      </c>
      <c r="G22" s="5">
        <v>4093.0</v>
      </c>
      <c r="H22" s="5">
        <v>51.0</v>
      </c>
      <c r="I22" s="5">
        <v>4092.0</v>
      </c>
      <c r="J22" s="5">
        <v>4093.0</v>
      </c>
      <c r="K22" s="5">
        <v>4093.0</v>
      </c>
      <c r="L22" s="5">
        <v>0.0</v>
      </c>
      <c r="M22" s="5">
        <v>1.0</v>
      </c>
      <c r="N22" s="5" t="s">
        <v>122</v>
      </c>
      <c r="O22" s="5" t="s">
        <v>124</v>
      </c>
      <c r="P22" s="5" t="s">
        <v>124</v>
      </c>
      <c r="Q22" s="5" t="s">
        <v>125</v>
      </c>
    </row>
    <row r="23">
      <c r="B23" s="5">
        <v>17.0</v>
      </c>
      <c r="C23" s="5" t="s">
        <v>190</v>
      </c>
      <c r="D23" s="116">
        <v>0.0130769</v>
      </c>
      <c r="E23" s="117">
        <f t="shared" si="1"/>
        <v>15</v>
      </c>
      <c r="F23" s="5">
        <v>0.0</v>
      </c>
      <c r="G23" s="5">
        <v>2038.0</v>
      </c>
      <c r="H23" s="5">
        <v>0.0</v>
      </c>
      <c r="I23" s="5">
        <v>0.0</v>
      </c>
      <c r="J23" s="5">
        <v>0.0</v>
      </c>
      <c r="K23" s="5">
        <v>4093.0</v>
      </c>
      <c r="L23" s="5">
        <v>0.0</v>
      </c>
      <c r="M23" s="5">
        <v>1.0</v>
      </c>
      <c r="N23" s="5" t="s">
        <v>122</v>
      </c>
      <c r="O23" s="5" t="s">
        <v>140</v>
      </c>
      <c r="P23" s="5" t="s">
        <v>123</v>
      </c>
      <c r="Q23" s="5" t="s">
        <v>141</v>
      </c>
    </row>
    <row r="24">
      <c r="B24" s="5">
        <v>18.0</v>
      </c>
      <c r="C24" s="5" t="s">
        <v>191</v>
      </c>
      <c r="D24" s="116">
        <v>0.0130769</v>
      </c>
      <c r="E24" s="117">
        <f t="shared" si="1"/>
        <v>15</v>
      </c>
      <c r="F24" s="5">
        <v>0.0</v>
      </c>
      <c r="G24" s="5">
        <v>2038.0</v>
      </c>
      <c r="H24" s="5">
        <v>0.0</v>
      </c>
      <c r="I24" s="5">
        <v>0.0</v>
      </c>
      <c r="J24" s="5">
        <v>0.0</v>
      </c>
      <c r="K24" s="5">
        <v>4093.0</v>
      </c>
      <c r="L24" s="5">
        <v>0.0</v>
      </c>
      <c r="M24" s="5">
        <v>1.0</v>
      </c>
      <c r="N24" s="5" t="s">
        <v>122</v>
      </c>
      <c r="O24" s="5" t="s">
        <v>140</v>
      </c>
      <c r="P24" s="5" t="s">
        <v>123</v>
      </c>
      <c r="Q24" s="5" t="s">
        <v>141</v>
      </c>
    </row>
    <row r="25">
      <c r="B25" s="5">
        <v>19.0</v>
      </c>
      <c r="C25" s="5" t="s">
        <v>192</v>
      </c>
      <c r="D25" s="116">
        <v>0.0130769</v>
      </c>
      <c r="E25" s="117">
        <f t="shared" si="1"/>
        <v>15</v>
      </c>
      <c r="F25" s="5">
        <v>2038.0</v>
      </c>
      <c r="G25" s="5">
        <v>4093.0</v>
      </c>
      <c r="H25" s="5">
        <v>51.0</v>
      </c>
      <c r="I25" s="5">
        <v>4092.0</v>
      </c>
      <c r="J25" s="5">
        <v>4093.0</v>
      </c>
      <c r="K25" s="5">
        <v>4093.0</v>
      </c>
      <c r="L25" s="5">
        <v>0.0</v>
      </c>
      <c r="M25" s="5">
        <v>1.0</v>
      </c>
      <c r="N25" s="5" t="s">
        <v>122</v>
      </c>
      <c r="O25" s="5" t="s">
        <v>124</v>
      </c>
      <c r="P25" s="5" t="s">
        <v>124</v>
      </c>
      <c r="Q25" s="5" t="s">
        <v>125</v>
      </c>
    </row>
    <row r="26">
      <c r="B26" s="5">
        <v>20.0</v>
      </c>
      <c r="C26" s="5" t="s">
        <v>193</v>
      </c>
      <c r="D26" s="116">
        <v>0.0130769</v>
      </c>
      <c r="E26" s="117">
        <f t="shared" si="1"/>
        <v>15</v>
      </c>
      <c r="F26" s="5">
        <v>2038.0</v>
      </c>
      <c r="G26" s="5">
        <v>2038.0</v>
      </c>
      <c r="H26" s="5">
        <v>0.0</v>
      </c>
      <c r="I26" s="5">
        <v>4093.0</v>
      </c>
      <c r="J26" s="5">
        <v>0.0</v>
      </c>
      <c r="K26" s="5">
        <v>4093.0</v>
      </c>
      <c r="L26" s="5">
        <v>0.0</v>
      </c>
      <c r="M26" s="5">
        <v>1.0</v>
      </c>
      <c r="N26" s="5" t="s">
        <v>122</v>
      </c>
      <c r="O26" s="5" t="s">
        <v>140</v>
      </c>
      <c r="P26" s="5" t="s">
        <v>123</v>
      </c>
      <c r="Q26" s="5" t="s">
        <v>141</v>
      </c>
    </row>
    <row r="27">
      <c r="B27" s="5">
        <v>21.0</v>
      </c>
      <c r="C27" s="5" t="s">
        <v>194</v>
      </c>
      <c r="D27" s="116">
        <v>0.0130769</v>
      </c>
      <c r="E27" s="117">
        <f t="shared" si="1"/>
        <v>15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1.0</v>
      </c>
      <c r="N27" s="5" t="s">
        <v>122</v>
      </c>
      <c r="O27" s="5" t="s">
        <v>124</v>
      </c>
      <c r="P27" s="5" t="s">
        <v>123</v>
      </c>
      <c r="Q27" s="5" t="s">
        <v>125</v>
      </c>
    </row>
    <row r="28">
      <c r="B28" s="5">
        <v>22.0</v>
      </c>
      <c r="C28" s="5" t="s">
        <v>195</v>
      </c>
      <c r="D28" s="116">
        <v>0.0130769</v>
      </c>
      <c r="E28" s="117">
        <f t="shared" si="1"/>
        <v>15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1.0</v>
      </c>
      <c r="N28" s="5" t="s">
        <v>122</v>
      </c>
      <c r="O28" s="5" t="s">
        <v>124</v>
      </c>
      <c r="P28" s="5" t="s">
        <v>123</v>
      </c>
      <c r="Q28" s="5" t="s">
        <v>125</v>
      </c>
    </row>
    <row r="29">
      <c r="B29" s="5">
        <v>23.0</v>
      </c>
      <c r="C29" s="5" t="s">
        <v>196</v>
      </c>
      <c r="D29" s="116">
        <v>0.0130769</v>
      </c>
      <c r="E29" s="117">
        <f t="shared" si="1"/>
        <v>15</v>
      </c>
      <c r="F29" s="5">
        <v>2038.0</v>
      </c>
      <c r="G29" s="5">
        <v>4093.0</v>
      </c>
      <c r="H29" s="5">
        <v>51.0</v>
      </c>
      <c r="I29" s="5">
        <v>4092.0</v>
      </c>
      <c r="J29" s="5">
        <v>4093.0</v>
      </c>
      <c r="K29" s="5">
        <v>4093.0</v>
      </c>
      <c r="L29" s="5">
        <v>0.0</v>
      </c>
      <c r="M29" s="5">
        <v>1.0</v>
      </c>
      <c r="N29" s="5" t="s">
        <v>122</v>
      </c>
      <c r="O29" s="5" t="s">
        <v>124</v>
      </c>
      <c r="P29" s="5" t="s">
        <v>124</v>
      </c>
      <c r="Q29" s="5" t="s">
        <v>125</v>
      </c>
    </row>
    <row r="30">
      <c r="B30" s="5">
        <v>24.0</v>
      </c>
      <c r="C30" s="5" t="s">
        <v>197</v>
      </c>
      <c r="D30" s="116">
        <v>0.0130769</v>
      </c>
      <c r="E30" s="117">
        <f t="shared" si="1"/>
        <v>15</v>
      </c>
      <c r="F30" s="5">
        <v>0.0</v>
      </c>
      <c r="G30" s="5">
        <v>2038.0</v>
      </c>
      <c r="H30" s="5">
        <v>0.0</v>
      </c>
      <c r="I30" s="5">
        <v>0.0</v>
      </c>
      <c r="J30" s="5">
        <v>0.0</v>
      </c>
      <c r="K30" s="5">
        <v>4093.0</v>
      </c>
      <c r="L30" s="5">
        <v>0.0</v>
      </c>
      <c r="M30" s="5">
        <v>1.0</v>
      </c>
      <c r="N30" s="5" t="s">
        <v>122</v>
      </c>
      <c r="O30" s="5" t="s">
        <v>140</v>
      </c>
      <c r="P30" s="5" t="s">
        <v>123</v>
      </c>
      <c r="Q30" s="5" t="s">
        <v>141</v>
      </c>
    </row>
    <row r="31">
      <c r="B31" s="5">
        <v>25.0</v>
      </c>
      <c r="C31" s="5" t="s">
        <v>198</v>
      </c>
      <c r="D31" s="116">
        <v>0.0130769</v>
      </c>
      <c r="E31" s="117">
        <f t="shared" si="1"/>
        <v>15</v>
      </c>
      <c r="F31" s="5">
        <v>2038.0</v>
      </c>
      <c r="G31" s="5">
        <v>2038.0</v>
      </c>
      <c r="H31" s="5">
        <v>0.0</v>
      </c>
      <c r="I31" s="5">
        <v>4093.0</v>
      </c>
      <c r="J31" s="5">
        <v>0.0</v>
      </c>
      <c r="K31" s="5">
        <v>4093.0</v>
      </c>
      <c r="L31" s="5">
        <v>0.0</v>
      </c>
      <c r="M31" s="5">
        <v>1.0</v>
      </c>
      <c r="N31" s="5" t="s">
        <v>122</v>
      </c>
      <c r="O31" s="5" t="s">
        <v>140</v>
      </c>
      <c r="P31" s="5" t="s">
        <v>123</v>
      </c>
      <c r="Q31" s="5" t="s">
        <v>141</v>
      </c>
    </row>
    <row r="32">
      <c r="B32" s="5">
        <v>26.0</v>
      </c>
      <c r="C32" s="5" t="s">
        <v>199</v>
      </c>
      <c r="D32" s="116">
        <v>0.0130769</v>
      </c>
      <c r="E32" s="117">
        <f t="shared" si="1"/>
        <v>15</v>
      </c>
      <c r="F32" s="5">
        <v>2063.0</v>
      </c>
      <c r="G32" s="5">
        <v>4092.0</v>
      </c>
      <c r="H32" s="5">
        <v>111.0</v>
      </c>
      <c r="I32" s="5">
        <v>4087.0</v>
      </c>
      <c r="J32" s="5">
        <v>4091.0</v>
      </c>
      <c r="K32" s="5">
        <v>4095.0</v>
      </c>
      <c r="L32" s="5">
        <v>0.0</v>
      </c>
      <c r="M32" s="5">
        <v>1.0</v>
      </c>
      <c r="N32" s="5" t="s">
        <v>122</v>
      </c>
      <c r="O32" s="5" t="s">
        <v>140</v>
      </c>
      <c r="P32" s="5" t="s">
        <v>123</v>
      </c>
      <c r="Q32" s="5" t="s">
        <v>141</v>
      </c>
    </row>
  </sheetData>
  <autoFilter ref="$B$5:$Q$3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5.63"/>
    <col customWidth="1" min="4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1">
      <c r="B1" s="45">
        <v>1.0</v>
      </c>
    </row>
    <row r="2">
      <c r="B2" s="43" t="str">
        <f>CONCATENATE("Random Faults Test ",A14) </f>
        <v>Random Faults Test 1</v>
      </c>
      <c r="C2" s="44"/>
      <c r="D2" s="44"/>
      <c r="E2" s="118"/>
    </row>
    <row r="4">
      <c r="B4" s="119" t="s">
        <v>1</v>
      </c>
      <c r="C4" s="119">
        <v>3.944864314E9</v>
      </c>
    </row>
    <row r="5">
      <c r="B5" s="120" t="s">
        <v>2</v>
      </c>
      <c r="C5" s="120">
        <v>1.0</v>
      </c>
    </row>
    <row r="6">
      <c r="B6" s="120" t="s">
        <v>3</v>
      </c>
      <c r="C6" s="119">
        <v>6167.0</v>
      </c>
    </row>
    <row r="7">
      <c r="B7" s="120" t="s">
        <v>4</v>
      </c>
      <c r="C7" s="46" t="s">
        <v>13</v>
      </c>
    </row>
    <row r="8">
      <c r="B8" s="6"/>
      <c r="C8" s="6"/>
    </row>
    <row r="10">
      <c r="B10" s="121" t="s">
        <v>200</v>
      </c>
    </row>
    <row r="12">
      <c r="B12" s="7" t="s">
        <v>6</v>
      </c>
      <c r="C12" s="7" t="s">
        <v>7</v>
      </c>
      <c r="D12" s="8" t="s">
        <v>8</v>
      </c>
      <c r="E12" s="9" t="s">
        <v>9</v>
      </c>
      <c r="I12" s="10"/>
      <c r="J12" s="8" t="s">
        <v>10</v>
      </c>
      <c r="K12" s="11" t="s">
        <v>11</v>
      </c>
      <c r="L12" s="12" t="s">
        <v>12</v>
      </c>
      <c r="M12" s="11" t="s">
        <v>13</v>
      </c>
      <c r="N12" s="12" t="s">
        <v>14</v>
      </c>
      <c r="O12" s="11" t="s">
        <v>15</v>
      </c>
    </row>
    <row r="13">
      <c r="B13" s="10"/>
      <c r="C13" s="10"/>
      <c r="D13" s="13"/>
      <c r="E13" s="14" t="s">
        <v>16</v>
      </c>
      <c r="F13" s="15" t="s">
        <v>17</v>
      </c>
      <c r="G13" s="16" t="s">
        <v>18</v>
      </c>
      <c r="H13" s="16" t="s">
        <v>19</v>
      </c>
      <c r="I13" s="17" t="s">
        <v>20</v>
      </c>
      <c r="J13" s="13"/>
      <c r="K13" s="18"/>
      <c r="L13" s="13"/>
      <c r="M13" s="18"/>
      <c r="N13" s="13"/>
      <c r="O13" s="18"/>
      <c r="P13" s="45"/>
    </row>
    <row r="14">
      <c r="A14" s="45">
        <f>B1</f>
        <v>1</v>
      </c>
      <c r="B14" s="19">
        <v>6167.0</v>
      </c>
      <c r="C14" s="19">
        <f>B14*'Simulation Params'!$C$16</f>
        <v>74004</v>
      </c>
      <c r="D14" s="19" t="s">
        <v>24</v>
      </c>
      <c r="E14" s="20" t="s">
        <v>99</v>
      </c>
      <c r="F14" s="21">
        <v>0.04375</v>
      </c>
      <c r="G14" s="19" t="s">
        <v>138</v>
      </c>
      <c r="H14" s="19" t="s">
        <v>123</v>
      </c>
      <c r="I14" s="19" t="s">
        <v>125</v>
      </c>
      <c r="J14" s="19">
        <v>6167.0</v>
      </c>
      <c r="K14" s="19" t="s">
        <v>201</v>
      </c>
      <c r="L14" s="19" t="b">
        <f>if(I14="cm3", TRUE, FALSE)</f>
        <v>0</v>
      </c>
      <c r="M14" s="19" t="b">
        <f>IF(OR(G14="outside_scope",H14="outside_scope"), TRUE, FALSE)</f>
        <v>1</v>
      </c>
      <c r="N14" s="19" t="b">
        <f>IF(OR($G14="yes",$H14="yes"), TRUE, FALSE)</f>
        <v>0</v>
      </c>
      <c r="O14" s="19" t="b">
        <f>IF(AND($G14="impactless",$H14="impactless"), TRUE, FALSE)</f>
        <v>0</v>
      </c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19"/>
      <c r="C19" s="19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</sheetData>
  <mergeCells count="11">
    <mergeCell ref="L12:L13"/>
    <mergeCell ref="M12:M13"/>
    <mergeCell ref="N12:N13"/>
    <mergeCell ref="O12:O13"/>
    <mergeCell ref="B2:D2"/>
    <mergeCell ref="B12:B13"/>
    <mergeCell ref="C12:C13"/>
    <mergeCell ref="D12:D13"/>
    <mergeCell ref="E12:I12"/>
    <mergeCell ref="J12:J13"/>
    <mergeCell ref="K12:K13"/>
  </mergeCells>
  <dataValidations>
    <dataValidation type="list" allowBlank="1" showErrorMessage="1" sqref="G14">
      <formula1>"outside_scope,yes,no,maybe,impactless"</formula1>
    </dataValidation>
    <dataValidation type="list" allowBlank="1" showErrorMessage="1" sqref="K14">
      <formula1>"silhouetteCluster1,silhouetteCluster2,imbalanceNumPoints,overallSilhouette"</formula1>
    </dataValidation>
    <dataValidation type="list" allowBlank="1" showErrorMessage="1" sqref="H14">
      <formula1>"outside_scope,yes,no,impactless"</formula1>
    </dataValidation>
    <dataValidation type="list" allowBlank="1" showErrorMessage="1" sqref="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43" t="str">
        <f>CONCATENATE("Random Faults Test ",A14) </f>
        <v>Random Faults Test 2</v>
      </c>
      <c r="C2" s="44"/>
      <c r="D2" s="44"/>
      <c r="E2" s="44"/>
    </row>
    <row r="4">
      <c r="B4" s="119" t="s">
        <v>1</v>
      </c>
      <c r="C4" s="2">
        <v>3.510813216E9</v>
      </c>
    </row>
    <row r="5">
      <c r="B5" s="120" t="s">
        <v>2</v>
      </c>
      <c r="C5" s="3">
        <v>1.0</v>
      </c>
    </row>
    <row r="6">
      <c r="B6" s="120" t="s">
        <v>3</v>
      </c>
      <c r="C6" s="4">
        <v>25427.0</v>
      </c>
    </row>
    <row r="7">
      <c r="B7" s="120" t="s">
        <v>4</v>
      </c>
      <c r="C7" s="5" t="s">
        <v>5</v>
      </c>
    </row>
    <row r="8">
      <c r="B8" s="6"/>
    </row>
    <row r="10">
      <c r="B10" s="121" t="s">
        <v>200</v>
      </c>
    </row>
    <row r="12">
      <c r="B12" s="7" t="s">
        <v>6</v>
      </c>
      <c r="C12" s="7" t="s">
        <v>7</v>
      </c>
      <c r="D12" s="8" t="s">
        <v>8</v>
      </c>
      <c r="E12" s="9" t="s">
        <v>9</v>
      </c>
      <c r="I12" s="10"/>
      <c r="J12" s="8" t="s">
        <v>10</v>
      </c>
      <c r="K12" s="11" t="s">
        <v>11</v>
      </c>
      <c r="L12" s="12" t="s">
        <v>12</v>
      </c>
      <c r="M12" s="11" t="s">
        <v>13</v>
      </c>
      <c r="N12" s="12" t="s">
        <v>14</v>
      </c>
      <c r="O12" s="11" t="s">
        <v>15</v>
      </c>
    </row>
    <row r="13">
      <c r="B13" s="10"/>
      <c r="C13" s="10"/>
      <c r="D13" s="13"/>
      <c r="E13" s="14" t="s">
        <v>16</v>
      </c>
      <c r="F13" s="15" t="s">
        <v>17</v>
      </c>
      <c r="G13" s="16" t="s">
        <v>18</v>
      </c>
      <c r="H13" s="16" t="s">
        <v>19</v>
      </c>
      <c r="I13" s="17" t="s">
        <v>20</v>
      </c>
      <c r="J13" s="13"/>
      <c r="K13" s="18"/>
      <c r="L13" s="13"/>
      <c r="M13" s="18"/>
      <c r="N13" s="13"/>
      <c r="O13" s="18"/>
    </row>
    <row r="14">
      <c r="A14" s="45">
        <v>2.0</v>
      </c>
      <c r="B14" s="19">
        <v>25427.0</v>
      </c>
      <c r="C14" s="19">
        <f>B14*'Simulation Params'!$C$16</f>
        <v>305124</v>
      </c>
      <c r="D14" s="19" t="s">
        <v>26</v>
      </c>
      <c r="E14" s="19" t="s">
        <v>148</v>
      </c>
      <c r="F14" s="21">
        <v>0.03333</v>
      </c>
      <c r="G14" s="19" t="s">
        <v>124</v>
      </c>
      <c r="H14" s="19" t="s">
        <v>124</v>
      </c>
      <c r="I14" s="19" t="s">
        <v>125</v>
      </c>
      <c r="J14" s="19">
        <v>25427.0</v>
      </c>
      <c r="K14" s="19" t="s">
        <v>201</v>
      </c>
      <c r="L14" s="19" t="b">
        <f>if(I14="cm3", TRUE, FALSE)</f>
        <v>0</v>
      </c>
      <c r="M14" s="19" t="b">
        <f>IF(OR(G14="outside_scope",H14="outside_scope"), TRUE, FALSE)</f>
        <v>0</v>
      </c>
      <c r="N14" s="19" t="b">
        <f>IF(OR($G14="yes",$H14="yes"), TRUE, FALSE)</f>
        <v>1</v>
      </c>
      <c r="O14" s="19" t="b">
        <f>IF(AND($G14="impactless",$H14="impactless"), TRUE, FALSE)</f>
        <v>0</v>
      </c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</sheetData>
  <mergeCells count="11">
    <mergeCell ref="L12:L13"/>
    <mergeCell ref="M12:M13"/>
    <mergeCell ref="N12:N13"/>
    <mergeCell ref="O12:O13"/>
    <mergeCell ref="B2:E2"/>
    <mergeCell ref="B12:B13"/>
    <mergeCell ref="C12:C13"/>
    <mergeCell ref="D12:D13"/>
    <mergeCell ref="E12:I12"/>
    <mergeCell ref="J12:J13"/>
    <mergeCell ref="K12:K13"/>
  </mergeCells>
  <dataValidations>
    <dataValidation type="list" allowBlank="1" showErrorMessage="1" sqref="K14">
      <formula1>"silhouetteCluster1,silhouetteCluster2,imbalanceNumPoints,overallSilhouette,not_applicable"</formula1>
    </dataValidation>
    <dataValidation type="list" allowBlank="1" showErrorMessage="1" sqref="G14">
      <formula1>"outside_scope,yes,no,maybe,impactless"</formula1>
    </dataValidation>
    <dataValidation type="list" allowBlank="1" showErrorMessage="1" sqref="H14">
      <formula1>"outside_scope,yes,no,impactless"</formula1>
    </dataValidation>
    <dataValidation type="list" allowBlank="1" showErrorMessage="1" sqref="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202</v>
      </c>
    </row>
    <row r="4">
      <c r="B4" s="2" t="s">
        <v>1</v>
      </c>
      <c r="C4" s="2">
        <v>1.451051205E9</v>
      </c>
    </row>
    <row r="5">
      <c r="B5" s="3" t="s">
        <v>2</v>
      </c>
      <c r="C5" s="3">
        <v>2.0</v>
      </c>
    </row>
    <row r="6">
      <c r="B6" s="3" t="s">
        <v>3</v>
      </c>
      <c r="C6" s="4">
        <v>10477.0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3.0</v>
      </c>
      <c r="B12" s="19">
        <v>7438.0</v>
      </c>
      <c r="C12" s="19">
        <f>B12*'Simulation Params'!$C$16</f>
        <v>89256</v>
      </c>
      <c r="D12" s="19" t="s">
        <v>25</v>
      </c>
      <c r="E12" s="20" t="s">
        <v>103</v>
      </c>
      <c r="F12" s="21">
        <v>0.028889</v>
      </c>
      <c r="G12" s="19" t="s">
        <v>129</v>
      </c>
      <c r="H12" s="19" t="s">
        <v>129</v>
      </c>
      <c r="I12" s="19" t="s">
        <v>125</v>
      </c>
      <c r="J12" s="19" t="s">
        <v>203</v>
      </c>
      <c r="K12" s="19" t="s">
        <v>201</v>
      </c>
      <c r="L12" s="19" t="b">
        <f t="shared" ref="L12:L13" si="1">if(I12="cm3", TRUE, FALSE)</f>
        <v>0</v>
      </c>
      <c r="M12" s="19" t="b">
        <f t="shared" ref="M12:M13" si="2">IF(OR(G12="outside_scope",H12="outside_scope"), TRUE, FALSE)</f>
        <v>0</v>
      </c>
      <c r="N12" s="19" t="b">
        <f t="shared" ref="N12:N13" si="3">IF(OR($G12="yes",$H12="yes"), TRUE, FALSE)</f>
        <v>0</v>
      </c>
      <c r="O12" s="19" t="b">
        <f t="shared" ref="O12:O13" si="4">IF(AND($G12="impactless",$H12="impactless"), TRUE, FALSE)</f>
        <v>1</v>
      </c>
    </row>
    <row r="13">
      <c r="A13" s="45">
        <v>3.0</v>
      </c>
      <c r="B13" s="19">
        <v>10476.0</v>
      </c>
      <c r="C13" s="19">
        <f>B13*'Simulation Params'!$C$16</f>
        <v>125712</v>
      </c>
      <c r="D13" s="19" t="s">
        <v>24</v>
      </c>
      <c r="E13" s="19" t="s">
        <v>100</v>
      </c>
      <c r="F13" s="21">
        <v>0.45</v>
      </c>
      <c r="G13" s="19" t="s">
        <v>138</v>
      </c>
      <c r="H13" s="19" t="s">
        <v>123</v>
      </c>
      <c r="I13" s="19" t="s">
        <v>125</v>
      </c>
      <c r="J13" s="41">
        <v>10477.0</v>
      </c>
      <c r="K13" s="19" t="s">
        <v>201</v>
      </c>
      <c r="L13" s="19" t="b">
        <f t="shared" si="1"/>
        <v>0</v>
      </c>
      <c r="M13" s="19" t="b">
        <f t="shared" si="2"/>
        <v>1</v>
      </c>
      <c r="N13" s="19" t="b">
        <f t="shared" si="3"/>
        <v>0</v>
      </c>
      <c r="O13" s="19" t="b">
        <f t="shared" si="4"/>
        <v>0</v>
      </c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9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3">
      <formula1>"silhouetteCluster1,silhouetteCluster2,imbalanceNumPoints,overallSilhouette,not_applicable"</formula1>
    </dataValidation>
    <dataValidation type="list" allowBlank="1" showErrorMessage="1" sqref="G12:G13">
      <formula1>"outside_scope,yes,no,maybe,impactless"</formula1>
    </dataValidation>
    <dataValidation type="list" allowBlank="1" showErrorMessage="1" sqref="H12:H13">
      <formula1>"outside_scope,yes,no,impactless"</formula1>
    </dataValidation>
    <dataValidation type="list" allowBlank="1" showErrorMessage="1" sqref="I12:I13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8.3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204</v>
      </c>
    </row>
    <row r="4">
      <c r="B4" s="2" t="s">
        <v>1</v>
      </c>
      <c r="C4" s="2">
        <v>8.8888888E7</v>
      </c>
    </row>
    <row r="5">
      <c r="B5" s="3" t="s">
        <v>2</v>
      </c>
      <c r="C5" s="3">
        <v>1.0</v>
      </c>
    </row>
    <row r="6">
      <c r="B6" s="3" t="s">
        <v>3</v>
      </c>
      <c r="C6" s="4">
        <v>1549.0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4.0</v>
      </c>
      <c r="B12" s="19">
        <v>1548.0</v>
      </c>
      <c r="C12" s="19">
        <f>B12*'Simulation Params'!$C$16</f>
        <v>18576</v>
      </c>
      <c r="D12" s="19" t="s">
        <v>24</v>
      </c>
      <c r="E12" s="20" t="s">
        <v>97</v>
      </c>
      <c r="F12" s="21">
        <v>0.04375</v>
      </c>
      <c r="G12" s="19" t="s">
        <v>138</v>
      </c>
      <c r="H12" s="19" t="s">
        <v>123</v>
      </c>
      <c r="I12" s="19" t="s">
        <v>125</v>
      </c>
      <c r="J12" s="19">
        <v>1549.0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A13" s="45">
        <v>4.0</v>
      </c>
      <c r="B13" s="19"/>
      <c r="C13" s="19"/>
      <c r="D13" s="19"/>
      <c r="E13" s="19"/>
      <c r="F13" s="21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45">
        <v>4.0</v>
      </c>
      <c r="B14" s="19"/>
      <c r="C14" s="19"/>
      <c r="D14" s="19"/>
      <c r="E14" s="20"/>
      <c r="F14" s="21"/>
      <c r="G14" s="19"/>
      <c r="H14" s="19"/>
      <c r="I14" s="19"/>
      <c r="J14" s="19"/>
      <c r="K14" s="19"/>
      <c r="L14" s="19"/>
      <c r="M14" s="19"/>
      <c r="N14" s="19"/>
      <c r="O14" s="19"/>
    </row>
    <row r="15">
      <c r="A15" s="45">
        <v>4.0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A16" s="45">
        <v>4.0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A17" s="45">
        <v>4.0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A18" s="45">
        <v>4.0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A19" s="45">
        <v>4.0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A20" s="45">
        <v>4.0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A21" s="45">
        <v>4.0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A22" s="45">
        <v>4.0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A23" s="45">
        <v>4.0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A24" s="45">
        <v>4.0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A25" s="45">
        <v>4.0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A26" s="45">
        <v>4.0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205</v>
      </c>
    </row>
    <row r="4">
      <c r="B4" s="2" t="s">
        <v>1</v>
      </c>
      <c r="C4" s="2">
        <v>309734.0</v>
      </c>
    </row>
    <row r="5">
      <c r="B5" s="3" t="s">
        <v>2</v>
      </c>
      <c r="C5" s="3">
        <v>1.0</v>
      </c>
    </row>
    <row r="6">
      <c r="B6" s="3" t="s">
        <v>3</v>
      </c>
      <c r="C6" s="4">
        <v>10619.0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5.0</v>
      </c>
      <c r="B12" s="19">
        <v>10618.0</v>
      </c>
      <c r="C12" s="19">
        <f>B12*'Simulation Params'!$C$16</f>
        <v>127416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10619.0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22.2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206</v>
      </c>
    </row>
    <row r="4">
      <c r="B4" s="2" t="s">
        <v>1</v>
      </c>
      <c r="C4" s="2">
        <v>1.6592846E8</v>
      </c>
    </row>
    <row r="5">
      <c r="B5" s="3" t="s">
        <v>2</v>
      </c>
      <c r="C5" s="3">
        <v>1.0</v>
      </c>
    </row>
    <row r="6">
      <c r="B6" s="3" t="s">
        <v>3</v>
      </c>
      <c r="C6" s="4">
        <v>9399.0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6.0</v>
      </c>
      <c r="B12" s="19">
        <v>9399.0</v>
      </c>
      <c r="C12" s="19">
        <f>B12*'Simulation Params'!$C$16</f>
        <v>112788</v>
      </c>
      <c r="D12" s="19" t="s">
        <v>26</v>
      </c>
      <c r="E12" s="20" t="s">
        <v>101</v>
      </c>
      <c r="F12" s="21">
        <v>0.51</v>
      </c>
      <c r="G12" s="19" t="s">
        <v>124</v>
      </c>
      <c r="H12" s="19" t="s">
        <v>124</v>
      </c>
      <c r="I12" s="19" t="s">
        <v>125</v>
      </c>
      <c r="J12" s="19">
        <v>9399.0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207</v>
      </c>
    </row>
    <row r="4">
      <c r="B4" s="2" t="s">
        <v>1</v>
      </c>
      <c r="C4" s="2">
        <v>1.030606255E9</v>
      </c>
    </row>
    <row r="5">
      <c r="B5" s="3" t="s">
        <v>2</v>
      </c>
      <c r="C5" s="3">
        <v>1.0</v>
      </c>
    </row>
    <row r="6">
      <c r="B6" s="3" t="s">
        <v>3</v>
      </c>
      <c r="C6" s="4">
        <v>10133.0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7.0</v>
      </c>
      <c r="B12" s="19">
        <v>10133.0</v>
      </c>
      <c r="C12" s="19">
        <f>B12*'Simulation Params'!$C$16</f>
        <v>121596</v>
      </c>
      <c r="D12" s="19" t="s">
        <v>25</v>
      </c>
      <c r="E12" s="20" t="s">
        <v>104</v>
      </c>
      <c r="F12" s="21">
        <v>0.45</v>
      </c>
      <c r="G12" s="19" t="s">
        <v>124</v>
      </c>
      <c r="H12" s="19" t="s">
        <v>124</v>
      </c>
      <c r="I12" s="19" t="s">
        <v>125</v>
      </c>
      <c r="J12" s="19">
        <v>10133.0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208</v>
      </c>
    </row>
    <row r="4">
      <c r="B4" s="2" t="s">
        <v>1</v>
      </c>
      <c r="C4" s="2">
        <v>1.5972584E7</v>
      </c>
    </row>
    <row r="5">
      <c r="B5" s="3" t="s">
        <v>2</v>
      </c>
      <c r="C5" s="3">
        <v>1.0</v>
      </c>
    </row>
    <row r="6">
      <c r="B6" s="3" t="s">
        <v>3</v>
      </c>
      <c r="C6" s="4">
        <v>22965.0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8.0</v>
      </c>
      <c r="B12" s="19">
        <v>22965.0</v>
      </c>
      <c r="C12" s="19">
        <f>B12*'Simulation Params'!$C$16</f>
        <v>275580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17741.0</v>
      </c>
      <c r="K12" s="19" t="s">
        <v>125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209</v>
      </c>
    </row>
    <row r="4">
      <c r="B4" s="2" t="s">
        <v>1</v>
      </c>
      <c r="C4" s="2">
        <v>1.367599788E9</v>
      </c>
    </row>
    <row r="5">
      <c r="B5" s="3" t="s">
        <v>2</v>
      </c>
      <c r="C5" s="3">
        <v>1.0</v>
      </c>
    </row>
    <row r="6">
      <c r="B6" s="3" t="s">
        <v>3</v>
      </c>
      <c r="C6" s="4">
        <v>17741.0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9.0</v>
      </c>
      <c r="B12" s="19">
        <v>17741.0</v>
      </c>
      <c r="C12" s="19">
        <f>B12*'Simulation Params'!$C$16</f>
        <v>212892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17741.0</v>
      </c>
      <c r="K12" s="19" t="s">
        <v>125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13"/>
  </cols>
  <sheetData>
    <row r="2">
      <c r="B2" s="23" t="s">
        <v>21</v>
      </c>
    </row>
    <row r="4">
      <c r="B4" s="24" t="s">
        <v>22</v>
      </c>
      <c r="C4" s="24" t="s">
        <v>16</v>
      </c>
      <c r="D4" s="24" t="s">
        <v>23</v>
      </c>
    </row>
    <row r="5">
      <c r="B5" s="25">
        <v>18.0</v>
      </c>
      <c r="C5" s="25" t="s">
        <v>24</v>
      </c>
      <c r="D5" s="26">
        <v>4.01333E-6</v>
      </c>
    </row>
    <row r="6">
      <c r="B6" s="25">
        <v>13.0</v>
      </c>
      <c r="C6" s="25" t="s">
        <v>25</v>
      </c>
      <c r="D6" s="26">
        <v>4.00856E-6</v>
      </c>
    </row>
    <row r="7">
      <c r="B7" s="25">
        <v>12.0</v>
      </c>
      <c r="C7" s="25" t="s">
        <v>26</v>
      </c>
      <c r="D7" s="27">
        <v>2.89074E-7</v>
      </c>
    </row>
    <row r="8">
      <c r="B8" s="25">
        <v>3.0</v>
      </c>
      <c r="C8" s="25" t="s">
        <v>27</v>
      </c>
      <c r="D8" s="27">
        <v>8.45586E-8</v>
      </c>
    </row>
    <row r="9">
      <c r="B9" s="25">
        <v>7.0</v>
      </c>
      <c r="C9" s="25" t="s">
        <v>28</v>
      </c>
      <c r="D9" s="27">
        <v>8.45586E-8</v>
      </c>
    </row>
    <row r="10">
      <c r="B10" s="25">
        <v>9.0</v>
      </c>
      <c r="C10" s="25" t="s">
        <v>29</v>
      </c>
      <c r="D10" s="27">
        <v>8.45586E-8</v>
      </c>
      <c r="F10" s="28"/>
    </row>
    <row r="11">
      <c r="B11" s="25">
        <v>11.0</v>
      </c>
      <c r="C11" s="25" t="s">
        <v>30</v>
      </c>
      <c r="D11" s="27">
        <v>8.45586E-8</v>
      </c>
    </row>
    <row r="12">
      <c r="B12" s="25">
        <v>15.0</v>
      </c>
      <c r="C12" s="25" t="s">
        <v>31</v>
      </c>
      <c r="D12" s="27">
        <v>2.4667E-8</v>
      </c>
    </row>
    <row r="13">
      <c r="B13" s="25">
        <v>5.0</v>
      </c>
      <c r="C13" s="25" t="s">
        <v>32</v>
      </c>
      <c r="D13" s="27">
        <v>2.13881E-8</v>
      </c>
    </row>
    <row r="14">
      <c r="B14" s="25">
        <v>22.0</v>
      </c>
      <c r="C14" s="25" t="s">
        <v>33</v>
      </c>
      <c r="D14" s="27">
        <v>2.13881E-8</v>
      </c>
    </row>
    <row r="15">
      <c r="B15" s="25">
        <v>1.0</v>
      </c>
      <c r="C15" s="25" t="s">
        <v>34</v>
      </c>
      <c r="D15" s="27">
        <v>1.7732E-8</v>
      </c>
    </row>
    <row r="16">
      <c r="B16" s="25">
        <v>21.0</v>
      </c>
      <c r="C16" s="25" t="s">
        <v>35</v>
      </c>
      <c r="D16" s="27">
        <v>1.7732E-8</v>
      </c>
    </row>
    <row r="17">
      <c r="B17" s="25">
        <v>0.0</v>
      </c>
      <c r="C17" s="25" t="s">
        <v>36</v>
      </c>
      <c r="D17" s="27">
        <v>1.77315E-8</v>
      </c>
    </row>
    <row r="18">
      <c r="B18" s="25">
        <v>20.0</v>
      </c>
      <c r="C18" s="25" t="s">
        <v>37</v>
      </c>
      <c r="D18" s="27">
        <v>1.77315E-8</v>
      </c>
    </row>
    <row r="19">
      <c r="B19" s="25">
        <v>14.0</v>
      </c>
      <c r="C19" s="25" t="s">
        <v>38</v>
      </c>
      <c r="D19" s="27">
        <v>1.41133E-8</v>
      </c>
    </row>
    <row r="20">
      <c r="B20" s="25">
        <v>17.0</v>
      </c>
      <c r="C20" s="25" t="s">
        <v>39</v>
      </c>
      <c r="D20" s="27">
        <v>1.0E-8</v>
      </c>
    </row>
    <row r="21">
      <c r="B21" s="25">
        <v>2.0</v>
      </c>
      <c r="C21" s="25" t="s">
        <v>40</v>
      </c>
      <c r="D21" s="27">
        <v>4.1612E-9</v>
      </c>
    </row>
    <row r="22">
      <c r="B22" s="25">
        <v>4.0</v>
      </c>
      <c r="C22" s="25" t="s">
        <v>41</v>
      </c>
      <c r="D22" s="27">
        <v>4.1612E-9</v>
      </c>
    </row>
    <row r="23">
      <c r="B23" s="25">
        <v>6.0</v>
      </c>
      <c r="C23" s="25" t="s">
        <v>42</v>
      </c>
      <c r="D23" s="27">
        <v>4.1612E-9</v>
      </c>
    </row>
    <row r="24">
      <c r="B24" s="25">
        <v>8.0</v>
      </c>
      <c r="C24" s="25" t="s">
        <v>43</v>
      </c>
      <c r="D24" s="27">
        <v>4.1612E-9</v>
      </c>
    </row>
    <row r="25">
      <c r="B25" s="25">
        <v>10.0</v>
      </c>
      <c r="C25" s="25" t="s">
        <v>44</v>
      </c>
      <c r="D25" s="27">
        <v>4.1612E-9</v>
      </c>
    </row>
    <row r="26">
      <c r="B26" s="25">
        <v>16.0</v>
      </c>
      <c r="C26" s="25" t="s">
        <v>45</v>
      </c>
      <c r="D26" s="27">
        <v>4.1612E-9</v>
      </c>
    </row>
    <row r="27">
      <c r="B27" s="25">
        <v>19.0</v>
      </c>
      <c r="C27" s="25" t="s">
        <v>46</v>
      </c>
      <c r="D27" s="27">
        <v>4.1612E-9</v>
      </c>
    </row>
    <row r="28">
      <c r="B28" s="29">
        <v>23.0</v>
      </c>
      <c r="C28" s="29" t="s">
        <v>47</v>
      </c>
      <c r="D28" s="30">
        <v>2.48647E-9</v>
      </c>
    </row>
  </sheetData>
  <autoFilter ref="$B$4:$D$28">
    <sortState ref="B4:D28">
      <sortCondition descending="1" ref="D4:D28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22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210</v>
      </c>
    </row>
    <row r="4">
      <c r="B4" s="2" t="s">
        <v>1</v>
      </c>
      <c r="C4" s="2">
        <v>2.0</v>
      </c>
    </row>
    <row r="5">
      <c r="B5" s="3" t="s">
        <v>2</v>
      </c>
      <c r="C5" s="3">
        <v>3.0</v>
      </c>
    </row>
    <row r="6">
      <c r="B6" s="3" t="s">
        <v>3</v>
      </c>
      <c r="C6" s="4">
        <v>44802.0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10.0</v>
      </c>
      <c r="B12" s="19">
        <v>32694.0</v>
      </c>
      <c r="C12" s="19">
        <f>B12*'Simulation Params'!$C$16</f>
        <v>392328</v>
      </c>
      <c r="D12" s="19" t="s">
        <v>27</v>
      </c>
      <c r="E12" s="20" t="s">
        <v>128</v>
      </c>
      <c r="F12" s="21">
        <v>0.08333</v>
      </c>
      <c r="G12" s="19" t="s">
        <v>129</v>
      </c>
      <c r="H12" s="19" t="s">
        <v>129</v>
      </c>
      <c r="I12" s="19" t="s">
        <v>125</v>
      </c>
      <c r="J12" s="19" t="s">
        <v>203</v>
      </c>
      <c r="K12" s="19" t="s">
        <v>125</v>
      </c>
      <c r="L12" s="19" t="b">
        <f t="shared" ref="L12:L14" si="1">if(I12="cm3", TRUE, FALSE)</f>
        <v>0</v>
      </c>
      <c r="M12" s="19" t="b">
        <f t="shared" ref="M12:M14" si="2">IF(OR(G12="outside_scope",H12="outside_scope"), TRUE, FALSE)</f>
        <v>0</v>
      </c>
      <c r="N12" s="19" t="b">
        <f t="shared" ref="N12:N14" si="3">IF(OR($G12="yes",$H12="yes"), TRUE, FALSE)</f>
        <v>0</v>
      </c>
      <c r="O12" s="19" t="b">
        <f t="shared" ref="O12:O14" si="4">IF(AND($G12="impactless",$H12="impactless"), TRUE, FALSE)</f>
        <v>1</v>
      </c>
    </row>
    <row r="13">
      <c r="A13" s="45">
        <v>10.0</v>
      </c>
      <c r="B13" s="19">
        <v>39803.0</v>
      </c>
      <c r="C13" s="19">
        <f>B13*'Simulation Params'!$C$16</f>
        <v>477636</v>
      </c>
      <c r="D13" s="19" t="s">
        <v>24</v>
      </c>
      <c r="E13" s="19" t="s">
        <v>98</v>
      </c>
      <c r="F13" s="21">
        <v>0.04375</v>
      </c>
      <c r="G13" s="19" t="s">
        <v>129</v>
      </c>
      <c r="H13" s="19" t="s">
        <v>129</v>
      </c>
      <c r="I13" s="19" t="s">
        <v>125</v>
      </c>
      <c r="J13" s="19" t="s">
        <v>203</v>
      </c>
      <c r="K13" s="19" t="s">
        <v>125</v>
      </c>
      <c r="L13" s="19" t="b">
        <f t="shared" si="1"/>
        <v>0</v>
      </c>
      <c r="M13" s="19" t="b">
        <f t="shared" si="2"/>
        <v>0</v>
      </c>
      <c r="N13" s="19" t="b">
        <f t="shared" si="3"/>
        <v>0</v>
      </c>
      <c r="O13" s="19" t="b">
        <f t="shared" si="4"/>
        <v>1</v>
      </c>
    </row>
    <row r="14">
      <c r="A14" s="45">
        <v>10.0</v>
      </c>
      <c r="B14" s="19">
        <v>44801.0</v>
      </c>
      <c r="C14" s="19">
        <f>B14*'Simulation Params'!$C$16</f>
        <v>537612</v>
      </c>
      <c r="D14" s="19" t="s">
        <v>25</v>
      </c>
      <c r="E14" s="20" t="s">
        <v>106</v>
      </c>
      <c r="F14" s="21">
        <v>0.115903</v>
      </c>
      <c r="G14" s="19" t="s">
        <v>123</v>
      </c>
      <c r="H14" s="19" t="s">
        <v>124</v>
      </c>
      <c r="I14" s="19" t="s">
        <v>125</v>
      </c>
      <c r="J14" s="19">
        <v>44802.0</v>
      </c>
      <c r="K14" s="19" t="s">
        <v>201</v>
      </c>
      <c r="L14" s="19" t="b">
        <f t="shared" si="1"/>
        <v>0</v>
      </c>
      <c r="M14" s="19" t="b">
        <f t="shared" si="2"/>
        <v>0</v>
      </c>
      <c r="N14" s="19" t="b">
        <f t="shared" si="3"/>
        <v>1</v>
      </c>
      <c r="O14" s="19" t="b">
        <f t="shared" si="4"/>
        <v>0</v>
      </c>
    </row>
    <row r="15">
      <c r="A15" s="45">
        <v>10.0</v>
      </c>
      <c r="B15" s="22"/>
      <c r="C15" s="22"/>
      <c r="D15" s="22"/>
      <c r="E15" s="22"/>
      <c r="F15" s="22"/>
      <c r="G15" s="19"/>
      <c r="H15" s="19"/>
      <c r="I15" s="19"/>
      <c r="J15" s="22"/>
      <c r="K15" s="19"/>
      <c r="L15" s="19"/>
      <c r="M15" s="19"/>
      <c r="N15" s="19"/>
      <c r="O15" s="19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4">
      <formula1>"silhouetteCluster1,silhouetteCluster2,imbalanceNumPoints,overallSilhouette,not_applicable"</formula1>
    </dataValidation>
    <dataValidation type="list" allowBlank="1" showErrorMessage="1" sqref="G12:G14">
      <formula1>"outside_scope,yes,no,maybe,impactless"</formula1>
    </dataValidation>
    <dataValidation type="list" allowBlank="1" showErrorMessage="1" sqref="H12:H14">
      <formula1>"outside_scope,yes,no,impactless"</formula1>
    </dataValidation>
    <dataValidation type="list" allowBlank="1" showErrorMessage="1" sqref="I12: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211</v>
      </c>
    </row>
    <row r="4">
      <c r="B4" s="2" t="s">
        <v>1</v>
      </c>
      <c r="C4" s="2">
        <v>4.94586423E8</v>
      </c>
    </row>
    <row r="5">
      <c r="B5" s="3" t="s">
        <v>2</v>
      </c>
      <c r="C5" s="3">
        <v>1.0</v>
      </c>
    </row>
    <row r="6">
      <c r="B6" s="3" t="s">
        <v>3</v>
      </c>
      <c r="C6" s="4">
        <v>10935.0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11.0</v>
      </c>
      <c r="B12" s="19">
        <v>10935.0</v>
      </c>
      <c r="C12" s="19">
        <f>B12*'Simulation Params'!$C$16</f>
        <v>131220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10935.0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A13" s="45">
        <v>11.0</v>
      </c>
      <c r="B13" s="19"/>
      <c r="C13" s="19"/>
      <c r="D13" s="19"/>
      <c r="E13" s="20"/>
      <c r="F13" s="21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45">
        <v>11.0</v>
      </c>
      <c r="B14" s="19"/>
      <c r="C14" s="19"/>
      <c r="D14" s="19"/>
      <c r="E14" s="20"/>
      <c r="F14" s="21"/>
      <c r="G14" s="19"/>
      <c r="H14" s="19"/>
      <c r="I14" s="19"/>
      <c r="J14" s="19"/>
      <c r="K14" s="19"/>
      <c r="L14" s="19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212</v>
      </c>
    </row>
    <row r="4">
      <c r="B4" s="2" t="s">
        <v>1</v>
      </c>
      <c r="C4" s="2">
        <v>5.10922216E8</v>
      </c>
    </row>
    <row r="5">
      <c r="B5" s="3" t="s">
        <v>2</v>
      </c>
      <c r="C5" s="3">
        <v>1.0</v>
      </c>
    </row>
    <row r="6">
      <c r="B6" s="3" t="s">
        <v>3</v>
      </c>
      <c r="C6" s="4">
        <v>15449.0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12.0</v>
      </c>
      <c r="B12" s="19">
        <v>15449.0</v>
      </c>
      <c r="C12" s="19">
        <f>B12*'Simulation Params'!$C$16</f>
        <v>185388</v>
      </c>
      <c r="D12" s="19" t="s">
        <v>24</v>
      </c>
      <c r="E12" s="20" t="s">
        <v>101</v>
      </c>
      <c r="F12" s="21">
        <v>0.2</v>
      </c>
      <c r="G12" s="19" t="s">
        <v>124</v>
      </c>
      <c r="H12" s="19" t="s">
        <v>123</v>
      </c>
      <c r="I12" s="19" t="s">
        <v>125</v>
      </c>
      <c r="J12" s="19">
        <v>15449.0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213</v>
      </c>
    </row>
    <row r="4">
      <c r="B4" s="2" t="s">
        <v>1</v>
      </c>
      <c r="C4" s="2">
        <v>10.0</v>
      </c>
    </row>
    <row r="5">
      <c r="B5" s="3" t="s">
        <v>2</v>
      </c>
      <c r="C5" s="3">
        <v>2.0</v>
      </c>
    </row>
    <row r="6">
      <c r="B6" s="3" t="s">
        <v>3</v>
      </c>
      <c r="C6" s="4">
        <v>25065.0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13.0</v>
      </c>
      <c r="B12" s="19">
        <v>16753.0</v>
      </c>
      <c r="C12" s="19">
        <f>B12*'Simulation Params'!$C$16</f>
        <v>201036</v>
      </c>
      <c r="D12" s="19" t="s">
        <v>25</v>
      </c>
      <c r="E12" s="20" t="s">
        <v>103</v>
      </c>
      <c r="F12" s="21">
        <v>0.078571</v>
      </c>
      <c r="G12" s="19" t="s">
        <v>129</v>
      </c>
      <c r="H12" s="19" t="s">
        <v>129</v>
      </c>
      <c r="I12" s="19" t="s">
        <v>125</v>
      </c>
      <c r="J12" s="19" t="s">
        <v>203</v>
      </c>
      <c r="K12" s="19" t="s">
        <v>201</v>
      </c>
      <c r="L12" s="19" t="b">
        <f t="shared" ref="L12:L13" si="1">if(I12="cm3", TRUE, FALSE)</f>
        <v>0</v>
      </c>
      <c r="M12" s="19" t="b">
        <f t="shared" ref="M12:M13" si="2">IF(OR(G12="outside_scope",H12="outside_scope"), TRUE, FALSE)</f>
        <v>0</v>
      </c>
      <c r="N12" s="19" t="b">
        <f t="shared" ref="N12:N13" si="3">IF(OR($G12="yes",$H12="yes"), TRUE, FALSE)</f>
        <v>0</v>
      </c>
      <c r="O12" s="19" t="b">
        <f t="shared" ref="O12:O13" si="4">IF(AND($G12="impactless",$H12="impactless"), TRUE, FALSE)</f>
        <v>1</v>
      </c>
    </row>
    <row r="13">
      <c r="A13" s="45">
        <v>13.0</v>
      </c>
      <c r="B13" s="19">
        <v>25065.0</v>
      </c>
      <c r="C13" s="19">
        <f>B13*'Simulation Params'!$C$16</f>
        <v>300780</v>
      </c>
      <c r="D13" s="19" t="s">
        <v>28</v>
      </c>
      <c r="E13" s="20" t="s">
        <v>121</v>
      </c>
      <c r="F13" s="21">
        <v>0.08333</v>
      </c>
      <c r="G13" s="19" t="s">
        <v>124</v>
      </c>
      <c r="H13" s="19" t="s">
        <v>123</v>
      </c>
      <c r="I13" s="19" t="s">
        <v>125</v>
      </c>
      <c r="J13" s="5">
        <v>25065.0</v>
      </c>
      <c r="K13" s="19" t="s">
        <v>201</v>
      </c>
      <c r="L13" s="19" t="b">
        <f t="shared" si="1"/>
        <v>0</v>
      </c>
      <c r="M13" s="19" t="b">
        <f t="shared" si="2"/>
        <v>0</v>
      </c>
      <c r="N13" s="19" t="b">
        <f t="shared" si="3"/>
        <v>1</v>
      </c>
      <c r="O13" s="19" t="b">
        <f t="shared" si="4"/>
        <v>0</v>
      </c>
    </row>
    <row r="14">
      <c r="B14" s="19"/>
      <c r="C14" s="19"/>
      <c r="D14" s="19"/>
      <c r="E14" s="20"/>
      <c r="F14" s="21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3">
      <formula1>"silhouetteCluster1,silhouetteCluster2,imbalanceNumPoints,overallSilhouette,not_applicable"</formula1>
    </dataValidation>
    <dataValidation type="list" allowBlank="1" showErrorMessage="1" sqref="G12:G13">
      <formula1>"outside_scope,yes,no,maybe,impactless"</formula1>
    </dataValidation>
    <dataValidation type="list" allowBlank="1" showErrorMessage="1" sqref="H12:H13">
      <formula1>"outside_scope,yes,no,impactless"</formula1>
    </dataValidation>
    <dataValidation type="list" allowBlank="1" showErrorMessage="1" sqref="I12:I13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214</v>
      </c>
    </row>
    <row r="4">
      <c r="B4" s="2" t="s">
        <v>1</v>
      </c>
      <c r="C4" s="123">
        <v>11600.0</v>
      </c>
    </row>
    <row r="5">
      <c r="B5" s="3" t="s">
        <v>2</v>
      </c>
      <c r="C5" s="124">
        <v>1.0</v>
      </c>
    </row>
    <row r="6">
      <c r="B6" s="3" t="s">
        <v>3</v>
      </c>
      <c r="C6" s="4">
        <v>14341.0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14.0</v>
      </c>
      <c r="B12" s="19">
        <v>14340.0</v>
      </c>
      <c r="C12" s="19">
        <f>B12*'Simulation Params'!$C$16</f>
        <v>172080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14341.0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210</v>
      </c>
    </row>
    <row r="4">
      <c r="B4" s="2" t="s">
        <v>1</v>
      </c>
      <c r="C4" s="123">
        <v>8.84474421E8</v>
      </c>
    </row>
    <row r="5">
      <c r="B5" s="3" t="s">
        <v>2</v>
      </c>
      <c r="C5" s="124">
        <v>1.0</v>
      </c>
    </row>
    <row r="6">
      <c r="B6" s="3" t="s">
        <v>3</v>
      </c>
      <c r="C6" s="4">
        <v>7924.0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15.0</v>
      </c>
      <c r="B12" s="19">
        <v>7923.0</v>
      </c>
      <c r="C12" s="19">
        <f>B12*'Simulation Params'!$C$16</f>
        <v>95076</v>
      </c>
      <c r="D12" s="19" t="s">
        <v>25</v>
      </c>
      <c r="E12" s="20" t="s">
        <v>105</v>
      </c>
      <c r="F12" s="21">
        <v>0.014444</v>
      </c>
      <c r="G12" s="19" t="s">
        <v>123</v>
      </c>
      <c r="H12" s="19" t="s">
        <v>124</v>
      </c>
      <c r="I12" s="19" t="s">
        <v>125</v>
      </c>
      <c r="J12" s="19">
        <v>7924.0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2.13"/>
    <col customWidth="1" min="3" max="3" width="16.38"/>
    <col customWidth="1" min="7" max="8" width="16.63"/>
  </cols>
  <sheetData>
    <row r="2">
      <c r="C2" s="31"/>
    </row>
    <row r="3">
      <c r="B3" s="32" t="s">
        <v>48</v>
      </c>
    </row>
    <row r="5">
      <c r="B5" s="33" t="s">
        <v>49</v>
      </c>
      <c r="C5" s="33" t="s">
        <v>50</v>
      </c>
    </row>
    <row r="6">
      <c r="B6" s="34" t="s">
        <v>51</v>
      </c>
      <c r="C6" s="35">
        <v>0.0145</v>
      </c>
    </row>
    <row r="7">
      <c r="B7" s="34" t="s">
        <v>52</v>
      </c>
      <c r="C7" s="35">
        <v>0.029</v>
      </c>
    </row>
    <row r="8">
      <c r="B8" s="34" t="s">
        <v>53</v>
      </c>
      <c r="C8" s="36">
        <v>0.0</v>
      </c>
    </row>
    <row r="9">
      <c r="B9" s="34" t="s">
        <v>54</v>
      </c>
      <c r="C9" s="36">
        <v>54.0</v>
      </c>
    </row>
    <row r="10">
      <c r="B10" s="34" t="s">
        <v>55</v>
      </c>
      <c r="C10" s="36">
        <v>4092.0</v>
      </c>
    </row>
    <row r="11">
      <c r="B11" s="34" t="s">
        <v>56</v>
      </c>
      <c r="C11" s="36">
        <v>51.0</v>
      </c>
    </row>
    <row r="12">
      <c r="B12" s="34" t="s">
        <v>57</v>
      </c>
      <c r="C12" s="36">
        <v>57.0</v>
      </c>
    </row>
    <row r="13">
      <c r="B13" s="34" t="s">
        <v>58</v>
      </c>
      <c r="C13" s="36">
        <v>4091.0</v>
      </c>
    </row>
    <row r="14">
      <c r="B14" s="34" t="s">
        <v>59</v>
      </c>
      <c r="C14" s="36">
        <v>4095.0</v>
      </c>
    </row>
    <row r="15">
      <c r="B15" s="34" t="s">
        <v>60</v>
      </c>
      <c r="C15" s="36">
        <v>3.0</v>
      </c>
    </row>
    <row r="16">
      <c r="B16" s="34" t="s">
        <v>61</v>
      </c>
      <c r="C16" s="36">
        <v>12.0</v>
      </c>
    </row>
    <row r="17">
      <c r="B17" s="37" t="s">
        <v>62</v>
      </c>
      <c r="C17" s="38">
        <v>100.0</v>
      </c>
    </row>
    <row r="19">
      <c r="B19" s="39"/>
    </row>
    <row r="21">
      <c r="B21" s="40"/>
      <c r="C21" s="19"/>
    </row>
    <row r="22">
      <c r="B22" s="40"/>
      <c r="C22" s="19"/>
    </row>
    <row r="23">
      <c r="B23" s="40"/>
      <c r="C23" s="41"/>
    </row>
    <row r="24">
      <c r="B24" s="40"/>
      <c r="C24" s="41"/>
    </row>
    <row r="31">
      <c r="C31" s="42"/>
      <c r="D31" s="42"/>
      <c r="E31" s="42"/>
    </row>
    <row r="32">
      <c r="C32" s="42"/>
      <c r="D32" s="42"/>
      <c r="E32" s="42"/>
    </row>
    <row r="33">
      <c r="C33" s="42"/>
      <c r="D33" s="42"/>
      <c r="E33" s="42"/>
    </row>
    <row r="34">
      <c r="C34" s="42"/>
      <c r="D34" s="42"/>
      <c r="E34" s="42"/>
    </row>
    <row r="35">
      <c r="C35" s="42"/>
      <c r="D35" s="42"/>
      <c r="E35" s="42"/>
    </row>
    <row r="36">
      <c r="C36" s="42"/>
      <c r="D36" s="42"/>
      <c r="E36" s="42"/>
    </row>
    <row r="37">
      <c r="C37" s="42"/>
      <c r="D37" s="42"/>
      <c r="E37" s="42"/>
    </row>
    <row r="38">
      <c r="C38" s="42"/>
      <c r="D38" s="42"/>
      <c r="E38" s="42"/>
    </row>
    <row r="39">
      <c r="C39" s="42"/>
      <c r="D39" s="42"/>
      <c r="E39" s="42"/>
    </row>
    <row r="40">
      <c r="C40" s="42"/>
      <c r="D40" s="42"/>
      <c r="E40" s="42"/>
    </row>
  </sheetData>
  <mergeCells count="2">
    <mergeCell ref="B3:C3"/>
    <mergeCell ref="B19:C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25"/>
    <col customWidth="1" min="3" max="3" width="16.13"/>
    <col customWidth="1" min="4" max="4" width="17.5"/>
    <col customWidth="1" min="5" max="5" width="19.13"/>
    <col customWidth="1" min="6" max="6" width="20.63"/>
    <col customWidth="1" min="7" max="7" width="16.0"/>
    <col customWidth="1" min="9" max="9" width="21.0"/>
    <col customWidth="1" min="10" max="10" width="26.88"/>
    <col customWidth="1" min="11" max="11" width="39.13"/>
    <col customWidth="1" min="12" max="12" width="18.25"/>
  </cols>
  <sheetData>
    <row r="2">
      <c r="B2" s="43" t="s">
        <v>63</v>
      </c>
      <c r="C2" s="44"/>
      <c r="D2" s="44"/>
      <c r="E2" s="45"/>
      <c r="F2" s="45"/>
    </row>
    <row r="3">
      <c r="C3" s="45" t="s">
        <v>64</v>
      </c>
      <c r="D3" s="45" t="s">
        <v>65</v>
      </c>
      <c r="E3" s="45" t="s">
        <v>66</v>
      </c>
      <c r="F3" s="45" t="s">
        <v>67</v>
      </c>
    </row>
    <row r="4">
      <c r="C4" s="45"/>
      <c r="D4" s="45"/>
      <c r="E4" s="45"/>
      <c r="F4" s="45"/>
    </row>
    <row r="5">
      <c r="B5" s="46" t="s">
        <v>68</v>
      </c>
      <c r="C5" s="45"/>
      <c r="D5" s="45"/>
      <c r="E5" s="45"/>
      <c r="F5" s="45"/>
    </row>
    <row r="6">
      <c r="C6" s="45"/>
      <c r="D6" s="45"/>
      <c r="E6" s="45"/>
      <c r="F6" s="45"/>
    </row>
    <row r="7">
      <c r="B7" s="47" t="s">
        <v>69</v>
      </c>
      <c r="C7" s="47" t="s">
        <v>70</v>
      </c>
      <c r="D7" s="48" t="s">
        <v>71</v>
      </c>
      <c r="E7" s="48" t="s">
        <v>72</v>
      </c>
      <c r="F7" s="48" t="s">
        <v>73</v>
      </c>
      <c r="G7" s="48" t="s">
        <v>74</v>
      </c>
    </row>
    <row r="8">
      <c r="B8" s="52">
        <v>1.0</v>
      </c>
      <c r="C8" s="53">
        <f t="shared" ref="C8:C22" si="1">INDIRECT("'Test"&amp;$B8&amp;"'!"&amp;C$3)</f>
        <v>3944864314</v>
      </c>
      <c r="D8" s="53" t="str">
        <f t="shared" ref="D8:D22" si="2">concatenate(quotient(E8,(24*365)), " years, ", mod(E8,365), " days and ", mod(E8,24), " hours" )</f>
        <v>8 years, 274 days and 12 hours</v>
      </c>
      <c r="E8" s="53">
        <f>INDIRECT("'Test"&amp;$B8&amp;"'!"&amp;E$3)*'Simulation Params'!$C$16</f>
        <v>74004</v>
      </c>
      <c r="F8" s="53">
        <f t="shared" ref="F8:F22" si="3">INDIRECT("'Test"&amp;$B8&amp;"'!"&amp;D$3)</f>
        <v>1</v>
      </c>
      <c r="G8" s="53" t="str">
        <f t="shared" ref="G8:G22" si="4">INDIRECT("'Test"&amp;$B8&amp;"'!"&amp;F$3)</f>
        <v>Outside Scope Failure</v>
      </c>
    </row>
    <row r="9">
      <c r="B9" s="34">
        <v>2.0</v>
      </c>
      <c r="C9" s="56">
        <f t="shared" si="1"/>
        <v>3510813216</v>
      </c>
      <c r="D9" s="56" t="str">
        <f t="shared" si="2"/>
        <v>34 years, 349 days and 12 hours</v>
      </c>
      <c r="E9" s="56">
        <f>INDIRECT("'Test"&amp;$B9&amp;"'!"&amp;E$3)*'Simulation Params'!$C$16</f>
        <v>305124</v>
      </c>
      <c r="F9" s="56">
        <f t="shared" si="3"/>
        <v>1</v>
      </c>
      <c r="G9" s="56" t="str">
        <f t="shared" si="4"/>
        <v>Failure Detected</v>
      </c>
    </row>
    <row r="10">
      <c r="B10" s="34">
        <v>3.0</v>
      </c>
      <c r="C10" s="56">
        <f t="shared" si="1"/>
        <v>1451051205</v>
      </c>
      <c r="D10" s="56" t="str">
        <f t="shared" si="2"/>
        <v>14 years, 164 days and 12 hours</v>
      </c>
      <c r="E10" s="56">
        <f>INDIRECT("'Test"&amp;$B10&amp;"'!"&amp;E$3)*'Simulation Params'!$C$16</f>
        <v>125724</v>
      </c>
      <c r="F10" s="56">
        <f t="shared" si="3"/>
        <v>2</v>
      </c>
      <c r="G10" s="56" t="str">
        <f t="shared" si="4"/>
        <v>Outside Scope Failure</v>
      </c>
    </row>
    <row r="11">
      <c r="B11" s="34">
        <v>4.0</v>
      </c>
      <c r="C11" s="56">
        <f t="shared" si="1"/>
        <v>88888888</v>
      </c>
      <c r="D11" s="56" t="str">
        <f t="shared" si="2"/>
        <v>2 years, 338 days and 12 hours</v>
      </c>
      <c r="E11" s="56">
        <f>INDIRECT("'Test"&amp;$B11&amp;"'!"&amp;E$3)*'Simulation Params'!$C$16</f>
        <v>18588</v>
      </c>
      <c r="F11" s="56">
        <f t="shared" si="3"/>
        <v>1</v>
      </c>
      <c r="G11" s="56" t="str">
        <f t="shared" si="4"/>
        <v>Outside Scope Failure</v>
      </c>
    </row>
    <row r="12">
      <c r="B12" s="34">
        <v>5.0</v>
      </c>
      <c r="C12" s="56">
        <f t="shared" si="1"/>
        <v>309734</v>
      </c>
      <c r="D12" s="56" t="str">
        <f t="shared" si="2"/>
        <v>14 years, 43 days and 12 hours</v>
      </c>
      <c r="E12" s="56">
        <f>INDIRECT("'Test"&amp;$B12&amp;"'!"&amp;E$3)*'Simulation Params'!$C$16</f>
        <v>127428</v>
      </c>
      <c r="F12" s="56">
        <f t="shared" si="3"/>
        <v>1</v>
      </c>
      <c r="G12" s="56" t="str">
        <f t="shared" si="4"/>
        <v>Outside Scope Failure</v>
      </c>
    </row>
    <row r="13">
      <c r="B13" s="34">
        <v>6.0</v>
      </c>
      <c r="C13" s="56">
        <f t="shared" si="1"/>
        <v>165928460</v>
      </c>
      <c r="D13" s="56" t="str">
        <f t="shared" si="2"/>
        <v>12 years, 3 days and 12 hours</v>
      </c>
      <c r="E13" s="56">
        <f>INDIRECT("'Test"&amp;$B13&amp;"'!"&amp;E$3)*'Simulation Params'!$C$16</f>
        <v>112788</v>
      </c>
      <c r="F13" s="56">
        <f t="shared" si="3"/>
        <v>1</v>
      </c>
      <c r="G13" s="56" t="str">
        <f t="shared" si="4"/>
        <v>Failure Detected</v>
      </c>
    </row>
    <row r="14">
      <c r="B14" s="34">
        <v>7.0</v>
      </c>
      <c r="C14" s="56">
        <f t="shared" si="1"/>
        <v>1030606255</v>
      </c>
      <c r="D14" s="56" t="str">
        <f t="shared" si="2"/>
        <v>13 years, 51 days and 12 hours</v>
      </c>
      <c r="E14" s="56">
        <f>INDIRECT("'Test"&amp;$B14&amp;"'!"&amp;E$3)*'Simulation Params'!$C$16</f>
        <v>121596</v>
      </c>
      <c r="F14" s="56">
        <f t="shared" si="3"/>
        <v>1</v>
      </c>
      <c r="G14" s="56" t="str">
        <f t="shared" si="4"/>
        <v>Failure Detected</v>
      </c>
    </row>
    <row r="15">
      <c r="B15" s="34">
        <v>8.0</v>
      </c>
      <c r="C15" s="56">
        <f t="shared" si="1"/>
        <v>15972584</v>
      </c>
      <c r="D15" s="56" t="str">
        <f t="shared" si="2"/>
        <v>31 years, 5 days and 12 hours</v>
      </c>
      <c r="E15" s="56">
        <f>INDIRECT("'Test"&amp;$B15&amp;"'!"&amp;E$3)*'Simulation Params'!$C$16</f>
        <v>275580</v>
      </c>
      <c r="F15" s="56">
        <f t="shared" si="3"/>
        <v>1</v>
      </c>
      <c r="G15" s="56" t="str">
        <f t="shared" si="4"/>
        <v>Outside Scope Failure</v>
      </c>
    </row>
    <row r="16">
      <c r="B16" s="34">
        <v>9.0</v>
      </c>
      <c r="C16" s="56">
        <f t="shared" si="1"/>
        <v>1367599788</v>
      </c>
      <c r="D16" s="56" t="str">
        <f t="shared" si="2"/>
        <v>24 years, 97 days and 12 hours</v>
      </c>
      <c r="E16" s="56">
        <f>INDIRECT("'Test"&amp;$B16&amp;"'!"&amp;E$3)*'Simulation Params'!$C$16</f>
        <v>212892</v>
      </c>
      <c r="F16" s="56">
        <f t="shared" si="3"/>
        <v>1</v>
      </c>
      <c r="G16" s="56" t="str">
        <f t="shared" si="4"/>
        <v>Outside Scope Failure</v>
      </c>
    </row>
    <row r="17">
      <c r="B17" s="34">
        <v>10.0</v>
      </c>
      <c r="C17" s="56">
        <f t="shared" si="1"/>
        <v>2</v>
      </c>
      <c r="D17" s="56" t="str">
        <f t="shared" si="2"/>
        <v>61 years, 344 days and 0 hours</v>
      </c>
      <c r="E17" s="56">
        <f>INDIRECT("'Test"&amp;$B17&amp;"'!"&amp;E$3)*'Simulation Params'!$C$16</f>
        <v>537624</v>
      </c>
      <c r="F17" s="56">
        <f t="shared" si="3"/>
        <v>3</v>
      </c>
      <c r="G17" s="56" t="str">
        <f t="shared" si="4"/>
        <v>Failure Detected</v>
      </c>
    </row>
    <row r="18">
      <c r="B18" s="34">
        <v>11.0</v>
      </c>
      <c r="C18" s="56">
        <f t="shared" si="1"/>
        <v>494586423</v>
      </c>
      <c r="D18" s="56" t="str">
        <f t="shared" si="2"/>
        <v>14 years, 185 days and 12 hours</v>
      </c>
      <c r="E18" s="56">
        <f>INDIRECT("'Test"&amp;$B18&amp;"'!"&amp;E$3)*'Simulation Params'!$C$16</f>
        <v>131220</v>
      </c>
      <c r="F18" s="56">
        <f t="shared" si="3"/>
        <v>1</v>
      </c>
      <c r="G18" s="56" t="str">
        <f t="shared" si="4"/>
        <v>Outside Scope Failure</v>
      </c>
    </row>
    <row r="19">
      <c r="B19" s="34">
        <v>12.0</v>
      </c>
      <c r="C19" s="56">
        <f t="shared" si="1"/>
        <v>510922216</v>
      </c>
      <c r="D19" s="56" t="str">
        <f t="shared" si="2"/>
        <v>21 years, 333 days and 12 hours</v>
      </c>
      <c r="E19" s="56">
        <f>INDIRECT("'Test"&amp;$B19&amp;"'!"&amp;E$3)*'Simulation Params'!$C$16</f>
        <v>185388</v>
      </c>
      <c r="F19" s="56">
        <f t="shared" si="3"/>
        <v>1</v>
      </c>
      <c r="G19" s="56" t="str">
        <f t="shared" si="4"/>
        <v>Failure Detected</v>
      </c>
    </row>
    <row r="20">
      <c r="B20" s="34">
        <v>13.0</v>
      </c>
      <c r="C20" s="56">
        <f t="shared" si="1"/>
        <v>10</v>
      </c>
      <c r="D20" s="56" t="str">
        <f t="shared" si="2"/>
        <v>34 years, 20 days and 12 hours</v>
      </c>
      <c r="E20" s="56">
        <f>INDIRECT("'Test"&amp;$B20&amp;"'!"&amp;E$3)*'Simulation Params'!$C$16</f>
        <v>300780</v>
      </c>
      <c r="F20" s="56">
        <f t="shared" si="3"/>
        <v>2</v>
      </c>
      <c r="G20" s="56" t="str">
        <f t="shared" si="4"/>
        <v>Failure Detected</v>
      </c>
    </row>
    <row r="21">
      <c r="B21" s="34">
        <v>14.0</v>
      </c>
      <c r="C21" s="56">
        <f t="shared" si="1"/>
        <v>11600</v>
      </c>
      <c r="D21" s="56" t="str">
        <f t="shared" si="2"/>
        <v>19 years, 177 days and 12 hours</v>
      </c>
      <c r="E21" s="56">
        <f>INDIRECT("'Test"&amp;$B21&amp;"'!"&amp;E$3)*'Simulation Params'!$C$16</f>
        <v>172092</v>
      </c>
      <c r="F21" s="56">
        <f t="shared" si="3"/>
        <v>1</v>
      </c>
      <c r="G21" s="56" t="str">
        <f t="shared" si="4"/>
        <v>Outside Scope Failure</v>
      </c>
    </row>
    <row r="22">
      <c r="B22" s="37">
        <v>15.0</v>
      </c>
      <c r="C22" s="57">
        <f t="shared" si="1"/>
        <v>884474421</v>
      </c>
      <c r="D22" s="57" t="str">
        <f t="shared" si="2"/>
        <v>10 years, 188 days and 0 hours</v>
      </c>
      <c r="E22" s="57">
        <f>INDIRECT("'Test"&amp;$B22&amp;"'!"&amp;E$3)*'Simulation Params'!$C$16</f>
        <v>95088</v>
      </c>
      <c r="F22" s="57">
        <f t="shared" si="3"/>
        <v>1</v>
      </c>
      <c r="G22" s="57" t="str">
        <f t="shared" si="4"/>
        <v>Failure Detected</v>
      </c>
    </row>
    <row r="24">
      <c r="B24" s="46" t="s">
        <v>80</v>
      </c>
    </row>
    <row r="26">
      <c r="B26" s="58" t="s">
        <v>69</v>
      </c>
      <c r="C26" s="59" t="s">
        <v>7</v>
      </c>
      <c r="D26" s="59" t="s">
        <v>81</v>
      </c>
      <c r="E26" s="59" t="s">
        <v>9</v>
      </c>
      <c r="F26" s="59" t="s">
        <v>82</v>
      </c>
      <c r="G26" s="59" t="s">
        <v>83</v>
      </c>
      <c r="H26" s="59" t="s">
        <v>84</v>
      </c>
      <c r="I26" s="60" t="s">
        <v>85</v>
      </c>
      <c r="J26" s="60" t="s">
        <v>86</v>
      </c>
      <c r="K26" s="60" t="s">
        <v>87</v>
      </c>
      <c r="L26" s="61" t="s">
        <v>88</v>
      </c>
    </row>
    <row r="27">
      <c r="B27" s="62">
        <f>IFERROR(__xludf.DUMMYFUNCTION("QUERY({Test1!A14:O1525;Test2!A14:O1525;Test3!A12:O1525;Test4!A12:O1525;Test5!A12:O1525;Test6!A12:O1525;Test7!A12:O1525;Test8!A12:O1525;Test9!A12:O1525;Test10!A12:O1525;Test11!A12:O1525;Test12!A12:O1525;Test13!A12:O1525;Test14!A12:O1525;Test15!A12:O1525},"&amp;"""SELECT Col1,Col3,Col4,Col5,Col6,Col7,Col8 WHERE Col4 IS NOT NULL ORDER BY Col4, Col5"")"),2.0)</f>
        <v>2</v>
      </c>
      <c r="C27" s="63">
        <f>IFERROR(__xludf.DUMMYFUNCTION("""COMPUTED_VALUE"""),305124.0)</f>
        <v>305124</v>
      </c>
      <c r="D27" s="63" t="str">
        <f>IFERROR(__xludf.DUMMYFUNCTION("""COMPUTED_VALUE"""),"D_Sys")</f>
        <v>D_Sys</v>
      </c>
      <c r="E27" s="64" t="str">
        <f>IFERROR(__xludf.DUMMYFUNCTION("""COMPUTED_VALUE"""),"Decrease of Reverse Breakdown Voltage")</f>
        <v>Decrease of Reverse Breakdown Voltage</v>
      </c>
      <c r="F27" s="65">
        <f>IFERROR(__xludf.DUMMYFUNCTION("""COMPUTED_VALUE"""),0.03333)</f>
        <v>0.03333</v>
      </c>
      <c r="G27" s="65" t="str">
        <f>IFERROR(__xludf.DUMMYFUNCTION("""COMPUTED_VALUE"""),"yes")</f>
        <v>yes</v>
      </c>
      <c r="H27" s="65" t="str">
        <f>IFERROR(__xludf.DUMMYFUNCTION("""COMPUTED_VALUE"""),"yes")</f>
        <v>yes</v>
      </c>
      <c r="I27" s="66">
        <f t="shared" ref="I27:I44" si="5">VLOOKUP(E27,INDIRECT($D27&amp;"!C5:Q40"),3,0)</f>
        <v>3</v>
      </c>
      <c r="J27" s="67">
        <f>VLOOKUP(D27,'Components List'!$C$5:$D$28,2,FALSE())</f>
        <v>0.000000289074</v>
      </c>
      <c r="K27" s="66">
        <f>rank(J27,'Components List'!$D$5:$D$28)</f>
        <v>3</v>
      </c>
      <c r="L27" s="68">
        <f t="shared" ref="L27:L45" si="6">1/J27</f>
        <v>3459321.835</v>
      </c>
    </row>
    <row r="28">
      <c r="B28" s="69">
        <f>IFERROR(__xludf.DUMMYFUNCTION("""COMPUTED_VALUE"""),6.0)</f>
        <v>6</v>
      </c>
      <c r="C28" s="70">
        <f>IFERROR(__xludf.DUMMYFUNCTION("""COMPUTED_VALUE"""),112788.0)</f>
        <v>112788</v>
      </c>
      <c r="D28" s="70" t="str">
        <f>IFERROR(__xludf.DUMMYFUNCTION("""COMPUTED_VALUE"""),"D_Sys")</f>
        <v>D_Sys</v>
      </c>
      <c r="E28" s="71" t="str">
        <f>IFERROR(__xludf.DUMMYFUNCTION("""COMPUTED_VALUE"""),"Short-Circuit")</f>
        <v>Short-Circuit</v>
      </c>
      <c r="F28" s="72">
        <f>IFERROR(__xludf.DUMMYFUNCTION("""COMPUTED_VALUE"""),0.51)</f>
        <v>0.51</v>
      </c>
      <c r="G28" s="72" t="str">
        <f>IFERROR(__xludf.DUMMYFUNCTION("""COMPUTED_VALUE"""),"yes")</f>
        <v>yes</v>
      </c>
      <c r="H28" s="72" t="str">
        <f>IFERROR(__xludf.DUMMYFUNCTION("""COMPUTED_VALUE"""),"yes")</f>
        <v>yes</v>
      </c>
      <c r="I28" s="73">
        <f t="shared" si="5"/>
        <v>1</v>
      </c>
      <c r="J28" s="74">
        <f>VLOOKUP(D28,'Components List'!$C$5:$D$28,2,FALSE())</f>
        <v>0.000000289074</v>
      </c>
      <c r="K28" s="66">
        <f>rank(J28,'Components List'!$D$5:$D$28)</f>
        <v>3</v>
      </c>
      <c r="L28" s="75">
        <f t="shared" si="6"/>
        <v>3459321.835</v>
      </c>
    </row>
    <row r="29">
      <c r="B29" s="69">
        <f>IFERROR(__xludf.DUMMYFUNCTION("""COMPUTED_VALUE"""),4.0)</f>
        <v>4</v>
      </c>
      <c r="C29" s="70">
        <f>IFERROR(__xludf.DUMMYFUNCTION("""COMPUTED_VALUE"""),18576.0)</f>
        <v>18576</v>
      </c>
      <c r="D29" s="70" t="str">
        <f>IFERROR(__xludf.DUMMYFUNCTION("""COMPUTED_VALUE"""),"DZ_Sys")</f>
        <v>DZ_Sys</v>
      </c>
      <c r="E29" s="71" t="str">
        <f>IFERROR(__xludf.DUMMYFUNCTION("""COMPUTED_VALUE"""),"Change of Differential Resistance")</f>
        <v>Change of Differential Resistance</v>
      </c>
      <c r="F29" s="72">
        <f>IFERROR(__xludf.DUMMYFUNCTION("""COMPUTED_VALUE"""),0.04375)</f>
        <v>0.04375</v>
      </c>
      <c r="G29" s="72" t="str">
        <f>IFERROR(__xludf.DUMMYFUNCTION("""COMPUTED_VALUE"""),"outside_scope")</f>
        <v>outside_scope</v>
      </c>
      <c r="H29" s="72" t="str">
        <f>IFERROR(__xludf.DUMMYFUNCTION("""COMPUTED_VALUE"""),"no")</f>
        <v>no</v>
      </c>
      <c r="I29" s="73">
        <f t="shared" si="5"/>
        <v>3</v>
      </c>
      <c r="J29" s="76">
        <f>VLOOKUP(D29,'Components List'!$C$5:$D$28,2,FALSE())</f>
        <v>0.00000401333</v>
      </c>
      <c r="K29" s="66">
        <f>rank(J29,'Components List'!$D$5:$D$28)</f>
        <v>1</v>
      </c>
      <c r="L29" s="77">
        <f t="shared" si="6"/>
        <v>249169.6422</v>
      </c>
    </row>
    <row r="30">
      <c r="B30" s="69">
        <f>IFERROR(__xludf.DUMMYFUNCTION("""COMPUTED_VALUE"""),10.0)</f>
        <v>10</v>
      </c>
      <c r="C30" s="70">
        <f>IFERROR(__xludf.DUMMYFUNCTION("""COMPUTED_VALUE"""),477636.0)</f>
        <v>477636</v>
      </c>
      <c r="D30" s="70" t="str">
        <f>IFERROR(__xludf.DUMMYFUNCTION("""COMPUTED_VALUE"""),"DZ_Sys")</f>
        <v>DZ_Sys</v>
      </c>
      <c r="E30" s="71" t="str">
        <f>IFERROR(__xludf.DUMMYFUNCTION("""COMPUTED_VALUE"""),"Decrease of Forward Conducting-State Voltage")</f>
        <v>Decrease of Forward Conducting-State Voltage</v>
      </c>
      <c r="F30" s="72">
        <f>IFERROR(__xludf.DUMMYFUNCTION("""COMPUTED_VALUE"""),0.04375)</f>
        <v>0.04375</v>
      </c>
      <c r="G30" s="72" t="str">
        <f>IFERROR(__xludf.DUMMYFUNCTION("""COMPUTED_VALUE"""),"impactless")</f>
        <v>impactless</v>
      </c>
      <c r="H30" s="72" t="str">
        <f>IFERROR(__xludf.DUMMYFUNCTION("""COMPUTED_VALUE"""),"impactless")</f>
        <v>impactless</v>
      </c>
      <c r="I30" s="73">
        <f t="shared" si="5"/>
        <v>3</v>
      </c>
      <c r="J30" s="76">
        <f>VLOOKUP(D30,'Components List'!$C$5:$D$28,2,FALSE())</f>
        <v>0.00000401333</v>
      </c>
      <c r="K30" s="66">
        <f>rank(J30,'Components List'!$D$5:$D$28)</f>
        <v>1</v>
      </c>
      <c r="L30" s="77">
        <f t="shared" si="6"/>
        <v>249169.6422</v>
      </c>
    </row>
    <row r="31">
      <c r="B31" s="69">
        <f>IFERROR(__xludf.DUMMYFUNCTION("""COMPUTED_VALUE"""),1.0)</f>
        <v>1</v>
      </c>
      <c r="C31" s="70">
        <f>IFERROR(__xludf.DUMMYFUNCTION("""COMPUTED_VALUE"""),74004.0)</f>
        <v>74004</v>
      </c>
      <c r="D31" s="70" t="str">
        <f>IFERROR(__xludf.DUMMYFUNCTION("""COMPUTED_VALUE"""),"DZ_Sys")</f>
        <v>DZ_Sys</v>
      </c>
      <c r="E31" s="71" t="str">
        <f>IFERROR(__xludf.DUMMYFUNCTION("""COMPUTED_VALUE"""),"Increase of Zener Voltage")</f>
        <v>Increase of Zener Voltage</v>
      </c>
      <c r="F31" s="72">
        <f>IFERROR(__xludf.DUMMYFUNCTION("""COMPUTED_VALUE"""),0.04375)</f>
        <v>0.04375</v>
      </c>
      <c r="G31" s="72" t="str">
        <f>IFERROR(__xludf.DUMMYFUNCTION("""COMPUTED_VALUE"""),"outside_scope")</f>
        <v>outside_scope</v>
      </c>
      <c r="H31" s="72" t="str">
        <f>IFERROR(__xludf.DUMMYFUNCTION("""COMPUTED_VALUE"""),"no")</f>
        <v>no</v>
      </c>
      <c r="I31" s="73">
        <f t="shared" si="5"/>
        <v>3</v>
      </c>
      <c r="J31" s="76">
        <f>VLOOKUP(D31,'Components List'!$C$5:$D$28,2,FALSE())</f>
        <v>0.00000401333</v>
      </c>
      <c r="K31" s="66">
        <f>rank(J31,'Components List'!$D$5:$D$28)</f>
        <v>1</v>
      </c>
      <c r="L31" s="77">
        <f t="shared" si="6"/>
        <v>249169.6422</v>
      </c>
    </row>
    <row r="32">
      <c r="B32" s="69">
        <f>IFERROR(__xludf.DUMMYFUNCTION("""COMPUTED_VALUE"""),3.0)</f>
        <v>3</v>
      </c>
      <c r="C32" s="70">
        <f>IFERROR(__xludf.DUMMYFUNCTION("""COMPUTED_VALUE"""),125712.0)</f>
        <v>125712</v>
      </c>
      <c r="D32" s="70" t="str">
        <f>IFERROR(__xludf.DUMMYFUNCTION("""COMPUTED_VALUE"""),"DZ_Sys")</f>
        <v>DZ_Sys</v>
      </c>
      <c r="E32" s="71" t="str">
        <f>IFERROR(__xludf.DUMMYFUNCTION("""COMPUTED_VALUE"""),"Open")</f>
        <v>Open</v>
      </c>
      <c r="F32" s="72">
        <f>IFERROR(__xludf.DUMMYFUNCTION("""COMPUTED_VALUE"""),0.45)</f>
        <v>0.45</v>
      </c>
      <c r="G32" s="72" t="str">
        <f>IFERROR(__xludf.DUMMYFUNCTION("""COMPUTED_VALUE"""),"outside_scope")</f>
        <v>outside_scope</v>
      </c>
      <c r="H32" s="72" t="str">
        <f>IFERROR(__xludf.DUMMYFUNCTION("""COMPUTED_VALUE"""),"no")</f>
        <v>no</v>
      </c>
      <c r="I32" s="73">
        <f t="shared" si="5"/>
        <v>1</v>
      </c>
      <c r="J32" s="76">
        <f>VLOOKUP(D32,'Components List'!$C$5:$D$28,2,FALSE())</f>
        <v>0.00000401333</v>
      </c>
      <c r="K32" s="66">
        <f>rank(J32,'Components List'!$D$5:$D$28)</f>
        <v>1</v>
      </c>
      <c r="L32" s="77">
        <f t="shared" si="6"/>
        <v>249169.6422</v>
      </c>
    </row>
    <row r="33">
      <c r="B33" s="69">
        <f>IFERROR(__xludf.DUMMYFUNCTION("""COMPUTED_VALUE"""),5.0)</f>
        <v>5</v>
      </c>
      <c r="C33" s="70">
        <f>IFERROR(__xludf.DUMMYFUNCTION("""COMPUTED_VALUE"""),127416.0)</f>
        <v>127416</v>
      </c>
      <c r="D33" s="70" t="str">
        <f>IFERROR(__xludf.DUMMYFUNCTION("""COMPUTED_VALUE"""),"DZ_Sys")</f>
        <v>DZ_Sys</v>
      </c>
      <c r="E33" s="71" t="str">
        <f>IFERROR(__xludf.DUMMYFUNCTION("""COMPUTED_VALUE"""),"Open")</f>
        <v>Open</v>
      </c>
      <c r="F33" s="72">
        <f>IFERROR(__xludf.DUMMYFUNCTION("""COMPUTED_VALUE"""),0.45)</f>
        <v>0.45</v>
      </c>
      <c r="G33" s="72" t="str">
        <f>IFERROR(__xludf.DUMMYFUNCTION("""COMPUTED_VALUE"""),"outside_scope")</f>
        <v>outside_scope</v>
      </c>
      <c r="H33" s="72" t="str">
        <f>IFERROR(__xludf.DUMMYFUNCTION("""COMPUTED_VALUE"""),"no")</f>
        <v>no</v>
      </c>
      <c r="I33" s="73">
        <f t="shared" si="5"/>
        <v>1</v>
      </c>
      <c r="J33" s="76">
        <f>VLOOKUP(D33,'Components List'!$C$5:$D$28,2,FALSE())</f>
        <v>0.00000401333</v>
      </c>
      <c r="K33" s="66">
        <f>rank(J33,'Components List'!$D$5:$D$28)</f>
        <v>1</v>
      </c>
      <c r="L33" s="77">
        <f t="shared" si="6"/>
        <v>249169.6422</v>
      </c>
    </row>
    <row r="34">
      <c r="B34" s="69">
        <f>IFERROR(__xludf.DUMMYFUNCTION("""COMPUTED_VALUE"""),8.0)</f>
        <v>8</v>
      </c>
      <c r="C34" s="70">
        <f>IFERROR(__xludf.DUMMYFUNCTION("""COMPUTED_VALUE"""),275580.0)</f>
        <v>275580</v>
      </c>
      <c r="D34" s="70" t="str">
        <f>IFERROR(__xludf.DUMMYFUNCTION("""COMPUTED_VALUE"""),"DZ_Sys")</f>
        <v>DZ_Sys</v>
      </c>
      <c r="E34" s="71" t="str">
        <f>IFERROR(__xludf.DUMMYFUNCTION("""COMPUTED_VALUE"""),"Open")</f>
        <v>Open</v>
      </c>
      <c r="F34" s="72">
        <f>IFERROR(__xludf.DUMMYFUNCTION("""COMPUTED_VALUE"""),0.45)</f>
        <v>0.45</v>
      </c>
      <c r="G34" s="72" t="str">
        <f>IFERROR(__xludf.DUMMYFUNCTION("""COMPUTED_VALUE"""),"outside_scope")</f>
        <v>outside_scope</v>
      </c>
      <c r="H34" s="72" t="str">
        <f>IFERROR(__xludf.DUMMYFUNCTION("""COMPUTED_VALUE"""),"no")</f>
        <v>no</v>
      </c>
      <c r="I34" s="73">
        <f t="shared" si="5"/>
        <v>1</v>
      </c>
      <c r="J34" s="76">
        <f>VLOOKUP(D34,'Components List'!$C$5:$D$28,2,FALSE())</f>
        <v>0.00000401333</v>
      </c>
      <c r="K34" s="66">
        <f>rank(J34,'Components List'!$D$5:$D$28)</f>
        <v>1</v>
      </c>
      <c r="L34" s="77">
        <f t="shared" si="6"/>
        <v>249169.6422</v>
      </c>
    </row>
    <row r="35">
      <c r="B35" s="69">
        <f>IFERROR(__xludf.DUMMYFUNCTION("""COMPUTED_VALUE"""),9.0)</f>
        <v>9</v>
      </c>
      <c r="C35" s="70">
        <f>IFERROR(__xludf.DUMMYFUNCTION("""COMPUTED_VALUE"""),212892.0)</f>
        <v>212892</v>
      </c>
      <c r="D35" s="70" t="str">
        <f>IFERROR(__xludf.DUMMYFUNCTION("""COMPUTED_VALUE"""),"DZ_Sys")</f>
        <v>DZ_Sys</v>
      </c>
      <c r="E35" s="71" t="str">
        <f>IFERROR(__xludf.DUMMYFUNCTION("""COMPUTED_VALUE"""),"Open")</f>
        <v>Open</v>
      </c>
      <c r="F35" s="72">
        <f>IFERROR(__xludf.DUMMYFUNCTION("""COMPUTED_VALUE"""),0.45)</f>
        <v>0.45</v>
      </c>
      <c r="G35" s="72" t="str">
        <f>IFERROR(__xludf.DUMMYFUNCTION("""COMPUTED_VALUE"""),"outside_scope")</f>
        <v>outside_scope</v>
      </c>
      <c r="H35" s="72" t="str">
        <f>IFERROR(__xludf.DUMMYFUNCTION("""COMPUTED_VALUE"""),"no")</f>
        <v>no</v>
      </c>
      <c r="I35" s="73">
        <f t="shared" si="5"/>
        <v>1</v>
      </c>
      <c r="J35" s="76">
        <f>VLOOKUP(D35,'Components List'!$C$5:$D$28,2,FALSE())</f>
        <v>0.00000401333</v>
      </c>
      <c r="K35" s="66">
        <f>rank(J35,'Components List'!$D$5:$D$28)</f>
        <v>1</v>
      </c>
      <c r="L35" s="77">
        <f t="shared" si="6"/>
        <v>249169.6422</v>
      </c>
    </row>
    <row r="36">
      <c r="B36" s="69">
        <f>IFERROR(__xludf.DUMMYFUNCTION("""COMPUTED_VALUE"""),11.0)</f>
        <v>11</v>
      </c>
      <c r="C36" s="70">
        <f>IFERROR(__xludf.DUMMYFUNCTION("""COMPUTED_VALUE"""),131220.0)</f>
        <v>131220</v>
      </c>
      <c r="D36" s="70" t="str">
        <f>IFERROR(__xludf.DUMMYFUNCTION("""COMPUTED_VALUE"""),"DZ_Sys")</f>
        <v>DZ_Sys</v>
      </c>
      <c r="E36" s="71" t="str">
        <f>IFERROR(__xludf.DUMMYFUNCTION("""COMPUTED_VALUE"""),"Open")</f>
        <v>Open</v>
      </c>
      <c r="F36" s="72">
        <f>IFERROR(__xludf.DUMMYFUNCTION("""COMPUTED_VALUE"""),0.45)</f>
        <v>0.45</v>
      </c>
      <c r="G36" s="72" t="str">
        <f>IFERROR(__xludf.DUMMYFUNCTION("""COMPUTED_VALUE"""),"outside_scope")</f>
        <v>outside_scope</v>
      </c>
      <c r="H36" s="72" t="str">
        <f>IFERROR(__xludf.DUMMYFUNCTION("""COMPUTED_VALUE"""),"no")</f>
        <v>no</v>
      </c>
      <c r="I36" s="73">
        <f t="shared" si="5"/>
        <v>1</v>
      </c>
      <c r="J36" s="76">
        <f>VLOOKUP(D36,'Components List'!$C$5:$D$28,2,FALSE())</f>
        <v>0.00000401333</v>
      </c>
      <c r="K36" s="66">
        <f>rank(J36,'Components List'!$D$5:$D$28)</f>
        <v>1</v>
      </c>
      <c r="L36" s="77">
        <f t="shared" si="6"/>
        <v>249169.6422</v>
      </c>
    </row>
    <row r="37">
      <c r="B37" s="69">
        <f>IFERROR(__xludf.DUMMYFUNCTION("""COMPUTED_VALUE"""),14.0)</f>
        <v>14</v>
      </c>
      <c r="C37" s="70">
        <f>IFERROR(__xludf.DUMMYFUNCTION("""COMPUTED_VALUE"""),172080.0)</f>
        <v>172080</v>
      </c>
      <c r="D37" s="70" t="str">
        <f>IFERROR(__xludf.DUMMYFUNCTION("""COMPUTED_VALUE"""),"DZ_Sys")</f>
        <v>DZ_Sys</v>
      </c>
      <c r="E37" s="71" t="str">
        <f>IFERROR(__xludf.DUMMYFUNCTION("""COMPUTED_VALUE"""),"Open")</f>
        <v>Open</v>
      </c>
      <c r="F37" s="72">
        <f>IFERROR(__xludf.DUMMYFUNCTION("""COMPUTED_VALUE"""),0.45)</f>
        <v>0.45</v>
      </c>
      <c r="G37" s="72" t="str">
        <f>IFERROR(__xludf.DUMMYFUNCTION("""COMPUTED_VALUE"""),"outside_scope")</f>
        <v>outside_scope</v>
      </c>
      <c r="H37" s="72" t="str">
        <f>IFERROR(__xludf.DUMMYFUNCTION("""COMPUTED_VALUE"""),"no")</f>
        <v>no</v>
      </c>
      <c r="I37" s="73">
        <f t="shared" si="5"/>
        <v>1</v>
      </c>
      <c r="J37" s="76">
        <f>VLOOKUP(D37,'Components List'!$C$5:$D$28,2,FALSE())</f>
        <v>0.00000401333</v>
      </c>
      <c r="K37" s="66">
        <f>rank(J37,'Components List'!$D$5:$D$28)</f>
        <v>1</v>
      </c>
      <c r="L37" s="77">
        <f t="shared" si="6"/>
        <v>249169.6422</v>
      </c>
    </row>
    <row r="38">
      <c r="B38" s="69">
        <f>IFERROR(__xludf.DUMMYFUNCTION("""COMPUTED_VALUE"""),12.0)</f>
        <v>12</v>
      </c>
      <c r="C38" s="70">
        <f>IFERROR(__xludf.DUMMYFUNCTION("""COMPUTED_VALUE"""),185388.0)</f>
        <v>185388</v>
      </c>
      <c r="D38" s="70" t="str">
        <f>IFERROR(__xludf.DUMMYFUNCTION("""COMPUTED_VALUE"""),"DZ_Sys")</f>
        <v>DZ_Sys</v>
      </c>
      <c r="E38" s="71" t="str">
        <f>IFERROR(__xludf.DUMMYFUNCTION("""COMPUTED_VALUE"""),"Short-Circuit")</f>
        <v>Short-Circuit</v>
      </c>
      <c r="F38" s="72">
        <f>IFERROR(__xludf.DUMMYFUNCTION("""COMPUTED_VALUE"""),0.2)</f>
        <v>0.2</v>
      </c>
      <c r="G38" s="72" t="str">
        <f>IFERROR(__xludf.DUMMYFUNCTION("""COMPUTED_VALUE"""),"yes")</f>
        <v>yes</v>
      </c>
      <c r="H38" s="72" t="str">
        <f>IFERROR(__xludf.DUMMYFUNCTION("""COMPUTED_VALUE"""),"no")</f>
        <v>no</v>
      </c>
      <c r="I38" s="73">
        <f t="shared" si="5"/>
        <v>2</v>
      </c>
      <c r="J38" s="76">
        <f>VLOOKUP(D38,'Components List'!$C$5:$D$28,2,FALSE())</f>
        <v>0.00000401333</v>
      </c>
      <c r="K38" s="66">
        <f>rank(J38,'Components List'!$D$5:$D$28)</f>
        <v>1</v>
      </c>
      <c r="L38" s="77">
        <f t="shared" si="6"/>
        <v>249169.6422</v>
      </c>
    </row>
    <row r="39">
      <c r="B39" s="69">
        <f>IFERROR(__xludf.DUMMYFUNCTION("""COMPUTED_VALUE"""),3.0)</f>
        <v>3</v>
      </c>
      <c r="C39" s="70">
        <f>IFERROR(__xludf.DUMMYFUNCTION("""COMPUTED_VALUE"""),89256.0)</f>
        <v>89256</v>
      </c>
      <c r="D39" s="70" t="str">
        <f>IFERROR(__xludf.DUMMYFUNCTION("""COMPUTED_VALUE"""),"K_Sys")</f>
        <v>K_Sys</v>
      </c>
      <c r="E39" s="71" t="str">
        <f>IFERROR(__xludf.DUMMYFUNCTION("""COMPUTED_VALUE"""),"Decrease of pick-up current")</f>
        <v>Decrease of pick-up current</v>
      </c>
      <c r="F39" s="72">
        <f>IFERROR(__xludf.DUMMYFUNCTION("""COMPUTED_VALUE"""),0.028889)</f>
        <v>0.028889</v>
      </c>
      <c r="G39" s="72" t="str">
        <f>IFERROR(__xludf.DUMMYFUNCTION("""COMPUTED_VALUE"""),"impactless")</f>
        <v>impactless</v>
      </c>
      <c r="H39" s="72" t="str">
        <f>IFERROR(__xludf.DUMMYFUNCTION("""COMPUTED_VALUE"""),"impactless")</f>
        <v>impactless</v>
      </c>
      <c r="I39" s="73">
        <f t="shared" si="5"/>
        <v>11</v>
      </c>
      <c r="J39" s="76">
        <f>VLOOKUP(D39,'Components List'!$C$5:$D$28,2,FALSE())</f>
        <v>0.00000400856</v>
      </c>
      <c r="K39" s="66">
        <f>rank(J39,'Components List'!$D$5:$D$28)</f>
        <v>2</v>
      </c>
      <c r="L39" s="78">
        <f t="shared" si="6"/>
        <v>249466.1425</v>
      </c>
    </row>
    <row r="40">
      <c r="B40" s="69">
        <f>IFERROR(__xludf.DUMMYFUNCTION("""COMPUTED_VALUE"""),13.0)</f>
        <v>13</v>
      </c>
      <c r="C40" s="70">
        <f>IFERROR(__xludf.DUMMYFUNCTION("""COMPUTED_VALUE"""),201036.0)</f>
        <v>201036</v>
      </c>
      <c r="D40" s="70" t="str">
        <f>IFERROR(__xludf.DUMMYFUNCTION("""COMPUTED_VALUE"""),"K_Sys")</f>
        <v>K_Sys</v>
      </c>
      <c r="E40" s="71" t="str">
        <f>IFERROR(__xludf.DUMMYFUNCTION("""COMPUTED_VALUE"""),"Decrease of pick-up current")</f>
        <v>Decrease of pick-up current</v>
      </c>
      <c r="F40" s="72">
        <f>IFERROR(__xludf.DUMMYFUNCTION("""COMPUTED_VALUE"""),0.078571)</f>
        <v>0.078571</v>
      </c>
      <c r="G40" s="72" t="str">
        <f>IFERROR(__xludf.DUMMYFUNCTION("""COMPUTED_VALUE"""),"impactless")</f>
        <v>impactless</v>
      </c>
      <c r="H40" s="72" t="str">
        <f>IFERROR(__xludf.DUMMYFUNCTION("""COMPUTED_VALUE"""),"impactless")</f>
        <v>impactless</v>
      </c>
      <c r="I40" s="73">
        <f t="shared" si="5"/>
        <v>11</v>
      </c>
      <c r="J40" s="76">
        <f>VLOOKUP(D40,'Components List'!$C$5:$D$28,2,FALSE())</f>
        <v>0.00000400856</v>
      </c>
      <c r="K40" s="66">
        <f>rank(J40,'Components List'!$D$5:$D$28)</f>
        <v>2</v>
      </c>
      <c r="L40" s="78">
        <f t="shared" si="6"/>
        <v>249466.1425</v>
      </c>
    </row>
    <row r="41">
      <c r="B41" s="69">
        <f>IFERROR(__xludf.DUMMYFUNCTION("""COMPUTED_VALUE"""),7.0)</f>
        <v>7</v>
      </c>
      <c r="C41" s="70">
        <f>IFERROR(__xludf.DUMMYFUNCTION("""COMPUTED_VALUE"""),121596.0)</f>
        <v>121596</v>
      </c>
      <c r="D41" s="70" t="str">
        <f>IFERROR(__xludf.DUMMYFUNCTION("""COMPUTED_VALUE"""),"K_Sys")</f>
        <v>K_Sys</v>
      </c>
      <c r="E41" s="71" t="str">
        <f>IFERROR(__xludf.DUMMYFUNCTION("""COMPUTED_VALUE"""),"Interruption of Any Coil")</f>
        <v>Interruption of Any Coil</v>
      </c>
      <c r="F41" s="72">
        <f>IFERROR(__xludf.DUMMYFUNCTION("""COMPUTED_VALUE"""),0.45)</f>
        <v>0.45</v>
      </c>
      <c r="G41" s="72" t="str">
        <f>IFERROR(__xludf.DUMMYFUNCTION("""COMPUTED_VALUE"""),"yes")</f>
        <v>yes</v>
      </c>
      <c r="H41" s="72" t="str">
        <f>IFERROR(__xludf.DUMMYFUNCTION("""COMPUTED_VALUE"""),"yes")</f>
        <v>yes</v>
      </c>
      <c r="I41" s="73">
        <f t="shared" si="5"/>
        <v>1</v>
      </c>
      <c r="J41" s="76">
        <f>VLOOKUP(D41,'Components List'!$C$5:$D$28,2,FALSE())</f>
        <v>0.00000400856</v>
      </c>
      <c r="K41" s="66">
        <f>rank(J41,'Components List'!$D$5:$D$28)</f>
        <v>2</v>
      </c>
      <c r="L41" s="78">
        <f t="shared" si="6"/>
        <v>249466.1425</v>
      </c>
    </row>
    <row r="42">
      <c r="B42" s="69">
        <f>IFERROR(__xludf.DUMMYFUNCTION("""COMPUTED_VALUE"""),15.0)</f>
        <v>15</v>
      </c>
      <c r="C42" s="70">
        <f>IFERROR(__xludf.DUMMYFUNCTION("""COMPUTED_VALUE"""),95076.0)</f>
        <v>95076</v>
      </c>
      <c r="D42" s="70" t="str">
        <f>IFERROR(__xludf.DUMMYFUNCTION("""COMPUTED_VALUE"""),"K_Sys")</f>
        <v>K_Sys</v>
      </c>
      <c r="E42" s="71" t="str">
        <f>IFERROR(__xludf.DUMMYFUNCTION("""COMPUTED_VALUE"""),"Interruption of NC Contact")</f>
        <v>Interruption of NC Contact</v>
      </c>
      <c r="F42" s="72">
        <f>IFERROR(__xludf.DUMMYFUNCTION("""COMPUTED_VALUE"""),0.014444)</f>
        <v>0.014444</v>
      </c>
      <c r="G42" s="72" t="str">
        <f>IFERROR(__xludf.DUMMYFUNCTION("""COMPUTED_VALUE"""),"no")</f>
        <v>no</v>
      </c>
      <c r="H42" s="72" t="str">
        <f>IFERROR(__xludf.DUMMYFUNCTION("""COMPUTED_VALUE"""),"yes")</f>
        <v>yes</v>
      </c>
      <c r="I42" s="73">
        <f t="shared" si="5"/>
        <v>17</v>
      </c>
      <c r="J42" s="76">
        <f>VLOOKUP(D42,'Components List'!$C$5:$D$28,2,FALSE())</f>
        <v>0.00000400856</v>
      </c>
      <c r="K42" s="66">
        <f>rank(J42,'Components List'!$D$5:$D$28)</f>
        <v>2</v>
      </c>
      <c r="L42" s="78">
        <f t="shared" si="6"/>
        <v>249466.1425</v>
      </c>
    </row>
    <row r="43">
      <c r="B43" s="69">
        <f>IFERROR(__xludf.DUMMYFUNCTION("""COMPUTED_VALUE"""),10.0)</f>
        <v>10</v>
      </c>
      <c r="C43" s="70">
        <f>IFERROR(__xludf.DUMMYFUNCTION("""COMPUTED_VALUE"""),537612.0)</f>
        <v>537612</v>
      </c>
      <c r="D43" s="70" t="str">
        <f>IFERROR(__xludf.DUMMYFUNCTION("""COMPUTED_VALUE"""),"K_Sys")</f>
        <v>K_Sys</v>
      </c>
      <c r="E43" s="71" t="str">
        <f>IFERROR(__xludf.DUMMYFUNCTION("""COMPUTED_VALUE"""),"Short-circuit or decrease of insulation resistance across open contacts")</f>
        <v>Short-circuit or decrease of insulation resistance across open contacts</v>
      </c>
      <c r="F43" s="72">
        <f>IFERROR(__xludf.DUMMYFUNCTION("""COMPUTED_VALUE"""),0.115903)</f>
        <v>0.115903</v>
      </c>
      <c r="G43" s="72" t="str">
        <f>IFERROR(__xludf.DUMMYFUNCTION("""COMPUTED_VALUE"""),"no")</f>
        <v>no</v>
      </c>
      <c r="H43" s="72" t="str">
        <f>IFERROR(__xludf.DUMMYFUNCTION("""COMPUTED_VALUE"""),"yes")</f>
        <v>yes</v>
      </c>
      <c r="I43" s="73">
        <f t="shared" si="5"/>
        <v>8</v>
      </c>
      <c r="J43" s="76">
        <f>VLOOKUP(D43,'Components List'!$C$5:$D$28,2,FALSE())</f>
        <v>0.00000400856</v>
      </c>
      <c r="K43" s="66">
        <f>rank(J43,'Components List'!$D$5:$D$28)</f>
        <v>2</v>
      </c>
      <c r="L43" s="78">
        <f t="shared" si="6"/>
        <v>249466.1425</v>
      </c>
    </row>
    <row r="44">
      <c r="B44" s="69">
        <f>IFERROR(__xludf.DUMMYFUNCTION("""COMPUTED_VALUE"""),13.0)</f>
        <v>13</v>
      </c>
      <c r="C44" s="70">
        <f>IFERROR(__xludf.DUMMYFUNCTION("""COMPUTED_VALUE"""),300780.0)</f>
        <v>300780</v>
      </c>
      <c r="D44" s="70" t="str">
        <f>IFERROR(__xludf.DUMMYFUNCTION("""COMPUTED_VALUE"""),"OC1_Sys")</f>
        <v>OC1_Sys</v>
      </c>
      <c r="E44" s="71" t="str">
        <f>IFERROR(__xludf.DUMMYFUNCTION("""COMPUTED_VALUE"""),"Open Diode")</f>
        <v>Open Diode</v>
      </c>
      <c r="F44" s="72">
        <f>IFERROR(__xludf.DUMMYFUNCTION("""COMPUTED_VALUE"""),0.08333)</f>
        <v>0.08333</v>
      </c>
      <c r="G44" s="72" t="str">
        <f>IFERROR(__xludf.DUMMYFUNCTION("""COMPUTED_VALUE"""),"yes")</f>
        <v>yes</v>
      </c>
      <c r="H44" s="72" t="str">
        <f>IFERROR(__xludf.DUMMYFUNCTION("""COMPUTED_VALUE"""),"no")</f>
        <v>no</v>
      </c>
      <c r="I44" s="73">
        <f t="shared" si="5"/>
        <v>3</v>
      </c>
      <c r="J44" s="74">
        <f>VLOOKUP(D44,'Components List'!$C$5:$D$28,2,FALSE())</f>
        <v>0.0000000845586</v>
      </c>
      <c r="K44" s="66">
        <f>rank(J44,'Components List'!$D$5:$D$28)</f>
        <v>4</v>
      </c>
      <c r="L44" s="78">
        <f t="shared" si="6"/>
        <v>11826118.22</v>
      </c>
    </row>
    <row r="45">
      <c r="B45" s="79">
        <f>IFERROR(__xludf.DUMMYFUNCTION("""COMPUTED_VALUE"""),10.0)</f>
        <v>10</v>
      </c>
      <c r="C45" s="80">
        <f>IFERROR(__xludf.DUMMYFUNCTION("""COMPUTED_VALUE"""),392328.0)</f>
        <v>392328</v>
      </c>
      <c r="D45" s="80" t="str">
        <f>IFERROR(__xludf.DUMMYFUNCTION("""COMPUTED_VALUE"""),"OC_Diag")</f>
        <v>OC_Diag</v>
      </c>
      <c r="E45" s="81" t="str">
        <f>IFERROR(__xludf.DUMMYFUNCTION("""COMPUTED_VALUE"""),"Open Base")</f>
        <v>Open Base</v>
      </c>
      <c r="F45" s="82">
        <f>IFERROR(__xludf.DUMMYFUNCTION("""COMPUTED_VALUE"""),0.08333)</f>
        <v>0.08333</v>
      </c>
      <c r="G45" s="82" t="str">
        <f>IFERROR(__xludf.DUMMYFUNCTION("""COMPUTED_VALUE"""),"impactless")</f>
        <v>impactless</v>
      </c>
      <c r="H45" s="82" t="str">
        <f>IFERROR(__xludf.DUMMYFUNCTION("""COMPUTED_VALUE"""),"impactless")</f>
        <v>impactless</v>
      </c>
      <c r="I45" s="83">
        <f>VLOOKUP(E45,INDIRECT($D45&amp;"!C5:Q16"),3,0)</f>
        <v>3</v>
      </c>
      <c r="J45" s="84">
        <f>VLOOKUP(D45,'Components List'!$C$5:$D$28,2,FALSE())</f>
        <v>0.0000000845586</v>
      </c>
      <c r="K45" s="83">
        <f>rank(J45,'Components List'!$D$5:$D$28)</f>
        <v>4</v>
      </c>
      <c r="L45" s="85">
        <f t="shared" si="6"/>
        <v>11826118.22</v>
      </c>
    </row>
    <row r="47">
      <c r="B47" s="46" t="s">
        <v>89</v>
      </c>
    </row>
    <row r="49">
      <c r="G49" s="88" t="s">
        <v>93</v>
      </c>
      <c r="H49" s="88" t="s">
        <v>94</v>
      </c>
    </row>
    <row r="50">
      <c r="G50" s="90">
        <f>1/VLOOKUP(B50,'Components List'!$C$5:$D$28,2,FALSE)</f>
        <v>3459321.835</v>
      </c>
      <c r="H50" s="55">
        <f t="shared" ref="H50:H54" si="7">ABS(G50-F50)/G50</f>
        <v>0.9395962533</v>
      </c>
    </row>
    <row r="51">
      <c r="G51" s="90">
        <f>1/VLOOKUP(B51,'Components List'!$C$5:$D$28,2,FALSE)</f>
        <v>249169.6422</v>
      </c>
      <c r="H51" s="55">
        <f t="shared" si="7"/>
        <v>0.2773983282</v>
      </c>
    </row>
    <row r="52">
      <c r="G52" s="90">
        <f>1/VLOOKUP(B52,'Components List'!$C$5:$D$28,2,FALSE)</f>
        <v>249466.1425</v>
      </c>
      <c r="H52" s="55">
        <f t="shared" si="7"/>
        <v>0.1625508859</v>
      </c>
    </row>
    <row r="53">
      <c r="G53" s="90">
        <f>1/VLOOKUP(B53,'Components List'!$C$5:$D$28,2,FALSE)</f>
        <v>11826118.22</v>
      </c>
      <c r="H53" s="55">
        <f t="shared" si="7"/>
        <v>0.9668252936</v>
      </c>
    </row>
    <row r="54">
      <c r="G54" s="90">
        <f>1/VLOOKUP(B54,'Components List'!$C$5:$D$28,2,FALSE)</f>
        <v>11826118.22</v>
      </c>
      <c r="H54" s="55">
        <f t="shared" si="7"/>
        <v>0.9745664643</v>
      </c>
    </row>
    <row r="55">
      <c r="G55" s="92"/>
      <c r="H55" s="92"/>
    </row>
    <row r="59">
      <c r="B59" s="46" t="s">
        <v>95</v>
      </c>
    </row>
    <row r="61">
      <c r="B61" s="49" t="s">
        <v>95</v>
      </c>
      <c r="C61" s="88" t="s">
        <v>96</v>
      </c>
      <c r="D61" s="88" t="s">
        <v>85</v>
      </c>
      <c r="E61" s="88" t="str">
        <f t="shared" ref="E61:F61" si="8">G26</f>
        <v>Detectable Fuse Type</v>
      </c>
      <c r="F61" s="88" t="str">
        <f t="shared" si="8"/>
        <v>Detectable Keep Power Type</v>
      </c>
    </row>
    <row r="62">
      <c r="B62" s="93" t="s">
        <v>97</v>
      </c>
      <c r="C62" s="94">
        <v>1.0</v>
      </c>
      <c r="D62" s="95">
        <v>3.0</v>
      </c>
      <c r="E62" s="96" t="str">
        <f t="shared" ref="E62:E65" si="9">VLOOKUP(B62,$E$27:$H$45,3,FALSE)</f>
        <v>outside_scope</v>
      </c>
      <c r="F62" s="96" t="str">
        <f t="shared" ref="F62:F65" si="10">VLOOKUP(B62,$E$27:$H$45,4,false)</f>
        <v>no</v>
      </c>
    </row>
    <row r="63">
      <c r="B63" s="97" t="s">
        <v>98</v>
      </c>
      <c r="C63" s="98">
        <v>1.0</v>
      </c>
      <c r="D63" s="99">
        <v>3.0</v>
      </c>
      <c r="E63" s="100" t="str">
        <f t="shared" si="9"/>
        <v>impactless</v>
      </c>
      <c r="F63" s="100" t="str">
        <f t="shared" si="10"/>
        <v>impactless</v>
      </c>
    </row>
    <row r="64">
      <c r="B64" s="97" t="s">
        <v>99</v>
      </c>
      <c r="C64" s="98">
        <v>1.0</v>
      </c>
      <c r="D64" s="99">
        <v>3.0</v>
      </c>
      <c r="E64" s="100" t="str">
        <f t="shared" si="9"/>
        <v>outside_scope</v>
      </c>
      <c r="F64" s="100" t="str">
        <f t="shared" si="10"/>
        <v>no</v>
      </c>
    </row>
    <row r="65">
      <c r="B65" s="101" t="s">
        <v>100</v>
      </c>
      <c r="C65" s="102">
        <v>6.0</v>
      </c>
      <c r="D65" s="103">
        <v>1.0</v>
      </c>
      <c r="E65" s="104" t="str">
        <f t="shared" si="9"/>
        <v>outside_scope</v>
      </c>
      <c r="F65" s="104" t="str">
        <f t="shared" si="10"/>
        <v>no</v>
      </c>
    </row>
    <row r="66">
      <c r="B66" s="105" t="s">
        <v>101</v>
      </c>
      <c r="C66" s="49">
        <v>1.0</v>
      </c>
      <c r="D66" s="106">
        <v>2.0</v>
      </c>
      <c r="E66" s="92"/>
      <c r="F66" s="92"/>
    </row>
    <row r="67">
      <c r="B67" s="105" t="s">
        <v>79</v>
      </c>
      <c r="C67" s="49">
        <v>10.0</v>
      </c>
      <c r="D67" s="106">
        <v>1.7</v>
      </c>
    </row>
    <row r="68">
      <c r="B68" s="105"/>
      <c r="C68" s="49"/>
      <c r="D68" s="49"/>
    </row>
    <row r="69">
      <c r="B69" s="46" t="s">
        <v>102</v>
      </c>
      <c r="C69" s="49"/>
      <c r="D69" s="49"/>
    </row>
    <row r="70">
      <c r="B70" s="105"/>
      <c r="C70" s="49"/>
      <c r="D70" s="49"/>
    </row>
    <row r="71">
      <c r="E71" s="88" t="str">
        <f t="shared" ref="E71:F71" si="11">G26</f>
        <v>Detectable Fuse Type</v>
      </c>
      <c r="F71" s="88" t="str">
        <f t="shared" si="11"/>
        <v>Detectable Keep Power Type</v>
      </c>
    </row>
    <row r="72">
      <c r="E72" s="96" t="str">
        <f t="shared" ref="E72:E75" si="12">VLOOKUP(B72,$E$27:$H$45,3,FALSE)</f>
        <v>impactless</v>
      </c>
      <c r="F72" s="96" t="str">
        <f t="shared" ref="F72:F75" si="13">VLOOKUP(B72,$E$27:$H$45,4,false)</f>
        <v>impactless</v>
      </c>
    </row>
    <row r="73">
      <c r="E73" s="100" t="str">
        <f t="shared" si="12"/>
        <v>yes</v>
      </c>
      <c r="F73" s="100" t="str">
        <f t="shared" si="13"/>
        <v>yes</v>
      </c>
    </row>
    <row r="74">
      <c r="E74" s="100" t="str">
        <f t="shared" si="12"/>
        <v>no</v>
      </c>
      <c r="F74" s="100" t="str">
        <f t="shared" si="13"/>
        <v>yes</v>
      </c>
    </row>
    <row r="75">
      <c r="E75" s="104" t="str">
        <f t="shared" si="12"/>
        <v>no</v>
      </c>
      <c r="F75" s="104" t="str">
        <f t="shared" si="13"/>
        <v>yes</v>
      </c>
    </row>
    <row r="76">
      <c r="E76" s="92"/>
      <c r="F76" s="92"/>
    </row>
    <row r="77">
      <c r="B77" s="105"/>
      <c r="C77" s="49"/>
      <c r="D77" s="49"/>
    </row>
    <row r="78">
      <c r="B78" s="105"/>
      <c r="C78" s="49"/>
      <c r="D78" s="49"/>
    </row>
    <row r="79">
      <c r="B79" s="105"/>
      <c r="C79" s="49"/>
      <c r="D79" s="49"/>
    </row>
    <row r="80">
      <c r="B80" s="105"/>
      <c r="C80" s="49"/>
      <c r="D80" s="49"/>
    </row>
  </sheetData>
  <mergeCells count="1">
    <mergeCell ref="B2:D2"/>
  </mergeCells>
  <conditionalFormatting sqref="B8:G22">
    <cfRule type="expression" dxfId="6" priority="1">
      <formula>COUNTIF($C$8:$C$22,$C8)&gt;1</formula>
    </cfRule>
  </conditionalFormatting>
  <dataValidations>
    <dataValidation type="list" allowBlank="1" showErrorMessage="1" sqref="G8:G22">
      <formula1>"Uncaught Detectable Failure,Outside Scope Failure,Unsafe Failure Not Detected,Failure Detected,Max Number of Failures"</formula1>
    </dataValidation>
  </dataValidation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107</v>
      </c>
    </row>
    <row r="5">
      <c r="B5" s="108" t="s">
        <v>108</v>
      </c>
      <c r="C5" s="109" t="s">
        <v>109</v>
      </c>
      <c r="D5" s="109" t="s">
        <v>110</v>
      </c>
      <c r="E5" s="5" t="s">
        <v>111</v>
      </c>
      <c r="F5" s="109" t="s">
        <v>112</v>
      </c>
      <c r="G5" s="109" t="s">
        <v>113</v>
      </c>
      <c r="H5" s="109" t="s">
        <v>114</v>
      </c>
      <c r="I5" s="109" t="s">
        <v>115</v>
      </c>
      <c r="J5" s="109" t="s">
        <v>116</v>
      </c>
      <c r="K5" s="109" t="s">
        <v>117</v>
      </c>
      <c r="L5" s="109" t="s">
        <v>118</v>
      </c>
      <c r="M5" s="109" t="s">
        <v>119</v>
      </c>
      <c r="N5" s="109" t="s">
        <v>120</v>
      </c>
      <c r="O5" s="109" t="s">
        <v>18</v>
      </c>
      <c r="P5" s="109" t="s">
        <v>19</v>
      </c>
      <c r="Q5" s="110" t="s">
        <v>20</v>
      </c>
    </row>
    <row r="6">
      <c r="B6" s="111">
        <v>0.0</v>
      </c>
      <c r="C6" s="5" t="s">
        <v>121</v>
      </c>
      <c r="D6" s="5">
        <v>0.08333</v>
      </c>
      <c r="E6" s="5">
        <f t="shared" ref="E6:E16" si="1">RANK(D6,$D$6:$D$16)</f>
        <v>3</v>
      </c>
      <c r="F6" s="5">
        <v>54.0</v>
      </c>
      <c r="G6" s="5">
        <v>4092.0</v>
      </c>
      <c r="H6" s="5">
        <v>51.0</v>
      </c>
      <c r="I6" s="5">
        <v>57.0</v>
      </c>
      <c r="J6" s="5">
        <v>4091.0</v>
      </c>
      <c r="K6" s="5">
        <v>4095.0</v>
      </c>
      <c r="L6" s="5">
        <v>1.0</v>
      </c>
      <c r="M6" s="5">
        <v>1.0</v>
      </c>
      <c r="N6" s="5" t="s">
        <v>122</v>
      </c>
      <c r="O6" s="5" t="s">
        <v>123</v>
      </c>
      <c r="P6" s="5" t="s">
        <v>124</v>
      </c>
      <c r="Q6" s="112" t="s">
        <v>125</v>
      </c>
    </row>
    <row r="7">
      <c r="B7" s="111">
        <v>1.0</v>
      </c>
      <c r="C7" s="5" t="s">
        <v>126</v>
      </c>
      <c r="D7" s="5">
        <v>0.08333</v>
      </c>
      <c r="E7" s="5">
        <f t="shared" si="1"/>
        <v>3</v>
      </c>
      <c r="F7" s="5">
        <v>54.0</v>
      </c>
      <c r="G7" s="5">
        <v>4092.0</v>
      </c>
      <c r="H7" s="5">
        <v>51.0</v>
      </c>
      <c r="I7" s="5">
        <v>57.0</v>
      </c>
      <c r="J7" s="5">
        <v>4091.0</v>
      </c>
      <c r="K7" s="5">
        <v>4095.0</v>
      </c>
      <c r="L7" s="5">
        <v>1.0</v>
      </c>
      <c r="M7" s="5">
        <v>1.0</v>
      </c>
      <c r="N7" s="5" t="s">
        <v>122</v>
      </c>
      <c r="O7" s="5" t="s">
        <v>123</v>
      </c>
      <c r="P7" s="5" t="s">
        <v>124</v>
      </c>
      <c r="Q7" s="112" t="s">
        <v>125</v>
      </c>
    </row>
    <row r="8">
      <c r="B8" s="111">
        <v>2.0</v>
      </c>
      <c r="C8" s="5" t="s">
        <v>127</v>
      </c>
      <c r="D8" s="5">
        <v>0.08333</v>
      </c>
      <c r="E8" s="5">
        <f t="shared" si="1"/>
        <v>3</v>
      </c>
      <c r="F8" s="5">
        <v>54.0</v>
      </c>
      <c r="G8" s="5">
        <v>4092.0</v>
      </c>
      <c r="H8" s="5">
        <v>51.0</v>
      </c>
      <c r="I8" s="5">
        <v>57.0</v>
      </c>
      <c r="J8" s="5">
        <v>4091.0</v>
      </c>
      <c r="K8" s="5">
        <v>4095.0</v>
      </c>
      <c r="L8" s="5">
        <v>1.0</v>
      </c>
      <c r="M8" s="5">
        <v>1.0</v>
      </c>
      <c r="N8" s="5" t="s">
        <v>122</v>
      </c>
      <c r="O8" s="5" t="s">
        <v>123</v>
      </c>
      <c r="P8" s="5" t="s">
        <v>124</v>
      </c>
      <c r="Q8" s="112" t="s">
        <v>125</v>
      </c>
    </row>
    <row r="9">
      <c r="B9" s="111">
        <v>3.0</v>
      </c>
      <c r="C9" s="5" t="s">
        <v>128</v>
      </c>
      <c r="D9" s="5">
        <v>0.08333</v>
      </c>
      <c r="E9" s="5">
        <f t="shared" si="1"/>
        <v>3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0.0</v>
      </c>
      <c r="M9" s="5">
        <v>1.0</v>
      </c>
      <c r="N9" s="5" t="s">
        <v>122</v>
      </c>
      <c r="O9" s="5" t="s">
        <v>129</v>
      </c>
      <c r="P9" s="5" t="s">
        <v>129</v>
      </c>
      <c r="Q9" s="112" t="s">
        <v>125</v>
      </c>
    </row>
    <row r="10">
      <c r="B10" s="111">
        <v>4.0</v>
      </c>
      <c r="C10" s="5" t="s">
        <v>130</v>
      </c>
      <c r="D10" s="5">
        <v>0.08333</v>
      </c>
      <c r="E10" s="5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1.0</v>
      </c>
      <c r="N10" s="5" t="s">
        <v>122</v>
      </c>
      <c r="O10" s="5" t="s">
        <v>129</v>
      </c>
      <c r="P10" s="5" t="s">
        <v>129</v>
      </c>
      <c r="Q10" s="112" t="s">
        <v>125</v>
      </c>
    </row>
    <row r="11">
      <c r="B11" s="111">
        <v>5.0</v>
      </c>
      <c r="C11" s="5" t="s">
        <v>131</v>
      </c>
      <c r="D11" s="5">
        <v>0.08333</v>
      </c>
      <c r="E11" s="5">
        <f t="shared" si="1"/>
        <v>3</v>
      </c>
      <c r="F11" s="5">
        <v>54.0</v>
      </c>
      <c r="G11" s="5">
        <v>4092.0</v>
      </c>
      <c r="H11" s="5">
        <v>51.0</v>
      </c>
      <c r="I11" s="5">
        <v>57.0</v>
      </c>
      <c r="J11" s="5">
        <v>4091.0</v>
      </c>
      <c r="K11" s="5">
        <v>4095.0</v>
      </c>
      <c r="L11" s="5">
        <v>1.0</v>
      </c>
      <c r="M11" s="5">
        <v>1.0</v>
      </c>
      <c r="N11" s="5" t="s">
        <v>122</v>
      </c>
      <c r="O11" s="5" t="s">
        <v>123</v>
      </c>
      <c r="P11" s="5" t="s">
        <v>124</v>
      </c>
      <c r="Q11" s="112" t="s">
        <v>125</v>
      </c>
    </row>
    <row r="12">
      <c r="B12" s="111">
        <v>6.0</v>
      </c>
      <c r="C12" s="5" t="s">
        <v>132</v>
      </c>
      <c r="D12" s="5">
        <v>0.125</v>
      </c>
      <c r="E12" s="5">
        <f t="shared" si="1"/>
        <v>1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122</v>
      </c>
      <c r="O12" s="5" t="s">
        <v>123</v>
      </c>
      <c r="P12" s="5" t="s">
        <v>124</v>
      </c>
      <c r="Q12" s="112" t="s">
        <v>125</v>
      </c>
    </row>
    <row r="13">
      <c r="B13" s="111">
        <v>7.0</v>
      </c>
      <c r="C13" s="5" t="s">
        <v>133</v>
      </c>
      <c r="D13" s="5">
        <v>0.125</v>
      </c>
      <c r="E13" s="5">
        <f t="shared" si="1"/>
        <v>1</v>
      </c>
      <c r="F13" s="5">
        <v>54.0</v>
      </c>
      <c r="G13" s="5">
        <v>4092.0</v>
      </c>
      <c r="H13" s="5">
        <v>51.0</v>
      </c>
      <c r="I13" s="5">
        <v>57.0</v>
      </c>
      <c r="J13" s="5">
        <v>4091.0</v>
      </c>
      <c r="K13" s="5">
        <v>4095.0</v>
      </c>
      <c r="L13" s="5">
        <v>0.0</v>
      </c>
      <c r="M13" s="5">
        <v>1.0</v>
      </c>
      <c r="N13" s="5" t="s">
        <v>122</v>
      </c>
      <c r="O13" s="5" t="s">
        <v>123</v>
      </c>
      <c r="P13" s="5" t="s">
        <v>123</v>
      </c>
      <c r="Q13" s="112" t="s">
        <v>134</v>
      </c>
    </row>
    <row r="14">
      <c r="B14" s="111">
        <v>8.0</v>
      </c>
      <c r="C14" s="5" t="s">
        <v>135</v>
      </c>
      <c r="D14" s="5">
        <v>0.08333</v>
      </c>
      <c r="E14" s="5">
        <f t="shared" si="1"/>
        <v>3</v>
      </c>
      <c r="F14" s="5">
        <v>54.0</v>
      </c>
      <c r="G14" s="5">
        <v>4092.0</v>
      </c>
      <c r="H14" s="5">
        <v>51.0</v>
      </c>
      <c r="I14" s="5">
        <v>57.0</v>
      </c>
      <c r="J14" s="5">
        <v>4091.0</v>
      </c>
      <c r="K14" s="5">
        <v>4095.0</v>
      </c>
      <c r="L14" s="5">
        <v>1.0</v>
      </c>
      <c r="M14" s="5">
        <v>0.0</v>
      </c>
      <c r="N14" s="5" t="s">
        <v>122</v>
      </c>
      <c r="O14" s="5" t="s">
        <v>123</v>
      </c>
      <c r="P14" s="5" t="s">
        <v>123</v>
      </c>
      <c r="Q14" s="112" t="s">
        <v>134</v>
      </c>
    </row>
    <row r="15">
      <c r="B15" s="111">
        <v>9.0</v>
      </c>
      <c r="C15" s="5" t="s">
        <v>136</v>
      </c>
      <c r="D15" s="5">
        <v>0.08333</v>
      </c>
      <c r="E15" s="5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122</v>
      </c>
      <c r="O15" s="5" t="s">
        <v>129</v>
      </c>
      <c r="P15" s="5" t="s">
        <v>129</v>
      </c>
      <c r="Q15" s="112" t="s">
        <v>125</v>
      </c>
    </row>
    <row r="16">
      <c r="B16" s="113">
        <v>10.0</v>
      </c>
      <c r="C16" s="114" t="s">
        <v>137</v>
      </c>
      <c r="D16" s="114">
        <v>0.08333</v>
      </c>
      <c r="E16" s="5">
        <f t="shared" si="1"/>
        <v>3</v>
      </c>
      <c r="F16" s="114">
        <v>54.0</v>
      </c>
      <c r="G16" s="114">
        <v>4092.0</v>
      </c>
      <c r="H16" s="114">
        <v>51.0</v>
      </c>
      <c r="I16" s="114">
        <v>57.0</v>
      </c>
      <c r="J16" s="114">
        <v>4091.0</v>
      </c>
      <c r="K16" s="114">
        <v>4095.0</v>
      </c>
      <c r="L16" s="114">
        <v>1.0</v>
      </c>
      <c r="M16" s="114">
        <v>1.0</v>
      </c>
      <c r="N16" s="114" t="s">
        <v>122</v>
      </c>
      <c r="O16" s="114" t="s">
        <v>123</v>
      </c>
      <c r="P16" s="114" t="s">
        <v>124</v>
      </c>
      <c r="Q16" s="115" t="s">
        <v>125</v>
      </c>
    </row>
  </sheetData>
  <autoFilter ref="$B$5:$Q$1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4.25"/>
  </cols>
  <sheetData>
    <row r="3">
      <c r="B3" s="23" t="s">
        <v>95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100</v>
      </c>
      <c r="D6" s="116">
        <v>0.45</v>
      </c>
      <c r="E6" s="5">
        <f t="shared" ref="E6:E15" si="1">RANK(D6,$D$6:$D$15)</f>
        <v>1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1.0</v>
      </c>
      <c r="N6" s="5" t="s">
        <v>122</v>
      </c>
      <c r="O6" s="5" t="s">
        <v>138</v>
      </c>
      <c r="P6" s="5" t="s">
        <v>123</v>
      </c>
      <c r="Q6" s="5" t="s">
        <v>125</v>
      </c>
    </row>
    <row r="7">
      <c r="B7" s="5">
        <v>1.0</v>
      </c>
      <c r="C7" s="5" t="s">
        <v>101</v>
      </c>
      <c r="D7" s="116">
        <v>0.2</v>
      </c>
      <c r="E7" s="5">
        <f t="shared" si="1"/>
        <v>2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1.0</v>
      </c>
      <c r="N7" s="5" t="s">
        <v>122</v>
      </c>
      <c r="O7" s="5" t="s">
        <v>124</v>
      </c>
      <c r="P7" s="5" t="s">
        <v>123</v>
      </c>
      <c r="Q7" s="5" t="s">
        <v>125</v>
      </c>
    </row>
    <row r="8">
      <c r="B8" s="5">
        <v>2.0</v>
      </c>
      <c r="C8" s="5" t="s">
        <v>99</v>
      </c>
      <c r="D8" s="116">
        <v>0.04375</v>
      </c>
      <c r="E8" s="5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1.0</v>
      </c>
      <c r="N8" s="5" t="s">
        <v>122</v>
      </c>
      <c r="O8" s="5" t="s">
        <v>138</v>
      </c>
      <c r="P8" s="5" t="s">
        <v>123</v>
      </c>
      <c r="Q8" s="5" t="s">
        <v>125</v>
      </c>
    </row>
    <row r="9">
      <c r="B9" s="5">
        <v>3.0</v>
      </c>
      <c r="C9" s="5" t="s">
        <v>139</v>
      </c>
      <c r="D9" s="116">
        <v>0.04375</v>
      </c>
      <c r="E9" s="5">
        <f t="shared" si="1"/>
        <v>3</v>
      </c>
      <c r="F9" s="5">
        <v>0.0</v>
      </c>
      <c r="G9" s="5">
        <v>2038.0</v>
      </c>
      <c r="H9" s="5">
        <v>0.0</v>
      </c>
      <c r="I9" s="5">
        <v>0.0</v>
      </c>
      <c r="J9" s="5">
        <v>0.0</v>
      </c>
      <c r="K9" s="5">
        <v>4095.0</v>
      </c>
      <c r="L9" s="5">
        <v>0.0</v>
      </c>
      <c r="M9" s="5">
        <v>1.0</v>
      </c>
      <c r="N9" s="5" t="s">
        <v>122</v>
      </c>
      <c r="O9" s="5" t="s">
        <v>140</v>
      </c>
      <c r="P9" s="5" t="s">
        <v>123</v>
      </c>
      <c r="Q9" s="5" t="s">
        <v>141</v>
      </c>
    </row>
    <row r="10">
      <c r="B10" s="5">
        <v>4.0</v>
      </c>
      <c r="C10" s="5" t="s">
        <v>132</v>
      </c>
      <c r="D10" s="116">
        <v>0.04375</v>
      </c>
      <c r="E10" s="5">
        <f t="shared" si="1"/>
        <v>3</v>
      </c>
      <c r="F10" s="5">
        <v>0.0</v>
      </c>
      <c r="G10" s="5">
        <v>2038.0</v>
      </c>
      <c r="H10" s="5">
        <v>0.0</v>
      </c>
      <c r="I10" s="5">
        <v>0.0</v>
      </c>
      <c r="J10" s="5">
        <v>0.0</v>
      </c>
      <c r="K10" s="5">
        <v>4095.0</v>
      </c>
      <c r="L10" s="5">
        <v>0.0</v>
      </c>
      <c r="M10" s="5">
        <v>1.0</v>
      </c>
      <c r="N10" s="5" t="s">
        <v>122</v>
      </c>
      <c r="O10" s="5" t="s">
        <v>140</v>
      </c>
      <c r="P10" s="5" t="s">
        <v>123</v>
      </c>
      <c r="Q10" s="5" t="s">
        <v>141</v>
      </c>
    </row>
    <row r="11">
      <c r="B11" s="5">
        <v>5.0</v>
      </c>
      <c r="C11" s="5" t="s">
        <v>97</v>
      </c>
      <c r="D11" s="116">
        <v>0.04375</v>
      </c>
      <c r="E11" s="5">
        <f t="shared" si="1"/>
        <v>3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 t="s">
        <v>122</v>
      </c>
      <c r="O11" s="5" t="s">
        <v>138</v>
      </c>
      <c r="P11" s="5" t="s">
        <v>123</v>
      </c>
      <c r="Q11" s="5" t="s">
        <v>125</v>
      </c>
    </row>
    <row r="12">
      <c r="B12" s="5">
        <v>6.0</v>
      </c>
      <c r="C12" s="5" t="s">
        <v>142</v>
      </c>
      <c r="D12" s="116">
        <v>0.04375</v>
      </c>
      <c r="E12" s="5">
        <f t="shared" si="1"/>
        <v>3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0.0</v>
      </c>
      <c r="M12" s="5">
        <v>1.0</v>
      </c>
      <c r="N12" s="5" t="s">
        <v>122</v>
      </c>
      <c r="O12" s="5" t="s">
        <v>129</v>
      </c>
      <c r="P12" s="5" t="s">
        <v>129</v>
      </c>
      <c r="Q12" s="5" t="s">
        <v>125</v>
      </c>
    </row>
    <row r="13">
      <c r="B13" s="5">
        <v>7.0</v>
      </c>
      <c r="C13" s="5" t="s">
        <v>98</v>
      </c>
      <c r="D13" s="116">
        <v>0.04375</v>
      </c>
      <c r="E13" s="5">
        <f t="shared" si="1"/>
        <v>3</v>
      </c>
      <c r="F13" s="5">
        <v>54.0</v>
      </c>
      <c r="G13" s="5">
        <v>4092.0</v>
      </c>
      <c r="H13" s="5">
        <v>51.0</v>
      </c>
      <c r="I13" s="5">
        <v>57.0</v>
      </c>
      <c r="J13" s="5">
        <v>4091.0</v>
      </c>
      <c r="K13" s="5">
        <v>4095.0</v>
      </c>
      <c r="L13" s="5">
        <v>0.0</v>
      </c>
      <c r="M13" s="5">
        <v>1.0</v>
      </c>
      <c r="N13" s="5" t="s">
        <v>122</v>
      </c>
      <c r="O13" s="5" t="s">
        <v>129</v>
      </c>
      <c r="P13" s="5" t="s">
        <v>129</v>
      </c>
      <c r="Q13" s="5" t="s">
        <v>125</v>
      </c>
    </row>
    <row r="14">
      <c r="B14" s="5">
        <v>8.0</v>
      </c>
      <c r="C14" s="5" t="s">
        <v>143</v>
      </c>
      <c r="D14" s="116">
        <v>0.04375</v>
      </c>
      <c r="E14" s="5">
        <f t="shared" si="1"/>
        <v>3</v>
      </c>
      <c r="F14" s="5">
        <v>54.0</v>
      </c>
      <c r="G14" s="5">
        <v>4092.0</v>
      </c>
      <c r="H14" s="5">
        <v>51.0</v>
      </c>
      <c r="I14" s="5">
        <v>57.0</v>
      </c>
      <c r="J14" s="5">
        <v>4091.0</v>
      </c>
      <c r="K14" s="5">
        <v>4095.0</v>
      </c>
      <c r="L14" s="5">
        <v>0.0</v>
      </c>
      <c r="M14" s="5">
        <v>1.0</v>
      </c>
      <c r="N14" s="5" t="s">
        <v>122</v>
      </c>
      <c r="O14" s="5" t="s">
        <v>129</v>
      </c>
      <c r="P14" s="5" t="s">
        <v>129</v>
      </c>
      <c r="Q14" s="5" t="s">
        <v>125</v>
      </c>
    </row>
    <row r="15">
      <c r="B15" s="5">
        <v>9.0</v>
      </c>
      <c r="C15" s="5" t="s">
        <v>144</v>
      </c>
      <c r="D15" s="116">
        <v>0.04375</v>
      </c>
      <c r="E15" s="5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122</v>
      </c>
      <c r="O15" s="5" t="s">
        <v>129</v>
      </c>
      <c r="P15" s="5" t="s">
        <v>129</v>
      </c>
      <c r="Q15" s="5" t="s">
        <v>125</v>
      </c>
    </row>
    <row r="18"/>
    <row r="19"/>
    <row r="20"/>
    <row r="21"/>
    <row r="22"/>
    <row r="23"/>
    <row r="24"/>
  </sheetData>
  <autoFilter ref="$B$5:$Q$15">
    <sortState ref="B5:Q15">
      <sortCondition descending="1" ref="D5:D15"/>
    </sortState>
  </autoFil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146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100</v>
      </c>
      <c r="D6" s="116">
        <v>0.29</v>
      </c>
      <c r="E6" s="5">
        <f t="shared" ref="E6:E13" si="1">RANK(D6,$D$6:$D$13)</f>
        <v>2</v>
      </c>
      <c r="F6" s="5">
        <v>54.0</v>
      </c>
      <c r="G6" s="5">
        <v>4092.0</v>
      </c>
      <c r="H6" s="5">
        <v>51.0</v>
      </c>
      <c r="I6" s="5">
        <v>57.0</v>
      </c>
      <c r="J6" s="5">
        <v>4091.0</v>
      </c>
      <c r="K6" s="5">
        <v>4095.0</v>
      </c>
      <c r="L6" s="5">
        <v>1.0</v>
      </c>
      <c r="M6" s="5">
        <v>1.0</v>
      </c>
      <c r="N6" s="5" t="s">
        <v>122</v>
      </c>
      <c r="O6" s="5" t="s">
        <v>123</v>
      </c>
      <c r="P6" s="5" t="s">
        <v>124</v>
      </c>
      <c r="Q6" s="5" t="s">
        <v>125</v>
      </c>
    </row>
    <row r="7">
      <c r="B7" s="5">
        <v>1.0</v>
      </c>
      <c r="C7" s="5" t="s">
        <v>101</v>
      </c>
      <c r="D7" s="116">
        <v>0.51</v>
      </c>
      <c r="E7" s="5">
        <f t="shared" si="1"/>
        <v>1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 t="s">
        <v>122</v>
      </c>
      <c r="O7" s="5" t="s">
        <v>124</v>
      </c>
      <c r="P7" s="5" t="s">
        <v>124</v>
      </c>
      <c r="Q7" s="5" t="s">
        <v>125</v>
      </c>
    </row>
    <row r="8">
      <c r="B8" s="5">
        <v>2.0</v>
      </c>
      <c r="C8" s="5" t="s">
        <v>147</v>
      </c>
      <c r="D8" s="116">
        <v>0.03333</v>
      </c>
      <c r="E8" s="5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 t="s">
        <v>122</v>
      </c>
      <c r="O8" s="5" t="s">
        <v>124</v>
      </c>
      <c r="P8" s="5" t="s">
        <v>124</v>
      </c>
      <c r="Q8" s="5" t="s">
        <v>125</v>
      </c>
    </row>
    <row r="9">
      <c r="B9" s="5">
        <v>3.0</v>
      </c>
      <c r="C9" s="5" t="s">
        <v>148</v>
      </c>
      <c r="D9" s="116">
        <v>0.03333</v>
      </c>
      <c r="E9" s="5">
        <f t="shared" si="1"/>
        <v>3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 t="s">
        <v>122</v>
      </c>
      <c r="O9" s="5" t="s">
        <v>124</v>
      </c>
      <c r="P9" s="5" t="s">
        <v>124</v>
      </c>
      <c r="Q9" s="5" t="s">
        <v>125</v>
      </c>
    </row>
    <row r="10">
      <c r="B10" s="5">
        <v>4.0</v>
      </c>
      <c r="C10" s="5" t="s">
        <v>149</v>
      </c>
      <c r="D10" s="116">
        <v>0.03333</v>
      </c>
      <c r="E10" s="5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1.0</v>
      </c>
      <c r="M10" s="5">
        <v>1.0</v>
      </c>
      <c r="N10" s="5" t="s">
        <v>122</v>
      </c>
      <c r="O10" s="5" t="s">
        <v>123</v>
      </c>
      <c r="P10" s="5" t="s">
        <v>124</v>
      </c>
      <c r="Q10" s="5" t="s">
        <v>125</v>
      </c>
    </row>
    <row r="11">
      <c r="B11" s="5">
        <v>5.0</v>
      </c>
      <c r="C11" s="5" t="s">
        <v>150</v>
      </c>
      <c r="D11" s="116">
        <v>0.03333</v>
      </c>
      <c r="E11" s="5">
        <f t="shared" si="1"/>
        <v>3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 t="s">
        <v>122</v>
      </c>
      <c r="O11" s="5" t="s">
        <v>124</v>
      </c>
      <c r="P11" s="5" t="s">
        <v>124</v>
      </c>
      <c r="Q11" s="5" t="s">
        <v>125</v>
      </c>
    </row>
    <row r="12">
      <c r="B12" s="5">
        <v>6.0</v>
      </c>
      <c r="C12" s="5" t="s">
        <v>151</v>
      </c>
      <c r="D12" s="116">
        <v>0.03333</v>
      </c>
      <c r="E12" s="5">
        <f t="shared" si="1"/>
        <v>3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122</v>
      </c>
      <c r="O12" s="5" t="s">
        <v>123</v>
      </c>
      <c r="P12" s="5" t="s">
        <v>124</v>
      </c>
      <c r="Q12" s="5" t="s">
        <v>125</v>
      </c>
    </row>
    <row r="13">
      <c r="B13" s="5">
        <v>7.0</v>
      </c>
      <c r="C13" s="5" t="s">
        <v>152</v>
      </c>
      <c r="D13" s="116">
        <v>0.03333</v>
      </c>
      <c r="E13" s="5">
        <f t="shared" si="1"/>
        <v>3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 t="s">
        <v>122</v>
      </c>
      <c r="O13" s="5" t="s">
        <v>124</v>
      </c>
      <c r="P13" s="5" t="s">
        <v>124</v>
      </c>
      <c r="Q13" s="5" t="s">
        <v>125</v>
      </c>
    </row>
  </sheetData>
  <autoFilter ref="$B$5:$Q$1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102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104</v>
      </c>
      <c r="D6" s="116">
        <v>0.0785714</v>
      </c>
      <c r="E6" s="117">
        <f t="shared" ref="E6:E27" si="1">RANK(D6,$D$6:$D$27)</f>
        <v>1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 t="s">
        <v>122</v>
      </c>
      <c r="O6" s="5" t="s">
        <v>124</v>
      </c>
      <c r="P6" s="5" t="s">
        <v>124</v>
      </c>
      <c r="Q6" s="5" t="s">
        <v>125</v>
      </c>
    </row>
    <row r="7">
      <c r="B7" s="5">
        <v>1.0</v>
      </c>
      <c r="C7" s="5" t="s">
        <v>153</v>
      </c>
      <c r="D7" s="116">
        <v>0.0144444</v>
      </c>
      <c r="E7" s="117">
        <f t="shared" si="1"/>
        <v>17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 t="s">
        <v>122</v>
      </c>
      <c r="O7" s="5" t="s">
        <v>124</v>
      </c>
      <c r="P7" s="5" t="s">
        <v>124</v>
      </c>
      <c r="Q7" s="5" t="s">
        <v>125</v>
      </c>
    </row>
    <row r="8">
      <c r="B8" s="5">
        <v>2.0</v>
      </c>
      <c r="C8" s="5" t="s">
        <v>105</v>
      </c>
      <c r="D8" s="116">
        <v>0.0144444</v>
      </c>
      <c r="E8" s="117">
        <f t="shared" si="1"/>
        <v>17</v>
      </c>
      <c r="F8" s="5">
        <v>54.0</v>
      </c>
      <c r="G8" s="5">
        <v>4092.0</v>
      </c>
      <c r="H8" s="5">
        <v>51.0</v>
      </c>
      <c r="I8" s="5">
        <v>57.0</v>
      </c>
      <c r="J8" s="5">
        <v>4091.0</v>
      </c>
      <c r="K8" s="5">
        <v>4095.0</v>
      </c>
      <c r="L8" s="5">
        <v>1.0</v>
      </c>
      <c r="M8" s="5">
        <v>1.0</v>
      </c>
      <c r="N8" s="5" t="s">
        <v>122</v>
      </c>
      <c r="O8" s="5" t="s">
        <v>123</v>
      </c>
      <c r="P8" s="5" t="s">
        <v>124</v>
      </c>
      <c r="Q8" s="5" t="s">
        <v>125</v>
      </c>
    </row>
    <row r="9">
      <c r="B9" s="5">
        <v>3.0</v>
      </c>
      <c r="C9" s="5" t="s">
        <v>106</v>
      </c>
      <c r="D9" s="116">
        <v>0.0633333</v>
      </c>
      <c r="E9" s="117">
        <f t="shared" si="1"/>
        <v>8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1.0</v>
      </c>
      <c r="M9" s="5">
        <v>1.0</v>
      </c>
      <c r="N9" s="5" t="s">
        <v>122</v>
      </c>
      <c r="O9" s="5" t="s">
        <v>123</v>
      </c>
      <c r="P9" s="5" t="s">
        <v>124</v>
      </c>
      <c r="Q9" s="5" t="s">
        <v>125</v>
      </c>
    </row>
    <row r="10">
      <c r="B10" s="5">
        <v>4.0</v>
      </c>
      <c r="C10" s="5" t="s">
        <v>154</v>
      </c>
      <c r="D10" s="116">
        <v>0.0633333</v>
      </c>
      <c r="E10" s="117">
        <f t="shared" si="1"/>
        <v>8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0.0</v>
      </c>
      <c r="N10" s="5" t="s">
        <v>122</v>
      </c>
      <c r="O10" s="5" t="s">
        <v>123</v>
      </c>
      <c r="P10" s="5" t="s">
        <v>124</v>
      </c>
      <c r="Q10" s="5" t="s">
        <v>125</v>
      </c>
    </row>
    <row r="11">
      <c r="B11" s="5">
        <v>5.0</v>
      </c>
      <c r="C11" s="5" t="s">
        <v>155</v>
      </c>
      <c r="D11" s="116">
        <v>0.0633333</v>
      </c>
      <c r="E11" s="117">
        <f t="shared" si="1"/>
        <v>8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 t="s">
        <v>122</v>
      </c>
      <c r="O11" s="5" t="s">
        <v>138</v>
      </c>
      <c r="P11" s="5" t="s">
        <v>123</v>
      </c>
      <c r="Q11" s="5" t="s">
        <v>125</v>
      </c>
    </row>
    <row r="12">
      <c r="B12" s="5">
        <v>6.0</v>
      </c>
      <c r="C12" s="5" t="s">
        <v>156</v>
      </c>
      <c r="D12" s="116">
        <v>0.0144444</v>
      </c>
      <c r="E12" s="117">
        <f t="shared" si="1"/>
        <v>17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122</v>
      </c>
      <c r="O12" s="5" t="s">
        <v>123</v>
      </c>
      <c r="P12" s="5" t="s">
        <v>124</v>
      </c>
      <c r="Q12" s="5" t="s">
        <v>125</v>
      </c>
    </row>
    <row r="13">
      <c r="B13" s="5">
        <v>7.0</v>
      </c>
      <c r="C13" s="5" t="s">
        <v>157</v>
      </c>
      <c r="D13" s="116">
        <v>0.0144444</v>
      </c>
      <c r="E13" s="117">
        <f t="shared" si="1"/>
        <v>17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 t="s">
        <v>122</v>
      </c>
      <c r="O13" s="5" t="s">
        <v>124</v>
      </c>
      <c r="P13" s="5" t="s">
        <v>124</v>
      </c>
      <c r="Q13" s="5" t="s">
        <v>125</v>
      </c>
    </row>
    <row r="14">
      <c r="B14" s="5">
        <v>8.0</v>
      </c>
      <c r="C14" s="5" t="s">
        <v>158</v>
      </c>
      <c r="D14" s="116">
        <v>0.0144444</v>
      </c>
      <c r="E14" s="117">
        <f t="shared" si="1"/>
        <v>17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 t="s">
        <v>122</v>
      </c>
      <c r="O14" s="5" t="s">
        <v>124</v>
      </c>
      <c r="P14" s="5" t="s">
        <v>124</v>
      </c>
      <c r="Q14" s="5" t="s">
        <v>125</v>
      </c>
    </row>
    <row r="15">
      <c r="B15" s="5">
        <v>9.0</v>
      </c>
      <c r="C15" s="5" t="s">
        <v>159</v>
      </c>
      <c r="D15" s="116">
        <v>0.0144444</v>
      </c>
      <c r="E15" s="117">
        <f t="shared" si="1"/>
        <v>17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1.0</v>
      </c>
      <c r="M15" s="5">
        <v>1.0</v>
      </c>
      <c r="N15" s="5" t="s">
        <v>122</v>
      </c>
      <c r="O15" s="5" t="s">
        <v>123</v>
      </c>
      <c r="P15" s="5" t="s">
        <v>124</v>
      </c>
      <c r="Q15" s="5" t="s">
        <v>125</v>
      </c>
    </row>
    <row r="16">
      <c r="B16" s="5">
        <v>10.0</v>
      </c>
      <c r="C16" s="5" t="s">
        <v>160</v>
      </c>
      <c r="D16" s="116">
        <v>0.0288889</v>
      </c>
      <c r="E16" s="117">
        <f t="shared" si="1"/>
        <v>11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1.0</v>
      </c>
      <c r="N16" s="5" t="s">
        <v>122</v>
      </c>
      <c r="O16" s="5" t="s">
        <v>138</v>
      </c>
      <c r="P16" s="5" t="s">
        <v>123</v>
      </c>
      <c r="Q16" s="5" t="s">
        <v>125</v>
      </c>
    </row>
    <row r="17">
      <c r="B17" s="5">
        <v>11.0</v>
      </c>
      <c r="C17" s="5" t="s">
        <v>161</v>
      </c>
      <c r="D17" s="116">
        <v>0.0785714</v>
      </c>
      <c r="E17" s="117">
        <f t="shared" si="1"/>
        <v>1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 t="s">
        <v>122</v>
      </c>
      <c r="O17" s="5" t="s">
        <v>124</v>
      </c>
      <c r="P17" s="5" t="s">
        <v>124</v>
      </c>
      <c r="Q17" s="5" t="s">
        <v>125</v>
      </c>
    </row>
    <row r="18">
      <c r="B18" s="5">
        <v>12.0</v>
      </c>
      <c r="C18" s="5" t="s">
        <v>103</v>
      </c>
      <c r="D18" s="116">
        <v>0.0288889</v>
      </c>
      <c r="E18" s="117">
        <f t="shared" si="1"/>
        <v>11</v>
      </c>
      <c r="F18" s="5">
        <v>54.0</v>
      </c>
      <c r="G18" s="5">
        <v>4092.0</v>
      </c>
      <c r="H18" s="5">
        <v>51.0</v>
      </c>
      <c r="I18" s="5">
        <v>57.0</v>
      </c>
      <c r="J18" s="5">
        <v>4091.0</v>
      </c>
      <c r="K18" s="5">
        <v>4095.0</v>
      </c>
      <c r="L18" s="5">
        <v>0.0</v>
      </c>
      <c r="M18" s="5">
        <v>1.0</v>
      </c>
      <c r="N18" s="5" t="s">
        <v>122</v>
      </c>
      <c r="O18" s="5" t="s">
        <v>129</v>
      </c>
      <c r="P18" s="5" t="s">
        <v>129</v>
      </c>
      <c r="Q18" s="5" t="s">
        <v>125</v>
      </c>
    </row>
    <row r="19">
      <c r="B19" s="5">
        <v>13.0</v>
      </c>
      <c r="C19" s="5" t="s">
        <v>162</v>
      </c>
      <c r="D19" s="116">
        <v>0.0785714</v>
      </c>
      <c r="E19" s="117">
        <f t="shared" si="1"/>
        <v>1</v>
      </c>
      <c r="F19" s="5">
        <v>54.0</v>
      </c>
      <c r="G19" s="5">
        <v>4092.0</v>
      </c>
      <c r="H19" s="5">
        <v>51.0</v>
      </c>
      <c r="I19" s="5">
        <v>57.0</v>
      </c>
      <c r="J19" s="5">
        <v>4091.0</v>
      </c>
      <c r="K19" s="5">
        <v>4095.0</v>
      </c>
      <c r="L19" s="5">
        <v>0.0</v>
      </c>
      <c r="M19" s="5">
        <v>1.0</v>
      </c>
      <c r="N19" s="5" t="s">
        <v>122</v>
      </c>
      <c r="O19" s="5" t="s">
        <v>129</v>
      </c>
      <c r="P19" s="5" t="s">
        <v>129</v>
      </c>
      <c r="Q19" s="5" t="s">
        <v>125</v>
      </c>
    </row>
    <row r="20">
      <c r="B20" s="5">
        <v>14.0</v>
      </c>
      <c r="C20" s="5" t="s">
        <v>163</v>
      </c>
      <c r="D20" s="116">
        <v>0.0288889</v>
      </c>
      <c r="E20" s="117">
        <f t="shared" si="1"/>
        <v>11</v>
      </c>
      <c r="F20" s="5">
        <v>54.0</v>
      </c>
      <c r="G20" s="5">
        <v>4092.0</v>
      </c>
      <c r="H20" s="5">
        <v>51.0</v>
      </c>
      <c r="I20" s="5">
        <v>57.0</v>
      </c>
      <c r="J20" s="5">
        <v>4091.0</v>
      </c>
      <c r="K20" s="5">
        <v>4095.0</v>
      </c>
      <c r="L20" s="5">
        <v>1.0</v>
      </c>
      <c r="M20" s="5">
        <v>1.0</v>
      </c>
      <c r="N20" s="5" t="s">
        <v>122</v>
      </c>
      <c r="O20" s="5" t="s">
        <v>123</v>
      </c>
      <c r="P20" s="5" t="s">
        <v>124</v>
      </c>
      <c r="Q20" s="5" t="s">
        <v>125</v>
      </c>
    </row>
    <row r="21">
      <c r="B21" s="5">
        <v>15.0</v>
      </c>
      <c r="C21" s="5" t="s">
        <v>164</v>
      </c>
      <c r="D21" s="116">
        <v>0.0288889</v>
      </c>
      <c r="E21" s="117">
        <f t="shared" si="1"/>
        <v>11</v>
      </c>
      <c r="F21" s="5">
        <v>54.0</v>
      </c>
      <c r="G21" s="5">
        <v>4092.0</v>
      </c>
      <c r="H21" s="5">
        <v>51.0</v>
      </c>
      <c r="I21" s="5">
        <v>57.0</v>
      </c>
      <c r="J21" s="5">
        <v>4091.0</v>
      </c>
      <c r="K21" s="5">
        <v>4095.0</v>
      </c>
      <c r="L21" s="5">
        <v>0.0</v>
      </c>
      <c r="M21" s="5">
        <v>1.0</v>
      </c>
      <c r="N21" s="5" t="s">
        <v>122</v>
      </c>
      <c r="O21" s="5" t="s">
        <v>129</v>
      </c>
      <c r="P21" s="5" t="s">
        <v>129</v>
      </c>
      <c r="Q21" s="5" t="s">
        <v>125</v>
      </c>
    </row>
    <row r="22">
      <c r="B22" s="5">
        <v>16.0</v>
      </c>
      <c r="C22" s="5" t="s">
        <v>165</v>
      </c>
      <c r="D22" s="116">
        <v>0.0785714</v>
      </c>
      <c r="E22" s="117">
        <f t="shared" si="1"/>
        <v>1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1.0</v>
      </c>
      <c r="N22" s="5" t="s">
        <v>122</v>
      </c>
      <c r="O22" s="5" t="s">
        <v>138</v>
      </c>
      <c r="P22" s="5" t="s">
        <v>123</v>
      </c>
      <c r="Q22" s="5" t="s">
        <v>125</v>
      </c>
    </row>
    <row r="23">
      <c r="B23" s="5">
        <v>17.0</v>
      </c>
      <c r="C23" s="5" t="s">
        <v>166</v>
      </c>
      <c r="D23" s="116">
        <v>0.0288889</v>
      </c>
      <c r="E23" s="117">
        <f t="shared" si="1"/>
        <v>11</v>
      </c>
      <c r="F23" s="5">
        <v>54.0</v>
      </c>
      <c r="G23" s="5">
        <v>4092.0</v>
      </c>
      <c r="H23" s="5">
        <v>51.0</v>
      </c>
      <c r="I23" s="5">
        <v>57.0</v>
      </c>
      <c r="J23" s="5">
        <v>4091.0</v>
      </c>
      <c r="K23" s="5">
        <v>4095.0</v>
      </c>
      <c r="L23" s="5">
        <v>0.0</v>
      </c>
      <c r="M23" s="5">
        <v>1.0</v>
      </c>
      <c r="N23" s="5" t="s">
        <v>122</v>
      </c>
      <c r="O23" s="5" t="s">
        <v>129</v>
      </c>
      <c r="P23" s="5" t="s">
        <v>129</v>
      </c>
      <c r="Q23" s="5" t="s">
        <v>125</v>
      </c>
    </row>
    <row r="24">
      <c r="B24" s="5">
        <v>18.0</v>
      </c>
      <c r="C24" s="5" t="s">
        <v>167</v>
      </c>
      <c r="D24" s="116">
        <v>0.0785714</v>
      </c>
      <c r="E24" s="117">
        <f t="shared" si="1"/>
        <v>1</v>
      </c>
      <c r="F24" s="5">
        <v>54.0</v>
      </c>
      <c r="G24" s="5">
        <v>4092.0</v>
      </c>
      <c r="H24" s="5">
        <v>51.0</v>
      </c>
      <c r="I24" s="5">
        <v>57.0</v>
      </c>
      <c r="J24" s="5">
        <v>4091.0</v>
      </c>
      <c r="K24" s="5">
        <v>4095.0</v>
      </c>
      <c r="L24" s="5">
        <v>1.0</v>
      </c>
      <c r="M24" s="5">
        <v>1.0</v>
      </c>
      <c r="N24" s="5" t="s">
        <v>122</v>
      </c>
      <c r="O24" s="5" t="s">
        <v>123</v>
      </c>
      <c r="P24" s="5" t="s">
        <v>124</v>
      </c>
      <c r="Q24" s="5" t="s">
        <v>125</v>
      </c>
    </row>
    <row r="25">
      <c r="B25" s="5">
        <v>19.0</v>
      </c>
      <c r="C25" s="5" t="s">
        <v>168</v>
      </c>
      <c r="D25" s="116">
        <v>0.0288889</v>
      </c>
      <c r="E25" s="117">
        <f t="shared" si="1"/>
        <v>11</v>
      </c>
      <c r="F25" s="5">
        <v>54.0</v>
      </c>
      <c r="G25" s="5">
        <v>4092.0</v>
      </c>
      <c r="H25" s="5">
        <v>51.0</v>
      </c>
      <c r="I25" s="5">
        <v>57.0</v>
      </c>
      <c r="J25" s="5">
        <v>4091.0</v>
      </c>
      <c r="K25" s="5">
        <v>4095.0</v>
      </c>
      <c r="L25" s="5">
        <v>0.0</v>
      </c>
      <c r="M25" s="5">
        <v>1.0</v>
      </c>
      <c r="N25" s="5" t="s">
        <v>122</v>
      </c>
      <c r="O25" s="5" t="s">
        <v>129</v>
      </c>
      <c r="P25" s="5" t="s">
        <v>129</v>
      </c>
      <c r="Q25" s="5" t="s">
        <v>125</v>
      </c>
    </row>
    <row r="26">
      <c r="B26" s="5">
        <v>20.0</v>
      </c>
      <c r="C26" s="5" t="s">
        <v>169</v>
      </c>
      <c r="D26" s="116">
        <v>0.0785714</v>
      </c>
      <c r="E26" s="117">
        <f t="shared" si="1"/>
        <v>1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 t="s">
        <v>122</v>
      </c>
      <c r="O26" s="5" t="s">
        <v>124</v>
      </c>
      <c r="P26" s="5" t="s">
        <v>124</v>
      </c>
      <c r="Q26" s="5" t="s">
        <v>125</v>
      </c>
    </row>
    <row r="27">
      <c r="B27" s="5">
        <v>21.0</v>
      </c>
      <c r="C27" s="5" t="s">
        <v>170</v>
      </c>
      <c r="D27" s="116">
        <v>0.0785714</v>
      </c>
      <c r="E27" s="117">
        <f t="shared" si="1"/>
        <v>1</v>
      </c>
      <c r="F27" s="5">
        <v>54.0</v>
      </c>
      <c r="G27" s="5">
        <v>4092.0</v>
      </c>
      <c r="H27" s="5">
        <v>51.0</v>
      </c>
      <c r="I27" s="5">
        <v>57.0</v>
      </c>
      <c r="J27" s="5">
        <v>4091.0</v>
      </c>
      <c r="K27" s="5">
        <v>4095.0</v>
      </c>
      <c r="L27" s="5">
        <v>1.0</v>
      </c>
      <c r="M27" s="5">
        <v>1.0</v>
      </c>
      <c r="N27" s="5" t="s">
        <v>122</v>
      </c>
      <c r="O27" s="5" t="s">
        <v>123</v>
      </c>
      <c r="P27" s="5" t="s">
        <v>124</v>
      </c>
      <c r="Q27" s="5" t="s">
        <v>125</v>
      </c>
    </row>
  </sheetData>
  <autoFilter ref="$B$5:$Q$2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171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121</v>
      </c>
      <c r="D6" s="116">
        <v>0.08333</v>
      </c>
      <c r="E6" s="117">
        <f t="shared" ref="E6:E16" si="1">RANK(D6,$D$6:$D$16)</f>
        <v>3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1.0</v>
      </c>
      <c r="N6" s="5" t="s">
        <v>122</v>
      </c>
      <c r="O6" s="5" t="s">
        <v>124</v>
      </c>
      <c r="P6" s="5" t="s">
        <v>123</v>
      </c>
      <c r="Q6" s="5" t="s">
        <v>125</v>
      </c>
    </row>
    <row r="7">
      <c r="B7" s="5">
        <v>1.0</v>
      </c>
      <c r="C7" s="5" t="s">
        <v>126</v>
      </c>
      <c r="D7" s="116">
        <v>0.08333</v>
      </c>
      <c r="E7" s="117">
        <f t="shared" si="1"/>
        <v>3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1.0</v>
      </c>
      <c r="N7" s="5" t="s">
        <v>122</v>
      </c>
      <c r="O7" s="5" t="s">
        <v>124</v>
      </c>
      <c r="P7" s="5" t="s">
        <v>123</v>
      </c>
      <c r="Q7" s="5" t="s">
        <v>125</v>
      </c>
    </row>
    <row r="8">
      <c r="B8" s="5">
        <v>2.0</v>
      </c>
      <c r="C8" s="5" t="s">
        <v>127</v>
      </c>
      <c r="D8" s="116">
        <v>0.08333</v>
      </c>
      <c r="E8" s="117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1.0</v>
      </c>
      <c r="N8" s="5" t="s">
        <v>122</v>
      </c>
      <c r="O8" s="5" t="s">
        <v>124</v>
      </c>
      <c r="P8" s="5" t="s">
        <v>123</v>
      </c>
      <c r="Q8" s="5" t="s">
        <v>125</v>
      </c>
    </row>
    <row r="9">
      <c r="B9" s="5">
        <v>3.0</v>
      </c>
      <c r="C9" s="5" t="s">
        <v>128</v>
      </c>
      <c r="D9" s="116">
        <v>0.08333</v>
      </c>
      <c r="E9" s="117">
        <f t="shared" si="1"/>
        <v>3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0.0</v>
      </c>
      <c r="M9" s="5">
        <v>1.0</v>
      </c>
      <c r="N9" s="5" t="s">
        <v>122</v>
      </c>
      <c r="O9" s="5" t="s">
        <v>129</v>
      </c>
      <c r="P9" s="5" t="s">
        <v>129</v>
      </c>
      <c r="Q9" s="5" t="s">
        <v>125</v>
      </c>
    </row>
    <row r="10">
      <c r="B10" s="5">
        <v>4.0</v>
      </c>
      <c r="C10" s="5" t="s">
        <v>130</v>
      </c>
      <c r="D10" s="116">
        <v>0.08333</v>
      </c>
      <c r="E10" s="117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1.0</v>
      </c>
      <c r="N10" s="5" t="s">
        <v>122</v>
      </c>
      <c r="O10" s="5" t="s">
        <v>129</v>
      </c>
      <c r="P10" s="5" t="s">
        <v>129</v>
      </c>
      <c r="Q10" s="5" t="s">
        <v>125</v>
      </c>
    </row>
    <row r="11">
      <c r="B11" s="5">
        <v>5.0</v>
      </c>
      <c r="C11" s="5" t="s">
        <v>131</v>
      </c>
      <c r="D11" s="116">
        <v>0.08333</v>
      </c>
      <c r="E11" s="117">
        <f t="shared" si="1"/>
        <v>3</v>
      </c>
      <c r="F11" s="5">
        <v>0.0</v>
      </c>
      <c r="G11" s="5">
        <v>2038.0</v>
      </c>
      <c r="H11" s="5">
        <v>0.0</v>
      </c>
      <c r="I11" s="5">
        <v>0.0</v>
      </c>
      <c r="J11" s="5">
        <v>0.0</v>
      </c>
      <c r="K11" s="5">
        <v>4091.0</v>
      </c>
      <c r="L11" s="5">
        <v>0.0</v>
      </c>
      <c r="M11" s="5">
        <v>1.0</v>
      </c>
      <c r="N11" s="5" t="s">
        <v>122</v>
      </c>
      <c r="O11" s="5" t="s">
        <v>140</v>
      </c>
      <c r="P11" s="5" t="s">
        <v>123</v>
      </c>
      <c r="Q11" s="5" t="s">
        <v>141</v>
      </c>
    </row>
    <row r="12">
      <c r="B12" s="5">
        <v>6.0</v>
      </c>
      <c r="C12" s="5" t="s">
        <v>132</v>
      </c>
      <c r="D12" s="116">
        <v>0.125</v>
      </c>
      <c r="E12" s="117">
        <f t="shared" si="1"/>
        <v>1</v>
      </c>
      <c r="F12" s="5">
        <v>0.0</v>
      </c>
      <c r="G12" s="5">
        <v>2038.0</v>
      </c>
      <c r="H12" s="5">
        <v>0.0</v>
      </c>
      <c r="I12" s="5">
        <v>0.0</v>
      </c>
      <c r="J12" s="5">
        <v>0.0</v>
      </c>
      <c r="K12" s="5">
        <v>4091.0</v>
      </c>
      <c r="L12" s="5">
        <v>0.0</v>
      </c>
      <c r="M12" s="5">
        <v>1.0</v>
      </c>
      <c r="N12" s="5" t="s">
        <v>122</v>
      </c>
      <c r="O12" s="5" t="s">
        <v>140</v>
      </c>
      <c r="P12" s="5" t="s">
        <v>123</v>
      </c>
      <c r="Q12" s="5" t="s">
        <v>141</v>
      </c>
    </row>
    <row r="13">
      <c r="B13" s="5">
        <v>7.0</v>
      </c>
      <c r="C13" s="5" t="s">
        <v>133</v>
      </c>
      <c r="D13" s="116">
        <v>0.125</v>
      </c>
      <c r="E13" s="117">
        <f t="shared" si="1"/>
        <v>1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1.0</v>
      </c>
      <c r="N13" s="5" t="s">
        <v>122</v>
      </c>
      <c r="O13" s="5" t="s">
        <v>124</v>
      </c>
      <c r="P13" s="5" t="s">
        <v>123</v>
      </c>
      <c r="Q13" s="5" t="s">
        <v>125</v>
      </c>
    </row>
    <row r="14">
      <c r="B14" s="5">
        <v>8.0</v>
      </c>
      <c r="C14" s="5" t="s">
        <v>135</v>
      </c>
      <c r="D14" s="116">
        <v>0.08333</v>
      </c>
      <c r="E14" s="117">
        <f t="shared" si="1"/>
        <v>3</v>
      </c>
      <c r="F14" s="5">
        <v>4092.0</v>
      </c>
      <c r="G14" s="5">
        <v>4093.0</v>
      </c>
      <c r="H14" s="5">
        <v>4092.0</v>
      </c>
      <c r="I14" s="5">
        <v>4092.0</v>
      </c>
      <c r="J14" s="5">
        <v>4093.0</v>
      </c>
      <c r="K14" s="5">
        <v>4093.0</v>
      </c>
      <c r="L14" s="5">
        <v>0.0</v>
      </c>
      <c r="M14" s="5">
        <v>1.0</v>
      </c>
      <c r="N14" s="5" t="s">
        <v>122</v>
      </c>
      <c r="O14" s="5" t="s">
        <v>124</v>
      </c>
      <c r="P14" s="5" t="s">
        <v>123</v>
      </c>
      <c r="Q14" s="5" t="s">
        <v>125</v>
      </c>
    </row>
    <row r="15">
      <c r="B15" s="5">
        <v>9.0</v>
      </c>
      <c r="C15" s="5" t="s">
        <v>136</v>
      </c>
      <c r="D15" s="116">
        <v>0.08333</v>
      </c>
      <c r="E15" s="117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122</v>
      </c>
      <c r="O15" s="5" t="s">
        <v>129</v>
      </c>
      <c r="P15" s="5" t="s">
        <v>129</v>
      </c>
      <c r="Q15" s="5" t="s">
        <v>125</v>
      </c>
    </row>
    <row r="16">
      <c r="B16" s="5">
        <v>10.0</v>
      </c>
      <c r="C16" s="5" t="s">
        <v>137</v>
      </c>
      <c r="D16" s="116">
        <v>0.08333</v>
      </c>
      <c r="E16" s="117">
        <f t="shared" si="1"/>
        <v>3</v>
      </c>
      <c r="F16" s="5">
        <v>4092.0</v>
      </c>
      <c r="G16" s="5">
        <v>4093.0</v>
      </c>
      <c r="H16" s="5">
        <v>4092.0</v>
      </c>
      <c r="I16" s="5">
        <v>4092.0</v>
      </c>
      <c r="J16" s="5">
        <v>5.0</v>
      </c>
      <c r="K16" s="5">
        <v>4093.0</v>
      </c>
      <c r="L16" s="5">
        <v>0.0</v>
      </c>
      <c r="M16" s="5">
        <v>1.0</v>
      </c>
      <c r="N16" s="5" t="s">
        <v>122</v>
      </c>
      <c r="O16" s="5" t="s">
        <v>140</v>
      </c>
      <c r="P16" s="5" t="s">
        <v>123</v>
      </c>
      <c r="Q16" s="5" t="s">
        <v>141</v>
      </c>
    </row>
  </sheetData>
  <autoFilter ref="$B$5:$Q$16"/>
  <drawing r:id="rId1"/>
</worksheet>
</file>