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ers\Arnaldo\Documents\Documentos Toti\Escola Politécnica - USP\Pós-Graduação\Doutorado\14 - Relatórios Técnicos\06 - Estudo de Caso 3\2023 05 19 Revisão 12\"/>
    </mc:Choice>
  </mc:AlternateContent>
  <bookViews>
    <workbookView xWindow="5865" yWindow="165" windowWidth="20730" windowHeight="11760" firstSheet="23" activeTab="24"/>
  </bookViews>
  <sheets>
    <sheet name="Hazard and Risk Analyses" sheetId="37" r:id="rId1"/>
    <sheet name="Safety Requirements - H&amp;R Anal." sheetId="38" r:id="rId2"/>
    <sheet name="Lambda-UC_Diag" sheetId="1" r:id="rId3"/>
    <sheet name="Lambda-UC_Sys" sheetId="16" r:id="rId4"/>
    <sheet name="Lambda-Flash (All)" sheetId="5" r:id="rId5"/>
    <sheet name="Lambda-Resistor (All)" sheetId="19" r:id="rId6"/>
    <sheet name="Lambda-Optocoupler (All)" sheetId="20" r:id="rId7"/>
    <sheet name="Lambda-OR Gate" sheetId="21" r:id="rId8"/>
    <sheet name="Lambda-MOSFET" sheetId="22" r:id="rId9"/>
    <sheet name="Lambda-Fuse" sheetId="23" r:id="rId10"/>
    <sheet name="Lambda-Relay" sheetId="24" r:id="rId11"/>
    <sheet name="Lambda-Diode" sheetId="26" r:id="rId12"/>
    <sheet name="Lambda-Zener" sheetId="18" r:id="rId13"/>
    <sheet name="Lambda-DC DC Converter (All)" sheetId="25" r:id="rId14"/>
    <sheet name="Lambda-Capacitor" sheetId="29" r:id="rId15"/>
    <sheet name="SPICE Simulation Remarks" sheetId="28" r:id="rId16"/>
    <sheet name="FMECA" sheetId="27" r:id="rId17"/>
    <sheet name="Silhouette Thresholds Scenarios" sheetId="31" r:id="rId18"/>
    <sheet name="Silhouette Calculation - 3a" sheetId="32" r:id="rId19"/>
    <sheet name="Silhouette Calculation - 3b" sheetId="33" r:id="rId20"/>
    <sheet name="Silhouette Calculation - 3c" sheetId="34" r:id="rId21"/>
    <sheet name="Silhouette Calculation - 3d" sheetId="35" r:id="rId22"/>
    <sheet name="Max_Std_Deviation" sheetId="39" r:id="rId23"/>
    <sheet name="Components' Data for CSV Files" sheetId="30" r:id="rId24"/>
    <sheet name="Failure Rates" sheetId="6" r:id="rId25"/>
  </sheets>
  <externalReferences>
    <externalReference r:id="rId26"/>
  </externalReferences>
  <definedNames>
    <definedName name="_xlnm._FilterDatabase" localSheetId="23" hidden="1">'Components'' Data for CSV Files'!$A$1:$O$219</definedName>
    <definedName name="_xlnm._FilterDatabase" localSheetId="24" hidden="1">'Failure Rates'!$A$1:$Q$219</definedName>
    <definedName name="_xlnm._FilterDatabase" localSheetId="16" hidden="1">FMECA!$A$2:$AC$220</definedName>
    <definedName name="_xlnm._FilterDatabase" localSheetId="0" hidden="1">'Hazard and Risk Analyses'!$A$2:$L$497</definedName>
    <definedName name="_xlnm._FilterDatabase" localSheetId="10" hidden="1">'Lambda-Relay'!$A$30:$E$58</definedName>
    <definedName name="_xlnm._FilterDatabase" localSheetId="22" hidden="1">Max_Std_Deviation!$A$1:$M$219</definedName>
    <definedName name="_xlnm._FilterDatabase" localSheetId="1" hidden="1">'Safety Requirements - H&amp;R Anal.'!$A$1:$B$27</definedName>
    <definedName name="app" localSheetId="21">#REF!</definedName>
    <definedName name="app">#REF!</definedName>
    <definedName name="applicationdate" localSheetId="16">#REF!</definedName>
    <definedName name="applicationdate" localSheetId="14">#REF!</definedName>
    <definedName name="applicationdate" localSheetId="19">#REF!</definedName>
    <definedName name="applicationdate" localSheetId="20">#REF!</definedName>
    <definedName name="applicationdate" localSheetId="21">#REF!</definedName>
    <definedName name="applicationdate">#REF!</definedName>
    <definedName name="arrumado" localSheetId="16">#REF!</definedName>
    <definedName name="arrumado" localSheetId="14">#REF!</definedName>
    <definedName name="arrumado" localSheetId="19">#REF!</definedName>
    <definedName name="arrumado" localSheetId="20">#REF!</definedName>
    <definedName name="arrumado" localSheetId="21">#REF!</definedName>
    <definedName name="arrumado">#REF!</definedName>
    <definedName name="cdcdcdc" localSheetId="16">#REF!</definedName>
    <definedName name="cdcdcdc" localSheetId="14">#REF!</definedName>
    <definedName name="cdcdcdc" localSheetId="19">#REF!</definedName>
    <definedName name="cdcdcdc" localSheetId="20">#REF!</definedName>
    <definedName name="cdcdcdc" localSheetId="21">#REF!</definedName>
    <definedName name="cdcdcdc">#REF!</definedName>
    <definedName name="Date" localSheetId="16">#REF!</definedName>
    <definedName name="Date" localSheetId="14">#REF!</definedName>
    <definedName name="Date" localSheetId="19">#REF!</definedName>
    <definedName name="Date" localSheetId="20">#REF!</definedName>
    <definedName name="Date" localSheetId="21">#REF!</definedName>
    <definedName name="Date">#REF!</definedName>
    <definedName name="fff" localSheetId="16">#REF!</definedName>
    <definedName name="fff" localSheetId="14">#REF!</definedName>
    <definedName name="fff" localSheetId="19">#REF!</definedName>
    <definedName name="fff" localSheetId="20">#REF!</definedName>
    <definedName name="fff" localSheetId="21">#REF!</definedName>
    <definedName name="fff">#REF!</definedName>
    <definedName name="InputZoneA">'[1]Input Form'!$C$2,'[1]Input Form'!$C$7:$C$17,'[1]Input Form'!$E$9,'[1]Input Form'!$H$7:$H$8,'[1]Input Form'!$H$9,'[1]Input Form'!$J$6,'[1]Input Form'!$H$13:$H$14,'[1]Input Form'!$H$16:$H$17,'[1]Input Form'!$J$13:$K$17,'[1]Input Form'!$K$18,'[1]Input Form'!$J$18,'[1]Input Form'!$D$19,'[1]Input Form'!$D$19:$D$20,'[1]Input Form'!$D$21:$F$23,'[1]Input Form'!$H$20:$H$23,'[1]Input Form'!$B$25:$H$30</definedName>
    <definedName name="InputZoneB">'[1]Input Form'!$D$66:$E$66,'[1]Input Form'!$C$95:$G$100,'[1]Input Form'!$E$91:$G$94,'[1]Input Form'!$J$91:$K$100,'[1]Input Form'!$P$91,'[1]Input Form'!$A$45,'[1]Input Form'!$E$9,'[1]Input Form'!$I$91:$I$100,'[1]Input Form'!$I$63:$I$64</definedName>
    <definedName name="InputZoneC">'[1]Input Form'!$D$39:$H$39,'[1]Input Form'!$I$39:$J$39,'[1]Input Form'!$D$42:$G$42,'[1]Input Form'!$H$42:$H$43,'[1]Input Form'!$I$42:$J$43,'[1]Input Form'!$D$45,'[1]Input Form'!$D$57:$G$57,'[1]Input Form'!$H$57:$J$58,'[1]Input Form'!$I$60:$J$60</definedName>
    <definedName name="InputZoneD">'[1]Input Form'!$E$45:$G$45,'[1]Input Form'!$H$45:$J$46</definedName>
    <definedName name="InputZoneE">'[1]Input Form'!$D$48:$G$48,'[1]Input Form'!$H$48:$J$49,'[1]Input Form'!$D$51:$G$51</definedName>
    <definedName name="InputZoneF">'[1]Input Form'!$H$51:$J$52,'[1]Input Form'!$D$54:$G$54,'[1]Input Form'!$H$54:$J$55</definedName>
    <definedName name="InputZoneG">'[1]Input Form'!$A$39,'[1]Input Form'!$A$42,'[1]Input Form'!$A$45,'[1]Input Form'!$A$48,'[1]Input Form'!$A$51,'[1]Input Form'!$A$54,'[1]Input Form'!$B$54,'[1]Input Form'!$D$39,'[1]Input Form'!$D$39:$G$39,'[1]Input Form'!$D$42:$G$42,'[1]Input Form'!$D$45:$G$45,'[1]Input Form'!$D$48:$G$48,'[1]Input Form'!$D$51:$G$51,'[1]Input Form'!$D$54:$G$54,'[1]Input Form'!$H$39,'[1]Input Form'!$H$42,'[1]Input Form'!$H$45,'[1]Input Form'!$H$48,'[1]Input Form'!$H$51,'[1]Input Form'!$H$54,'[1]Input Form'!$H$57,'[1]Input Form'!$I$39,'[1]Input Form'!$I$42,'[1]Input Form'!$I$45,'[1]Input Form'!$I$48,'[1]Input Form'!$I$51,'[1]Input Form'!$I$54,'[1]Input Form'!$I$57,'[1]Input Form'!$I$60,'[1]Input Form'!$J$60,'[1]Input Form'!$J$57,'[1]Input Form'!$J$54,'[1]Input Form'!$J$51,'[1]Input Form'!$J$48,'[1]Input Form'!$J$45</definedName>
    <definedName name="Internal_Standard" localSheetId="16">#REF!</definedName>
    <definedName name="Internal_Standard" localSheetId="14">#REF!</definedName>
    <definedName name="Internal_Standard" localSheetId="19">#REF!</definedName>
    <definedName name="Internal_Standard" localSheetId="20">#REF!</definedName>
    <definedName name="Internal_Standard" localSheetId="21">#REF!</definedName>
    <definedName name="Internal_Standard">#REF!</definedName>
    <definedName name="KM" localSheetId="16">#REF!</definedName>
    <definedName name="KM" localSheetId="14">#REF!</definedName>
    <definedName name="KM" localSheetId="19">#REF!</definedName>
    <definedName name="KM" localSheetId="20">#REF!</definedName>
    <definedName name="KM" localSheetId="21">#REF!</definedName>
    <definedName name="KM">#REF!</definedName>
    <definedName name="KMRama" localSheetId="16">#REF!</definedName>
    <definedName name="KMRama" localSheetId="14">#REF!</definedName>
    <definedName name="KMRama" localSheetId="19">#REF!</definedName>
    <definedName name="KMRama" localSheetId="20">#REF!</definedName>
    <definedName name="KMRama" localSheetId="21">#REF!</definedName>
    <definedName name="KMRama">#REF!</definedName>
    <definedName name="LBS" localSheetId="16">#REF!</definedName>
    <definedName name="LBS" localSheetId="14">#REF!</definedName>
    <definedName name="LBS" localSheetId="19">#REF!</definedName>
    <definedName name="LBS" localSheetId="20">#REF!</definedName>
    <definedName name="LBS" localSheetId="21">#REF!</definedName>
    <definedName name="LBS">#REF!</definedName>
    <definedName name="project" localSheetId="16">#REF!</definedName>
    <definedName name="project" localSheetId="14">#REF!</definedName>
    <definedName name="project" localSheetId="19">#REF!</definedName>
    <definedName name="project" localSheetId="20">#REF!</definedName>
    <definedName name="project" localSheetId="21">#REF!</definedName>
    <definedName name="project">#REF!</definedName>
    <definedName name="projet" localSheetId="16">#REF!</definedName>
    <definedName name="projet" localSheetId="14">#REF!</definedName>
    <definedName name="projet" localSheetId="19">#REF!</definedName>
    <definedName name="projet" localSheetId="20">#REF!</definedName>
    <definedName name="projet" localSheetId="21">#REF!</definedName>
    <definedName name="projet">#REF!</definedName>
    <definedName name="rate" localSheetId="16">#REF!</definedName>
    <definedName name="rate" localSheetId="14">#REF!</definedName>
    <definedName name="rate" localSheetId="19">#REF!</definedName>
    <definedName name="rate" localSheetId="20">#REF!</definedName>
    <definedName name="rate" localSheetId="21">#REF!</definedName>
    <definedName name="rate">#REF!</definedName>
    <definedName name="reference" localSheetId="16">#REF!</definedName>
    <definedName name="reference" localSheetId="14">#REF!</definedName>
    <definedName name="reference" localSheetId="19">#REF!</definedName>
    <definedName name="reference" localSheetId="20">#REF!</definedName>
    <definedName name="reference" localSheetId="21">#REF!</definedName>
    <definedName name="reference">#REF!</definedName>
    <definedName name="step1fonction" localSheetId="16">#REF!</definedName>
    <definedName name="step1fonction" localSheetId="14">#REF!</definedName>
    <definedName name="step1fonction" localSheetId="19">#REF!</definedName>
    <definedName name="step1fonction" localSheetId="20">#REF!</definedName>
    <definedName name="step1fonction" localSheetId="21">#REF!</definedName>
    <definedName name="step1fonction">#REF!</definedName>
    <definedName name="step1function" localSheetId="16">#REF!</definedName>
    <definedName name="step1function" localSheetId="14">#REF!</definedName>
    <definedName name="step1function" localSheetId="19">#REF!</definedName>
    <definedName name="step1function" localSheetId="20">#REF!</definedName>
    <definedName name="step1function" localSheetId="21">#REF!</definedName>
    <definedName name="step1function">#REF!</definedName>
    <definedName name="step1name" localSheetId="16">#REF!</definedName>
    <definedName name="step1name" localSheetId="14">#REF!</definedName>
    <definedName name="step1name" localSheetId="19">#REF!</definedName>
    <definedName name="step1name" localSheetId="20">#REF!</definedName>
    <definedName name="step1name" localSheetId="21">#REF!</definedName>
    <definedName name="step1name">#REF!</definedName>
    <definedName name="step1signature" localSheetId="16">#REF!</definedName>
    <definedName name="step1signature" localSheetId="14">#REF!</definedName>
    <definedName name="step1signature" localSheetId="19">#REF!</definedName>
    <definedName name="step1signature" localSheetId="20">#REF!</definedName>
    <definedName name="step1signature" localSheetId="21">#REF!</definedName>
    <definedName name="step1signature">#REF!</definedName>
    <definedName name="step2fonction" localSheetId="16">#REF!</definedName>
    <definedName name="step2fonction" localSheetId="14">#REF!</definedName>
    <definedName name="step2fonction" localSheetId="19">#REF!</definedName>
    <definedName name="step2fonction" localSheetId="20">#REF!</definedName>
    <definedName name="step2fonction" localSheetId="21">#REF!</definedName>
    <definedName name="step2fonction">#REF!</definedName>
    <definedName name="step2function" localSheetId="16">#REF!</definedName>
    <definedName name="step2function" localSheetId="14">#REF!</definedName>
    <definedName name="step2function" localSheetId="19">#REF!</definedName>
    <definedName name="step2function" localSheetId="20">#REF!</definedName>
    <definedName name="step2function" localSheetId="21">#REF!</definedName>
    <definedName name="step2function">#REF!</definedName>
    <definedName name="step2name" localSheetId="16">#REF!</definedName>
    <definedName name="step2name" localSheetId="14">#REF!</definedName>
    <definedName name="step2name" localSheetId="19">#REF!</definedName>
    <definedName name="step2name" localSheetId="20">#REF!</definedName>
    <definedName name="step2name" localSheetId="21">#REF!</definedName>
    <definedName name="step2name">#REF!</definedName>
    <definedName name="step2signature" localSheetId="16">#REF!</definedName>
    <definedName name="step2signature" localSheetId="14">#REF!</definedName>
    <definedName name="step2signature" localSheetId="19">#REF!</definedName>
    <definedName name="step2signature" localSheetId="20">#REF!</definedName>
    <definedName name="step2signature" localSheetId="21">#REF!</definedName>
    <definedName name="step2signature">#REF!</definedName>
    <definedName name="step3fonction" localSheetId="16">#REF!</definedName>
    <definedName name="step3fonction" localSheetId="14">#REF!</definedName>
    <definedName name="step3fonction" localSheetId="19">#REF!</definedName>
    <definedName name="step3fonction" localSheetId="20">#REF!</definedName>
    <definedName name="step3fonction" localSheetId="21">#REF!</definedName>
    <definedName name="step3fonction">#REF!</definedName>
    <definedName name="step3function" localSheetId="16">#REF!</definedName>
    <definedName name="step3function" localSheetId="14">#REF!</definedName>
    <definedName name="step3function" localSheetId="19">#REF!</definedName>
    <definedName name="step3function" localSheetId="20">#REF!</definedName>
    <definedName name="step3function" localSheetId="21">#REF!</definedName>
    <definedName name="step3function">#REF!</definedName>
    <definedName name="step3name" localSheetId="16">#REF!</definedName>
    <definedName name="step3name" localSheetId="14">#REF!</definedName>
    <definedName name="step3name" localSheetId="19">#REF!</definedName>
    <definedName name="step3name" localSheetId="20">#REF!</definedName>
    <definedName name="step3name" localSheetId="21">#REF!</definedName>
    <definedName name="step3name">#REF!</definedName>
    <definedName name="step3signature" localSheetId="16">#REF!</definedName>
    <definedName name="step3signature" localSheetId="14">#REF!</definedName>
    <definedName name="step3signature" localSheetId="19">#REF!</definedName>
    <definedName name="step3signature" localSheetId="20">#REF!</definedName>
    <definedName name="step3signature" localSheetId="21">#REF!</definedName>
    <definedName name="step3signature">#REF!</definedName>
    <definedName name="title" localSheetId="16">#REF!</definedName>
    <definedName name="title" localSheetId="14">#REF!</definedName>
    <definedName name="title" localSheetId="19">#REF!</definedName>
    <definedName name="title" localSheetId="20">#REF!</definedName>
    <definedName name="title" localSheetId="21">#REF!</definedName>
    <definedName name="title">#REF!</definedName>
    <definedName name="type" localSheetId="16">#REF!</definedName>
    <definedName name="type" localSheetId="14">#REF!</definedName>
    <definedName name="type" localSheetId="19">#REF!</definedName>
    <definedName name="type" localSheetId="20">#REF!</definedName>
    <definedName name="type" localSheetId="21">#REF!</definedName>
    <definedName name="type">#REF!</definedName>
    <definedName name="Vale" localSheetId="16">#REF!</definedName>
    <definedName name="Vale" localSheetId="14">#REF!</definedName>
    <definedName name="Vale" localSheetId="19">#REF!</definedName>
    <definedName name="Vale" localSheetId="20">#REF!</definedName>
    <definedName name="Vale" localSheetId="21">#REF!</definedName>
    <definedName name="Vale">#REF!</definedName>
    <definedName name="version" localSheetId="16">#REF!</definedName>
    <definedName name="version" localSheetId="14">#REF!</definedName>
    <definedName name="version" localSheetId="19">#REF!</definedName>
    <definedName name="version" localSheetId="20">#REF!</definedName>
    <definedName name="version" localSheetId="21">#REF!</definedName>
    <definedName name="version">#REF!</definedName>
  </definedNames>
  <calcPr calcId="152511"/>
</workbook>
</file>

<file path=xl/calcChain.xml><?xml version="1.0" encoding="utf-8"?>
<calcChain xmlns="http://schemas.openxmlformats.org/spreadsheetml/2006/main">
  <c r="P32" i="6" l="1"/>
  <c r="P68" i="6"/>
  <c r="M15" i="6"/>
  <c r="M33" i="6"/>
  <c r="M88" i="6"/>
  <c r="M124" i="6"/>
  <c r="M159" i="6"/>
  <c r="M174" i="6"/>
  <c r="M192" i="6"/>
  <c r="M210" i="6"/>
  <c r="A218" i="6"/>
  <c r="B218" i="6"/>
  <c r="C218" i="6"/>
  <c r="D218" i="6"/>
  <c r="E218" i="6"/>
  <c r="M218" i="6" s="1"/>
  <c r="G218" i="6"/>
  <c r="N218" i="6" s="1"/>
  <c r="H218" i="6"/>
  <c r="A3" i="6"/>
  <c r="B3" i="6"/>
  <c r="C3" i="6"/>
  <c r="D3" i="6"/>
  <c r="E3" i="6"/>
  <c r="G3" i="6"/>
  <c r="M3" i="6" s="1"/>
  <c r="H3" i="6"/>
  <c r="O3" i="6" s="1"/>
  <c r="L3" i="6"/>
  <c r="A4" i="6"/>
  <c r="B4" i="6"/>
  <c r="C4" i="6"/>
  <c r="D4" i="6"/>
  <c r="E4" i="6"/>
  <c r="G4" i="6"/>
  <c r="H4" i="6"/>
  <c r="Q4" i="6" s="1"/>
  <c r="L4" i="6"/>
  <c r="A5" i="6"/>
  <c r="B5" i="6"/>
  <c r="C5" i="6"/>
  <c r="D5" i="6"/>
  <c r="E5" i="6"/>
  <c r="G5" i="6"/>
  <c r="H5" i="6"/>
  <c r="O5" i="6"/>
  <c r="Q5" i="6"/>
  <c r="A6" i="6"/>
  <c r="B6" i="6"/>
  <c r="C6" i="6"/>
  <c r="D6" i="6"/>
  <c r="E6" i="6"/>
  <c r="G6" i="6"/>
  <c r="H6" i="6"/>
  <c r="O6" i="6" s="1"/>
  <c r="A7" i="6"/>
  <c r="B7" i="6"/>
  <c r="C7" i="6"/>
  <c r="D7" i="6"/>
  <c r="E7" i="6"/>
  <c r="J7" i="6" s="1"/>
  <c r="G7" i="6"/>
  <c r="H7" i="6"/>
  <c r="A8" i="6"/>
  <c r="B8" i="6"/>
  <c r="C8" i="6"/>
  <c r="D8" i="6"/>
  <c r="E8" i="6"/>
  <c r="G8" i="6"/>
  <c r="H8" i="6"/>
  <c r="L8" i="6"/>
  <c r="A9" i="6"/>
  <c r="B9" i="6"/>
  <c r="C9" i="6"/>
  <c r="D9" i="6"/>
  <c r="E9" i="6"/>
  <c r="M9" i="6" s="1"/>
  <c r="G9" i="6"/>
  <c r="H9" i="6"/>
  <c r="O9" i="6" s="1"/>
  <c r="A10" i="6"/>
  <c r="B10" i="6"/>
  <c r="C10" i="6"/>
  <c r="D10" i="6"/>
  <c r="E10" i="6"/>
  <c r="I10" i="6" s="1"/>
  <c r="G10" i="6"/>
  <c r="H10" i="6"/>
  <c r="A11" i="6"/>
  <c r="B11" i="6"/>
  <c r="C11" i="6"/>
  <c r="D11" i="6"/>
  <c r="E11" i="6"/>
  <c r="G11" i="6"/>
  <c r="H11" i="6"/>
  <c r="Q11" i="6" s="1"/>
  <c r="K11" i="6"/>
  <c r="O11" i="6"/>
  <c r="A12" i="6"/>
  <c r="B12" i="6"/>
  <c r="C12" i="6"/>
  <c r="D12" i="6"/>
  <c r="E12" i="6"/>
  <c r="G12" i="6"/>
  <c r="H12" i="6"/>
  <c r="O12" i="6" s="1"/>
  <c r="A13" i="6"/>
  <c r="B13" i="6"/>
  <c r="C13" i="6"/>
  <c r="D13" i="6"/>
  <c r="E13" i="6"/>
  <c r="G13" i="6"/>
  <c r="H13" i="6"/>
  <c r="Q13" i="6" s="1"/>
  <c r="A14" i="6"/>
  <c r="B14" i="6"/>
  <c r="C14" i="6"/>
  <c r="D14" i="6"/>
  <c r="E14" i="6"/>
  <c r="G14" i="6"/>
  <c r="H14" i="6"/>
  <c r="Q14" i="6" s="1"/>
  <c r="A15" i="6"/>
  <c r="B15" i="6"/>
  <c r="C15" i="6"/>
  <c r="D15" i="6"/>
  <c r="E15" i="6"/>
  <c r="G15" i="6"/>
  <c r="H15" i="6"/>
  <c r="A16" i="6"/>
  <c r="B16" i="6"/>
  <c r="C16" i="6"/>
  <c r="D16" i="6"/>
  <c r="E16" i="6"/>
  <c r="G16" i="6"/>
  <c r="H16" i="6"/>
  <c r="Q16" i="6" s="1"/>
  <c r="O16" i="6"/>
  <c r="A17" i="6"/>
  <c r="B17" i="6"/>
  <c r="C17" i="6"/>
  <c r="D17" i="6"/>
  <c r="E17" i="6"/>
  <c r="G17" i="6"/>
  <c r="K17" i="6" s="1"/>
  <c r="H17" i="6"/>
  <c r="Q17" i="6" s="1"/>
  <c r="O17" i="6"/>
  <c r="A18" i="6"/>
  <c r="B18" i="6"/>
  <c r="C18" i="6"/>
  <c r="D18" i="6"/>
  <c r="E18" i="6"/>
  <c r="M18" i="6" s="1"/>
  <c r="G18" i="6"/>
  <c r="H18" i="6"/>
  <c r="A19" i="6"/>
  <c r="B19" i="6"/>
  <c r="C19" i="6"/>
  <c r="D19" i="6"/>
  <c r="E19" i="6"/>
  <c r="G19" i="6"/>
  <c r="K19" i="6" s="1"/>
  <c r="H19" i="6"/>
  <c r="Q19" i="6" s="1"/>
  <c r="O19" i="6"/>
  <c r="A20" i="6"/>
  <c r="B20" i="6"/>
  <c r="C20" i="6"/>
  <c r="J20" i="6" s="1"/>
  <c r="D20" i="6"/>
  <c r="E20" i="6"/>
  <c r="P20" i="6" s="1"/>
  <c r="G20" i="6"/>
  <c r="H20" i="6"/>
  <c r="O20" i="6" s="1"/>
  <c r="Q20" i="6"/>
  <c r="A21" i="6"/>
  <c r="B21" i="6"/>
  <c r="C21" i="6"/>
  <c r="D21" i="6"/>
  <c r="E21" i="6"/>
  <c r="G21" i="6"/>
  <c r="H21" i="6"/>
  <c r="A22" i="6"/>
  <c r="B22" i="6"/>
  <c r="C22" i="6"/>
  <c r="D22" i="6"/>
  <c r="E22" i="6"/>
  <c r="G22" i="6"/>
  <c r="H22" i="6"/>
  <c r="Q22" i="6" s="1"/>
  <c r="O22" i="6"/>
  <c r="A23" i="6"/>
  <c r="B23" i="6"/>
  <c r="C23" i="6"/>
  <c r="D23" i="6"/>
  <c r="E23" i="6"/>
  <c r="G23" i="6"/>
  <c r="H23" i="6"/>
  <c r="O23" i="6" s="1"/>
  <c r="A24" i="6"/>
  <c r="B24" i="6"/>
  <c r="C24" i="6"/>
  <c r="D24" i="6"/>
  <c r="E24" i="6"/>
  <c r="G24" i="6"/>
  <c r="H24" i="6"/>
  <c r="A25" i="6"/>
  <c r="B25" i="6"/>
  <c r="C25" i="6"/>
  <c r="D25" i="6"/>
  <c r="E25" i="6"/>
  <c r="G25" i="6"/>
  <c r="H25" i="6"/>
  <c r="Q25" i="6" s="1"/>
  <c r="A26" i="6"/>
  <c r="B26" i="6"/>
  <c r="C26" i="6"/>
  <c r="D26" i="6"/>
  <c r="E26" i="6"/>
  <c r="G26" i="6"/>
  <c r="H26" i="6"/>
  <c r="O26" i="6" s="1"/>
  <c r="L26" i="6"/>
  <c r="Q26" i="6"/>
  <c r="A27" i="6"/>
  <c r="B27" i="6"/>
  <c r="C27" i="6"/>
  <c r="D27" i="6"/>
  <c r="E27" i="6"/>
  <c r="G27" i="6"/>
  <c r="H27" i="6"/>
  <c r="A28" i="6"/>
  <c r="B28" i="6"/>
  <c r="C28" i="6"/>
  <c r="D28" i="6"/>
  <c r="E28" i="6"/>
  <c r="G28" i="6"/>
  <c r="H28" i="6"/>
  <c r="Q28" i="6" s="1"/>
  <c r="O28" i="6"/>
  <c r="A29" i="6"/>
  <c r="B29" i="6"/>
  <c r="C29" i="6"/>
  <c r="D29" i="6"/>
  <c r="E29" i="6"/>
  <c r="G29" i="6"/>
  <c r="H29" i="6"/>
  <c r="Q29" i="6"/>
  <c r="A30" i="6"/>
  <c r="B30" i="6"/>
  <c r="C30" i="6"/>
  <c r="D30" i="6"/>
  <c r="E30" i="6"/>
  <c r="M30" i="6" s="1"/>
  <c r="G30" i="6"/>
  <c r="H30" i="6"/>
  <c r="A31" i="6"/>
  <c r="B31" i="6"/>
  <c r="C31" i="6"/>
  <c r="D31" i="6"/>
  <c r="E31" i="6"/>
  <c r="G31" i="6"/>
  <c r="H31" i="6"/>
  <c r="Q31" i="6" s="1"/>
  <c r="A32" i="6"/>
  <c r="B32" i="6"/>
  <c r="C32" i="6"/>
  <c r="D32" i="6"/>
  <c r="E32" i="6"/>
  <c r="G32" i="6"/>
  <c r="H32" i="6"/>
  <c r="O32" i="6" s="1"/>
  <c r="Q32" i="6"/>
  <c r="A33" i="6"/>
  <c r="B33" i="6"/>
  <c r="C33" i="6"/>
  <c r="D33" i="6"/>
  <c r="E33" i="6"/>
  <c r="G33" i="6"/>
  <c r="H33" i="6"/>
  <c r="A34" i="6"/>
  <c r="B34" i="6"/>
  <c r="C34" i="6"/>
  <c r="D34" i="6"/>
  <c r="E34" i="6"/>
  <c r="G34" i="6"/>
  <c r="H34" i="6"/>
  <c r="Q34" i="6" s="1"/>
  <c r="A35" i="6"/>
  <c r="B35" i="6"/>
  <c r="C35" i="6"/>
  <c r="D35" i="6"/>
  <c r="E35" i="6"/>
  <c r="G35" i="6"/>
  <c r="H35" i="6"/>
  <c r="O35" i="6" s="1"/>
  <c r="A36" i="6"/>
  <c r="B36" i="6"/>
  <c r="C36" i="6"/>
  <c r="D36" i="6"/>
  <c r="E36" i="6"/>
  <c r="G36" i="6"/>
  <c r="H36" i="6"/>
  <c r="J36" i="6"/>
  <c r="A37" i="6"/>
  <c r="B37" i="6"/>
  <c r="C37" i="6"/>
  <c r="D37" i="6"/>
  <c r="E37" i="6"/>
  <c r="G37" i="6"/>
  <c r="H37" i="6"/>
  <c r="Q37" i="6" s="1"/>
  <c r="I37" i="6"/>
  <c r="A38" i="6"/>
  <c r="B38" i="6"/>
  <c r="C38" i="6"/>
  <c r="D38" i="6"/>
  <c r="E38" i="6"/>
  <c r="G38" i="6"/>
  <c r="H38" i="6"/>
  <c r="Q38" i="6"/>
  <c r="A39" i="6"/>
  <c r="B39" i="6"/>
  <c r="C39" i="6"/>
  <c r="D39" i="6"/>
  <c r="E39" i="6"/>
  <c r="G39" i="6"/>
  <c r="H39" i="6"/>
  <c r="A40" i="6"/>
  <c r="B40" i="6"/>
  <c r="C40" i="6"/>
  <c r="D40" i="6"/>
  <c r="E40" i="6"/>
  <c r="G40" i="6"/>
  <c r="H40" i="6"/>
  <c r="Q40" i="6" s="1"/>
  <c r="J40" i="6"/>
  <c r="A41" i="6"/>
  <c r="B41" i="6"/>
  <c r="C41" i="6"/>
  <c r="D41" i="6"/>
  <c r="E41" i="6"/>
  <c r="G41" i="6"/>
  <c r="H41" i="6"/>
  <c r="O41" i="6" s="1"/>
  <c r="A42" i="6"/>
  <c r="B42" i="6"/>
  <c r="C42" i="6"/>
  <c r="D42" i="6"/>
  <c r="E42" i="6"/>
  <c r="G42" i="6"/>
  <c r="H42" i="6"/>
  <c r="A43" i="6"/>
  <c r="B43" i="6"/>
  <c r="C43" i="6"/>
  <c r="D43" i="6"/>
  <c r="E43" i="6"/>
  <c r="G43" i="6"/>
  <c r="H43" i="6"/>
  <c r="L43" i="6"/>
  <c r="A44" i="6"/>
  <c r="B44" i="6"/>
  <c r="C44" i="6"/>
  <c r="D44" i="6"/>
  <c r="E44" i="6"/>
  <c r="G44" i="6"/>
  <c r="H44" i="6"/>
  <c r="A45" i="6"/>
  <c r="B45" i="6"/>
  <c r="C45" i="6"/>
  <c r="D45" i="6"/>
  <c r="E45" i="6"/>
  <c r="G45" i="6"/>
  <c r="H45" i="6"/>
  <c r="A46" i="6"/>
  <c r="B46" i="6"/>
  <c r="C46" i="6"/>
  <c r="D46" i="6"/>
  <c r="E46" i="6"/>
  <c r="G46" i="6"/>
  <c r="H46" i="6"/>
  <c r="Q46" i="6" s="1"/>
  <c r="A47" i="6"/>
  <c r="B47" i="6"/>
  <c r="C47" i="6"/>
  <c r="D47" i="6"/>
  <c r="E47" i="6"/>
  <c r="G47" i="6"/>
  <c r="H47" i="6"/>
  <c r="Q47" i="6"/>
  <c r="A48" i="6"/>
  <c r="B48" i="6"/>
  <c r="C48" i="6"/>
  <c r="D48" i="6"/>
  <c r="E48" i="6"/>
  <c r="L48" i="6" s="1"/>
  <c r="G48" i="6"/>
  <c r="H48" i="6"/>
  <c r="A49" i="6"/>
  <c r="B49" i="6"/>
  <c r="C49" i="6"/>
  <c r="D49" i="6"/>
  <c r="E49" i="6"/>
  <c r="G49" i="6"/>
  <c r="H49" i="6"/>
  <c r="Q49" i="6" s="1"/>
  <c r="A50" i="6"/>
  <c r="B50" i="6"/>
  <c r="C50" i="6"/>
  <c r="D50" i="6"/>
  <c r="E50" i="6"/>
  <c r="G50" i="6"/>
  <c r="H50" i="6"/>
  <c r="K50" i="6"/>
  <c r="O50" i="6"/>
  <c r="A51" i="6"/>
  <c r="B51" i="6"/>
  <c r="C51" i="6"/>
  <c r="D51" i="6"/>
  <c r="E51" i="6"/>
  <c r="L51" i="6" s="1"/>
  <c r="G51" i="6"/>
  <c r="H51" i="6"/>
  <c r="A52" i="6"/>
  <c r="B52" i="6"/>
  <c r="C52" i="6"/>
  <c r="D52" i="6"/>
  <c r="E52" i="6"/>
  <c r="G52" i="6"/>
  <c r="H52" i="6"/>
  <c r="Q52" i="6" s="1"/>
  <c r="A53" i="6"/>
  <c r="B53" i="6"/>
  <c r="C53" i="6"/>
  <c r="D53" i="6"/>
  <c r="E53" i="6"/>
  <c r="K53" i="6" s="1"/>
  <c r="G53" i="6"/>
  <c r="H53" i="6"/>
  <c r="Q53" i="6" s="1"/>
  <c r="J53" i="6"/>
  <c r="A54" i="6"/>
  <c r="B54" i="6"/>
  <c r="C54" i="6"/>
  <c r="D54" i="6"/>
  <c r="E54" i="6"/>
  <c r="G54" i="6"/>
  <c r="H54" i="6"/>
  <c r="A55" i="6"/>
  <c r="B55" i="6"/>
  <c r="C55" i="6"/>
  <c r="D55" i="6"/>
  <c r="E55" i="6"/>
  <c r="M55" i="6" s="1"/>
  <c r="G55" i="6"/>
  <c r="H55" i="6"/>
  <c r="O55" i="6" s="1"/>
  <c r="J55" i="6"/>
  <c r="A56" i="6"/>
  <c r="B56" i="6"/>
  <c r="C56" i="6"/>
  <c r="D56" i="6"/>
  <c r="E56" i="6"/>
  <c r="G56" i="6"/>
  <c r="H56" i="6"/>
  <c r="L56" i="6"/>
  <c r="A57" i="6"/>
  <c r="B57" i="6"/>
  <c r="C57" i="6"/>
  <c r="D57" i="6"/>
  <c r="E57" i="6"/>
  <c r="G57" i="6"/>
  <c r="H57" i="6"/>
  <c r="O57" i="6" s="1"/>
  <c r="L57" i="6"/>
  <c r="A58" i="6"/>
  <c r="B58" i="6"/>
  <c r="C58" i="6"/>
  <c r="D58" i="6"/>
  <c r="E58" i="6"/>
  <c r="G58" i="6"/>
  <c r="H58" i="6"/>
  <c r="O58" i="6" s="1"/>
  <c r="Q58" i="6"/>
  <c r="A59" i="6"/>
  <c r="B59" i="6"/>
  <c r="C59" i="6"/>
  <c r="D59" i="6"/>
  <c r="E59" i="6"/>
  <c r="G59" i="6"/>
  <c r="H59" i="6"/>
  <c r="A60" i="6"/>
  <c r="B60" i="6"/>
  <c r="C60" i="6"/>
  <c r="D60" i="6"/>
  <c r="E60" i="6"/>
  <c r="K60" i="6" s="1"/>
  <c r="G60" i="6"/>
  <c r="H60" i="6"/>
  <c r="Q60" i="6" s="1"/>
  <c r="J60" i="6"/>
  <c r="A61" i="6"/>
  <c r="B61" i="6"/>
  <c r="C61" i="6"/>
  <c r="D61" i="6"/>
  <c r="E61" i="6"/>
  <c r="M61" i="6" s="1"/>
  <c r="G61" i="6"/>
  <c r="H61" i="6"/>
  <c r="A62" i="6"/>
  <c r="B62" i="6"/>
  <c r="C62" i="6"/>
  <c r="D62" i="6"/>
  <c r="E62" i="6"/>
  <c r="P62" i="6" s="1"/>
  <c r="G62" i="6"/>
  <c r="H62" i="6"/>
  <c r="Q62" i="6" s="1"/>
  <c r="O62" i="6"/>
  <c r="A63" i="6"/>
  <c r="B63" i="6"/>
  <c r="C63" i="6"/>
  <c r="D63" i="6"/>
  <c r="E63" i="6"/>
  <c r="G63" i="6"/>
  <c r="H63" i="6"/>
  <c r="A64" i="6"/>
  <c r="B64" i="6"/>
  <c r="C64" i="6"/>
  <c r="D64" i="6"/>
  <c r="E64" i="6"/>
  <c r="G64" i="6"/>
  <c r="H64" i="6"/>
  <c r="A65" i="6"/>
  <c r="B65" i="6"/>
  <c r="C65" i="6"/>
  <c r="D65" i="6"/>
  <c r="E65" i="6"/>
  <c r="G65" i="6"/>
  <c r="H65" i="6"/>
  <c r="Q65" i="6" s="1"/>
  <c r="A66" i="6"/>
  <c r="B66" i="6"/>
  <c r="C66" i="6"/>
  <c r="D66" i="6"/>
  <c r="E66" i="6"/>
  <c r="G66" i="6"/>
  <c r="H66" i="6"/>
  <c r="O66" i="6" s="1"/>
  <c r="J66" i="6"/>
  <c r="A67" i="6"/>
  <c r="B67" i="6"/>
  <c r="C67" i="6"/>
  <c r="D67" i="6"/>
  <c r="E67" i="6"/>
  <c r="G67" i="6"/>
  <c r="H67" i="6"/>
  <c r="O67" i="6" s="1"/>
  <c r="A68" i="6"/>
  <c r="B68" i="6"/>
  <c r="C68" i="6"/>
  <c r="D68" i="6"/>
  <c r="E68" i="6"/>
  <c r="G68" i="6"/>
  <c r="H68" i="6"/>
  <c r="L68" i="6"/>
  <c r="A69" i="6"/>
  <c r="B69" i="6"/>
  <c r="C69" i="6"/>
  <c r="D69" i="6"/>
  <c r="E69" i="6"/>
  <c r="G69" i="6"/>
  <c r="H69" i="6"/>
  <c r="O69" i="6" s="1"/>
  <c r="L69" i="6"/>
  <c r="A70" i="6"/>
  <c r="B70" i="6"/>
  <c r="C70" i="6"/>
  <c r="D70" i="6"/>
  <c r="E70" i="6"/>
  <c r="G70" i="6"/>
  <c r="M70" i="6" s="1"/>
  <c r="H70" i="6"/>
  <c r="O70" i="6" s="1"/>
  <c r="A71" i="6"/>
  <c r="B71" i="6"/>
  <c r="C71" i="6"/>
  <c r="D71" i="6"/>
  <c r="E71" i="6"/>
  <c r="G71" i="6"/>
  <c r="H71" i="6"/>
  <c r="Q71" i="6" s="1"/>
  <c r="A72" i="6"/>
  <c r="B72" i="6"/>
  <c r="C72" i="6"/>
  <c r="D72" i="6"/>
  <c r="E72" i="6"/>
  <c r="G72" i="6"/>
  <c r="H72" i="6"/>
  <c r="A73" i="6"/>
  <c r="B73" i="6"/>
  <c r="C73" i="6"/>
  <c r="D73" i="6"/>
  <c r="E73" i="6"/>
  <c r="M73" i="6" s="1"/>
  <c r="G73" i="6"/>
  <c r="H73" i="6"/>
  <c r="O73" i="6" s="1"/>
  <c r="A74" i="6"/>
  <c r="B74" i="6"/>
  <c r="C74" i="6"/>
  <c r="D74" i="6"/>
  <c r="E74" i="6"/>
  <c r="P74" i="6" s="1"/>
  <c r="G74" i="6"/>
  <c r="H74" i="6"/>
  <c r="Q74" i="6" s="1"/>
  <c r="A75" i="6"/>
  <c r="B75" i="6"/>
  <c r="C75" i="6"/>
  <c r="D75" i="6"/>
  <c r="E75" i="6"/>
  <c r="L75" i="6" s="1"/>
  <c r="G75" i="6"/>
  <c r="H75" i="6"/>
  <c r="A76" i="6"/>
  <c r="B76" i="6"/>
  <c r="C76" i="6"/>
  <c r="D76" i="6"/>
  <c r="E76" i="6"/>
  <c r="G76" i="6"/>
  <c r="H76" i="6"/>
  <c r="O76" i="6" s="1"/>
  <c r="A77" i="6"/>
  <c r="B77" i="6"/>
  <c r="C77" i="6"/>
  <c r="D77" i="6"/>
  <c r="E77" i="6"/>
  <c r="G77" i="6"/>
  <c r="H77" i="6"/>
  <c r="O77" i="6" s="1"/>
  <c r="L77" i="6"/>
  <c r="A78" i="6"/>
  <c r="B78" i="6"/>
  <c r="C78" i="6"/>
  <c r="D78" i="6"/>
  <c r="E78" i="6"/>
  <c r="G78" i="6"/>
  <c r="H78" i="6"/>
  <c r="Q78" i="6" s="1"/>
  <c r="A79" i="6"/>
  <c r="B79" i="6"/>
  <c r="C79" i="6"/>
  <c r="D79" i="6"/>
  <c r="E79" i="6"/>
  <c r="G79" i="6"/>
  <c r="H79" i="6"/>
  <c r="O79" i="6" s="1"/>
  <c r="A80" i="6"/>
  <c r="B80" i="6"/>
  <c r="C80" i="6"/>
  <c r="D80" i="6"/>
  <c r="E80" i="6"/>
  <c r="G80" i="6"/>
  <c r="H80" i="6"/>
  <c r="Q80" i="6" s="1"/>
  <c r="O80" i="6"/>
  <c r="A81" i="6"/>
  <c r="B81" i="6"/>
  <c r="C81" i="6"/>
  <c r="D81" i="6"/>
  <c r="E81" i="6"/>
  <c r="G81" i="6"/>
  <c r="H81" i="6"/>
  <c r="O81" i="6" s="1"/>
  <c r="A82" i="6"/>
  <c r="B82" i="6"/>
  <c r="C82" i="6"/>
  <c r="D82" i="6"/>
  <c r="E82" i="6"/>
  <c r="G82" i="6"/>
  <c r="H82" i="6"/>
  <c r="A83" i="6"/>
  <c r="B83" i="6"/>
  <c r="C83" i="6"/>
  <c r="D83" i="6"/>
  <c r="E83" i="6"/>
  <c r="G83" i="6"/>
  <c r="H83" i="6"/>
  <c r="Q83" i="6" s="1"/>
  <c r="A84" i="6"/>
  <c r="B84" i="6"/>
  <c r="C84" i="6"/>
  <c r="D84" i="6"/>
  <c r="E84" i="6"/>
  <c r="G84" i="6"/>
  <c r="H84" i="6"/>
  <c r="O84" i="6" s="1"/>
  <c r="A85" i="6"/>
  <c r="B85" i="6"/>
  <c r="C85" i="6"/>
  <c r="D85" i="6"/>
  <c r="E85" i="6"/>
  <c r="M85" i="6" s="1"/>
  <c r="G85" i="6"/>
  <c r="H85" i="6"/>
  <c r="Q85" i="6" s="1"/>
  <c r="O85" i="6"/>
  <c r="A86" i="6"/>
  <c r="B86" i="6"/>
  <c r="C86" i="6"/>
  <c r="D86" i="6"/>
  <c r="E86" i="6"/>
  <c r="G86" i="6"/>
  <c r="H86" i="6"/>
  <c r="O86" i="6" s="1"/>
  <c r="Q86" i="6"/>
  <c r="A87" i="6"/>
  <c r="B87" i="6"/>
  <c r="C87" i="6"/>
  <c r="D87" i="6"/>
  <c r="E87" i="6"/>
  <c r="G87" i="6"/>
  <c r="H87" i="6"/>
  <c r="O87" i="6" s="1"/>
  <c r="A88" i="6"/>
  <c r="B88" i="6"/>
  <c r="C88" i="6"/>
  <c r="D88" i="6"/>
  <c r="E88" i="6"/>
  <c r="G88" i="6"/>
  <c r="H88" i="6"/>
  <c r="Q88" i="6" s="1"/>
  <c r="A89" i="6"/>
  <c r="B89" i="6"/>
  <c r="C89" i="6"/>
  <c r="D89" i="6"/>
  <c r="E89" i="6"/>
  <c r="G89" i="6"/>
  <c r="H89" i="6"/>
  <c r="O89" i="6" s="1"/>
  <c r="A90" i="6"/>
  <c r="B90" i="6"/>
  <c r="C90" i="6"/>
  <c r="D90" i="6"/>
  <c r="E90" i="6"/>
  <c r="G90" i="6"/>
  <c r="H90" i="6"/>
  <c r="Q90" i="6" s="1"/>
  <c r="A91" i="6"/>
  <c r="B91" i="6"/>
  <c r="C91" i="6"/>
  <c r="D91" i="6"/>
  <c r="E91" i="6"/>
  <c r="M91" i="6" s="1"/>
  <c r="G91" i="6"/>
  <c r="H91" i="6"/>
  <c r="O91" i="6" s="1"/>
  <c r="A92" i="6"/>
  <c r="B92" i="6"/>
  <c r="C92" i="6"/>
  <c r="D92" i="6"/>
  <c r="E92" i="6"/>
  <c r="G92" i="6"/>
  <c r="H92" i="6"/>
  <c r="A93" i="6"/>
  <c r="B93" i="6"/>
  <c r="C93" i="6"/>
  <c r="D93" i="6"/>
  <c r="E93" i="6"/>
  <c r="G93" i="6"/>
  <c r="H93" i="6"/>
  <c r="Q93" i="6" s="1"/>
  <c r="A94" i="6"/>
  <c r="B94" i="6"/>
  <c r="C94" i="6"/>
  <c r="D94" i="6"/>
  <c r="E94" i="6"/>
  <c r="G94" i="6"/>
  <c r="H94" i="6"/>
  <c r="Q94" i="6" s="1"/>
  <c r="L94" i="6"/>
  <c r="O94" i="6"/>
  <c r="A95" i="6"/>
  <c r="B95" i="6"/>
  <c r="C95" i="6"/>
  <c r="D95" i="6"/>
  <c r="E95" i="6"/>
  <c r="G95" i="6"/>
  <c r="H95" i="6"/>
  <c r="O95" i="6" s="1"/>
  <c r="A96" i="6"/>
  <c r="B96" i="6"/>
  <c r="C96" i="6"/>
  <c r="D96" i="6"/>
  <c r="E96" i="6"/>
  <c r="G96" i="6"/>
  <c r="H96" i="6"/>
  <c r="A97" i="6"/>
  <c r="B97" i="6"/>
  <c r="C97" i="6"/>
  <c r="D97" i="6"/>
  <c r="E97" i="6"/>
  <c r="M97" i="6" s="1"/>
  <c r="G97" i="6"/>
  <c r="H97" i="6"/>
  <c r="Q97" i="6" s="1"/>
  <c r="I97" i="6"/>
  <c r="L97" i="6"/>
  <c r="A98" i="6"/>
  <c r="B98" i="6"/>
  <c r="C98" i="6"/>
  <c r="D98" i="6"/>
  <c r="E98" i="6"/>
  <c r="G98" i="6"/>
  <c r="H98" i="6"/>
  <c r="A99" i="6"/>
  <c r="B99" i="6"/>
  <c r="C99" i="6"/>
  <c r="D99" i="6"/>
  <c r="E99" i="6"/>
  <c r="G99" i="6"/>
  <c r="J99" i="6" s="1"/>
  <c r="H99" i="6"/>
  <c r="Q99" i="6" s="1"/>
  <c r="A100" i="6"/>
  <c r="B100" i="6"/>
  <c r="C100" i="6"/>
  <c r="D100" i="6"/>
  <c r="E100" i="6"/>
  <c r="M100" i="6" s="1"/>
  <c r="G100" i="6"/>
  <c r="H100" i="6"/>
  <c r="O100" i="6" s="1"/>
  <c r="L100" i="6"/>
  <c r="A101" i="6"/>
  <c r="B101" i="6"/>
  <c r="C101" i="6"/>
  <c r="D101" i="6"/>
  <c r="E101" i="6"/>
  <c r="G101" i="6"/>
  <c r="H101" i="6"/>
  <c r="O101" i="6" s="1"/>
  <c r="A102" i="6"/>
  <c r="B102" i="6"/>
  <c r="C102" i="6"/>
  <c r="D102" i="6"/>
  <c r="E102" i="6"/>
  <c r="G102" i="6"/>
  <c r="I102" i="6" s="1"/>
  <c r="H102" i="6"/>
  <c r="Q102" i="6" s="1"/>
  <c r="O102" i="6"/>
  <c r="A103" i="6"/>
  <c r="B103" i="6"/>
  <c r="C103" i="6"/>
  <c r="D103" i="6"/>
  <c r="E103" i="6"/>
  <c r="M103" i="6" s="1"/>
  <c r="G103" i="6"/>
  <c r="H103" i="6"/>
  <c r="Q103" i="6" s="1"/>
  <c r="A104" i="6"/>
  <c r="B104" i="6"/>
  <c r="C104" i="6"/>
  <c r="D104" i="6"/>
  <c r="E104" i="6"/>
  <c r="G104" i="6"/>
  <c r="H104" i="6"/>
  <c r="O104" i="6" s="1"/>
  <c r="Q104" i="6"/>
  <c r="A105" i="6"/>
  <c r="B105" i="6"/>
  <c r="C105" i="6"/>
  <c r="D105" i="6"/>
  <c r="E105" i="6"/>
  <c r="G105" i="6"/>
  <c r="H105" i="6"/>
  <c r="O105" i="6" s="1"/>
  <c r="A106" i="6"/>
  <c r="B106" i="6"/>
  <c r="C106" i="6"/>
  <c r="D106" i="6"/>
  <c r="E106" i="6"/>
  <c r="G106" i="6"/>
  <c r="M106" i="6" s="1"/>
  <c r="H106" i="6"/>
  <c r="A107" i="6"/>
  <c r="B107" i="6"/>
  <c r="C107" i="6"/>
  <c r="D107" i="6"/>
  <c r="E107" i="6"/>
  <c r="G107" i="6"/>
  <c r="H107" i="6"/>
  <c r="O107" i="6" s="1"/>
  <c r="A108" i="6"/>
  <c r="B108" i="6"/>
  <c r="C108" i="6"/>
  <c r="D108" i="6"/>
  <c r="E108" i="6"/>
  <c r="G108" i="6"/>
  <c r="H108" i="6"/>
  <c r="Q108" i="6" s="1"/>
  <c r="A109" i="6"/>
  <c r="B109" i="6"/>
  <c r="C109" i="6"/>
  <c r="D109" i="6"/>
  <c r="E109" i="6"/>
  <c r="M109" i="6" s="1"/>
  <c r="G109" i="6"/>
  <c r="H109" i="6"/>
  <c r="L109" i="6"/>
  <c r="A110" i="6"/>
  <c r="B110" i="6"/>
  <c r="C110" i="6"/>
  <c r="D110" i="6"/>
  <c r="E110" i="6"/>
  <c r="P110" i="6" s="1"/>
  <c r="G110" i="6"/>
  <c r="H110" i="6"/>
  <c r="L110" i="6"/>
  <c r="A111" i="6"/>
  <c r="B111" i="6"/>
  <c r="C111" i="6"/>
  <c r="D111" i="6"/>
  <c r="E111" i="6"/>
  <c r="G111" i="6"/>
  <c r="H111" i="6"/>
  <c r="A112" i="6"/>
  <c r="B112" i="6"/>
  <c r="C112" i="6"/>
  <c r="D112" i="6"/>
  <c r="E112" i="6"/>
  <c r="G112" i="6"/>
  <c r="H112" i="6"/>
  <c r="O112" i="6" s="1"/>
  <c r="L112" i="6"/>
  <c r="A113" i="6"/>
  <c r="B113" i="6"/>
  <c r="C113" i="6"/>
  <c r="D113" i="6"/>
  <c r="E113" i="6"/>
  <c r="G113" i="6"/>
  <c r="H113" i="6"/>
  <c r="A114" i="6"/>
  <c r="B114" i="6"/>
  <c r="C114" i="6"/>
  <c r="D114" i="6"/>
  <c r="E114" i="6"/>
  <c r="G114" i="6"/>
  <c r="H114" i="6"/>
  <c r="Q114" i="6" s="1"/>
  <c r="A115" i="6"/>
  <c r="B115" i="6"/>
  <c r="C115" i="6"/>
  <c r="D115" i="6"/>
  <c r="E115" i="6"/>
  <c r="M115" i="6" s="1"/>
  <c r="G115" i="6"/>
  <c r="H115" i="6"/>
  <c r="Q115" i="6" s="1"/>
  <c r="A116" i="6"/>
  <c r="B116" i="6"/>
  <c r="C116" i="6"/>
  <c r="D116" i="6"/>
  <c r="E116" i="6"/>
  <c r="G116" i="6"/>
  <c r="H116" i="6"/>
  <c r="O116" i="6" s="1"/>
  <c r="Q116" i="6"/>
  <c r="A117" i="6"/>
  <c r="B117" i="6"/>
  <c r="C117" i="6"/>
  <c r="D117" i="6"/>
  <c r="E117" i="6"/>
  <c r="G117" i="6"/>
  <c r="H117" i="6"/>
  <c r="O117" i="6"/>
  <c r="Q117" i="6"/>
  <c r="A118" i="6"/>
  <c r="B118" i="6"/>
  <c r="C118" i="6"/>
  <c r="D118" i="6"/>
  <c r="E118" i="6"/>
  <c r="M118" i="6" s="1"/>
  <c r="G118" i="6"/>
  <c r="H118" i="6"/>
  <c r="O118" i="6" s="1"/>
  <c r="L118" i="6"/>
  <c r="A119" i="6"/>
  <c r="B119" i="6"/>
  <c r="C119" i="6"/>
  <c r="D119" i="6"/>
  <c r="E119" i="6"/>
  <c r="G119" i="6"/>
  <c r="H119" i="6"/>
  <c r="A120" i="6"/>
  <c r="B120" i="6"/>
  <c r="C120" i="6"/>
  <c r="D120" i="6"/>
  <c r="E120" i="6"/>
  <c r="G120" i="6"/>
  <c r="H120" i="6"/>
  <c r="Q120" i="6" s="1"/>
  <c r="A121" i="6"/>
  <c r="B121" i="6"/>
  <c r="C121" i="6"/>
  <c r="D121" i="6"/>
  <c r="E121" i="6"/>
  <c r="M121" i="6" s="1"/>
  <c r="G121" i="6"/>
  <c r="H121" i="6"/>
  <c r="O121" i="6" s="1"/>
  <c r="A122" i="6"/>
  <c r="B122" i="6"/>
  <c r="C122" i="6"/>
  <c r="D122" i="6"/>
  <c r="E122" i="6"/>
  <c r="I122" i="6" s="1"/>
  <c r="G122" i="6"/>
  <c r="H122" i="6"/>
  <c r="Q122" i="6" s="1"/>
  <c r="A123" i="6"/>
  <c r="B123" i="6"/>
  <c r="C123" i="6"/>
  <c r="D123" i="6"/>
  <c r="E123" i="6"/>
  <c r="G123" i="6"/>
  <c r="H123" i="6"/>
  <c r="A124" i="6"/>
  <c r="B124" i="6"/>
  <c r="C124" i="6"/>
  <c r="D124" i="6"/>
  <c r="E124" i="6"/>
  <c r="G124" i="6"/>
  <c r="H124" i="6"/>
  <c r="A125" i="6"/>
  <c r="B125" i="6"/>
  <c r="C125" i="6"/>
  <c r="D125" i="6"/>
  <c r="E125" i="6"/>
  <c r="G125" i="6"/>
  <c r="H125" i="6"/>
  <c r="Q125" i="6" s="1"/>
  <c r="O125" i="6"/>
  <c r="A126" i="6"/>
  <c r="B126" i="6"/>
  <c r="C126" i="6"/>
  <c r="D126" i="6"/>
  <c r="E126" i="6"/>
  <c r="G126" i="6"/>
  <c r="H126" i="6"/>
  <c r="A127" i="6"/>
  <c r="B127" i="6"/>
  <c r="C127" i="6"/>
  <c r="D127" i="6"/>
  <c r="E127" i="6"/>
  <c r="G127" i="6"/>
  <c r="H127" i="6"/>
  <c r="A128" i="6"/>
  <c r="B128" i="6"/>
  <c r="C128" i="6"/>
  <c r="D128" i="6"/>
  <c r="E128" i="6"/>
  <c r="G128" i="6"/>
  <c r="H128" i="6"/>
  <c r="Q128" i="6" s="1"/>
  <c r="A129" i="6"/>
  <c r="B129" i="6"/>
  <c r="C129" i="6"/>
  <c r="D129" i="6"/>
  <c r="E129" i="6"/>
  <c r="K129" i="6" s="1"/>
  <c r="G129" i="6"/>
  <c r="H129" i="6"/>
  <c r="O129" i="6" s="1"/>
  <c r="J129" i="6"/>
  <c r="A130" i="6"/>
  <c r="B130" i="6"/>
  <c r="C130" i="6"/>
  <c r="D130" i="6"/>
  <c r="E130" i="6"/>
  <c r="G130" i="6"/>
  <c r="H130" i="6"/>
  <c r="A131" i="6"/>
  <c r="B131" i="6"/>
  <c r="C131" i="6"/>
  <c r="D131" i="6"/>
  <c r="E131" i="6"/>
  <c r="G131" i="6"/>
  <c r="H131" i="6"/>
  <c r="Q131" i="6" s="1"/>
  <c r="A132" i="6"/>
  <c r="B132" i="6"/>
  <c r="C132" i="6"/>
  <c r="D132" i="6"/>
  <c r="E132" i="6"/>
  <c r="G132" i="6"/>
  <c r="H132" i="6"/>
  <c r="O132" i="6" s="1"/>
  <c r="L132" i="6"/>
  <c r="A133" i="6"/>
  <c r="B133" i="6"/>
  <c r="C133" i="6"/>
  <c r="D133" i="6"/>
  <c r="E133" i="6"/>
  <c r="G133" i="6"/>
  <c r="H133" i="6"/>
  <c r="A134" i="6"/>
  <c r="B134" i="6"/>
  <c r="C134" i="6"/>
  <c r="D134" i="6"/>
  <c r="E134" i="6"/>
  <c r="G134" i="6"/>
  <c r="H134" i="6"/>
  <c r="A135" i="6"/>
  <c r="B135" i="6"/>
  <c r="C135" i="6"/>
  <c r="D135" i="6"/>
  <c r="E135" i="6"/>
  <c r="G135" i="6"/>
  <c r="H135" i="6"/>
  <c r="O135" i="6" s="1"/>
  <c r="Q135" i="6"/>
  <c r="A136" i="6"/>
  <c r="B136" i="6"/>
  <c r="C136" i="6"/>
  <c r="D136" i="6"/>
  <c r="E136" i="6"/>
  <c r="L136" i="6" s="1"/>
  <c r="G136" i="6"/>
  <c r="H136" i="6"/>
  <c r="A137" i="6"/>
  <c r="B137" i="6"/>
  <c r="C137" i="6"/>
  <c r="D137" i="6"/>
  <c r="E137" i="6"/>
  <c r="G137" i="6"/>
  <c r="H137" i="6"/>
  <c r="Q137" i="6" s="1"/>
  <c r="A138" i="6"/>
  <c r="B138" i="6"/>
  <c r="C138" i="6"/>
  <c r="D138" i="6"/>
  <c r="E138" i="6"/>
  <c r="G138" i="6"/>
  <c r="H138" i="6"/>
  <c r="O138" i="6" s="1"/>
  <c r="A139" i="6"/>
  <c r="B139" i="6"/>
  <c r="C139" i="6"/>
  <c r="D139" i="6"/>
  <c r="E139" i="6"/>
  <c r="M139" i="6" s="1"/>
  <c r="G139" i="6"/>
  <c r="H139" i="6"/>
  <c r="A140" i="6"/>
  <c r="B140" i="6"/>
  <c r="C140" i="6"/>
  <c r="D140" i="6"/>
  <c r="E140" i="6"/>
  <c r="G140" i="6"/>
  <c r="H140" i="6"/>
  <c r="P140" i="6" s="1"/>
  <c r="A141" i="6"/>
  <c r="B141" i="6"/>
  <c r="C141" i="6"/>
  <c r="D141" i="6"/>
  <c r="E141" i="6"/>
  <c r="G141" i="6"/>
  <c r="H141" i="6"/>
  <c r="A142" i="6"/>
  <c r="B142" i="6"/>
  <c r="C142" i="6"/>
  <c r="D142" i="6"/>
  <c r="E142" i="6"/>
  <c r="G142" i="6"/>
  <c r="M142" i="6" s="1"/>
  <c r="H142" i="6"/>
  <c r="A143" i="6"/>
  <c r="B143" i="6"/>
  <c r="C143" i="6"/>
  <c r="D143" i="6"/>
  <c r="E143" i="6"/>
  <c r="G143" i="6"/>
  <c r="H143" i="6"/>
  <c r="Q143" i="6" s="1"/>
  <c r="O143" i="6"/>
  <c r="A144" i="6"/>
  <c r="B144" i="6"/>
  <c r="C144" i="6"/>
  <c r="D144" i="6"/>
  <c r="E144" i="6"/>
  <c r="I144" i="6" s="1"/>
  <c r="G144" i="6"/>
  <c r="H144" i="6"/>
  <c r="Q144" i="6" s="1"/>
  <c r="A145" i="6"/>
  <c r="B145" i="6"/>
  <c r="C145" i="6"/>
  <c r="D145" i="6"/>
  <c r="E145" i="6"/>
  <c r="G145" i="6"/>
  <c r="H145" i="6"/>
  <c r="O145" i="6" s="1"/>
  <c r="A146" i="6"/>
  <c r="B146" i="6"/>
  <c r="C146" i="6"/>
  <c r="D146" i="6"/>
  <c r="E146" i="6"/>
  <c r="G146" i="6"/>
  <c r="H146" i="6"/>
  <c r="O146" i="6" s="1"/>
  <c r="L146" i="6"/>
  <c r="Q146" i="6"/>
  <c r="A147" i="6"/>
  <c r="B147" i="6"/>
  <c r="C147" i="6"/>
  <c r="D147" i="6"/>
  <c r="E147" i="6"/>
  <c r="G147" i="6"/>
  <c r="H147" i="6"/>
  <c r="O147" i="6" s="1"/>
  <c r="A148" i="6"/>
  <c r="B148" i="6"/>
  <c r="C148" i="6"/>
  <c r="D148" i="6"/>
  <c r="E148" i="6"/>
  <c r="G148" i="6"/>
  <c r="H148" i="6"/>
  <c r="A149" i="6"/>
  <c r="B149" i="6"/>
  <c r="C149" i="6"/>
  <c r="D149" i="6"/>
  <c r="E149" i="6"/>
  <c r="G149" i="6"/>
  <c r="J149" i="6" s="1"/>
  <c r="H149" i="6"/>
  <c r="O149" i="6" s="1"/>
  <c r="A150" i="6"/>
  <c r="B150" i="6"/>
  <c r="C150" i="6"/>
  <c r="D150" i="6"/>
  <c r="E150" i="6"/>
  <c r="G150" i="6"/>
  <c r="M150" i="6" s="1"/>
  <c r="H150" i="6"/>
  <c r="O150" i="6" s="1"/>
  <c r="A151" i="6"/>
  <c r="B151" i="6"/>
  <c r="C151" i="6"/>
  <c r="D151" i="6"/>
  <c r="E151" i="6"/>
  <c r="G151" i="6"/>
  <c r="H151" i="6"/>
  <c r="Q151" i="6" s="1"/>
  <c r="A152" i="6"/>
  <c r="B152" i="6"/>
  <c r="C152" i="6"/>
  <c r="D152" i="6"/>
  <c r="E152" i="6"/>
  <c r="P152" i="6" s="1"/>
  <c r="G152" i="6"/>
  <c r="H152" i="6"/>
  <c r="A153" i="6"/>
  <c r="B153" i="6"/>
  <c r="C153" i="6"/>
  <c r="D153" i="6"/>
  <c r="E153" i="6"/>
  <c r="G153" i="6"/>
  <c r="H153" i="6"/>
  <c r="A154" i="6"/>
  <c r="B154" i="6"/>
  <c r="C154" i="6"/>
  <c r="D154" i="6"/>
  <c r="E154" i="6"/>
  <c r="G154" i="6"/>
  <c r="H154" i="6"/>
  <c r="A155" i="6"/>
  <c r="B155" i="6"/>
  <c r="C155" i="6"/>
  <c r="D155" i="6"/>
  <c r="E155" i="6"/>
  <c r="G155" i="6"/>
  <c r="H155" i="6"/>
  <c r="O155" i="6" s="1"/>
  <c r="L155" i="6"/>
  <c r="A156" i="6"/>
  <c r="B156" i="6"/>
  <c r="C156" i="6"/>
  <c r="D156" i="6"/>
  <c r="E156" i="6"/>
  <c r="G156" i="6"/>
  <c r="M156" i="6" s="1"/>
  <c r="H156" i="6"/>
  <c r="L156" i="6"/>
  <c r="A157" i="6"/>
  <c r="B157" i="6"/>
  <c r="C157" i="6"/>
  <c r="D157" i="6"/>
  <c r="E157" i="6"/>
  <c r="G157" i="6"/>
  <c r="H157" i="6"/>
  <c r="Q157" i="6" s="1"/>
  <c r="A158" i="6"/>
  <c r="B158" i="6"/>
  <c r="C158" i="6"/>
  <c r="D158" i="6"/>
  <c r="E158" i="6"/>
  <c r="P158" i="6" s="1"/>
  <c r="G158" i="6"/>
  <c r="H158" i="6"/>
  <c r="A159" i="6"/>
  <c r="B159" i="6"/>
  <c r="C159" i="6"/>
  <c r="D159" i="6"/>
  <c r="E159" i="6"/>
  <c r="N159" i="6" s="1"/>
  <c r="G159" i="6"/>
  <c r="H159" i="6"/>
  <c r="L159" i="6"/>
  <c r="A160" i="6"/>
  <c r="B160" i="6"/>
  <c r="C160" i="6"/>
  <c r="D160" i="6"/>
  <c r="E160" i="6"/>
  <c r="G160" i="6"/>
  <c r="H160" i="6"/>
  <c r="Q160" i="6" s="1"/>
  <c r="A161" i="6"/>
  <c r="B161" i="6"/>
  <c r="C161" i="6"/>
  <c r="D161" i="6"/>
  <c r="E161" i="6"/>
  <c r="G161" i="6"/>
  <c r="H161" i="6"/>
  <c r="A162" i="6"/>
  <c r="B162" i="6"/>
  <c r="C162" i="6"/>
  <c r="D162" i="6"/>
  <c r="E162" i="6"/>
  <c r="G162" i="6"/>
  <c r="H162" i="6"/>
  <c r="A163" i="6"/>
  <c r="B163" i="6"/>
  <c r="C163" i="6"/>
  <c r="D163" i="6"/>
  <c r="E163" i="6"/>
  <c r="G163" i="6"/>
  <c r="H163" i="6"/>
  <c r="Q163" i="6" s="1"/>
  <c r="A164" i="6"/>
  <c r="B164" i="6"/>
  <c r="C164" i="6"/>
  <c r="D164" i="6"/>
  <c r="E164" i="6"/>
  <c r="G164" i="6"/>
  <c r="J164" i="6" s="1"/>
  <c r="H164" i="6"/>
  <c r="O164" i="6" s="1"/>
  <c r="A165" i="6"/>
  <c r="B165" i="6"/>
  <c r="C165" i="6"/>
  <c r="D165" i="6"/>
  <c r="E165" i="6"/>
  <c r="G165" i="6"/>
  <c r="H165" i="6"/>
  <c r="A166" i="6"/>
  <c r="B166" i="6"/>
  <c r="C166" i="6"/>
  <c r="D166" i="6"/>
  <c r="E166" i="6"/>
  <c r="G166" i="6"/>
  <c r="I166" i="6" s="1"/>
  <c r="H166" i="6"/>
  <c r="Q166" i="6" s="1"/>
  <c r="A167" i="6"/>
  <c r="B167" i="6"/>
  <c r="C167" i="6"/>
  <c r="D167" i="6"/>
  <c r="E167" i="6"/>
  <c r="G167" i="6"/>
  <c r="H167" i="6"/>
  <c r="O167" i="6" s="1"/>
  <c r="L167" i="6"/>
  <c r="A168" i="6"/>
  <c r="B168" i="6"/>
  <c r="C168" i="6"/>
  <c r="D168" i="6"/>
  <c r="E168" i="6"/>
  <c r="N168" i="6" s="1"/>
  <c r="G168" i="6"/>
  <c r="M168" i="6" s="1"/>
  <c r="H168" i="6"/>
  <c r="Q168" i="6" s="1"/>
  <c r="L168" i="6"/>
  <c r="A169" i="6"/>
  <c r="B169" i="6"/>
  <c r="C169" i="6"/>
  <c r="D169" i="6"/>
  <c r="E169" i="6"/>
  <c r="G169" i="6"/>
  <c r="H169" i="6"/>
  <c r="A170" i="6"/>
  <c r="B170" i="6"/>
  <c r="C170" i="6"/>
  <c r="D170" i="6"/>
  <c r="E170" i="6"/>
  <c r="G170" i="6"/>
  <c r="H170" i="6"/>
  <c r="O170" i="6" s="1"/>
  <c r="L170" i="6"/>
  <c r="A171" i="6"/>
  <c r="B171" i="6"/>
  <c r="C171" i="6"/>
  <c r="D171" i="6"/>
  <c r="E171" i="6"/>
  <c r="G171" i="6"/>
  <c r="M171" i="6" s="1"/>
  <c r="H171" i="6"/>
  <c r="Q171" i="6" s="1"/>
  <c r="A172" i="6"/>
  <c r="B172" i="6"/>
  <c r="C172" i="6"/>
  <c r="D172" i="6"/>
  <c r="E172" i="6"/>
  <c r="G172" i="6"/>
  <c r="H172" i="6"/>
  <c r="O172" i="6" s="1"/>
  <c r="L172" i="6"/>
  <c r="A173" i="6"/>
  <c r="B173" i="6"/>
  <c r="C173" i="6"/>
  <c r="D173" i="6"/>
  <c r="E173" i="6"/>
  <c r="G173" i="6"/>
  <c r="H173" i="6"/>
  <c r="O173" i="6" s="1"/>
  <c r="A174" i="6"/>
  <c r="B174" i="6"/>
  <c r="C174" i="6"/>
  <c r="D174" i="6"/>
  <c r="E174" i="6"/>
  <c r="G174" i="6"/>
  <c r="H174" i="6"/>
  <c r="Q174" i="6" s="1"/>
  <c r="A175" i="6"/>
  <c r="B175" i="6"/>
  <c r="C175" i="6"/>
  <c r="D175" i="6"/>
  <c r="E175" i="6"/>
  <c r="G175" i="6"/>
  <c r="H175" i="6"/>
  <c r="A176" i="6"/>
  <c r="B176" i="6"/>
  <c r="C176" i="6"/>
  <c r="D176" i="6"/>
  <c r="E176" i="6"/>
  <c r="P176" i="6" s="1"/>
  <c r="G176" i="6"/>
  <c r="H176" i="6"/>
  <c r="A177" i="6"/>
  <c r="B177" i="6"/>
  <c r="C177" i="6"/>
  <c r="D177" i="6"/>
  <c r="E177" i="6"/>
  <c r="G177" i="6"/>
  <c r="H177" i="6"/>
  <c r="Q177" i="6" s="1"/>
  <c r="A178" i="6"/>
  <c r="B178" i="6"/>
  <c r="C178" i="6"/>
  <c r="D178" i="6"/>
  <c r="E178" i="6"/>
  <c r="G178" i="6"/>
  <c r="H178" i="6"/>
  <c r="Q178" i="6" s="1"/>
  <c r="I178" i="6"/>
  <c r="L178" i="6"/>
  <c r="A179" i="6"/>
  <c r="B179" i="6"/>
  <c r="C179" i="6"/>
  <c r="D179" i="6"/>
  <c r="E179" i="6"/>
  <c r="G179" i="6"/>
  <c r="H179" i="6"/>
  <c r="A180" i="6"/>
  <c r="B180" i="6"/>
  <c r="C180" i="6"/>
  <c r="D180" i="6"/>
  <c r="E180" i="6"/>
  <c r="G180" i="6"/>
  <c r="H180" i="6"/>
  <c r="Q180" i="6" s="1"/>
  <c r="A181" i="6"/>
  <c r="B181" i="6"/>
  <c r="C181" i="6"/>
  <c r="D181" i="6"/>
  <c r="E181" i="6"/>
  <c r="G181" i="6"/>
  <c r="H181" i="6"/>
  <c r="L181" i="6"/>
  <c r="A182" i="6"/>
  <c r="B182" i="6"/>
  <c r="C182" i="6"/>
  <c r="D182" i="6"/>
  <c r="E182" i="6"/>
  <c r="G182" i="6"/>
  <c r="H182" i="6"/>
  <c r="A183" i="6"/>
  <c r="B183" i="6"/>
  <c r="C183" i="6"/>
  <c r="D183" i="6"/>
  <c r="E183" i="6"/>
  <c r="G183" i="6"/>
  <c r="H183" i="6"/>
  <c r="O183" i="6" s="1"/>
  <c r="Q183" i="6"/>
  <c r="A184" i="6"/>
  <c r="B184" i="6"/>
  <c r="C184" i="6"/>
  <c r="D184" i="6"/>
  <c r="E184" i="6"/>
  <c r="G184" i="6"/>
  <c r="H184" i="6"/>
  <c r="L184" i="6"/>
  <c r="A185" i="6"/>
  <c r="B185" i="6"/>
  <c r="C185" i="6"/>
  <c r="D185" i="6"/>
  <c r="E185" i="6"/>
  <c r="G185" i="6"/>
  <c r="H185" i="6"/>
  <c r="L185" i="6"/>
  <c r="A186" i="6"/>
  <c r="B186" i="6"/>
  <c r="C186" i="6"/>
  <c r="D186" i="6"/>
  <c r="E186" i="6"/>
  <c r="N186" i="6" s="1"/>
  <c r="G186" i="6"/>
  <c r="M186" i="6" s="1"/>
  <c r="H186" i="6"/>
  <c r="O186" i="6" s="1"/>
  <c r="L186" i="6"/>
  <c r="A187" i="6"/>
  <c r="B187" i="6"/>
  <c r="C187" i="6"/>
  <c r="D187" i="6"/>
  <c r="E187" i="6"/>
  <c r="G187" i="6"/>
  <c r="H187" i="6"/>
  <c r="O187" i="6"/>
  <c r="A188" i="6"/>
  <c r="B188" i="6"/>
  <c r="C188" i="6"/>
  <c r="D188" i="6"/>
  <c r="E188" i="6"/>
  <c r="L188" i="6" s="1"/>
  <c r="G188" i="6"/>
  <c r="H188" i="6"/>
  <c r="O188" i="6" s="1"/>
  <c r="A189" i="6"/>
  <c r="B189" i="6"/>
  <c r="C189" i="6"/>
  <c r="D189" i="6"/>
  <c r="E189" i="6"/>
  <c r="N189" i="6" s="1"/>
  <c r="G189" i="6"/>
  <c r="M189" i="6" s="1"/>
  <c r="H189" i="6"/>
  <c r="O189" i="6" s="1"/>
  <c r="A190" i="6"/>
  <c r="B190" i="6"/>
  <c r="C190" i="6"/>
  <c r="D190" i="6"/>
  <c r="E190" i="6"/>
  <c r="G190" i="6"/>
  <c r="I190" i="6" s="1"/>
  <c r="H190" i="6"/>
  <c r="O190" i="6" s="1"/>
  <c r="A191" i="6"/>
  <c r="B191" i="6"/>
  <c r="C191" i="6"/>
  <c r="D191" i="6"/>
  <c r="E191" i="6"/>
  <c r="L191" i="6" s="1"/>
  <c r="G191" i="6"/>
  <c r="H191" i="6"/>
  <c r="O191" i="6" s="1"/>
  <c r="A192" i="6"/>
  <c r="B192" i="6"/>
  <c r="C192" i="6"/>
  <c r="D192" i="6"/>
  <c r="E192" i="6"/>
  <c r="G192" i="6"/>
  <c r="H192" i="6"/>
  <c r="O192" i="6" s="1"/>
  <c r="A193" i="6"/>
  <c r="B193" i="6"/>
  <c r="C193" i="6"/>
  <c r="D193" i="6"/>
  <c r="E193" i="6"/>
  <c r="G193" i="6"/>
  <c r="H193" i="6"/>
  <c r="O193" i="6"/>
  <c r="A194" i="6"/>
  <c r="B194" i="6"/>
  <c r="C194" i="6"/>
  <c r="D194" i="6"/>
  <c r="E194" i="6"/>
  <c r="G194" i="6"/>
  <c r="H194" i="6"/>
  <c r="A195" i="6"/>
  <c r="B195" i="6"/>
  <c r="C195" i="6"/>
  <c r="D195" i="6"/>
  <c r="E195" i="6"/>
  <c r="G195" i="6"/>
  <c r="H195" i="6"/>
  <c r="O195" i="6" s="1"/>
  <c r="A196" i="6"/>
  <c r="B196" i="6"/>
  <c r="C196" i="6"/>
  <c r="D196" i="6"/>
  <c r="E196" i="6"/>
  <c r="G196" i="6"/>
  <c r="H196" i="6"/>
  <c r="A197" i="6"/>
  <c r="B197" i="6"/>
  <c r="C197" i="6"/>
  <c r="D197" i="6"/>
  <c r="E197" i="6"/>
  <c r="G197" i="6"/>
  <c r="H197" i="6"/>
  <c r="O197" i="6" s="1"/>
  <c r="Q197" i="6"/>
  <c r="A198" i="6"/>
  <c r="B198" i="6"/>
  <c r="C198" i="6"/>
  <c r="D198" i="6"/>
  <c r="E198" i="6"/>
  <c r="G198" i="6"/>
  <c r="H198" i="6"/>
  <c r="O198" i="6" s="1"/>
  <c r="A199" i="6"/>
  <c r="B199" i="6"/>
  <c r="C199" i="6"/>
  <c r="D199" i="6"/>
  <c r="E199" i="6"/>
  <c r="G199" i="6"/>
  <c r="H199" i="6"/>
  <c r="A200" i="6"/>
  <c r="B200" i="6"/>
  <c r="C200" i="6"/>
  <c r="D200" i="6"/>
  <c r="E200" i="6"/>
  <c r="G200" i="6"/>
  <c r="J200" i="6" s="1"/>
  <c r="H200" i="6"/>
  <c r="A201" i="6"/>
  <c r="B201" i="6"/>
  <c r="C201" i="6"/>
  <c r="D201" i="6"/>
  <c r="E201" i="6"/>
  <c r="G201" i="6"/>
  <c r="H201" i="6"/>
  <c r="O201" i="6" s="1"/>
  <c r="A202" i="6"/>
  <c r="B202" i="6"/>
  <c r="C202" i="6"/>
  <c r="D202" i="6"/>
  <c r="E202" i="6"/>
  <c r="G202" i="6"/>
  <c r="H202" i="6"/>
  <c r="A203" i="6"/>
  <c r="B203" i="6"/>
  <c r="C203" i="6"/>
  <c r="D203" i="6"/>
  <c r="E203" i="6"/>
  <c r="J203" i="6" s="1"/>
  <c r="G203" i="6"/>
  <c r="H203" i="6"/>
  <c r="A204" i="6"/>
  <c r="B204" i="6"/>
  <c r="C204" i="6"/>
  <c r="D204" i="6"/>
  <c r="E204" i="6"/>
  <c r="M204" i="6" s="1"/>
  <c r="G204" i="6"/>
  <c r="H204" i="6"/>
  <c r="O204" i="6" s="1"/>
  <c r="A205" i="6"/>
  <c r="B205" i="6"/>
  <c r="C205" i="6"/>
  <c r="D205" i="6"/>
  <c r="E205" i="6"/>
  <c r="G205" i="6"/>
  <c r="H205" i="6"/>
  <c r="I205" i="6"/>
  <c r="A206" i="6"/>
  <c r="B206" i="6"/>
  <c r="C206" i="6"/>
  <c r="D206" i="6"/>
  <c r="E206" i="6"/>
  <c r="G206" i="6"/>
  <c r="H206" i="6"/>
  <c r="O206" i="6" s="1"/>
  <c r="Q206" i="6"/>
  <c r="A207" i="6"/>
  <c r="B207" i="6"/>
  <c r="C207" i="6"/>
  <c r="D207" i="6"/>
  <c r="E207" i="6"/>
  <c r="M207" i="6" s="1"/>
  <c r="G207" i="6"/>
  <c r="H207" i="6"/>
  <c r="O207" i="6" s="1"/>
  <c r="L207" i="6"/>
  <c r="A208" i="6"/>
  <c r="B208" i="6"/>
  <c r="C208" i="6"/>
  <c r="D208" i="6"/>
  <c r="E208" i="6"/>
  <c r="G208" i="6"/>
  <c r="H208" i="6"/>
  <c r="L208" i="6"/>
  <c r="A209" i="6"/>
  <c r="B209" i="6"/>
  <c r="C209" i="6"/>
  <c r="D209" i="6"/>
  <c r="E209" i="6"/>
  <c r="G209" i="6"/>
  <c r="H209" i="6"/>
  <c r="A210" i="6"/>
  <c r="B210" i="6"/>
  <c r="C210" i="6"/>
  <c r="D210" i="6"/>
  <c r="E210" i="6"/>
  <c r="G210" i="6"/>
  <c r="H210" i="6"/>
  <c r="O210" i="6" s="1"/>
  <c r="A211" i="6"/>
  <c r="B211" i="6"/>
  <c r="C211" i="6"/>
  <c r="D211" i="6"/>
  <c r="E211" i="6"/>
  <c r="G211" i="6"/>
  <c r="J211" i="6" s="1"/>
  <c r="H211" i="6"/>
  <c r="A212" i="6"/>
  <c r="B212" i="6"/>
  <c r="C212" i="6"/>
  <c r="D212" i="6"/>
  <c r="E212" i="6"/>
  <c r="P212" i="6" s="1"/>
  <c r="G212" i="6"/>
  <c r="H212" i="6"/>
  <c r="A213" i="6"/>
  <c r="B213" i="6"/>
  <c r="C213" i="6"/>
  <c r="D213" i="6"/>
  <c r="E213" i="6"/>
  <c r="M213" i="6" s="1"/>
  <c r="G213" i="6"/>
  <c r="H213" i="6"/>
  <c r="O213" i="6" s="1"/>
  <c r="A214" i="6"/>
  <c r="B214" i="6"/>
  <c r="C214" i="6"/>
  <c r="D214" i="6"/>
  <c r="E214" i="6"/>
  <c r="G214" i="6"/>
  <c r="H214" i="6"/>
  <c r="O214" i="6" s="1"/>
  <c r="A215" i="6"/>
  <c r="B215" i="6"/>
  <c r="C215" i="6"/>
  <c r="D215" i="6"/>
  <c r="E215" i="6"/>
  <c r="G215" i="6"/>
  <c r="H215" i="6"/>
  <c r="Q215" i="6" s="1"/>
  <c r="K215" i="6"/>
  <c r="A216" i="6"/>
  <c r="B216" i="6"/>
  <c r="C216" i="6"/>
  <c r="D216" i="6"/>
  <c r="E216" i="6"/>
  <c r="G216" i="6"/>
  <c r="H216" i="6"/>
  <c r="O216" i="6" s="1"/>
  <c r="A217" i="6"/>
  <c r="B217" i="6"/>
  <c r="C217" i="6"/>
  <c r="D217" i="6"/>
  <c r="E217" i="6"/>
  <c r="G217" i="6"/>
  <c r="J217" i="6" s="1"/>
  <c r="H217" i="6"/>
  <c r="O217" i="6"/>
  <c r="G2" i="6"/>
  <c r="E2" i="6"/>
  <c r="I2" i="6" s="1"/>
  <c r="C2" i="6"/>
  <c r="H2" i="6"/>
  <c r="D2" i="6"/>
  <c r="B2" i="6"/>
  <c r="A2" i="6"/>
  <c r="P199" i="6" l="1"/>
  <c r="M199" i="6"/>
  <c r="N199" i="6"/>
  <c r="P147" i="6"/>
  <c r="M147" i="6"/>
  <c r="N147" i="6"/>
  <c r="N145" i="6"/>
  <c r="P145" i="6"/>
  <c r="M145" i="6"/>
  <c r="N127" i="6"/>
  <c r="P127" i="6"/>
  <c r="M127" i="6"/>
  <c r="J215" i="6"/>
  <c r="P215" i="6"/>
  <c r="M215" i="6"/>
  <c r="N215" i="6"/>
  <c r="K205" i="6"/>
  <c r="P205" i="6"/>
  <c r="M205" i="6"/>
  <c r="N205" i="6"/>
  <c r="P197" i="6"/>
  <c r="M197" i="6"/>
  <c r="N197" i="6"/>
  <c r="P217" i="6"/>
  <c r="M217" i="6"/>
  <c r="N217" i="6"/>
  <c r="L215" i="6"/>
  <c r="I214" i="6"/>
  <c r="P214" i="6"/>
  <c r="M214" i="6"/>
  <c r="N214" i="6"/>
  <c r="P210" i="6"/>
  <c r="N210" i="6"/>
  <c r="P195" i="6"/>
  <c r="N195" i="6"/>
  <c r="P192" i="6"/>
  <c r="N192" i="6"/>
  <c r="P190" i="6"/>
  <c r="M190" i="6"/>
  <c r="N190" i="6"/>
  <c r="P180" i="6"/>
  <c r="N180" i="6"/>
  <c r="P177" i="6"/>
  <c r="J177" i="6"/>
  <c r="N177" i="6"/>
  <c r="I172" i="6"/>
  <c r="P172" i="6"/>
  <c r="M172" i="6"/>
  <c r="N172" i="6"/>
  <c r="L165" i="6"/>
  <c r="P165" i="6"/>
  <c r="N165" i="6"/>
  <c r="P157" i="6"/>
  <c r="M157" i="6"/>
  <c r="N157" i="6"/>
  <c r="L153" i="6"/>
  <c r="P153" i="6"/>
  <c r="N153" i="6"/>
  <c r="J137" i="6"/>
  <c r="M137" i="6"/>
  <c r="P137" i="6"/>
  <c r="N137" i="6"/>
  <c r="M128" i="6"/>
  <c r="N128" i="6"/>
  <c r="J128" i="6"/>
  <c r="P128" i="6"/>
  <c r="L128" i="6"/>
  <c r="J123" i="6"/>
  <c r="P123" i="6"/>
  <c r="M123" i="6"/>
  <c r="N123" i="6"/>
  <c r="M89" i="6"/>
  <c r="P89" i="6"/>
  <c r="N89" i="6"/>
  <c r="J89" i="6"/>
  <c r="O44" i="6"/>
  <c r="Q44" i="6"/>
  <c r="M195" i="6"/>
  <c r="M177" i="6"/>
  <c r="P183" i="6"/>
  <c r="N183" i="6"/>
  <c r="N12" i="6"/>
  <c r="P12" i="6"/>
  <c r="L12" i="6"/>
  <c r="M12" i="6"/>
  <c r="L217" i="6"/>
  <c r="M206" i="6"/>
  <c r="P206" i="6"/>
  <c r="N206" i="6"/>
  <c r="P202" i="6"/>
  <c r="M202" i="6"/>
  <c r="N202" i="6"/>
  <c r="P198" i="6"/>
  <c r="N198" i="6"/>
  <c r="J194" i="6"/>
  <c r="P194" i="6"/>
  <c r="M194" i="6"/>
  <c r="N194" i="6"/>
  <c r="J182" i="6"/>
  <c r="M182" i="6"/>
  <c r="L182" i="6"/>
  <c r="N182" i="6"/>
  <c r="P182" i="6"/>
  <c r="P175" i="6"/>
  <c r="M175" i="6"/>
  <c r="N175" i="6"/>
  <c r="N171" i="6"/>
  <c r="J166" i="6"/>
  <c r="L160" i="6"/>
  <c r="P160" i="6"/>
  <c r="M160" i="6"/>
  <c r="N160" i="6"/>
  <c r="N156" i="6"/>
  <c r="K149" i="6"/>
  <c r="J141" i="6"/>
  <c r="P141" i="6"/>
  <c r="M141" i="6"/>
  <c r="N141" i="6"/>
  <c r="Q134" i="6"/>
  <c r="O134" i="6"/>
  <c r="M131" i="6"/>
  <c r="P131" i="6"/>
  <c r="N131" i="6"/>
  <c r="M83" i="6"/>
  <c r="P83" i="6"/>
  <c r="N83" i="6"/>
  <c r="P78" i="6"/>
  <c r="M78" i="6"/>
  <c r="N78" i="6"/>
  <c r="J64" i="6"/>
  <c r="N64" i="6"/>
  <c r="P64" i="6"/>
  <c r="M64" i="6"/>
  <c r="K49" i="6"/>
  <c r="N49" i="6"/>
  <c r="P49" i="6"/>
  <c r="M49" i="6"/>
  <c r="M153" i="6"/>
  <c r="P45" i="6"/>
  <c r="M45" i="6"/>
  <c r="N45" i="6"/>
  <c r="Q7" i="6"/>
  <c r="O7" i="6"/>
  <c r="P5" i="6"/>
  <c r="M5" i="6"/>
  <c r="N5" i="6"/>
  <c r="P213" i="6"/>
  <c r="N213" i="6"/>
  <c r="I217" i="6"/>
  <c r="J212" i="6"/>
  <c r="M212" i="6"/>
  <c r="N212" i="6"/>
  <c r="P208" i="6"/>
  <c r="M208" i="6"/>
  <c r="N208" i="6"/>
  <c r="P201" i="6"/>
  <c r="N201" i="6"/>
  <c r="Q192" i="6"/>
  <c r="P191" i="6"/>
  <c r="M191" i="6"/>
  <c r="N191" i="6"/>
  <c r="P188" i="6"/>
  <c r="M188" i="6"/>
  <c r="N188" i="6"/>
  <c r="J185" i="6"/>
  <c r="P185" i="6"/>
  <c r="M185" i="6"/>
  <c r="K185" i="6"/>
  <c r="N185" i="6"/>
  <c r="J180" i="6"/>
  <c r="L177" i="6"/>
  <c r="N174" i="6"/>
  <c r="P167" i="6"/>
  <c r="M167" i="6"/>
  <c r="J167" i="6"/>
  <c r="N167" i="6"/>
  <c r="L164" i="6"/>
  <c r="P164" i="6"/>
  <c r="M164" i="6"/>
  <c r="N164" i="6"/>
  <c r="L145" i="6"/>
  <c r="L144" i="6"/>
  <c r="P144" i="6"/>
  <c r="M144" i="6"/>
  <c r="N144" i="6"/>
  <c r="K144" i="6"/>
  <c r="L135" i="6"/>
  <c r="P135" i="6"/>
  <c r="M135" i="6"/>
  <c r="N135" i="6"/>
  <c r="L130" i="6"/>
  <c r="N130" i="6"/>
  <c r="P130" i="6"/>
  <c r="M130" i="6"/>
  <c r="J130" i="6"/>
  <c r="P120" i="6"/>
  <c r="M120" i="6"/>
  <c r="N120" i="6"/>
  <c r="L120" i="6"/>
  <c r="M104" i="6"/>
  <c r="N104" i="6"/>
  <c r="J104" i="6"/>
  <c r="L104" i="6"/>
  <c r="M92" i="6"/>
  <c r="N92" i="6"/>
  <c r="P92" i="6"/>
  <c r="N52" i="6"/>
  <c r="P52" i="6"/>
  <c r="I52" i="6"/>
  <c r="Q10" i="6"/>
  <c r="O10" i="6"/>
  <c r="M52" i="6"/>
  <c r="P104" i="6"/>
  <c r="P216" i="6"/>
  <c r="N216" i="6"/>
  <c r="P179" i="6"/>
  <c r="M179" i="6"/>
  <c r="N179" i="6"/>
  <c r="P114" i="6"/>
  <c r="M114" i="6"/>
  <c r="N114" i="6"/>
  <c r="M101" i="6"/>
  <c r="P101" i="6"/>
  <c r="N101" i="6"/>
  <c r="L199" i="6"/>
  <c r="P193" i="6"/>
  <c r="M193" i="6"/>
  <c r="N193" i="6"/>
  <c r="P181" i="6"/>
  <c r="M181" i="6"/>
  <c r="N181" i="6"/>
  <c r="L173" i="6"/>
  <c r="P173" i="6"/>
  <c r="M173" i="6"/>
  <c r="N173" i="6"/>
  <c r="M170" i="6"/>
  <c r="J170" i="6"/>
  <c r="P170" i="6"/>
  <c r="N170" i="6"/>
  <c r="O161" i="6"/>
  <c r="Q161" i="6"/>
  <c r="I146" i="6"/>
  <c r="M146" i="6"/>
  <c r="N146" i="6"/>
  <c r="P146" i="6"/>
  <c r="I145" i="6"/>
  <c r="M134" i="6"/>
  <c r="N134" i="6"/>
  <c r="P134" i="6"/>
  <c r="N112" i="6"/>
  <c r="P112" i="6"/>
  <c r="M112" i="6"/>
  <c r="I112" i="6"/>
  <c r="J112" i="6"/>
  <c r="K112" i="6"/>
  <c r="M95" i="6"/>
  <c r="P95" i="6"/>
  <c r="N95" i="6"/>
  <c r="K86" i="6"/>
  <c r="M86" i="6"/>
  <c r="N86" i="6"/>
  <c r="P86" i="6"/>
  <c r="J86" i="6"/>
  <c r="L86" i="6"/>
  <c r="O75" i="6"/>
  <c r="Q75" i="6"/>
  <c r="M71" i="6"/>
  <c r="P71" i="6"/>
  <c r="N71" i="6"/>
  <c r="L67" i="6"/>
  <c r="N67" i="6"/>
  <c r="P67" i="6"/>
  <c r="M67" i="6"/>
  <c r="P35" i="6"/>
  <c r="M35" i="6"/>
  <c r="N35" i="6"/>
  <c r="Q218" i="6"/>
  <c r="O218" i="6"/>
  <c r="M201" i="6"/>
  <c r="M183" i="6"/>
  <c r="M165" i="6"/>
  <c r="L209" i="6"/>
  <c r="P209" i="6"/>
  <c r="M209" i="6"/>
  <c r="N209" i="6"/>
  <c r="P203" i="6"/>
  <c r="M203" i="6"/>
  <c r="N203" i="6"/>
  <c r="L176" i="6"/>
  <c r="M176" i="6"/>
  <c r="N176" i="6"/>
  <c r="O109" i="6"/>
  <c r="Q109" i="6"/>
  <c r="L2" i="6"/>
  <c r="P2" i="6"/>
  <c r="M2" i="6"/>
  <c r="N2" i="6"/>
  <c r="L213" i="6"/>
  <c r="P211" i="6"/>
  <c r="M211" i="6"/>
  <c r="N211" i="6"/>
  <c r="P207" i="6"/>
  <c r="N207" i="6"/>
  <c r="J206" i="6"/>
  <c r="P204" i="6"/>
  <c r="N204" i="6"/>
  <c r="P200" i="6"/>
  <c r="M200" i="6"/>
  <c r="N200" i="6"/>
  <c r="I196" i="6"/>
  <c r="P196" i="6"/>
  <c r="M196" i="6"/>
  <c r="N196" i="6"/>
  <c r="K194" i="6"/>
  <c r="Q191" i="6"/>
  <c r="P187" i="6"/>
  <c r="M187" i="6"/>
  <c r="N187" i="6"/>
  <c r="P184" i="6"/>
  <c r="M184" i="6"/>
  <c r="N184" i="6"/>
  <c r="O179" i="6"/>
  <c r="Q179" i="6"/>
  <c r="K172" i="6"/>
  <c r="O171" i="6"/>
  <c r="L169" i="6"/>
  <c r="P169" i="6"/>
  <c r="M169" i="6"/>
  <c r="N169" i="6"/>
  <c r="K164" i="6"/>
  <c r="P162" i="6"/>
  <c r="N162" i="6"/>
  <c r="J160" i="6"/>
  <c r="P154" i="6"/>
  <c r="M154" i="6"/>
  <c r="N154" i="6"/>
  <c r="N149" i="6"/>
  <c r="K141" i="6"/>
  <c r="N133" i="6"/>
  <c r="P133" i="6"/>
  <c r="M133" i="6"/>
  <c r="M107" i="6"/>
  <c r="P107" i="6"/>
  <c r="N107" i="6"/>
  <c r="J107" i="6"/>
  <c r="M98" i="6"/>
  <c r="N98" i="6"/>
  <c r="P98" i="6"/>
  <c r="K38" i="6"/>
  <c r="M38" i="6"/>
  <c r="N38" i="6"/>
  <c r="P38" i="6"/>
  <c r="P22" i="6"/>
  <c r="M22" i="6"/>
  <c r="N22" i="6"/>
  <c r="L22" i="6"/>
  <c r="M216" i="6"/>
  <c r="M198" i="6"/>
  <c r="M180" i="6"/>
  <c r="M162" i="6"/>
  <c r="P161" i="6"/>
  <c r="J155" i="6"/>
  <c r="P155" i="6"/>
  <c r="P150" i="6"/>
  <c r="N142" i="6"/>
  <c r="P142" i="6"/>
  <c r="P138" i="6"/>
  <c r="M138" i="6"/>
  <c r="N138" i="6"/>
  <c r="N124" i="6"/>
  <c r="P124" i="6"/>
  <c r="K109" i="6"/>
  <c r="P102" i="6"/>
  <c r="M102" i="6"/>
  <c r="N102" i="6"/>
  <c r="P99" i="6"/>
  <c r="M99" i="6"/>
  <c r="N99" i="6"/>
  <c r="O97" i="6"/>
  <c r="P96" i="6"/>
  <c r="M96" i="6"/>
  <c r="N96" i="6"/>
  <c r="P93" i="6"/>
  <c r="M93" i="6"/>
  <c r="N93" i="6"/>
  <c r="P84" i="6"/>
  <c r="M84" i="6"/>
  <c r="N84" i="6"/>
  <c r="J79" i="6"/>
  <c r="N79" i="6"/>
  <c r="P79" i="6"/>
  <c r="P72" i="6"/>
  <c r="M72" i="6"/>
  <c r="N72" i="6"/>
  <c r="K68" i="6"/>
  <c r="M68" i="6"/>
  <c r="N68" i="6"/>
  <c r="M65" i="6"/>
  <c r="P65" i="6"/>
  <c r="N65" i="6"/>
  <c r="M56" i="6"/>
  <c r="N56" i="6"/>
  <c r="L55" i="6"/>
  <c r="L50" i="6"/>
  <c r="M50" i="6"/>
  <c r="N50" i="6"/>
  <c r="I46" i="6"/>
  <c r="N46" i="6"/>
  <c r="P46" i="6"/>
  <c r="N42" i="6"/>
  <c r="P42" i="6"/>
  <c r="O37" i="6"/>
  <c r="N36" i="6"/>
  <c r="P36" i="6"/>
  <c r="M26" i="6"/>
  <c r="N26" i="6"/>
  <c r="M8" i="6"/>
  <c r="N8" i="6"/>
  <c r="O4" i="6"/>
  <c r="P3" i="6"/>
  <c r="N3" i="6"/>
  <c r="N150" i="6"/>
  <c r="M36" i="6"/>
  <c r="P218" i="6"/>
  <c r="M119" i="6"/>
  <c r="P119" i="6"/>
  <c r="N119" i="6"/>
  <c r="P117" i="6"/>
  <c r="M117" i="6"/>
  <c r="N117" i="6"/>
  <c r="M113" i="6"/>
  <c r="P113" i="6"/>
  <c r="N113" i="6"/>
  <c r="L111" i="6"/>
  <c r="P111" i="6"/>
  <c r="M111" i="6"/>
  <c r="N111" i="6"/>
  <c r="N106" i="6"/>
  <c r="P106" i="6"/>
  <c r="L88" i="6"/>
  <c r="N88" i="6"/>
  <c r="P88" i="6"/>
  <c r="N82" i="6"/>
  <c r="P82" i="6"/>
  <c r="N70" i="6"/>
  <c r="P70" i="6"/>
  <c r="P63" i="6"/>
  <c r="M63" i="6"/>
  <c r="N63" i="6"/>
  <c r="N58" i="6"/>
  <c r="P58" i="6"/>
  <c r="P41" i="6"/>
  <c r="M41" i="6"/>
  <c r="N41" i="6"/>
  <c r="I34" i="6"/>
  <c r="P34" i="6"/>
  <c r="M34" i="6"/>
  <c r="N34" i="6"/>
  <c r="M31" i="6"/>
  <c r="N31" i="6"/>
  <c r="P31" i="6"/>
  <c r="P28" i="6"/>
  <c r="M28" i="6"/>
  <c r="N28" i="6"/>
  <c r="M25" i="6"/>
  <c r="N25" i="6"/>
  <c r="P25" i="6"/>
  <c r="L21" i="6"/>
  <c r="P21" i="6"/>
  <c r="N21" i="6"/>
  <c r="J19" i="6"/>
  <c r="M19" i="6"/>
  <c r="N19" i="6"/>
  <c r="P19" i="6"/>
  <c r="K16" i="6"/>
  <c r="P16" i="6"/>
  <c r="M16" i="6"/>
  <c r="N16" i="6"/>
  <c r="N161" i="6"/>
  <c r="N158" i="6"/>
  <c r="N155" i="6"/>
  <c r="N152" i="6"/>
  <c r="P26" i="6"/>
  <c r="P189" i="6"/>
  <c r="P186" i="6"/>
  <c r="P178" i="6"/>
  <c r="P174" i="6"/>
  <c r="P171" i="6"/>
  <c r="P168" i="6"/>
  <c r="P166" i="6"/>
  <c r="J165" i="6"/>
  <c r="Q164" i="6"/>
  <c r="I163" i="6"/>
  <c r="P163" i="6"/>
  <c r="J158" i="6"/>
  <c r="J156" i="6"/>
  <c r="P156" i="6"/>
  <c r="K155" i="6"/>
  <c r="L150" i="6"/>
  <c r="P149" i="6"/>
  <c r="L142" i="6"/>
  <c r="I140" i="6"/>
  <c r="M140" i="6"/>
  <c r="N140" i="6"/>
  <c r="Q138" i="6"/>
  <c r="N136" i="6"/>
  <c r="P136" i="6"/>
  <c r="I128" i="6"/>
  <c r="P126" i="6"/>
  <c r="M126" i="6"/>
  <c r="N126" i="6"/>
  <c r="M122" i="6"/>
  <c r="N122" i="6"/>
  <c r="N109" i="6"/>
  <c r="P109" i="6"/>
  <c r="Q107" i="6"/>
  <c r="L105" i="6"/>
  <c r="P105" i="6"/>
  <c r="M105" i="6"/>
  <c r="N105" i="6"/>
  <c r="N103" i="6"/>
  <c r="P103" i="6"/>
  <c r="N91" i="6"/>
  <c r="P91" i="6"/>
  <c r="Q89" i="6"/>
  <c r="L87" i="6"/>
  <c r="P87" i="6"/>
  <c r="M87" i="6"/>
  <c r="N87" i="6"/>
  <c r="P81" i="6"/>
  <c r="M81" i="6"/>
  <c r="N81" i="6"/>
  <c r="P75" i="6"/>
  <c r="M75" i="6"/>
  <c r="N75" i="6"/>
  <c r="I69" i="6"/>
  <c r="O65" i="6"/>
  <c r="O52" i="6"/>
  <c r="P51" i="6"/>
  <c r="M51" i="6"/>
  <c r="N51" i="6"/>
  <c r="P48" i="6"/>
  <c r="M48" i="6"/>
  <c r="N48" i="6"/>
  <c r="M44" i="6"/>
  <c r="N44" i="6"/>
  <c r="P33" i="6"/>
  <c r="N33" i="6"/>
  <c r="L30" i="6"/>
  <c r="N30" i="6"/>
  <c r="P30" i="6"/>
  <c r="P27" i="6"/>
  <c r="N27" i="6"/>
  <c r="N24" i="6"/>
  <c r="P24" i="6"/>
  <c r="L18" i="6"/>
  <c r="N18" i="6"/>
  <c r="P18" i="6"/>
  <c r="P15" i="6"/>
  <c r="N15" i="6"/>
  <c r="K14" i="6"/>
  <c r="J10" i="6"/>
  <c r="P10" i="6"/>
  <c r="M10" i="6"/>
  <c r="N10" i="6"/>
  <c r="M7" i="6"/>
  <c r="N7" i="6"/>
  <c r="P7" i="6"/>
  <c r="M161" i="6"/>
  <c r="M158" i="6"/>
  <c r="M155" i="6"/>
  <c r="M152" i="6"/>
  <c r="M149" i="6"/>
  <c r="M136" i="6"/>
  <c r="M82" i="6"/>
  <c r="M46" i="6"/>
  <c r="M27" i="6"/>
  <c r="P56" i="6"/>
  <c r="P159" i="6"/>
  <c r="P151" i="6"/>
  <c r="P148" i="6"/>
  <c r="M143" i="6"/>
  <c r="P143" i="6"/>
  <c r="N143" i="6"/>
  <c r="N139" i="6"/>
  <c r="P139" i="6"/>
  <c r="P132" i="6"/>
  <c r="M132" i="6"/>
  <c r="N132" i="6"/>
  <c r="L129" i="6"/>
  <c r="P129" i="6"/>
  <c r="M129" i="6"/>
  <c r="N129" i="6"/>
  <c r="L121" i="6"/>
  <c r="N121" i="6"/>
  <c r="P121" i="6"/>
  <c r="N118" i="6"/>
  <c r="P118" i="6"/>
  <c r="M116" i="6"/>
  <c r="N116" i="6"/>
  <c r="O114" i="6"/>
  <c r="M110" i="6"/>
  <c r="N110" i="6"/>
  <c r="P108" i="6"/>
  <c r="M108" i="6"/>
  <c r="N108" i="6"/>
  <c r="N100" i="6"/>
  <c r="P100" i="6"/>
  <c r="P90" i="6"/>
  <c r="M90" i="6"/>
  <c r="N90" i="6"/>
  <c r="N85" i="6"/>
  <c r="P85" i="6"/>
  <c r="M77" i="6"/>
  <c r="P77" i="6"/>
  <c r="N77" i="6"/>
  <c r="M74" i="6"/>
  <c r="N74" i="6"/>
  <c r="P69" i="6"/>
  <c r="M69" i="6"/>
  <c r="N69" i="6"/>
  <c r="P66" i="6"/>
  <c r="M66" i="6"/>
  <c r="N66" i="6"/>
  <c r="M62" i="6"/>
  <c r="N62" i="6"/>
  <c r="O60" i="6"/>
  <c r="I60" i="6"/>
  <c r="P60" i="6"/>
  <c r="M60" i="6"/>
  <c r="N60" i="6"/>
  <c r="P57" i="6"/>
  <c r="M57" i="6"/>
  <c r="N57" i="6"/>
  <c r="K55" i="6"/>
  <c r="N55" i="6"/>
  <c r="P55" i="6"/>
  <c r="O53" i="6"/>
  <c r="M53" i="6"/>
  <c r="P53" i="6"/>
  <c r="N53" i="6"/>
  <c r="P40" i="6"/>
  <c r="M40" i="6"/>
  <c r="N40" i="6"/>
  <c r="M37" i="6"/>
  <c r="N37" i="6"/>
  <c r="P37" i="6"/>
  <c r="L31" i="6"/>
  <c r="O31" i="6"/>
  <c r="P23" i="6"/>
  <c r="M23" i="6"/>
  <c r="N23" i="6"/>
  <c r="L14" i="6"/>
  <c r="M14" i="6"/>
  <c r="N14" i="6"/>
  <c r="L9" i="6"/>
  <c r="P9" i="6"/>
  <c r="N9" i="6"/>
  <c r="L6" i="6"/>
  <c r="N6" i="6"/>
  <c r="P6" i="6"/>
  <c r="P4" i="6"/>
  <c r="M4" i="6"/>
  <c r="N4" i="6"/>
  <c r="N178" i="6"/>
  <c r="N166" i="6"/>
  <c r="N163" i="6"/>
  <c r="N151" i="6"/>
  <c r="N148" i="6"/>
  <c r="M79" i="6"/>
  <c r="M42" i="6"/>
  <c r="M24" i="6"/>
  <c r="M6" i="6"/>
  <c r="P122" i="6"/>
  <c r="P50" i="6"/>
  <c r="P14" i="6"/>
  <c r="M125" i="6"/>
  <c r="P125" i="6"/>
  <c r="N125" i="6"/>
  <c r="L117" i="6"/>
  <c r="N115" i="6"/>
  <c r="P115" i="6"/>
  <c r="J109" i="6"/>
  <c r="N97" i="6"/>
  <c r="P97" i="6"/>
  <c r="N94" i="6"/>
  <c r="P94" i="6"/>
  <c r="L80" i="6"/>
  <c r="M80" i="6"/>
  <c r="N80" i="6"/>
  <c r="N76" i="6"/>
  <c r="P76" i="6"/>
  <c r="L73" i="6"/>
  <c r="N73" i="6"/>
  <c r="P73" i="6"/>
  <c r="I61" i="6"/>
  <c r="N61" i="6"/>
  <c r="P61" i="6"/>
  <c r="L60" i="6"/>
  <c r="M59" i="6"/>
  <c r="P59" i="6"/>
  <c r="N59" i="6"/>
  <c r="L58" i="6"/>
  <c r="Q55" i="6"/>
  <c r="P54" i="6"/>
  <c r="M54" i="6"/>
  <c r="N54" i="6"/>
  <c r="L53" i="6"/>
  <c r="M47" i="6"/>
  <c r="P47" i="6"/>
  <c r="N47" i="6"/>
  <c r="M43" i="6"/>
  <c r="N43" i="6"/>
  <c r="P43" i="6"/>
  <c r="Q41" i="6"/>
  <c r="L39" i="6"/>
  <c r="P39" i="6"/>
  <c r="N39" i="6"/>
  <c r="M32" i="6"/>
  <c r="N32" i="6"/>
  <c r="J31" i="6"/>
  <c r="L29" i="6"/>
  <c r="P29" i="6"/>
  <c r="M29" i="6"/>
  <c r="N29" i="6"/>
  <c r="I28" i="6"/>
  <c r="L25" i="6"/>
  <c r="K20" i="6"/>
  <c r="M20" i="6"/>
  <c r="N20" i="6"/>
  <c r="L19" i="6"/>
  <c r="L17" i="6"/>
  <c r="P17" i="6"/>
  <c r="M17" i="6"/>
  <c r="N17" i="6"/>
  <c r="I16" i="6"/>
  <c r="M13" i="6"/>
  <c r="N13" i="6"/>
  <c r="P13" i="6"/>
  <c r="P11" i="6"/>
  <c r="M11" i="6"/>
  <c r="N11" i="6"/>
  <c r="L10" i="6"/>
  <c r="M178" i="6"/>
  <c r="M166" i="6"/>
  <c r="M163" i="6"/>
  <c r="M151" i="6"/>
  <c r="M148" i="6"/>
  <c r="M94" i="6"/>
  <c r="M76" i="6"/>
  <c r="M58" i="6"/>
  <c r="M39" i="6"/>
  <c r="M21" i="6"/>
  <c r="P116" i="6"/>
  <c r="P80" i="6"/>
  <c r="P44" i="6"/>
  <c r="P8" i="6"/>
  <c r="L138" i="6"/>
  <c r="J138" i="6"/>
  <c r="K138" i="6"/>
  <c r="O194" i="6"/>
  <c r="Q194" i="6"/>
  <c r="K191" i="6"/>
  <c r="J187" i="6"/>
  <c r="I187" i="6"/>
  <c r="L187" i="6"/>
  <c r="J76" i="6"/>
  <c r="K76" i="6"/>
  <c r="L76" i="6"/>
  <c r="O2" i="6"/>
  <c r="O208" i="6"/>
  <c r="K217" i="6"/>
  <c r="I211" i="6"/>
  <c r="O175" i="6"/>
  <c r="Q175" i="6"/>
  <c r="O158" i="6"/>
  <c r="Q158" i="6"/>
  <c r="J2" i="6"/>
  <c r="O212" i="6"/>
  <c r="Q212" i="6"/>
  <c r="K208" i="6"/>
  <c r="I208" i="6"/>
  <c r="J208" i="6"/>
  <c r="O205" i="6"/>
  <c r="J191" i="6"/>
  <c r="J190" i="6"/>
  <c r="L190" i="6"/>
  <c r="J188" i="6"/>
  <c r="J116" i="6"/>
  <c r="L116" i="6"/>
  <c r="J193" i="6"/>
  <c r="O182" i="6"/>
  <c r="Q182" i="6"/>
  <c r="J157" i="6"/>
  <c r="I148" i="6"/>
  <c r="K74" i="6"/>
  <c r="I74" i="6"/>
  <c r="O211" i="6"/>
  <c r="J209" i="6"/>
  <c r="K209" i="6"/>
  <c r="I191" i="6"/>
  <c r="O126" i="6"/>
  <c r="Q126" i="6"/>
  <c r="I117" i="6"/>
  <c r="J114" i="6"/>
  <c r="L114" i="6"/>
  <c r="Q96" i="6"/>
  <c r="O96" i="6"/>
  <c r="O185" i="6"/>
  <c r="Q185" i="6"/>
  <c r="O141" i="6"/>
  <c r="Q141" i="6"/>
  <c r="O215" i="6"/>
  <c r="K197" i="6"/>
  <c r="O113" i="6"/>
  <c r="O200" i="6"/>
  <c r="Q200" i="6"/>
  <c r="I193" i="6"/>
  <c r="O176" i="6"/>
  <c r="Q176" i="6"/>
  <c r="L171" i="6"/>
  <c r="L127" i="6"/>
  <c r="L103" i="6"/>
  <c r="O209" i="6"/>
  <c r="Q209" i="6"/>
  <c r="O169" i="6"/>
  <c r="J47" i="6"/>
  <c r="L47" i="6"/>
  <c r="K214" i="6"/>
  <c r="K212" i="6"/>
  <c r="I202" i="6"/>
  <c r="I199" i="6"/>
  <c r="Q154" i="6"/>
  <c r="J151" i="6"/>
  <c r="L151" i="6"/>
  <c r="J214" i="6"/>
  <c r="L212" i="6"/>
  <c r="O203" i="6"/>
  <c r="Q203" i="6"/>
  <c r="K2" i="6"/>
  <c r="Q2" i="6"/>
  <c r="K206" i="6"/>
  <c r="J202" i="6"/>
  <c r="J197" i="6"/>
  <c r="K188" i="6"/>
  <c r="Q172" i="6"/>
  <c r="O152" i="6"/>
  <c r="Q152" i="6"/>
  <c r="Q106" i="6"/>
  <c r="O106" i="6"/>
  <c r="I100" i="6"/>
  <c r="K100" i="6"/>
  <c r="O196" i="6"/>
  <c r="I194" i="6"/>
  <c r="Q189" i="6"/>
  <c r="Q186" i="6"/>
  <c r="I185" i="6"/>
  <c r="I182" i="6"/>
  <c r="I175" i="6"/>
  <c r="K173" i="6"/>
  <c r="Q170" i="6"/>
  <c r="I170" i="6"/>
  <c r="J127" i="6"/>
  <c r="O120" i="6"/>
  <c r="Q111" i="6"/>
  <c r="I107" i="6"/>
  <c r="I99" i="6"/>
  <c r="L99" i="6"/>
  <c r="O98" i="6"/>
  <c r="Q98" i="6"/>
  <c r="O61" i="6"/>
  <c r="Q61" i="6"/>
  <c r="J27" i="6"/>
  <c r="I4" i="6"/>
  <c r="J4" i="6"/>
  <c r="J44" i="6"/>
  <c r="K44" i="6"/>
  <c r="L44" i="6"/>
  <c r="I22" i="6"/>
  <c r="J22" i="6"/>
  <c r="J205" i="6"/>
  <c r="K203" i="6"/>
  <c r="L203" i="6"/>
  <c r="K200" i="6"/>
  <c r="L200" i="6"/>
  <c r="O184" i="6"/>
  <c r="J184" i="6"/>
  <c r="I180" i="6"/>
  <c r="I179" i="6"/>
  <c r="O174" i="6"/>
  <c r="K146" i="6"/>
  <c r="J139" i="6"/>
  <c r="L137" i="6"/>
  <c r="I137" i="6"/>
  <c r="J136" i="6"/>
  <c r="J131" i="6"/>
  <c r="L115" i="6"/>
  <c r="I115" i="6"/>
  <c r="Q112" i="6"/>
  <c r="I101" i="6"/>
  <c r="K101" i="6"/>
  <c r="J100" i="6"/>
  <c r="L92" i="6"/>
  <c r="Q91" i="6"/>
  <c r="I82" i="6"/>
  <c r="J82" i="6"/>
  <c r="K82" i="6"/>
  <c r="L82" i="6"/>
  <c r="L206" i="6"/>
  <c r="L197" i="6"/>
  <c r="L189" i="6"/>
  <c r="O157" i="6"/>
  <c r="J154" i="6"/>
  <c r="Q149" i="6"/>
  <c r="J146" i="6"/>
  <c r="L123" i="6"/>
  <c r="L119" i="6"/>
  <c r="I119" i="6"/>
  <c r="K104" i="6"/>
  <c r="J96" i="6"/>
  <c r="L96" i="6"/>
  <c r="I94" i="6"/>
  <c r="J94" i="6"/>
  <c r="J85" i="6"/>
  <c r="L85" i="6"/>
  <c r="Q68" i="6"/>
  <c r="O68" i="6"/>
  <c r="O54" i="6"/>
  <c r="Q54" i="6"/>
  <c r="J51" i="6"/>
  <c r="K26" i="6"/>
  <c r="I188" i="6"/>
  <c r="K182" i="6"/>
  <c r="L175" i="6"/>
  <c r="O166" i="6"/>
  <c r="I157" i="6"/>
  <c r="L148" i="6"/>
  <c r="O144" i="6"/>
  <c r="J132" i="6"/>
  <c r="Q129" i="6"/>
  <c r="J122" i="6"/>
  <c r="K120" i="6"/>
  <c r="J117" i="6"/>
  <c r="O111" i="6"/>
  <c r="O108" i="6"/>
  <c r="J91" i="6"/>
  <c r="K91" i="6"/>
  <c r="L91" i="6"/>
  <c r="I77" i="6"/>
  <c r="J77" i="6"/>
  <c r="I75" i="6"/>
  <c r="J75" i="6"/>
  <c r="K63" i="6"/>
  <c r="L63" i="6"/>
  <c r="K13" i="6"/>
  <c r="I13" i="6"/>
  <c r="J13" i="6"/>
  <c r="L13" i="6"/>
  <c r="K211" i="6"/>
  <c r="O202" i="6"/>
  <c r="K202" i="6"/>
  <c r="O199" i="6"/>
  <c r="J199" i="6"/>
  <c r="J196" i="6"/>
  <c r="L194" i="6"/>
  <c r="Q188" i="6"/>
  <c r="I184" i="6"/>
  <c r="O180" i="6"/>
  <c r="O177" i="6"/>
  <c r="J175" i="6"/>
  <c r="K174" i="6"/>
  <c r="J172" i="6"/>
  <c r="J168" i="6"/>
  <c r="Q167" i="6"/>
  <c r="Q155" i="6"/>
  <c r="L149" i="6"/>
  <c r="L141" i="6"/>
  <c r="I131" i="6"/>
  <c r="J121" i="6"/>
  <c r="J120" i="6"/>
  <c r="O103" i="6"/>
  <c r="L101" i="6"/>
  <c r="K71" i="6"/>
  <c r="J71" i="6"/>
  <c r="J58" i="6"/>
  <c r="L15" i="6"/>
  <c r="O8" i="6"/>
  <c r="Q8" i="6"/>
  <c r="J118" i="6"/>
  <c r="O93" i="6"/>
  <c r="K92" i="6"/>
  <c r="O90" i="6"/>
  <c r="O74" i="6"/>
  <c r="O71" i="6"/>
  <c r="L66" i="6"/>
  <c r="O63" i="6"/>
  <c r="I58" i="6"/>
  <c r="O56" i="6"/>
  <c r="I53" i="6"/>
  <c r="J49" i="6"/>
  <c r="J42" i="6"/>
  <c r="L38" i="6"/>
  <c r="Q35" i="6"/>
  <c r="J35" i="6"/>
  <c r="J33" i="6"/>
  <c r="J26" i="6"/>
  <c r="Q23" i="6"/>
  <c r="K22" i="6"/>
  <c r="O14" i="6"/>
  <c r="I7" i="6"/>
  <c r="L5" i="6"/>
  <c r="K4" i="6"/>
  <c r="L34" i="6"/>
  <c r="J24" i="6"/>
  <c r="I19" i="6"/>
  <c r="O13" i="6"/>
  <c r="K5" i="6"/>
  <c r="K94" i="6"/>
  <c r="I89" i="6"/>
  <c r="O88" i="6"/>
  <c r="J87" i="6"/>
  <c r="K75" i="6"/>
  <c r="K72" i="6"/>
  <c r="Q69" i="6"/>
  <c r="L64" i="6"/>
  <c r="O59" i="6"/>
  <c r="K57" i="6"/>
  <c r="O83" i="6"/>
  <c r="O78" i="6"/>
  <c r="J72" i="6"/>
  <c r="L72" i="6"/>
  <c r="Q66" i="6"/>
  <c r="K64" i="6"/>
  <c r="J57" i="6"/>
  <c r="I56" i="6"/>
  <c r="O49" i="6"/>
  <c r="I43" i="6"/>
  <c r="O40" i="6"/>
  <c r="K35" i="6"/>
  <c r="L16" i="6"/>
  <c r="K7" i="6"/>
  <c r="K102" i="6"/>
  <c r="O99" i="6"/>
  <c r="Q84" i="6"/>
  <c r="Q79" i="6"/>
  <c r="I72" i="6"/>
  <c r="Q70" i="6"/>
  <c r="J61" i="6"/>
  <c r="I57" i="6"/>
  <c r="I25" i="6"/>
  <c r="L20" i="6"/>
  <c r="J16" i="6"/>
  <c r="L11" i="6"/>
  <c r="K10" i="6"/>
  <c r="K8" i="6"/>
  <c r="L7" i="6"/>
  <c r="L218" i="6"/>
  <c r="K218" i="6"/>
  <c r="J218" i="6"/>
  <c r="I218" i="6"/>
  <c r="O168" i="6"/>
  <c r="I162" i="6"/>
  <c r="K162" i="6"/>
  <c r="Q148" i="6"/>
  <c r="L204" i="6"/>
  <c r="L198" i="6"/>
  <c r="L192" i="6"/>
  <c r="L179" i="6"/>
  <c r="O178" i="6"/>
  <c r="K169" i="6"/>
  <c r="L163" i="6"/>
  <c r="I161" i="6"/>
  <c r="O160" i="6"/>
  <c r="L154" i="6"/>
  <c r="I152" i="6"/>
  <c r="O151" i="6"/>
  <c r="I147" i="6"/>
  <c r="K147" i="6"/>
  <c r="O123" i="6"/>
  <c r="I32" i="6"/>
  <c r="J32" i="6"/>
  <c r="K32" i="6"/>
  <c r="L32" i="6"/>
  <c r="Q216" i="6"/>
  <c r="K216" i="6"/>
  <c r="I215" i="6"/>
  <c r="Q213" i="6"/>
  <c r="K213" i="6"/>
  <c r="I212" i="6"/>
  <c r="Q210" i="6"/>
  <c r="K210" i="6"/>
  <c r="I209" i="6"/>
  <c r="Q207" i="6"/>
  <c r="K207" i="6"/>
  <c r="I206" i="6"/>
  <c r="Q204" i="6"/>
  <c r="K204" i="6"/>
  <c r="I203" i="6"/>
  <c r="Q201" i="6"/>
  <c r="K201" i="6"/>
  <c r="I200" i="6"/>
  <c r="Q198" i="6"/>
  <c r="K198" i="6"/>
  <c r="I197" i="6"/>
  <c r="Q195" i="6"/>
  <c r="K195" i="6"/>
  <c r="K192" i="6"/>
  <c r="K189" i="6"/>
  <c r="K186" i="6"/>
  <c r="K183" i="6"/>
  <c r="K179" i="6"/>
  <c r="I177" i="6"/>
  <c r="J174" i="6"/>
  <c r="I173" i="6"/>
  <c r="Q169" i="6"/>
  <c r="J169" i="6"/>
  <c r="K168" i="6"/>
  <c r="O165" i="6"/>
  <c r="Q165" i="6"/>
  <c r="J163" i="6"/>
  <c r="L162" i="6"/>
  <c r="L161" i="6"/>
  <c r="K160" i="6"/>
  <c r="I159" i="6"/>
  <c r="K159" i="6"/>
  <c r="O156" i="6"/>
  <c r="Q156" i="6"/>
  <c r="L152" i="6"/>
  <c r="K151" i="6"/>
  <c r="I150" i="6"/>
  <c r="K150" i="6"/>
  <c r="O148" i="6"/>
  <c r="K148" i="6"/>
  <c r="J148" i="6"/>
  <c r="K145" i="6"/>
  <c r="J145" i="6"/>
  <c r="J144" i="6"/>
  <c r="K140" i="6"/>
  <c r="L140" i="6"/>
  <c r="J140" i="6"/>
  <c r="O159" i="6"/>
  <c r="Q159" i="6"/>
  <c r="K154" i="6"/>
  <c r="I153" i="6"/>
  <c r="K153" i="6"/>
  <c r="Q145" i="6"/>
  <c r="K143" i="6"/>
  <c r="I143" i="6"/>
  <c r="L143" i="6"/>
  <c r="L210" i="6"/>
  <c r="L195" i="6"/>
  <c r="L183" i="6"/>
  <c r="I176" i="6"/>
  <c r="K171" i="6"/>
  <c r="L214" i="6"/>
  <c r="L211" i="6"/>
  <c r="J207" i="6"/>
  <c r="L205" i="6"/>
  <c r="L202" i="6"/>
  <c r="J198" i="6"/>
  <c r="J195" i="6"/>
  <c r="J192" i="6"/>
  <c r="J186" i="6"/>
  <c r="J183" i="6"/>
  <c r="K181" i="6"/>
  <c r="J179" i="6"/>
  <c r="K176" i="6"/>
  <c r="I174" i="6"/>
  <c r="J171" i="6"/>
  <c r="I169" i="6"/>
  <c r="I167" i="6"/>
  <c r="J162" i="6"/>
  <c r="K161" i="6"/>
  <c r="I158" i="6"/>
  <c r="I154" i="6"/>
  <c r="J153" i="6"/>
  <c r="K152" i="6"/>
  <c r="L147" i="6"/>
  <c r="J143" i="6"/>
  <c r="O139" i="6"/>
  <c r="Q139" i="6"/>
  <c r="K134" i="6"/>
  <c r="I134" i="6"/>
  <c r="J134" i="6"/>
  <c r="L134" i="6"/>
  <c r="I113" i="6"/>
  <c r="J113" i="6"/>
  <c r="K113" i="6"/>
  <c r="L113" i="6"/>
  <c r="O181" i="6"/>
  <c r="K163" i="6"/>
  <c r="L216" i="6"/>
  <c r="L174" i="6"/>
  <c r="J216" i="6"/>
  <c r="J213" i="6"/>
  <c r="J210" i="6"/>
  <c r="J204" i="6"/>
  <c r="J201" i="6"/>
  <c r="L196" i="6"/>
  <c r="L193" i="6"/>
  <c r="J189" i="6"/>
  <c r="Q217" i="6"/>
  <c r="I216" i="6"/>
  <c r="Q214" i="6"/>
  <c r="I213" i="6"/>
  <c r="Q211" i="6"/>
  <c r="I210" i="6"/>
  <c r="Q208" i="6"/>
  <c r="I207" i="6"/>
  <c r="Q205" i="6"/>
  <c r="I204" i="6"/>
  <c r="Q202" i="6"/>
  <c r="I201" i="6"/>
  <c r="Q199" i="6"/>
  <c r="K199" i="6"/>
  <c r="I198" i="6"/>
  <c r="Q196" i="6"/>
  <c r="K196" i="6"/>
  <c r="I195" i="6"/>
  <c r="Q193" i="6"/>
  <c r="K193" i="6"/>
  <c r="I192" i="6"/>
  <c r="Q190" i="6"/>
  <c r="K190" i="6"/>
  <c r="I189" i="6"/>
  <c r="Q187" i="6"/>
  <c r="K187" i="6"/>
  <c r="I186" i="6"/>
  <c r="Q184" i="6"/>
  <c r="K184" i="6"/>
  <c r="I183" i="6"/>
  <c r="Q181" i="6"/>
  <c r="J181" i="6"/>
  <c r="K180" i="6"/>
  <c r="K178" i="6"/>
  <c r="J176" i="6"/>
  <c r="I171" i="6"/>
  <c r="K166" i="6"/>
  <c r="I165" i="6"/>
  <c r="K165" i="6"/>
  <c r="O162" i="6"/>
  <c r="Q162" i="6"/>
  <c r="J161" i="6"/>
  <c r="L158" i="6"/>
  <c r="K157" i="6"/>
  <c r="I156" i="6"/>
  <c r="K156" i="6"/>
  <c r="O153" i="6"/>
  <c r="Q153" i="6"/>
  <c r="J152" i="6"/>
  <c r="J147" i="6"/>
  <c r="I142" i="6"/>
  <c r="K142" i="6"/>
  <c r="J142" i="6"/>
  <c r="Q123" i="6"/>
  <c r="O92" i="6"/>
  <c r="Q92" i="6"/>
  <c r="Q140" i="6"/>
  <c r="O140" i="6"/>
  <c r="I133" i="6"/>
  <c r="K133" i="6"/>
  <c r="J133" i="6"/>
  <c r="L133" i="6"/>
  <c r="L201" i="6"/>
  <c r="I181" i="6"/>
  <c r="L180" i="6"/>
  <c r="J178" i="6"/>
  <c r="K177" i="6"/>
  <c r="K175" i="6"/>
  <c r="Q173" i="6"/>
  <c r="J173" i="6"/>
  <c r="K170" i="6"/>
  <c r="I168" i="6"/>
  <c r="K167" i="6"/>
  <c r="L166" i="6"/>
  <c r="I164" i="6"/>
  <c r="O163" i="6"/>
  <c r="I160" i="6"/>
  <c r="J159" i="6"/>
  <c r="K158" i="6"/>
  <c r="L157" i="6"/>
  <c r="I155" i="6"/>
  <c r="O154" i="6"/>
  <c r="I151" i="6"/>
  <c r="J150" i="6"/>
  <c r="I139" i="6"/>
  <c r="K139" i="6"/>
  <c r="L139" i="6"/>
  <c r="I135" i="6"/>
  <c r="J135" i="6"/>
  <c r="K135" i="6"/>
  <c r="Q132" i="6"/>
  <c r="I126" i="6"/>
  <c r="J126" i="6"/>
  <c r="K126" i="6"/>
  <c r="L126" i="6"/>
  <c r="O142" i="6"/>
  <c r="Q142" i="6"/>
  <c r="K137" i="6"/>
  <c r="I136" i="6"/>
  <c r="K136" i="6"/>
  <c r="O133" i="6"/>
  <c r="Q133" i="6"/>
  <c r="K128" i="6"/>
  <c r="I127" i="6"/>
  <c r="K127" i="6"/>
  <c r="O124" i="6"/>
  <c r="Q124" i="6"/>
  <c r="K110" i="6"/>
  <c r="J110" i="6"/>
  <c r="O130" i="6"/>
  <c r="Q130" i="6"/>
  <c r="K125" i="6"/>
  <c r="I124" i="6"/>
  <c r="K124" i="6"/>
  <c r="Q119" i="6"/>
  <c r="I106" i="6"/>
  <c r="J106" i="6"/>
  <c r="K106" i="6"/>
  <c r="O82" i="6"/>
  <c r="J67" i="6"/>
  <c r="K67" i="6"/>
  <c r="Q150" i="6"/>
  <c r="I149" i="6"/>
  <c r="Q147" i="6"/>
  <c r="I141" i="6"/>
  <c r="I132" i="6"/>
  <c r="O131" i="6"/>
  <c r="L125" i="6"/>
  <c r="I123" i="6"/>
  <c r="O122" i="6"/>
  <c r="I118" i="6"/>
  <c r="K118" i="6"/>
  <c r="K111" i="6"/>
  <c r="I111" i="6"/>
  <c r="J111" i="6"/>
  <c r="Q100" i="6"/>
  <c r="I88" i="6"/>
  <c r="J88" i="6"/>
  <c r="K88" i="6"/>
  <c r="Q82" i="6"/>
  <c r="O136" i="6"/>
  <c r="Q136" i="6"/>
  <c r="K131" i="6"/>
  <c r="I130" i="6"/>
  <c r="K130" i="6"/>
  <c r="O127" i="6"/>
  <c r="Q127" i="6"/>
  <c r="J125" i="6"/>
  <c r="L124" i="6"/>
  <c r="K122" i="6"/>
  <c r="I121" i="6"/>
  <c r="K121" i="6"/>
  <c r="O119" i="6"/>
  <c r="K119" i="6"/>
  <c r="J119" i="6"/>
  <c r="K115" i="6"/>
  <c r="J115" i="6"/>
  <c r="Q105" i="6"/>
  <c r="I98" i="6"/>
  <c r="J98" i="6"/>
  <c r="K98" i="6"/>
  <c r="L98" i="6"/>
  <c r="I138" i="6"/>
  <c r="O137" i="6"/>
  <c r="K132" i="6"/>
  <c r="L131" i="6"/>
  <c r="I129" i="6"/>
  <c r="O128" i="6"/>
  <c r="I125" i="6"/>
  <c r="J124" i="6"/>
  <c r="K123" i="6"/>
  <c r="L122" i="6"/>
  <c r="I116" i="6"/>
  <c r="K116" i="6"/>
  <c r="O115" i="6"/>
  <c r="O110" i="6"/>
  <c r="Q110" i="6"/>
  <c r="K108" i="6"/>
  <c r="I108" i="6"/>
  <c r="J108" i="6"/>
  <c r="L108" i="6"/>
  <c r="L106" i="6"/>
  <c r="K93" i="6"/>
  <c r="I93" i="6"/>
  <c r="J93" i="6"/>
  <c r="L93" i="6"/>
  <c r="Q87" i="6"/>
  <c r="K114" i="6"/>
  <c r="K107" i="6"/>
  <c r="I105" i="6"/>
  <c r="J102" i="6"/>
  <c r="J97" i="6"/>
  <c r="K96" i="6"/>
  <c r="J92" i="6"/>
  <c r="K89" i="6"/>
  <c r="I87" i="6"/>
  <c r="Q81" i="6"/>
  <c r="I80" i="6"/>
  <c r="Q77" i="6"/>
  <c r="I70" i="6"/>
  <c r="J70" i="6"/>
  <c r="K70" i="6"/>
  <c r="L70" i="6"/>
  <c r="K65" i="6"/>
  <c r="I65" i="6"/>
  <c r="J65" i="6"/>
  <c r="L65" i="6"/>
  <c r="I62" i="6"/>
  <c r="J62" i="6"/>
  <c r="I95" i="6"/>
  <c r="K90" i="6"/>
  <c r="I84" i="6"/>
  <c r="K83" i="6"/>
  <c r="J83" i="6"/>
  <c r="L83" i="6"/>
  <c r="I81" i="6"/>
  <c r="J81" i="6"/>
  <c r="J78" i="6"/>
  <c r="K78" i="6"/>
  <c r="Q72" i="6"/>
  <c r="I41" i="6"/>
  <c r="J41" i="6"/>
  <c r="K41" i="6"/>
  <c r="L41" i="6"/>
  <c r="Q121" i="6"/>
  <c r="I120" i="6"/>
  <c r="Q118" i="6"/>
  <c r="I114" i="6"/>
  <c r="I110" i="6"/>
  <c r="I109" i="6"/>
  <c r="K105" i="6"/>
  <c r="K103" i="6"/>
  <c r="Q101" i="6"/>
  <c r="J101" i="6"/>
  <c r="I96" i="6"/>
  <c r="L95" i="6"/>
  <c r="I92" i="6"/>
  <c r="I91" i="6"/>
  <c r="L90" i="6"/>
  <c r="K87" i="6"/>
  <c r="K85" i="6"/>
  <c r="L84" i="6"/>
  <c r="I79" i="6"/>
  <c r="K79" i="6"/>
  <c r="J103" i="6"/>
  <c r="K95" i="6"/>
  <c r="J90" i="6"/>
  <c r="K84" i="6"/>
  <c r="L81" i="6"/>
  <c r="L78" i="6"/>
  <c r="O72" i="6"/>
  <c r="O64" i="6"/>
  <c r="Q64" i="6"/>
  <c r="Q57" i="6"/>
  <c r="K117" i="6"/>
  <c r="Q113" i="6"/>
  <c r="L107" i="6"/>
  <c r="J105" i="6"/>
  <c r="I104" i="6"/>
  <c r="I103" i="6"/>
  <c r="L102" i="6"/>
  <c r="K99" i="6"/>
  <c r="K97" i="6"/>
  <c r="Q95" i="6"/>
  <c r="J95" i="6"/>
  <c r="I90" i="6"/>
  <c r="L89" i="6"/>
  <c r="I86" i="6"/>
  <c r="J84" i="6"/>
  <c r="I83" i="6"/>
  <c r="K81" i="6"/>
  <c r="J80" i="6"/>
  <c r="L79" i="6"/>
  <c r="I78" i="6"/>
  <c r="K54" i="6"/>
  <c r="J74" i="6"/>
  <c r="I73" i="6"/>
  <c r="L71" i="6"/>
  <c r="J69" i="6"/>
  <c r="K66" i="6"/>
  <c r="K61" i="6"/>
  <c r="J59" i="6"/>
  <c r="K59" i="6"/>
  <c r="O51" i="6"/>
  <c r="Q51" i="6"/>
  <c r="O38" i="6"/>
  <c r="O29" i="6"/>
  <c r="I3" i="6"/>
  <c r="J3" i="6"/>
  <c r="K3" i="6"/>
  <c r="I85" i="6"/>
  <c r="K80" i="6"/>
  <c r="Q76" i="6"/>
  <c r="K73" i="6"/>
  <c r="I71" i="6"/>
  <c r="J68" i="6"/>
  <c r="I67" i="6"/>
  <c r="I66" i="6"/>
  <c r="Q63" i="6"/>
  <c r="J63" i="6"/>
  <c r="K62" i="6"/>
  <c r="L59" i="6"/>
  <c r="J56" i="6"/>
  <c r="K56" i="6"/>
  <c r="I55" i="6"/>
  <c r="I45" i="6"/>
  <c r="K45" i="6"/>
  <c r="L45" i="6"/>
  <c r="K77" i="6"/>
  <c r="Q73" i="6"/>
  <c r="J73" i="6"/>
  <c r="I68" i="6"/>
  <c r="I64" i="6"/>
  <c r="I63" i="6"/>
  <c r="L62" i="6"/>
  <c r="I59" i="6"/>
  <c r="K58" i="6"/>
  <c r="K52" i="6"/>
  <c r="J52" i="6"/>
  <c r="L52" i="6"/>
  <c r="Q50" i="6"/>
  <c r="Q43" i="6"/>
  <c r="O43" i="6"/>
  <c r="I23" i="6"/>
  <c r="J23" i="6"/>
  <c r="K23" i="6"/>
  <c r="L23" i="6"/>
  <c r="I76" i="6"/>
  <c r="L74" i="6"/>
  <c r="K69" i="6"/>
  <c r="Q67" i="6"/>
  <c r="L61" i="6"/>
  <c r="O47" i="6"/>
  <c r="K46" i="6"/>
  <c r="J46" i="6"/>
  <c r="L46" i="6"/>
  <c r="J45" i="6"/>
  <c r="Q59" i="6"/>
  <c r="Q56" i="6"/>
  <c r="I54" i="6"/>
  <c r="J50" i="6"/>
  <c r="I48" i="6"/>
  <c r="K48" i="6"/>
  <c r="O45" i="6"/>
  <c r="Q45" i="6"/>
  <c r="J43" i="6"/>
  <c r="L42" i="6"/>
  <c r="K40" i="6"/>
  <c r="I39" i="6"/>
  <c r="K39" i="6"/>
  <c r="O36" i="6"/>
  <c r="Q36" i="6"/>
  <c r="J34" i="6"/>
  <c r="L33" i="6"/>
  <c r="K31" i="6"/>
  <c r="I30" i="6"/>
  <c r="K30" i="6"/>
  <c r="O27" i="6"/>
  <c r="Q27" i="6"/>
  <c r="J25" i="6"/>
  <c r="L24" i="6"/>
  <c r="L54" i="6"/>
  <c r="I51" i="6"/>
  <c r="I50" i="6"/>
  <c r="L49" i="6"/>
  <c r="I47" i="6"/>
  <c r="O46" i="6"/>
  <c r="L40" i="6"/>
  <c r="I38" i="6"/>
  <c r="I29" i="6"/>
  <c r="I6" i="6"/>
  <c r="J6" i="6"/>
  <c r="K6" i="6"/>
  <c r="O42" i="6"/>
  <c r="Q42" i="6"/>
  <c r="K37" i="6"/>
  <c r="I36" i="6"/>
  <c r="K36" i="6"/>
  <c r="O33" i="6"/>
  <c r="Q33" i="6"/>
  <c r="K28" i="6"/>
  <c r="I27" i="6"/>
  <c r="K27" i="6"/>
  <c r="O24" i="6"/>
  <c r="Q24" i="6"/>
  <c r="O21" i="6"/>
  <c r="Q21" i="6"/>
  <c r="O18" i="6"/>
  <c r="Q18" i="6"/>
  <c r="O15" i="6"/>
  <c r="Q15" i="6"/>
  <c r="J54" i="6"/>
  <c r="K51" i="6"/>
  <c r="I49" i="6"/>
  <c r="J48" i="6"/>
  <c r="K47" i="6"/>
  <c r="I44" i="6"/>
  <c r="I40" i="6"/>
  <c r="J39" i="6"/>
  <c r="L37" i="6"/>
  <c r="I35" i="6"/>
  <c r="O34" i="6"/>
  <c r="I31" i="6"/>
  <c r="J30" i="6"/>
  <c r="K29" i="6"/>
  <c r="L28" i="6"/>
  <c r="I26" i="6"/>
  <c r="O25" i="6"/>
  <c r="I9" i="6"/>
  <c r="O48" i="6"/>
  <c r="Q48" i="6"/>
  <c r="K43" i="6"/>
  <c r="I42" i="6"/>
  <c r="K42" i="6"/>
  <c r="O39" i="6"/>
  <c r="Q39" i="6"/>
  <c r="J38" i="6"/>
  <c r="J37" i="6"/>
  <c r="L36" i="6"/>
  <c r="L35" i="6"/>
  <c r="K34" i="6"/>
  <c r="I33" i="6"/>
  <c r="K33" i="6"/>
  <c r="O30" i="6"/>
  <c r="Q30" i="6"/>
  <c r="J29" i="6"/>
  <c r="J28" i="6"/>
  <c r="L27" i="6"/>
  <c r="K25" i="6"/>
  <c r="I24" i="6"/>
  <c r="K24" i="6"/>
  <c r="I21" i="6"/>
  <c r="J21" i="6"/>
  <c r="K21" i="6"/>
  <c r="I20" i="6"/>
  <c r="I18" i="6"/>
  <c r="I17" i="6"/>
  <c r="J17" i="6"/>
  <c r="I15" i="6"/>
  <c r="I14" i="6"/>
  <c r="J14" i="6"/>
  <c r="I12" i="6"/>
  <c r="J11" i="6"/>
  <c r="J8" i="6"/>
  <c r="J5" i="6"/>
  <c r="K18" i="6"/>
  <c r="K15" i="6"/>
  <c r="Q12" i="6"/>
  <c r="K12" i="6"/>
  <c r="I11" i="6"/>
  <c r="Q9" i="6"/>
  <c r="K9" i="6"/>
  <c r="I8" i="6"/>
  <c r="Q6" i="6"/>
  <c r="I5" i="6"/>
  <c r="Q3" i="6"/>
  <c r="J18" i="6"/>
  <c r="J15" i="6"/>
  <c r="J12" i="6"/>
  <c r="J9" i="6"/>
  <c r="I219" i="39"/>
  <c r="H219" i="39"/>
  <c r="G219" i="39"/>
  <c r="F219" i="39"/>
  <c r="E219" i="39"/>
  <c r="D219" i="39"/>
  <c r="C219" i="39"/>
  <c r="B219" i="39"/>
  <c r="A219" i="39"/>
  <c r="I218" i="39"/>
  <c r="H218" i="39"/>
  <c r="G218" i="39"/>
  <c r="F218" i="39"/>
  <c r="E218" i="39"/>
  <c r="D218" i="39"/>
  <c r="C218" i="39"/>
  <c r="B218" i="39"/>
  <c r="A218" i="39"/>
  <c r="I217" i="39"/>
  <c r="H217" i="39"/>
  <c r="G217" i="39"/>
  <c r="F217" i="39"/>
  <c r="E217" i="39"/>
  <c r="D217" i="39"/>
  <c r="C217" i="39"/>
  <c r="B217" i="39"/>
  <c r="A217" i="39"/>
  <c r="I216" i="39"/>
  <c r="H216" i="39"/>
  <c r="G216" i="39"/>
  <c r="F216" i="39"/>
  <c r="E216" i="39"/>
  <c r="D216" i="39"/>
  <c r="C216" i="39"/>
  <c r="B216" i="39"/>
  <c r="A216" i="39"/>
  <c r="I215" i="39"/>
  <c r="H215" i="39"/>
  <c r="G215" i="39"/>
  <c r="F215" i="39"/>
  <c r="E215" i="39"/>
  <c r="D215" i="39"/>
  <c r="J215" i="39" s="1"/>
  <c r="C215" i="39"/>
  <c r="B215" i="39"/>
  <c r="A215" i="39"/>
  <c r="I214" i="39"/>
  <c r="H214" i="39"/>
  <c r="G214" i="39"/>
  <c r="F214" i="39"/>
  <c r="E214" i="39"/>
  <c r="D214" i="39"/>
  <c r="C214" i="39"/>
  <c r="B214" i="39"/>
  <c r="A214" i="39"/>
  <c r="I213" i="39"/>
  <c r="H213" i="39"/>
  <c r="G213" i="39"/>
  <c r="F213" i="39"/>
  <c r="E213" i="39"/>
  <c r="D213" i="39"/>
  <c r="C213" i="39"/>
  <c r="B213" i="39"/>
  <c r="A213" i="39"/>
  <c r="I212" i="39"/>
  <c r="H212" i="39"/>
  <c r="G212" i="39"/>
  <c r="F212" i="39"/>
  <c r="E212" i="39"/>
  <c r="D212" i="39"/>
  <c r="C212" i="39"/>
  <c r="B212" i="39"/>
  <c r="A212" i="39"/>
  <c r="I211" i="39"/>
  <c r="H211" i="39"/>
  <c r="G211" i="39"/>
  <c r="F211" i="39"/>
  <c r="E211" i="39"/>
  <c r="D211" i="39"/>
  <c r="J211" i="39" s="1"/>
  <c r="C211" i="39"/>
  <c r="B211" i="39"/>
  <c r="A211" i="39"/>
  <c r="I210" i="39"/>
  <c r="H210" i="39"/>
  <c r="G210" i="39"/>
  <c r="F210" i="39"/>
  <c r="E210" i="39"/>
  <c r="D210" i="39"/>
  <c r="J210" i="39" s="1"/>
  <c r="C210" i="39"/>
  <c r="B210" i="39"/>
  <c r="A210" i="39"/>
  <c r="I209" i="39"/>
  <c r="H209" i="39"/>
  <c r="G209" i="39"/>
  <c r="F209" i="39"/>
  <c r="E209" i="39"/>
  <c r="D209" i="39"/>
  <c r="C209" i="39"/>
  <c r="B209" i="39"/>
  <c r="A209" i="39"/>
  <c r="I208" i="39"/>
  <c r="H208" i="39"/>
  <c r="G208" i="39"/>
  <c r="F208" i="39"/>
  <c r="E208" i="39"/>
  <c r="D208" i="39"/>
  <c r="C208" i="39"/>
  <c r="B208" i="39"/>
  <c r="A208" i="39"/>
  <c r="I207" i="39"/>
  <c r="H207" i="39"/>
  <c r="G207" i="39"/>
  <c r="F207" i="39"/>
  <c r="E207" i="39"/>
  <c r="D207" i="39"/>
  <c r="C207" i="39"/>
  <c r="B207" i="39"/>
  <c r="A207" i="39"/>
  <c r="I206" i="39"/>
  <c r="H206" i="39"/>
  <c r="G206" i="39"/>
  <c r="F206" i="39"/>
  <c r="E206" i="39"/>
  <c r="D206" i="39"/>
  <c r="C206" i="39"/>
  <c r="B206" i="39"/>
  <c r="A206" i="39"/>
  <c r="I205" i="39"/>
  <c r="H205" i="39"/>
  <c r="G205" i="39"/>
  <c r="F205" i="39"/>
  <c r="E205" i="39"/>
  <c r="D205" i="39"/>
  <c r="C205" i="39"/>
  <c r="B205" i="39"/>
  <c r="A205" i="39"/>
  <c r="I204" i="39"/>
  <c r="H204" i="39"/>
  <c r="G204" i="39"/>
  <c r="F204" i="39"/>
  <c r="E204" i="39"/>
  <c r="D204" i="39"/>
  <c r="C204" i="39"/>
  <c r="B204" i="39"/>
  <c r="A204" i="39"/>
  <c r="I203" i="39"/>
  <c r="H203" i="39"/>
  <c r="G203" i="39"/>
  <c r="F203" i="39"/>
  <c r="E203" i="39"/>
  <c r="D203" i="39"/>
  <c r="J203" i="39" s="1"/>
  <c r="C203" i="39"/>
  <c r="B203" i="39"/>
  <c r="A203" i="39"/>
  <c r="I202" i="39"/>
  <c r="H202" i="39"/>
  <c r="G202" i="39"/>
  <c r="F202" i="39"/>
  <c r="E202" i="39"/>
  <c r="D202" i="39"/>
  <c r="C202" i="39"/>
  <c r="B202" i="39"/>
  <c r="A202" i="39"/>
  <c r="I201" i="39"/>
  <c r="H201" i="39"/>
  <c r="G201" i="39"/>
  <c r="F201" i="39"/>
  <c r="E201" i="39"/>
  <c r="D201" i="39"/>
  <c r="J201" i="39" s="1"/>
  <c r="C201" i="39"/>
  <c r="B201" i="39"/>
  <c r="A201" i="39"/>
  <c r="I200" i="39"/>
  <c r="H200" i="39"/>
  <c r="G200" i="39"/>
  <c r="F200" i="39"/>
  <c r="E200" i="39"/>
  <c r="D200" i="39"/>
  <c r="J200" i="39" s="1"/>
  <c r="C200" i="39"/>
  <c r="B200" i="39"/>
  <c r="A200" i="39"/>
  <c r="I199" i="39"/>
  <c r="H199" i="39"/>
  <c r="G199" i="39"/>
  <c r="F199" i="39"/>
  <c r="E199" i="39"/>
  <c r="D199" i="39"/>
  <c r="C199" i="39"/>
  <c r="B199" i="39"/>
  <c r="A199" i="39"/>
  <c r="I198" i="39"/>
  <c r="H198" i="39"/>
  <c r="G198" i="39"/>
  <c r="F198" i="39"/>
  <c r="E198" i="39"/>
  <c r="D198" i="39"/>
  <c r="C198" i="39"/>
  <c r="B198" i="39"/>
  <c r="A198" i="39"/>
  <c r="I197" i="39"/>
  <c r="H197" i="39"/>
  <c r="G197" i="39"/>
  <c r="F197" i="39"/>
  <c r="E197" i="39"/>
  <c r="D197" i="39"/>
  <c r="J197" i="39" s="1"/>
  <c r="C197" i="39"/>
  <c r="B197" i="39"/>
  <c r="A197" i="39"/>
  <c r="I196" i="39"/>
  <c r="H196" i="39"/>
  <c r="G196" i="39"/>
  <c r="F196" i="39"/>
  <c r="E196" i="39"/>
  <c r="M196" i="39" s="1"/>
  <c r="D196" i="39"/>
  <c r="C196" i="39"/>
  <c r="B196" i="39"/>
  <c r="A196" i="39"/>
  <c r="I195" i="39"/>
  <c r="H195" i="39"/>
  <c r="G195" i="39"/>
  <c r="F195" i="39"/>
  <c r="E195" i="39"/>
  <c r="D195" i="39"/>
  <c r="C195" i="39"/>
  <c r="B195" i="39"/>
  <c r="A195" i="39"/>
  <c r="I194" i="39"/>
  <c r="H194" i="39"/>
  <c r="G194" i="39"/>
  <c r="F194" i="39"/>
  <c r="E194" i="39"/>
  <c r="D194" i="39"/>
  <c r="C194" i="39"/>
  <c r="B194" i="39"/>
  <c r="A194" i="39"/>
  <c r="I193" i="39"/>
  <c r="H193" i="39"/>
  <c r="G193" i="39"/>
  <c r="F193" i="39"/>
  <c r="E193" i="39"/>
  <c r="D193" i="39"/>
  <c r="J193" i="39" s="1"/>
  <c r="C193" i="39"/>
  <c r="B193" i="39"/>
  <c r="A193" i="39"/>
  <c r="I192" i="39"/>
  <c r="H192" i="39"/>
  <c r="G192" i="39"/>
  <c r="F192" i="39"/>
  <c r="E192" i="39"/>
  <c r="D192" i="39"/>
  <c r="J192" i="39" s="1"/>
  <c r="C192" i="39"/>
  <c r="B192" i="39"/>
  <c r="A192" i="39"/>
  <c r="I191" i="39"/>
  <c r="H191" i="39"/>
  <c r="G191" i="39"/>
  <c r="F191" i="39"/>
  <c r="E191" i="39"/>
  <c r="D191" i="39"/>
  <c r="C191" i="39"/>
  <c r="B191" i="39"/>
  <c r="A191" i="39"/>
  <c r="I190" i="39"/>
  <c r="H190" i="39"/>
  <c r="G190" i="39"/>
  <c r="F190" i="39"/>
  <c r="E190" i="39"/>
  <c r="D190" i="39"/>
  <c r="C190" i="39"/>
  <c r="B190" i="39"/>
  <c r="A190" i="39"/>
  <c r="I189" i="39"/>
  <c r="H189" i="39"/>
  <c r="G189" i="39"/>
  <c r="F189" i="39"/>
  <c r="E189" i="39"/>
  <c r="D189" i="39"/>
  <c r="C189" i="39"/>
  <c r="B189" i="39"/>
  <c r="A189" i="39"/>
  <c r="I188" i="39"/>
  <c r="H188" i="39"/>
  <c r="G188" i="39"/>
  <c r="F188" i="39"/>
  <c r="E188" i="39"/>
  <c r="D188" i="39"/>
  <c r="C188" i="39"/>
  <c r="B188" i="39"/>
  <c r="A188" i="39"/>
  <c r="I187" i="39"/>
  <c r="H187" i="39"/>
  <c r="G187" i="39"/>
  <c r="F187" i="39"/>
  <c r="E187" i="39"/>
  <c r="D187" i="39"/>
  <c r="C187" i="39"/>
  <c r="B187" i="39"/>
  <c r="A187" i="39"/>
  <c r="I186" i="39"/>
  <c r="H186" i="39"/>
  <c r="G186" i="39"/>
  <c r="F186" i="39"/>
  <c r="E186" i="39"/>
  <c r="D186" i="39"/>
  <c r="C186" i="39"/>
  <c r="B186" i="39"/>
  <c r="A186" i="39"/>
  <c r="I185" i="39"/>
  <c r="H185" i="39"/>
  <c r="G185" i="39"/>
  <c r="F185" i="39"/>
  <c r="E185" i="39"/>
  <c r="D185" i="39"/>
  <c r="J185" i="39" s="1"/>
  <c r="C185" i="39"/>
  <c r="B185" i="39"/>
  <c r="A185" i="39"/>
  <c r="I184" i="39"/>
  <c r="H184" i="39"/>
  <c r="G184" i="39"/>
  <c r="F184" i="39"/>
  <c r="E184" i="39"/>
  <c r="D184" i="39"/>
  <c r="C184" i="39"/>
  <c r="B184" i="39"/>
  <c r="A184" i="39"/>
  <c r="I183" i="39"/>
  <c r="H183" i="39"/>
  <c r="G183" i="39"/>
  <c r="F183" i="39"/>
  <c r="E183" i="39"/>
  <c r="D183" i="39"/>
  <c r="C183" i="39"/>
  <c r="B183" i="39"/>
  <c r="A183" i="39"/>
  <c r="I182" i="39"/>
  <c r="H182" i="39"/>
  <c r="G182" i="39"/>
  <c r="F182" i="39"/>
  <c r="E182" i="39"/>
  <c r="D182" i="39"/>
  <c r="J182" i="39" s="1"/>
  <c r="C182" i="39"/>
  <c r="B182" i="39"/>
  <c r="A182" i="39"/>
  <c r="I181" i="39"/>
  <c r="H181" i="39"/>
  <c r="G181" i="39"/>
  <c r="F181" i="39"/>
  <c r="E181" i="39"/>
  <c r="D181" i="39"/>
  <c r="C181" i="39"/>
  <c r="B181" i="39"/>
  <c r="A181" i="39"/>
  <c r="I180" i="39"/>
  <c r="H180" i="39"/>
  <c r="G180" i="39"/>
  <c r="F180" i="39"/>
  <c r="E180" i="39"/>
  <c r="D180" i="39"/>
  <c r="C180" i="39"/>
  <c r="B180" i="39"/>
  <c r="A180" i="39"/>
  <c r="I179" i="39"/>
  <c r="H179" i="39"/>
  <c r="G179" i="39"/>
  <c r="F179" i="39"/>
  <c r="E179" i="39"/>
  <c r="D179" i="39"/>
  <c r="J179" i="39" s="1"/>
  <c r="C179" i="39"/>
  <c r="B179" i="39"/>
  <c r="A179" i="39"/>
  <c r="I178" i="39"/>
  <c r="H178" i="39"/>
  <c r="G178" i="39"/>
  <c r="F178" i="39"/>
  <c r="E178" i="39"/>
  <c r="D178" i="39"/>
  <c r="C178" i="39"/>
  <c r="B178" i="39"/>
  <c r="A178" i="39"/>
  <c r="I177" i="39"/>
  <c r="H177" i="39"/>
  <c r="G177" i="39"/>
  <c r="F177" i="39"/>
  <c r="E177" i="39"/>
  <c r="D177" i="39"/>
  <c r="C177" i="39"/>
  <c r="B177" i="39"/>
  <c r="A177" i="39"/>
  <c r="I176" i="39"/>
  <c r="H176" i="39"/>
  <c r="G176" i="39"/>
  <c r="F176" i="39"/>
  <c r="E176" i="39"/>
  <c r="D176" i="39"/>
  <c r="C176" i="39"/>
  <c r="B176" i="39"/>
  <c r="A176" i="39"/>
  <c r="I175" i="39"/>
  <c r="H175" i="39"/>
  <c r="G175" i="39"/>
  <c r="F175" i="39"/>
  <c r="E175" i="39"/>
  <c r="D175" i="39"/>
  <c r="J175" i="39" s="1"/>
  <c r="C175" i="39"/>
  <c r="B175" i="39"/>
  <c r="A175" i="39"/>
  <c r="I174" i="39"/>
  <c r="H174" i="39"/>
  <c r="G174" i="39"/>
  <c r="F174" i="39"/>
  <c r="E174" i="39"/>
  <c r="M174" i="39" s="1"/>
  <c r="D174" i="39"/>
  <c r="J174" i="39" s="1"/>
  <c r="C174" i="39"/>
  <c r="B174" i="39"/>
  <c r="A174" i="39"/>
  <c r="I173" i="39"/>
  <c r="H173" i="39"/>
  <c r="G173" i="39"/>
  <c r="F173" i="39"/>
  <c r="E173" i="39"/>
  <c r="D173" i="39"/>
  <c r="C173" i="39"/>
  <c r="B173" i="39"/>
  <c r="A173" i="39"/>
  <c r="I172" i="39"/>
  <c r="H172" i="39"/>
  <c r="G172" i="39"/>
  <c r="F172" i="39"/>
  <c r="E172" i="39"/>
  <c r="M172" i="39" s="1"/>
  <c r="D172" i="39"/>
  <c r="C172" i="39"/>
  <c r="B172" i="39"/>
  <c r="A172" i="39"/>
  <c r="I171" i="39"/>
  <c r="H171" i="39"/>
  <c r="G171" i="39"/>
  <c r="F171" i="39"/>
  <c r="E171" i="39"/>
  <c r="D171" i="39"/>
  <c r="C171" i="39"/>
  <c r="B171" i="39"/>
  <c r="A171" i="39"/>
  <c r="I170" i="39"/>
  <c r="H170" i="39"/>
  <c r="G170" i="39"/>
  <c r="F170" i="39"/>
  <c r="E170" i="39"/>
  <c r="D170" i="39"/>
  <c r="C170" i="39"/>
  <c r="B170" i="39"/>
  <c r="A170" i="39"/>
  <c r="I169" i="39"/>
  <c r="H169" i="39"/>
  <c r="G169" i="39"/>
  <c r="F169" i="39"/>
  <c r="E169" i="39"/>
  <c r="D169" i="39"/>
  <c r="C169" i="39"/>
  <c r="B169" i="39"/>
  <c r="A169" i="39"/>
  <c r="I168" i="39"/>
  <c r="H168" i="39"/>
  <c r="G168" i="39"/>
  <c r="F168" i="39"/>
  <c r="E168" i="39"/>
  <c r="D168" i="39"/>
  <c r="C168" i="39"/>
  <c r="B168" i="39"/>
  <c r="A168" i="39"/>
  <c r="I167" i="39"/>
  <c r="H167" i="39"/>
  <c r="G167" i="39"/>
  <c r="F167" i="39"/>
  <c r="E167" i="39"/>
  <c r="D167" i="39"/>
  <c r="J167" i="39" s="1"/>
  <c r="C167" i="39"/>
  <c r="B167" i="39"/>
  <c r="A167" i="39"/>
  <c r="I166" i="39"/>
  <c r="H166" i="39"/>
  <c r="G166" i="39"/>
  <c r="F166" i="39"/>
  <c r="E166" i="39"/>
  <c r="D166" i="39"/>
  <c r="C166" i="39"/>
  <c r="B166" i="39"/>
  <c r="A166" i="39"/>
  <c r="I165" i="39"/>
  <c r="H165" i="39"/>
  <c r="G165" i="39"/>
  <c r="F165" i="39"/>
  <c r="E165" i="39"/>
  <c r="D165" i="39"/>
  <c r="J165" i="39" s="1"/>
  <c r="C165" i="39"/>
  <c r="B165" i="39"/>
  <c r="A165" i="39"/>
  <c r="I164" i="39"/>
  <c r="H164" i="39"/>
  <c r="G164" i="39"/>
  <c r="F164" i="39"/>
  <c r="E164" i="39"/>
  <c r="D164" i="39"/>
  <c r="J164" i="39" s="1"/>
  <c r="C164" i="39"/>
  <c r="B164" i="39"/>
  <c r="A164" i="39"/>
  <c r="I163" i="39"/>
  <c r="H163" i="39"/>
  <c r="G163" i="39"/>
  <c r="F163" i="39"/>
  <c r="E163" i="39"/>
  <c r="D163" i="39"/>
  <c r="C163" i="39"/>
  <c r="B163" i="39"/>
  <c r="A163" i="39"/>
  <c r="I162" i="39"/>
  <c r="H162" i="39"/>
  <c r="G162" i="39"/>
  <c r="F162" i="39"/>
  <c r="E162" i="39"/>
  <c r="M162" i="39" s="1"/>
  <c r="D162" i="39"/>
  <c r="C162" i="39"/>
  <c r="B162" i="39"/>
  <c r="A162" i="39"/>
  <c r="I161" i="39"/>
  <c r="H161" i="39"/>
  <c r="G161" i="39"/>
  <c r="F161" i="39"/>
  <c r="E161" i="39"/>
  <c r="D161" i="39"/>
  <c r="J161" i="39" s="1"/>
  <c r="C161" i="39"/>
  <c r="B161" i="39"/>
  <c r="A161" i="39"/>
  <c r="I160" i="39"/>
  <c r="H160" i="39"/>
  <c r="G160" i="39"/>
  <c r="F160" i="39"/>
  <c r="E160" i="39"/>
  <c r="D160" i="39"/>
  <c r="C160" i="39"/>
  <c r="B160" i="39"/>
  <c r="A160" i="39"/>
  <c r="I159" i="39"/>
  <c r="H159" i="39"/>
  <c r="G159" i="39"/>
  <c r="F159" i="39"/>
  <c r="E159" i="39"/>
  <c r="D159" i="39"/>
  <c r="C159" i="39"/>
  <c r="B159" i="39"/>
  <c r="A159" i="39"/>
  <c r="I158" i="39"/>
  <c r="H158" i="39"/>
  <c r="G158" i="39"/>
  <c r="F158" i="39"/>
  <c r="E158" i="39"/>
  <c r="D158" i="39"/>
  <c r="C158" i="39"/>
  <c r="B158" i="39"/>
  <c r="A158" i="39"/>
  <c r="I157" i="39"/>
  <c r="H157" i="39"/>
  <c r="G157" i="39"/>
  <c r="F157" i="39"/>
  <c r="E157" i="39"/>
  <c r="D157" i="39"/>
  <c r="J157" i="39" s="1"/>
  <c r="C157" i="39"/>
  <c r="B157" i="39"/>
  <c r="A157" i="39"/>
  <c r="I156" i="39"/>
  <c r="H156" i="39"/>
  <c r="G156" i="39"/>
  <c r="F156" i="39"/>
  <c r="E156" i="39"/>
  <c r="D156" i="39"/>
  <c r="J156" i="39" s="1"/>
  <c r="C156" i="39"/>
  <c r="B156" i="39"/>
  <c r="A156" i="39"/>
  <c r="I155" i="39"/>
  <c r="H155" i="39"/>
  <c r="G155" i="39"/>
  <c r="F155" i="39"/>
  <c r="E155" i="39"/>
  <c r="D155" i="39"/>
  <c r="C155" i="39"/>
  <c r="B155" i="39"/>
  <c r="A155" i="39"/>
  <c r="I154" i="39"/>
  <c r="H154" i="39"/>
  <c r="G154" i="39"/>
  <c r="F154" i="39"/>
  <c r="E154" i="39"/>
  <c r="D154" i="39"/>
  <c r="C154" i="39"/>
  <c r="B154" i="39"/>
  <c r="A154" i="39"/>
  <c r="I153" i="39"/>
  <c r="H153" i="39"/>
  <c r="G153" i="39"/>
  <c r="F153" i="39"/>
  <c r="E153" i="39"/>
  <c r="M153" i="39" s="1"/>
  <c r="D153" i="39"/>
  <c r="C153" i="39"/>
  <c r="B153" i="39"/>
  <c r="A153" i="39"/>
  <c r="I152" i="39"/>
  <c r="H152" i="39"/>
  <c r="G152" i="39"/>
  <c r="F152" i="39"/>
  <c r="E152" i="39"/>
  <c r="M152" i="39" s="1"/>
  <c r="D152" i="39"/>
  <c r="C152" i="39"/>
  <c r="B152" i="39"/>
  <c r="A152" i="39"/>
  <c r="I151" i="39"/>
  <c r="H151" i="39"/>
  <c r="G151" i="39"/>
  <c r="F151" i="39"/>
  <c r="E151" i="39"/>
  <c r="D151" i="39"/>
  <c r="C151" i="39"/>
  <c r="B151" i="39"/>
  <c r="A151" i="39"/>
  <c r="I150" i="39"/>
  <c r="H150" i="39"/>
  <c r="G150" i="39"/>
  <c r="F150" i="39"/>
  <c r="E150" i="39"/>
  <c r="M150" i="39" s="1"/>
  <c r="D150" i="39"/>
  <c r="C150" i="39"/>
  <c r="B150" i="39"/>
  <c r="A150" i="39"/>
  <c r="I149" i="39"/>
  <c r="H149" i="39"/>
  <c r="G149" i="39"/>
  <c r="F149" i="39"/>
  <c r="E149" i="39"/>
  <c r="D149" i="39"/>
  <c r="J149" i="39" s="1"/>
  <c r="C149" i="39"/>
  <c r="B149" i="39"/>
  <c r="A149" i="39"/>
  <c r="I148" i="39"/>
  <c r="H148" i="39"/>
  <c r="G148" i="39"/>
  <c r="F148" i="39"/>
  <c r="E148" i="39"/>
  <c r="D148" i="39"/>
  <c r="C148" i="39"/>
  <c r="B148" i="39"/>
  <c r="A148" i="39"/>
  <c r="I147" i="39"/>
  <c r="H147" i="39"/>
  <c r="G147" i="39"/>
  <c r="F147" i="39"/>
  <c r="E147" i="39"/>
  <c r="D147" i="39"/>
  <c r="C147" i="39"/>
  <c r="B147" i="39"/>
  <c r="A147" i="39"/>
  <c r="I146" i="39"/>
  <c r="H146" i="39"/>
  <c r="G146" i="39"/>
  <c r="F146" i="39"/>
  <c r="E146" i="39"/>
  <c r="D146" i="39"/>
  <c r="J146" i="39" s="1"/>
  <c r="C146" i="39"/>
  <c r="B146" i="39"/>
  <c r="A146" i="39"/>
  <c r="I145" i="39"/>
  <c r="H145" i="39"/>
  <c r="G145" i="39"/>
  <c r="F145" i="39"/>
  <c r="E145" i="39"/>
  <c r="M145" i="39" s="1"/>
  <c r="D145" i="39"/>
  <c r="C145" i="39"/>
  <c r="B145" i="39"/>
  <c r="A145" i="39"/>
  <c r="I144" i="39"/>
  <c r="H144" i="39"/>
  <c r="G144" i="39"/>
  <c r="F144" i="39"/>
  <c r="E144" i="39"/>
  <c r="D144" i="39"/>
  <c r="C144" i="39"/>
  <c r="B144" i="39"/>
  <c r="A144" i="39"/>
  <c r="I143" i="39"/>
  <c r="H143" i="39"/>
  <c r="G143" i="39"/>
  <c r="F143" i="39"/>
  <c r="E143" i="39"/>
  <c r="D143" i="39"/>
  <c r="J143" i="39" s="1"/>
  <c r="C143" i="39"/>
  <c r="B143" i="39"/>
  <c r="A143" i="39"/>
  <c r="I142" i="39"/>
  <c r="H142" i="39"/>
  <c r="G142" i="39"/>
  <c r="F142" i="39"/>
  <c r="E142" i="39"/>
  <c r="M142" i="39" s="1"/>
  <c r="D142" i="39"/>
  <c r="C142" i="39"/>
  <c r="B142" i="39"/>
  <c r="A142" i="39"/>
  <c r="I141" i="39"/>
  <c r="H141" i="39"/>
  <c r="G141" i="39"/>
  <c r="F141" i="39"/>
  <c r="E141" i="39"/>
  <c r="D141" i="39"/>
  <c r="C141" i="39"/>
  <c r="B141" i="39"/>
  <c r="A141" i="39"/>
  <c r="I140" i="39"/>
  <c r="H140" i="39"/>
  <c r="G140" i="39"/>
  <c r="F140" i="39"/>
  <c r="E140" i="39"/>
  <c r="D140" i="39"/>
  <c r="C140" i="39"/>
  <c r="B140" i="39"/>
  <c r="A140" i="39"/>
  <c r="I139" i="39"/>
  <c r="H139" i="39"/>
  <c r="G139" i="39"/>
  <c r="F139" i="39"/>
  <c r="E139" i="39"/>
  <c r="D139" i="39"/>
  <c r="J139" i="39" s="1"/>
  <c r="C139" i="39"/>
  <c r="B139" i="39"/>
  <c r="A139" i="39"/>
  <c r="I138" i="39"/>
  <c r="H138" i="39"/>
  <c r="G138" i="39"/>
  <c r="F138" i="39"/>
  <c r="E138" i="39"/>
  <c r="D138" i="39"/>
  <c r="J138" i="39" s="1"/>
  <c r="C138" i="39"/>
  <c r="B138" i="39"/>
  <c r="A138" i="39"/>
  <c r="I137" i="39"/>
  <c r="H137" i="39"/>
  <c r="G137" i="39"/>
  <c r="F137" i="39"/>
  <c r="E137" i="39"/>
  <c r="D137" i="39"/>
  <c r="C137" i="39"/>
  <c r="B137" i="39"/>
  <c r="A137" i="39"/>
  <c r="I136" i="39"/>
  <c r="H136" i="39"/>
  <c r="G136" i="39"/>
  <c r="F136" i="39"/>
  <c r="E136" i="39"/>
  <c r="D136" i="39"/>
  <c r="C136" i="39"/>
  <c r="B136" i="39"/>
  <c r="A136" i="39"/>
  <c r="I135" i="39"/>
  <c r="H135" i="39"/>
  <c r="G135" i="39"/>
  <c r="F135" i="39"/>
  <c r="E135" i="39"/>
  <c r="M135" i="39" s="1"/>
  <c r="D135" i="39"/>
  <c r="C135" i="39"/>
  <c r="B135" i="39"/>
  <c r="A135" i="39"/>
  <c r="I134" i="39"/>
  <c r="H134" i="39"/>
  <c r="G134" i="39"/>
  <c r="F134" i="39"/>
  <c r="E134" i="39"/>
  <c r="M134" i="39" s="1"/>
  <c r="D134" i="39"/>
  <c r="C134" i="39"/>
  <c r="B134" i="39"/>
  <c r="A134" i="39"/>
  <c r="I133" i="39"/>
  <c r="H133" i="39"/>
  <c r="G133" i="39"/>
  <c r="F133" i="39"/>
  <c r="E133" i="39"/>
  <c r="D133" i="39"/>
  <c r="C133" i="39"/>
  <c r="B133" i="39"/>
  <c r="A133" i="39"/>
  <c r="I132" i="39"/>
  <c r="H132" i="39"/>
  <c r="G132" i="39"/>
  <c r="F132" i="39"/>
  <c r="E132" i="39"/>
  <c r="M132" i="39" s="1"/>
  <c r="D132" i="39"/>
  <c r="C132" i="39"/>
  <c r="B132" i="39"/>
  <c r="A132" i="39"/>
  <c r="I131" i="39"/>
  <c r="H131" i="39"/>
  <c r="G131" i="39"/>
  <c r="F131" i="39"/>
  <c r="E131" i="39"/>
  <c r="D131" i="39"/>
  <c r="J131" i="39" s="1"/>
  <c r="C131" i="39"/>
  <c r="B131" i="39"/>
  <c r="A131" i="39"/>
  <c r="I130" i="39"/>
  <c r="H130" i="39"/>
  <c r="G130" i="39"/>
  <c r="F130" i="39"/>
  <c r="E130" i="39"/>
  <c r="D130" i="39"/>
  <c r="C130" i="39"/>
  <c r="B130" i="39"/>
  <c r="A130" i="39"/>
  <c r="I129" i="39"/>
  <c r="H129" i="39"/>
  <c r="G129" i="39"/>
  <c r="F129" i="39"/>
  <c r="E129" i="39"/>
  <c r="D129" i="39"/>
  <c r="J129" i="39" s="1"/>
  <c r="C129" i="39"/>
  <c r="B129" i="39"/>
  <c r="A129" i="39"/>
  <c r="I128" i="39"/>
  <c r="H128" i="39"/>
  <c r="G128" i="39"/>
  <c r="F128" i="39"/>
  <c r="E128" i="39"/>
  <c r="D128" i="39"/>
  <c r="J128" i="39" s="1"/>
  <c r="C128" i="39"/>
  <c r="B128" i="39"/>
  <c r="A128" i="39"/>
  <c r="I127" i="39"/>
  <c r="H127" i="39"/>
  <c r="G127" i="39"/>
  <c r="F127" i="39"/>
  <c r="E127" i="39"/>
  <c r="M127" i="39" s="1"/>
  <c r="D127" i="39"/>
  <c r="C127" i="39"/>
  <c r="B127" i="39"/>
  <c r="A127" i="39"/>
  <c r="I126" i="39"/>
  <c r="H126" i="39"/>
  <c r="G126" i="39"/>
  <c r="F126" i="39"/>
  <c r="E126" i="39"/>
  <c r="D126" i="39"/>
  <c r="C126" i="39"/>
  <c r="B126" i="39"/>
  <c r="A126" i="39"/>
  <c r="I125" i="39"/>
  <c r="H125" i="39"/>
  <c r="G125" i="39"/>
  <c r="F125" i="39"/>
  <c r="E125" i="39"/>
  <c r="D125" i="39"/>
  <c r="J125" i="39" s="1"/>
  <c r="C125" i="39"/>
  <c r="B125" i="39"/>
  <c r="A125" i="39"/>
  <c r="I124" i="39"/>
  <c r="H124" i="39"/>
  <c r="G124" i="39"/>
  <c r="F124" i="39"/>
  <c r="E124" i="39"/>
  <c r="D124" i="39"/>
  <c r="C124" i="39"/>
  <c r="B124" i="39"/>
  <c r="A124" i="39"/>
  <c r="I123" i="39"/>
  <c r="H123" i="39"/>
  <c r="G123" i="39"/>
  <c r="F123" i="39"/>
  <c r="E123" i="39"/>
  <c r="D123" i="39"/>
  <c r="C123" i="39"/>
  <c r="B123" i="39"/>
  <c r="A123" i="39"/>
  <c r="I122" i="39"/>
  <c r="H122" i="39"/>
  <c r="G122" i="39"/>
  <c r="F122" i="39"/>
  <c r="E122" i="39"/>
  <c r="D122" i="39"/>
  <c r="C122" i="39"/>
  <c r="B122" i="39"/>
  <c r="A122" i="39"/>
  <c r="I121" i="39"/>
  <c r="H121" i="39"/>
  <c r="G121" i="39"/>
  <c r="F121" i="39"/>
  <c r="E121" i="39"/>
  <c r="D121" i="39"/>
  <c r="J121" i="39" s="1"/>
  <c r="C121" i="39"/>
  <c r="B121" i="39"/>
  <c r="A121" i="39"/>
  <c r="I120" i="39"/>
  <c r="H120" i="39"/>
  <c r="G120" i="39"/>
  <c r="F120" i="39"/>
  <c r="E120" i="39"/>
  <c r="D120" i="39"/>
  <c r="J120" i="39" s="1"/>
  <c r="C120" i="39"/>
  <c r="B120" i="39"/>
  <c r="A120" i="39"/>
  <c r="I119" i="39"/>
  <c r="H119" i="39"/>
  <c r="G119" i="39"/>
  <c r="F119" i="39"/>
  <c r="E119" i="39"/>
  <c r="D119" i="39"/>
  <c r="C119" i="39"/>
  <c r="B119" i="39"/>
  <c r="A119" i="39"/>
  <c r="I118" i="39"/>
  <c r="H118" i="39"/>
  <c r="G118" i="39"/>
  <c r="F118" i="39"/>
  <c r="E118" i="39"/>
  <c r="D118" i="39"/>
  <c r="C118" i="39"/>
  <c r="B118" i="39"/>
  <c r="A118" i="39"/>
  <c r="I117" i="39"/>
  <c r="H117" i="39"/>
  <c r="G117" i="39"/>
  <c r="F117" i="39"/>
  <c r="E117" i="39"/>
  <c r="M117" i="39" s="1"/>
  <c r="D117" i="39"/>
  <c r="C117" i="39"/>
  <c r="B117" i="39"/>
  <c r="A117" i="39"/>
  <c r="I116" i="39"/>
  <c r="H116" i="39"/>
  <c r="G116" i="39"/>
  <c r="F116" i="39"/>
  <c r="E116" i="39"/>
  <c r="M116" i="39" s="1"/>
  <c r="D116" i="39"/>
  <c r="C116" i="39"/>
  <c r="B116" i="39"/>
  <c r="A116" i="39"/>
  <c r="I115" i="39"/>
  <c r="H115" i="39"/>
  <c r="G115" i="39"/>
  <c r="F115" i="39"/>
  <c r="E115" i="39"/>
  <c r="D115" i="39"/>
  <c r="C115" i="39"/>
  <c r="B115" i="39"/>
  <c r="A115" i="39"/>
  <c r="I114" i="39"/>
  <c r="H114" i="39"/>
  <c r="G114" i="39"/>
  <c r="F114" i="39"/>
  <c r="E114" i="39"/>
  <c r="M114" i="39" s="1"/>
  <c r="D114" i="39"/>
  <c r="C114" i="39"/>
  <c r="B114" i="39"/>
  <c r="A114" i="39"/>
  <c r="I113" i="39"/>
  <c r="H113" i="39"/>
  <c r="G113" i="39"/>
  <c r="F113" i="39"/>
  <c r="E113" i="39"/>
  <c r="D113" i="39"/>
  <c r="J113" i="39" s="1"/>
  <c r="C113" i="39"/>
  <c r="B113" i="39"/>
  <c r="A113" i="39"/>
  <c r="I112" i="39"/>
  <c r="H112" i="39"/>
  <c r="G112" i="39"/>
  <c r="F112" i="39"/>
  <c r="E112" i="39"/>
  <c r="D112" i="39"/>
  <c r="C112" i="39"/>
  <c r="B112" i="39"/>
  <c r="A112" i="39"/>
  <c r="I111" i="39"/>
  <c r="H111" i="39"/>
  <c r="G111" i="39"/>
  <c r="F111" i="39"/>
  <c r="E111" i="39"/>
  <c r="D111" i="39"/>
  <c r="C111" i="39"/>
  <c r="B111" i="39"/>
  <c r="A111" i="39"/>
  <c r="I110" i="39"/>
  <c r="H110" i="39"/>
  <c r="G110" i="39"/>
  <c r="F110" i="39"/>
  <c r="E110" i="39"/>
  <c r="D110" i="39"/>
  <c r="J110" i="39" s="1"/>
  <c r="C110" i="39"/>
  <c r="B110" i="39"/>
  <c r="A110" i="39"/>
  <c r="I109" i="39"/>
  <c r="H109" i="39"/>
  <c r="G109" i="39"/>
  <c r="F109" i="39"/>
  <c r="E109" i="39"/>
  <c r="M109" i="39" s="1"/>
  <c r="D109" i="39"/>
  <c r="C109" i="39"/>
  <c r="B109" i="39"/>
  <c r="A109" i="39"/>
  <c r="I108" i="39"/>
  <c r="H108" i="39"/>
  <c r="G108" i="39"/>
  <c r="F108" i="39"/>
  <c r="E108" i="39"/>
  <c r="D108" i="39"/>
  <c r="C108" i="39"/>
  <c r="B108" i="39"/>
  <c r="A108" i="39"/>
  <c r="I107" i="39"/>
  <c r="H107" i="39"/>
  <c r="G107" i="39"/>
  <c r="F107" i="39"/>
  <c r="E107" i="39"/>
  <c r="D107" i="39"/>
  <c r="J107" i="39" s="1"/>
  <c r="C107" i="39"/>
  <c r="B107" i="39"/>
  <c r="A107" i="39"/>
  <c r="I106" i="39"/>
  <c r="H106" i="39"/>
  <c r="G106" i="39"/>
  <c r="F106" i="39"/>
  <c r="E106" i="39"/>
  <c r="M106" i="39" s="1"/>
  <c r="D106" i="39"/>
  <c r="C106" i="39"/>
  <c r="B106" i="39"/>
  <c r="A106" i="39"/>
  <c r="I105" i="39"/>
  <c r="H105" i="39"/>
  <c r="G105" i="39"/>
  <c r="F105" i="39"/>
  <c r="E105" i="39"/>
  <c r="D105" i="39"/>
  <c r="C105" i="39"/>
  <c r="B105" i="39"/>
  <c r="A105" i="39"/>
  <c r="I104" i="39"/>
  <c r="H104" i="39"/>
  <c r="G104" i="39"/>
  <c r="F104" i="39"/>
  <c r="E104" i="39"/>
  <c r="D104" i="39"/>
  <c r="C104" i="39"/>
  <c r="B104" i="39"/>
  <c r="A104" i="39"/>
  <c r="I103" i="39"/>
  <c r="H103" i="39"/>
  <c r="G103" i="39"/>
  <c r="F103" i="39"/>
  <c r="E103" i="39"/>
  <c r="D103" i="39"/>
  <c r="J103" i="39" s="1"/>
  <c r="C103" i="39"/>
  <c r="B103" i="39"/>
  <c r="A103" i="39"/>
  <c r="I102" i="39"/>
  <c r="H102" i="39"/>
  <c r="G102" i="39"/>
  <c r="F102" i="39"/>
  <c r="E102" i="39"/>
  <c r="D102" i="39"/>
  <c r="J102" i="39" s="1"/>
  <c r="C102" i="39"/>
  <c r="B102" i="39"/>
  <c r="A102" i="39"/>
  <c r="I101" i="39"/>
  <c r="H101" i="39"/>
  <c r="G101" i="39"/>
  <c r="F101" i="39"/>
  <c r="E101" i="39"/>
  <c r="D101" i="39"/>
  <c r="C101" i="39"/>
  <c r="B101" i="39"/>
  <c r="A101" i="39"/>
  <c r="I100" i="39"/>
  <c r="H100" i="39"/>
  <c r="G100" i="39"/>
  <c r="F100" i="39"/>
  <c r="E100" i="39"/>
  <c r="D100" i="39"/>
  <c r="C100" i="39"/>
  <c r="B100" i="39"/>
  <c r="A100" i="39"/>
  <c r="I99" i="39"/>
  <c r="H99" i="39"/>
  <c r="G99" i="39"/>
  <c r="F99" i="39"/>
  <c r="E99" i="39"/>
  <c r="M99" i="39" s="1"/>
  <c r="D99" i="39"/>
  <c r="C99" i="39"/>
  <c r="B99" i="39"/>
  <c r="A99" i="39"/>
  <c r="I98" i="39"/>
  <c r="H98" i="39"/>
  <c r="G98" i="39"/>
  <c r="F98" i="39"/>
  <c r="E98" i="39"/>
  <c r="M98" i="39" s="1"/>
  <c r="D98" i="39"/>
  <c r="C98" i="39"/>
  <c r="B98" i="39"/>
  <c r="A98" i="39"/>
  <c r="I97" i="39"/>
  <c r="H97" i="39"/>
  <c r="G97" i="39"/>
  <c r="F97" i="39"/>
  <c r="E97" i="39"/>
  <c r="D97" i="39"/>
  <c r="C97" i="39"/>
  <c r="B97" i="39"/>
  <c r="A97" i="39"/>
  <c r="I96" i="39"/>
  <c r="H96" i="39"/>
  <c r="G96" i="39"/>
  <c r="F96" i="39"/>
  <c r="E96" i="39"/>
  <c r="M96" i="39" s="1"/>
  <c r="D96" i="39"/>
  <c r="C96" i="39"/>
  <c r="B96" i="39"/>
  <c r="A96" i="39"/>
  <c r="I95" i="39"/>
  <c r="H95" i="39"/>
  <c r="G95" i="39"/>
  <c r="F95" i="39"/>
  <c r="E95" i="39"/>
  <c r="D95" i="39"/>
  <c r="J95" i="39" s="1"/>
  <c r="C95" i="39"/>
  <c r="B95" i="39"/>
  <c r="A95" i="39"/>
  <c r="I94" i="39"/>
  <c r="H94" i="39"/>
  <c r="G94" i="39"/>
  <c r="F94" i="39"/>
  <c r="E94" i="39"/>
  <c r="D94" i="39"/>
  <c r="C94" i="39"/>
  <c r="B94" i="39"/>
  <c r="A94" i="39"/>
  <c r="I93" i="39"/>
  <c r="H93" i="39"/>
  <c r="G93" i="39"/>
  <c r="F93" i="39"/>
  <c r="E93" i="39"/>
  <c r="D93" i="39"/>
  <c r="J93" i="39" s="1"/>
  <c r="C93" i="39"/>
  <c r="B93" i="39"/>
  <c r="A93" i="39"/>
  <c r="I92" i="39"/>
  <c r="H92" i="39"/>
  <c r="G92" i="39"/>
  <c r="F92" i="39"/>
  <c r="E92" i="39"/>
  <c r="D92" i="39"/>
  <c r="J92" i="39" s="1"/>
  <c r="C92" i="39"/>
  <c r="B92" i="39"/>
  <c r="A92" i="39"/>
  <c r="I91" i="39"/>
  <c r="H91" i="39"/>
  <c r="G91" i="39"/>
  <c r="F91" i="39"/>
  <c r="E91" i="39"/>
  <c r="D91" i="39"/>
  <c r="C91" i="39"/>
  <c r="B91" i="39"/>
  <c r="A91" i="39"/>
  <c r="I90" i="39"/>
  <c r="H90" i="39"/>
  <c r="G90" i="39"/>
  <c r="F90" i="39"/>
  <c r="E90" i="39"/>
  <c r="D90" i="39"/>
  <c r="C90" i="39"/>
  <c r="B90" i="39"/>
  <c r="A90" i="39"/>
  <c r="I89" i="39"/>
  <c r="H89" i="39"/>
  <c r="G89" i="39"/>
  <c r="F89" i="39"/>
  <c r="E89" i="39"/>
  <c r="D89" i="39"/>
  <c r="J89" i="39" s="1"/>
  <c r="C89" i="39"/>
  <c r="B89" i="39"/>
  <c r="A89" i="39"/>
  <c r="I88" i="39"/>
  <c r="H88" i="39"/>
  <c r="G88" i="39"/>
  <c r="F88" i="39"/>
  <c r="E88" i="39"/>
  <c r="M88" i="39" s="1"/>
  <c r="D88" i="39"/>
  <c r="C88" i="39"/>
  <c r="B88" i="39"/>
  <c r="A88" i="39"/>
  <c r="I87" i="39"/>
  <c r="H87" i="39"/>
  <c r="G87" i="39"/>
  <c r="F87" i="39"/>
  <c r="E87" i="39"/>
  <c r="D87" i="39"/>
  <c r="C87" i="39"/>
  <c r="B87" i="39"/>
  <c r="A87" i="39"/>
  <c r="I86" i="39"/>
  <c r="H86" i="39"/>
  <c r="G86" i="39"/>
  <c r="F86" i="39"/>
  <c r="E86" i="39"/>
  <c r="M86" i="39" s="1"/>
  <c r="D86" i="39"/>
  <c r="J86" i="39" s="1"/>
  <c r="C86" i="39"/>
  <c r="B86" i="39"/>
  <c r="A86" i="39"/>
  <c r="I85" i="39"/>
  <c r="H85" i="39"/>
  <c r="G85" i="39"/>
  <c r="F85" i="39"/>
  <c r="E85" i="39"/>
  <c r="D85" i="39"/>
  <c r="C85" i="39"/>
  <c r="B85" i="39"/>
  <c r="A85" i="39"/>
  <c r="I84" i="39"/>
  <c r="H84" i="39"/>
  <c r="G84" i="39"/>
  <c r="F84" i="39"/>
  <c r="E84" i="39"/>
  <c r="D84" i="39"/>
  <c r="C84" i="39"/>
  <c r="B84" i="39"/>
  <c r="A84" i="39"/>
  <c r="I83" i="39"/>
  <c r="H83" i="39"/>
  <c r="G83" i="39"/>
  <c r="F83" i="39"/>
  <c r="E83" i="39"/>
  <c r="D83" i="39"/>
  <c r="J83" i="39" s="1"/>
  <c r="C83" i="39"/>
  <c r="B83" i="39"/>
  <c r="A83" i="39"/>
  <c r="I82" i="39"/>
  <c r="H82" i="39"/>
  <c r="G82" i="39"/>
  <c r="F82" i="39"/>
  <c r="E82" i="39"/>
  <c r="M82" i="39" s="1"/>
  <c r="D82" i="39"/>
  <c r="C82" i="39"/>
  <c r="B82" i="39"/>
  <c r="A82" i="39"/>
  <c r="I81" i="39"/>
  <c r="H81" i="39"/>
  <c r="G81" i="39"/>
  <c r="F81" i="39"/>
  <c r="E81" i="39"/>
  <c r="D81" i="39"/>
  <c r="C81" i="39"/>
  <c r="B81" i="39"/>
  <c r="A81" i="39"/>
  <c r="I80" i="39"/>
  <c r="H80" i="39"/>
  <c r="G80" i="39"/>
  <c r="F80" i="39"/>
  <c r="E80" i="39"/>
  <c r="M80" i="39" s="1"/>
  <c r="D80" i="39"/>
  <c r="J80" i="39" s="1"/>
  <c r="C80" i="39"/>
  <c r="B80" i="39"/>
  <c r="A80" i="39"/>
  <c r="I79" i="39"/>
  <c r="H79" i="39"/>
  <c r="G79" i="39"/>
  <c r="F79" i="39"/>
  <c r="E79" i="39"/>
  <c r="D79" i="39"/>
  <c r="C79" i="39"/>
  <c r="B79" i="39"/>
  <c r="A79" i="39"/>
  <c r="I78" i="39"/>
  <c r="H78" i="39"/>
  <c r="G78" i="39"/>
  <c r="F78" i="39"/>
  <c r="E78" i="39"/>
  <c r="D78" i="39"/>
  <c r="C78" i="39"/>
  <c r="B78" i="39"/>
  <c r="A78" i="39"/>
  <c r="I77" i="39"/>
  <c r="H77" i="39"/>
  <c r="G77" i="39"/>
  <c r="F77" i="39"/>
  <c r="E77" i="39"/>
  <c r="D77" i="39"/>
  <c r="J77" i="39" s="1"/>
  <c r="C77" i="39"/>
  <c r="B77" i="39"/>
  <c r="A77" i="39"/>
  <c r="I76" i="39"/>
  <c r="H76" i="39"/>
  <c r="G76" i="39"/>
  <c r="F76" i="39"/>
  <c r="E76" i="39"/>
  <c r="M76" i="39" s="1"/>
  <c r="D76" i="39"/>
  <c r="C76" i="39"/>
  <c r="B76" i="39"/>
  <c r="A76" i="39"/>
  <c r="I75" i="39"/>
  <c r="H75" i="39"/>
  <c r="G75" i="39"/>
  <c r="F75" i="39"/>
  <c r="E75" i="39"/>
  <c r="D75" i="39"/>
  <c r="J75" i="39" s="1"/>
  <c r="C75" i="39"/>
  <c r="B75" i="39"/>
  <c r="A75" i="39"/>
  <c r="I74" i="39"/>
  <c r="H74" i="39"/>
  <c r="G74" i="39"/>
  <c r="F74" i="39"/>
  <c r="E74" i="39"/>
  <c r="M74" i="39" s="1"/>
  <c r="D74" i="39"/>
  <c r="J74" i="39" s="1"/>
  <c r="C74" i="39"/>
  <c r="B74" i="39"/>
  <c r="A74" i="39"/>
  <c r="I73" i="39"/>
  <c r="H73" i="39"/>
  <c r="G73" i="39"/>
  <c r="F73" i="39"/>
  <c r="E73" i="39"/>
  <c r="D73" i="39"/>
  <c r="C73" i="39"/>
  <c r="B73" i="39"/>
  <c r="A73" i="39"/>
  <c r="I72" i="39"/>
  <c r="H72" i="39"/>
  <c r="G72" i="39"/>
  <c r="F72" i="39"/>
  <c r="E72" i="39"/>
  <c r="D72" i="39"/>
  <c r="C72" i="39"/>
  <c r="B72" i="39"/>
  <c r="A72" i="39"/>
  <c r="I71" i="39"/>
  <c r="H71" i="39"/>
  <c r="G71" i="39"/>
  <c r="F71" i="39"/>
  <c r="E71" i="39"/>
  <c r="D71" i="39"/>
  <c r="C71" i="39"/>
  <c r="B71" i="39"/>
  <c r="A71" i="39"/>
  <c r="I70" i="39"/>
  <c r="H70" i="39"/>
  <c r="G70" i="39"/>
  <c r="F70" i="39"/>
  <c r="E70" i="39"/>
  <c r="D70" i="39"/>
  <c r="J70" i="39" s="1"/>
  <c r="C70" i="39"/>
  <c r="B70" i="39"/>
  <c r="A70" i="39"/>
  <c r="I69" i="39"/>
  <c r="H69" i="39"/>
  <c r="G69" i="39"/>
  <c r="F69" i="39"/>
  <c r="E69" i="39"/>
  <c r="D69" i="39"/>
  <c r="J69" i="39" s="1"/>
  <c r="C69" i="39"/>
  <c r="B69" i="39"/>
  <c r="A69" i="39"/>
  <c r="I68" i="39"/>
  <c r="H68" i="39"/>
  <c r="G68" i="39"/>
  <c r="F68" i="39"/>
  <c r="E68" i="39"/>
  <c r="D68" i="39"/>
  <c r="C68" i="39"/>
  <c r="B68" i="39"/>
  <c r="A68" i="39"/>
  <c r="I67" i="39"/>
  <c r="H67" i="39"/>
  <c r="G67" i="39"/>
  <c r="F67" i="39"/>
  <c r="E67" i="39"/>
  <c r="D67" i="39"/>
  <c r="C67" i="39"/>
  <c r="B67" i="39"/>
  <c r="A67" i="39"/>
  <c r="I66" i="39"/>
  <c r="H66" i="39"/>
  <c r="G66" i="39"/>
  <c r="F66" i="39"/>
  <c r="E66" i="39"/>
  <c r="M66" i="39" s="1"/>
  <c r="D66" i="39"/>
  <c r="C66" i="39"/>
  <c r="B66" i="39"/>
  <c r="A66" i="39"/>
  <c r="I65" i="39"/>
  <c r="H65" i="39"/>
  <c r="G65" i="39"/>
  <c r="F65" i="39"/>
  <c r="E65" i="39"/>
  <c r="D65" i="39"/>
  <c r="C65" i="39"/>
  <c r="B65" i="39"/>
  <c r="A65" i="39"/>
  <c r="I64" i="39"/>
  <c r="H64" i="39"/>
  <c r="G64" i="39"/>
  <c r="F64" i="39"/>
  <c r="E64" i="39"/>
  <c r="M64" i="39" s="1"/>
  <c r="D64" i="39"/>
  <c r="J64" i="39" s="1"/>
  <c r="C64" i="39"/>
  <c r="B64" i="39"/>
  <c r="A64" i="39"/>
  <c r="I63" i="39"/>
  <c r="H63" i="39"/>
  <c r="G63" i="39"/>
  <c r="F63" i="39"/>
  <c r="E63" i="39"/>
  <c r="D63" i="39"/>
  <c r="J63" i="39" s="1"/>
  <c r="C63" i="39"/>
  <c r="B63" i="39"/>
  <c r="A63" i="39"/>
  <c r="I62" i="39"/>
  <c r="H62" i="39"/>
  <c r="G62" i="39"/>
  <c r="F62" i="39"/>
  <c r="E62" i="39"/>
  <c r="M62" i="39" s="1"/>
  <c r="D62" i="39"/>
  <c r="C62" i="39"/>
  <c r="B62" i="39"/>
  <c r="A62" i="39"/>
  <c r="I61" i="39"/>
  <c r="H61" i="39"/>
  <c r="G61" i="39"/>
  <c r="F61" i="39"/>
  <c r="E61" i="39"/>
  <c r="D61" i="39"/>
  <c r="C61" i="39"/>
  <c r="B61" i="39"/>
  <c r="A61" i="39"/>
  <c r="I60" i="39"/>
  <c r="H60" i="39"/>
  <c r="G60" i="39"/>
  <c r="F60" i="39"/>
  <c r="E60" i="39"/>
  <c r="M60" i="39" s="1"/>
  <c r="D60" i="39"/>
  <c r="C60" i="39"/>
  <c r="B60" i="39"/>
  <c r="A60" i="39"/>
  <c r="I59" i="39"/>
  <c r="H59" i="39"/>
  <c r="G59" i="39"/>
  <c r="F59" i="39"/>
  <c r="E59" i="39"/>
  <c r="D59" i="39"/>
  <c r="C59" i="39"/>
  <c r="B59" i="39"/>
  <c r="A59" i="39"/>
  <c r="I58" i="39"/>
  <c r="H58" i="39"/>
  <c r="G58" i="39"/>
  <c r="F58" i="39"/>
  <c r="E58" i="39"/>
  <c r="D58" i="39"/>
  <c r="C58" i="39"/>
  <c r="B58" i="39"/>
  <c r="A58" i="39"/>
  <c r="I57" i="39"/>
  <c r="H57" i="39"/>
  <c r="G57" i="39"/>
  <c r="F57" i="39"/>
  <c r="E57" i="39"/>
  <c r="D57" i="39"/>
  <c r="C57" i="39"/>
  <c r="B57" i="39"/>
  <c r="A57" i="39"/>
  <c r="I56" i="39"/>
  <c r="H56" i="39"/>
  <c r="G56" i="39"/>
  <c r="F56" i="39"/>
  <c r="E56" i="39"/>
  <c r="D56" i="39"/>
  <c r="C56" i="39"/>
  <c r="B56" i="39"/>
  <c r="A56" i="39"/>
  <c r="I55" i="39"/>
  <c r="H55" i="39"/>
  <c r="G55" i="39"/>
  <c r="F55" i="39"/>
  <c r="E55" i="39"/>
  <c r="D55" i="39"/>
  <c r="C55" i="39"/>
  <c r="B55" i="39"/>
  <c r="A55" i="39"/>
  <c r="I54" i="39"/>
  <c r="H54" i="39"/>
  <c r="G54" i="39"/>
  <c r="F54" i="39"/>
  <c r="E54" i="39"/>
  <c r="D54" i="39"/>
  <c r="C54" i="39"/>
  <c r="B54" i="39"/>
  <c r="A54" i="39"/>
  <c r="I53" i="39"/>
  <c r="H53" i="39"/>
  <c r="G53" i="39"/>
  <c r="F53" i="39"/>
  <c r="E53" i="39"/>
  <c r="D53" i="39"/>
  <c r="C53" i="39"/>
  <c r="B53" i="39"/>
  <c r="A53" i="39"/>
  <c r="I52" i="39"/>
  <c r="H52" i="39"/>
  <c r="G52" i="39"/>
  <c r="F52" i="39"/>
  <c r="E52" i="39"/>
  <c r="D52" i="39"/>
  <c r="C52" i="39"/>
  <c r="B52" i="39"/>
  <c r="A52" i="39"/>
  <c r="I51" i="39"/>
  <c r="H51" i="39"/>
  <c r="G51" i="39"/>
  <c r="F51" i="39"/>
  <c r="E51" i="39"/>
  <c r="D51" i="39"/>
  <c r="C51" i="39"/>
  <c r="B51" i="39"/>
  <c r="A51" i="39"/>
  <c r="I50" i="39"/>
  <c r="H50" i="39"/>
  <c r="G50" i="39"/>
  <c r="F50" i="39"/>
  <c r="E50" i="39"/>
  <c r="D50" i="39"/>
  <c r="C50" i="39"/>
  <c r="B50" i="39"/>
  <c r="A50" i="39"/>
  <c r="I49" i="39"/>
  <c r="H49" i="39"/>
  <c r="G49" i="39"/>
  <c r="F49" i="39"/>
  <c r="E49" i="39"/>
  <c r="D49" i="39"/>
  <c r="C49" i="39"/>
  <c r="B49" i="39"/>
  <c r="A49" i="39"/>
  <c r="I48" i="39"/>
  <c r="H48" i="39"/>
  <c r="G48" i="39"/>
  <c r="F48" i="39"/>
  <c r="E48" i="39"/>
  <c r="D48" i="39"/>
  <c r="C48" i="39"/>
  <c r="B48" i="39"/>
  <c r="A48" i="39"/>
  <c r="I47" i="39"/>
  <c r="H47" i="39"/>
  <c r="G47" i="39"/>
  <c r="F47" i="39"/>
  <c r="E47" i="39"/>
  <c r="D47" i="39"/>
  <c r="C47" i="39"/>
  <c r="B47" i="39"/>
  <c r="A47" i="39"/>
  <c r="I46" i="39"/>
  <c r="H46" i="39"/>
  <c r="G46" i="39"/>
  <c r="F46" i="39"/>
  <c r="E46" i="39"/>
  <c r="D46" i="39"/>
  <c r="C46" i="39"/>
  <c r="B46" i="39"/>
  <c r="A46" i="39"/>
  <c r="I45" i="39"/>
  <c r="H45" i="39"/>
  <c r="G45" i="39"/>
  <c r="F45" i="39"/>
  <c r="E45" i="39"/>
  <c r="D45" i="39"/>
  <c r="C45" i="39"/>
  <c r="B45" i="39"/>
  <c r="A45" i="39"/>
  <c r="I44" i="39"/>
  <c r="H44" i="39"/>
  <c r="G44" i="39"/>
  <c r="F44" i="39"/>
  <c r="E44" i="39"/>
  <c r="D44" i="39"/>
  <c r="C44" i="39"/>
  <c r="B44" i="39"/>
  <c r="A44" i="39"/>
  <c r="I43" i="39"/>
  <c r="H43" i="39"/>
  <c r="G43" i="39"/>
  <c r="F43" i="39"/>
  <c r="E43" i="39"/>
  <c r="D43" i="39"/>
  <c r="C43" i="39"/>
  <c r="B43" i="39"/>
  <c r="A43" i="39"/>
  <c r="I42" i="39"/>
  <c r="H42" i="39"/>
  <c r="G42" i="39"/>
  <c r="F42" i="39"/>
  <c r="E42" i="39"/>
  <c r="D42" i="39"/>
  <c r="C42" i="39"/>
  <c r="B42" i="39"/>
  <c r="A42" i="39"/>
  <c r="I41" i="39"/>
  <c r="H41" i="39"/>
  <c r="G41" i="39"/>
  <c r="F41" i="39"/>
  <c r="E41" i="39"/>
  <c r="D41" i="39"/>
  <c r="C41" i="39"/>
  <c r="B41" i="39"/>
  <c r="A41" i="39"/>
  <c r="I40" i="39"/>
  <c r="H40" i="39"/>
  <c r="G40" i="39"/>
  <c r="F40" i="39"/>
  <c r="E40" i="39"/>
  <c r="D40" i="39"/>
  <c r="C40" i="39"/>
  <c r="B40" i="39"/>
  <c r="A40" i="39"/>
  <c r="I39" i="39"/>
  <c r="H39" i="39"/>
  <c r="G39" i="39"/>
  <c r="F39" i="39"/>
  <c r="E39" i="39"/>
  <c r="D39" i="39"/>
  <c r="C39" i="39"/>
  <c r="B39" i="39"/>
  <c r="A39" i="39"/>
  <c r="I38" i="39"/>
  <c r="H38" i="39"/>
  <c r="G38" i="39"/>
  <c r="F38" i="39"/>
  <c r="E38" i="39"/>
  <c r="D38" i="39"/>
  <c r="C38" i="39"/>
  <c r="B38" i="39"/>
  <c r="A38" i="39"/>
  <c r="I37" i="39"/>
  <c r="H37" i="39"/>
  <c r="G37" i="39"/>
  <c r="F37" i="39"/>
  <c r="E37" i="39"/>
  <c r="D37" i="39"/>
  <c r="C37" i="39"/>
  <c r="B37" i="39"/>
  <c r="A37" i="39"/>
  <c r="I36" i="39"/>
  <c r="H36" i="39"/>
  <c r="G36" i="39"/>
  <c r="F36" i="39"/>
  <c r="E36" i="39"/>
  <c r="D36" i="39"/>
  <c r="C36" i="39"/>
  <c r="B36" i="39"/>
  <c r="A36" i="39"/>
  <c r="I35" i="39"/>
  <c r="H35" i="39"/>
  <c r="G35" i="39"/>
  <c r="F35" i="39"/>
  <c r="E35" i="39"/>
  <c r="D35" i="39"/>
  <c r="C35" i="39"/>
  <c r="B35" i="39"/>
  <c r="A35" i="39"/>
  <c r="I34" i="39"/>
  <c r="H34" i="39"/>
  <c r="G34" i="39"/>
  <c r="F34" i="39"/>
  <c r="E34" i="39"/>
  <c r="D34" i="39"/>
  <c r="C34" i="39"/>
  <c r="B34" i="39"/>
  <c r="A34" i="39"/>
  <c r="I33" i="39"/>
  <c r="H33" i="39"/>
  <c r="G33" i="39"/>
  <c r="F33" i="39"/>
  <c r="E33" i="39"/>
  <c r="D33" i="39"/>
  <c r="C33" i="39"/>
  <c r="B33" i="39"/>
  <c r="A33" i="39"/>
  <c r="I32" i="39"/>
  <c r="H32" i="39"/>
  <c r="G32" i="39"/>
  <c r="F32" i="39"/>
  <c r="E32" i="39"/>
  <c r="D32" i="39"/>
  <c r="C32" i="39"/>
  <c r="B32" i="39"/>
  <c r="A32" i="39"/>
  <c r="I31" i="39"/>
  <c r="H31" i="39"/>
  <c r="G31" i="39"/>
  <c r="F31" i="39"/>
  <c r="E31" i="39"/>
  <c r="D31" i="39"/>
  <c r="C31" i="39"/>
  <c r="B31" i="39"/>
  <c r="A31" i="39"/>
  <c r="I30" i="39"/>
  <c r="H30" i="39"/>
  <c r="G30" i="39"/>
  <c r="F30" i="39"/>
  <c r="E30" i="39"/>
  <c r="D30" i="39"/>
  <c r="C30" i="39"/>
  <c r="B30" i="39"/>
  <c r="A30" i="39"/>
  <c r="I29" i="39"/>
  <c r="H29" i="39"/>
  <c r="G29" i="39"/>
  <c r="F29" i="39"/>
  <c r="E29" i="39"/>
  <c r="D29" i="39"/>
  <c r="C29" i="39"/>
  <c r="B29" i="39"/>
  <c r="A29" i="39"/>
  <c r="I28" i="39"/>
  <c r="H28" i="39"/>
  <c r="G28" i="39"/>
  <c r="F28" i="39"/>
  <c r="E28" i="39"/>
  <c r="D28" i="39"/>
  <c r="C28" i="39"/>
  <c r="B28" i="39"/>
  <c r="A28" i="39"/>
  <c r="I27" i="39"/>
  <c r="H27" i="39"/>
  <c r="G27" i="39"/>
  <c r="F27" i="39"/>
  <c r="E27" i="39"/>
  <c r="D27" i="39"/>
  <c r="C27" i="39"/>
  <c r="B27" i="39"/>
  <c r="A27" i="39"/>
  <c r="I26" i="39"/>
  <c r="H26" i="39"/>
  <c r="G26" i="39"/>
  <c r="F26" i="39"/>
  <c r="E26" i="39"/>
  <c r="D26" i="39"/>
  <c r="C26" i="39"/>
  <c r="B26" i="39"/>
  <c r="A26" i="39"/>
  <c r="I25" i="39"/>
  <c r="H25" i="39"/>
  <c r="G25" i="39"/>
  <c r="F25" i="39"/>
  <c r="E25" i="39"/>
  <c r="D25" i="39"/>
  <c r="C25" i="39"/>
  <c r="B25" i="39"/>
  <c r="A25" i="39"/>
  <c r="I24" i="39"/>
  <c r="H24" i="39"/>
  <c r="G24" i="39"/>
  <c r="F24" i="39"/>
  <c r="E24" i="39"/>
  <c r="D24" i="39"/>
  <c r="C24" i="39"/>
  <c r="B24" i="39"/>
  <c r="A24" i="39"/>
  <c r="I23" i="39"/>
  <c r="H23" i="39"/>
  <c r="G23" i="39"/>
  <c r="F23" i="39"/>
  <c r="E23" i="39"/>
  <c r="D23" i="39"/>
  <c r="C23" i="39"/>
  <c r="B23" i="39"/>
  <c r="A23" i="39"/>
  <c r="I22" i="39"/>
  <c r="H22" i="39"/>
  <c r="G22" i="39"/>
  <c r="F22" i="39"/>
  <c r="E22" i="39"/>
  <c r="D22" i="39"/>
  <c r="C22" i="39"/>
  <c r="B22" i="39"/>
  <c r="A22" i="39"/>
  <c r="I21" i="39"/>
  <c r="H21" i="39"/>
  <c r="G21" i="39"/>
  <c r="F21" i="39"/>
  <c r="E21" i="39"/>
  <c r="D21" i="39"/>
  <c r="C21" i="39"/>
  <c r="B21" i="39"/>
  <c r="A21" i="39"/>
  <c r="I20" i="39"/>
  <c r="H20" i="39"/>
  <c r="G20" i="39"/>
  <c r="F20" i="39"/>
  <c r="E20" i="39"/>
  <c r="D20" i="39"/>
  <c r="C20" i="39"/>
  <c r="B20" i="39"/>
  <c r="A20" i="39"/>
  <c r="I19" i="39"/>
  <c r="H19" i="39"/>
  <c r="G19" i="39"/>
  <c r="F19" i="39"/>
  <c r="E19" i="39"/>
  <c r="D19" i="39"/>
  <c r="C19" i="39"/>
  <c r="B19" i="39"/>
  <c r="A19" i="39"/>
  <c r="I18" i="39"/>
  <c r="H18" i="39"/>
  <c r="G18" i="39"/>
  <c r="F18" i="39"/>
  <c r="E18" i="39"/>
  <c r="D18" i="39"/>
  <c r="C18" i="39"/>
  <c r="B18" i="39"/>
  <c r="A18" i="39"/>
  <c r="I17" i="39"/>
  <c r="H17" i="39"/>
  <c r="G17" i="39"/>
  <c r="F17" i="39"/>
  <c r="E17" i="39"/>
  <c r="D17" i="39"/>
  <c r="C17" i="39"/>
  <c r="B17" i="39"/>
  <c r="A17" i="39"/>
  <c r="I16" i="39"/>
  <c r="H16" i="39"/>
  <c r="G16" i="39"/>
  <c r="F16" i="39"/>
  <c r="E16" i="39"/>
  <c r="D16" i="39"/>
  <c r="C16" i="39"/>
  <c r="B16" i="39"/>
  <c r="A16" i="39"/>
  <c r="I15" i="39"/>
  <c r="H15" i="39"/>
  <c r="G15" i="39"/>
  <c r="F15" i="39"/>
  <c r="E15" i="39"/>
  <c r="D15" i="39"/>
  <c r="C15" i="39"/>
  <c r="B15" i="39"/>
  <c r="A15" i="39"/>
  <c r="I14" i="39"/>
  <c r="H14" i="39"/>
  <c r="G14" i="39"/>
  <c r="F14" i="39"/>
  <c r="E14" i="39"/>
  <c r="D14" i="39"/>
  <c r="C14" i="39"/>
  <c r="B14" i="39"/>
  <c r="A14" i="39"/>
  <c r="I13" i="39"/>
  <c r="H13" i="39"/>
  <c r="G13" i="39"/>
  <c r="F13" i="39"/>
  <c r="E13" i="39"/>
  <c r="D13" i="39"/>
  <c r="C13" i="39"/>
  <c r="B13" i="39"/>
  <c r="A13" i="39"/>
  <c r="I12" i="39"/>
  <c r="H12" i="39"/>
  <c r="G12" i="39"/>
  <c r="F12" i="39"/>
  <c r="E12" i="39"/>
  <c r="D12" i="39"/>
  <c r="C12" i="39"/>
  <c r="B12" i="39"/>
  <c r="A12" i="39"/>
  <c r="I11" i="39"/>
  <c r="H11" i="39"/>
  <c r="G11" i="39"/>
  <c r="F11" i="39"/>
  <c r="E11" i="39"/>
  <c r="D11" i="39"/>
  <c r="C11" i="39"/>
  <c r="B11" i="39"/>
  <c r="A11" i="39"/>
  <c r="I10" i="39"/>
  <c r="H10" i="39"/>
  <c r="G10" i="39"/>
  <c r="F10" i="39"/>
  <c r="E10" i="39"/>
  <c r="D10" i="39"/>
  <c r="C10" i="39"/>
  <c r="B10" i="39"/>
  <c r="A10" i="39"/>
  <c r="I9" i="39"/>
  <c r="H9" i="39"/>
  <c r="G9" i="39"/>
  <c r="F9" i="39"/>
  <c r="E9" i="39"/>
  <c r="D9" i="39"/>
  <c r="C9" i="39"/>
  <c r="B9" i="39"/>
  <c r="A9" i="39"/>
  <c r="I8" i="39"/>
  <c r="H8" i="39"/>
  <c r="G8" i="39"/>
  <c r="F8" i="39"/>
  <c r="E8" i="39"/>
  <c r="D8" i="39"/>
  <c r="C8" i="39"/>
  <c r="B8" i="39"/>
  <c r="A8" i="39"/>
  <c r="I7" i="39"/>
  <c r="H7" i="39"/>
  <c r="G7" i="39"/>
  <c r="F7" i="39"/>
  <c r="E7" i="39"/>
  <c r="D7" i="39"/>
  <c r="C7" i="39"/>
  <c r="B7" i="39"/>
  <c r="A7" i="39"/>
  <c r="I6" i="39"/>
  <c r="H6" i="39"/>
  <c r="G6" i="39"/>
  <c r="F6" i="39"/>
  <c r="E6" i="39"/>
  <c r="D6" i="39"/>
  <c r="C6" i="39"/>
  <c r="B6" i="39"/>
  <c r="A6" i="39"/>
  <c r="I5" i="39"/>
  <c r="H5" i="39"/>
  <c r="G5" i="39"/>
  <c r="F5" i="39"/>
  <c r="E5" i="39"/>
  <c r="D5" i="39"/>
  <c r="C5" i="39"/>
  <c r="B5" i="39"/>
  <c r="A5" i="39"/>
  <c r="I4" i="39"/>
  <c r="H4" i="39"/>
  <c r="G4" i="39"/>
  <c r="F4" i="39"/>
  <c r="E4" i="39"/>
  <c r="D4" i="39"/>
  <c r="C4" i="39"/>
  <c r="B4" i="39"/>
  <c r="A4" i="39"/>
  <c r="I3" i="39"/>
  <c r="H3" i="39"/>
  <c r="G3" i="39"/>
  <c r="F3" i="39"/>
  <c r="E3" i="39"/>
  <c r="D3" i="39"/>
  <c r="C3" i="39"/>
  <c r="B3" i="39"/>
  <c r="A3" i="39"/>
  <c r="I2" i="39"/>
  <c r="H2" i="39"/>
  <c r="G2" i="39"/>
  <c r="F2" i="39"/>
  <c r="E2" i="39"/>
  <c r="D2" i="39"/>
  <c r="C2" i="39"/>
  <c r="B2" i="39"/>
  <c r="A2" i="39"/>
  <c r="I1" i="39"/>
  <c r="H1" i="39"/>
  <c r="G1" i="39"/>
  <c r="F1" i="39"/>
  <c r="E1" i="39"/>
  <c r="D1" i="39"/>
  <c r="I219" i="6" l="1"/>
  <c r="J219" i="6"/>
  <c r="N219" i="6"/>
  <c r="O219" i="6"/>
  <c r="M219" i="6"/>
  <c r="Q219" i="6"/>
  <c r="P219" i="6"/>
  <c r="K219" i="6"/>
  <c r="L219" i="6"/>
  <c r="L103" i="39"/>
  <c r="L105" i="39"/>
  <c r="L121" i="39"/>
  <c r="L123" i="39"/>
  <c r="L139" i="39"/>
  <c r="L141" i="39"/>
  <c r="L157" i="39"/>
  <c r="L159" i="39"/>
  <c r="L162" i="39"/>
  <c r="L168" i="39"/>
  <c r="L170" i="39"/>
  <c r="L172" i="39"/>
  <c r="L175" i="39"/>
  <c r="L177" i="39"/>
  <c r="L178" i="39"/>
  <c r="L180" i="39"/>
  <c r="L186" i="39"/>
  <c r="L188" i="39"/>
  <c r="L190" i="39"/>
  <c r="L192" i="39"/>
  <c r="L193" i="39"/>
  <c r="L194" i="39"/>
  <c r="L195" i="39"/>
  <c r="L196" i="39"/>
  <c r="L198" i="39"/>
  <c r="L204" i="39"/>
  <c r="L206" i="39"/>
  <c r="L208" i="39"/>
  <c r="L210" i="39"/>
  <c r="L211" i="39"/>
  <c r="L212" i="39"/>
  <c r="L213" i="39"/>
  <c r="L214" i="39"/>
  <c r="L216" i="39"/>
  <c r="L217" i="39"/>
  <c r="K66" i="39"/>
  <c r="K68" i="39"/>
  <c r="K72" i="39"/>
  <c r="K78" i="39"/>
  <c r="K96" i="39"/>
  <c r="K100" i="39"/>
  <c r="K114" i="39"/>
  <c r="K118" i="39"/>
  <c r="K132" i="39"/>
  <c r="K136" i="39"/>
  <c r="K150" i="39"/>
  <c r="K154" i="39"/>
  <c r="K168" i="39"/>
  <c r="K172" i="39"/>
  <c r="K186" i="39"/>
  <c r="K190" i="39"/>
  <c r="K204" i="39"/>
  <c r="K208" i="39"/>
  <c r="K71" i="39"/>
  <c r="K219" i="39"/>
  <c r="M166" i="39"/>
  <c r="M168" i="39"/>
  <c r="M178" i="39"/>
  <c r="M184" i="39"/>
  <c r="M186" i="39"/>
  <c r="M190" i="39"/>
  <c r="M192" i="39"/>
  <c r="M202" i="39"/>
  <c r="M204" i="39"/>
  <c r="M208" i="39"/>
  <c r="M210" i="39"/>
  <c r="M214" i="39"/>
  <c r="K7" i="39"/>
  <c r="J7" i="39"/>
  <c r="J9" i="39"/>
  <c r="K9" i="39"/>
  <c r="K11" i="39"/>
  <c r="J11" i="39"/>
  <c r="K31" i="39"/>
  <c r="J31" i="39"/>
  <c r="K37" i="39"/>
  <c r="J37" i="39"/>
  <c r="M5" i="39"/>
  <c r="L5" i="39"/>
  <c r="L7" i="39"/>
  <c r="M7" i="39"/>
  <c r="M9" i="39"/>
  <c r="L9" i="39"/>
  <c r="L17" i="39"/>
  <c r="M17" i="39"/>
  <c r="L19" i="39"/>
  <c r="M19" i="39"/>
  <c r="M21" i="39"/>
  <c r="L21" i="39"/>
  <c r="L25" i="39"/>
  <c r="M25" i="39"/>
  <c r="M27" i="39"/>
  <c r="L27" i="39"/>
  <c r="L31" i="39"/>
  <c r="M31" i="39"/>
  <c r="M33" i="39"/>
  <c r="L33" i="39"/>
  <c r="L35" i="39"/>
  <c r="M35" i="39"/>
  <c r="L37" i="39"/>
  <c r="M37" i="39"/>
  <c r="L41" i="39"/>
  <c r="M41" i="39"/>
  <c r="M57" i="39"/>
  <c r="L57" i="39"/>
  <c r="M61" i="39"/>
  <c r="L61" i="39"/>
  <c r="L63" i="39"/>
  <c r="M63" i="39"/>
  <c r="L71" i="39"/>
  <c r="M71" i="39"/>
  <c r="L75" i="39"/>
  <c r="M75" i="39"/>
  <c r="M91" i="39"/>
  <c r="L91" i="39"/>
  <c r="M2" i="39"/>
  <c r="L2" i="39"/>
  <c r="M6" i="39"/>
  <c r="L6" i="39"/>
  <c r="L10" i="39"/>
  <c r="M10" i="39"/>
  <c r="J3" i="39"/>
  <c r="K3" i="39"/>
  <c r="K13" i="39"/>
  <c r="J13" i="39"/>
  <c r="K17" i="39"/>
  <c r="J17" i="39"/>
  <c r="K19" i="39"/>
  <c r="J19" i="39"/>
  <c r="J33" i="39"/>
  <c r="K33" i="39"/>
  <c r="K47" i="39"/>
  <c r="J47" i="39"/>
  <c r="M3" i="39"/>
  <c r="L3" i="39"/>
  <c r="M15" i="39"/>
  <c r="L15" i="39"/>
  <c r="L23" i="39"/>
  <c r="M23" i="39"/>
  <c r="M29" i="39"/>
  <c r="L29" i="39"/>
  <c r="M39" i="39"/>
  <c r="L39" i="39"/>
  <c r="M43" i="39"/>
  <c r="L43" i="39"/>
  <c r="M49" i="39"/>
  <c r="L49" i="39"/>
  <c r="L51" i="39"/>
  <c r="M51" i="39"/>
  <c r="L53" i="39"/>
  <c r="M53" i="39"/>
  <c r="L65" i="39"/>
  <c r="M65" i="39"/>
  <c r="M69" i="39"/>
  <c r="L69" i="39"/>
  <c r="M73" i="39"/>
  <c r="L73" i="39"/>
  <c r="L77" i="39"/>
  <c r="M77" i="39"/>
  <c r="L83" i="39"/>
  <c r="M83" i="39"/>
  <c r="M85" i="39"/>
  <c r="L85" i="39"/>
  <c r="L87" i="39"/>
  <c r="M87" i="39"/>
  <c r="L89" i="39"/>
  <c r="M89" i="39"/>
  <c r="J2" i="39"/>
  <c r="K2" i="39"/>
  <c r="K4" i="39"/>
  <c r="J4" i="39"/>
  <c r="J6" i="39"/>
  <c r="K6" i="39"/>
  <c r="K8" i="39"/>
  <c r="J8" i="39"/>
  <c r="K10" i="39"/>
  <c r="J10" i="39"/>
  <c r="J12" i="39"/>
  <c r="K12" i="39"/>
  <c r="J14" i="39"/>
  <c r="K14" i="39"/>
  <c r="K16" i="39"/>
  <c r="J16" i="39"/>
  <c r="J18" i="39"/>
  <c r="K18" i="39"/>
  <c r="K20" i="39"/>
  <c r="J20" i="39"/>
  <c r="K22" i="39"/>
  <c r="J22" i="39"/>
  <c r="J24" i="39"/>
  <c r="K24" i="39"/>
  <c r="K26" i="39"/>
  <c r="J26" i="39"/>
  <c r="K28" i="39"/>
  <c r="J28" i="39"/>
  <c r="J30" i="39"/>
  <c r="K30" i="39"/>
  <c r="J32" i="39"/>
  <c r="K32" i="39"/>
  <c r="K34" i="39"/>
  <c r="J34" i="39"/>
  <c r="J36" i="39"/>
  <c r="K36" i="39"/>
  <c r="K38" i="39"/>
  <c r="J38" i="39"/>
  <c r="J42" i="39"/>
  <c r="K42" i="39"/>
  <c r="K44" i="39"/>
  <c r="J44" i="39"/>
  <c r="J46" i="39"/>
  <c r="K46" i="39"/>
  <c r="K48" i="39"/>
  <c r="J48" i="39"/>
  <c r="K50" i="39"/>
  <c r="J50" i="39"/>
  <c r="J52" i="39"/>
  <c r="K52" i="39"/>
  <c r="K54" i="39"/>
  <c r="J54" i="39"/>
  <c r="K56" i="39"/>
  <c r="J56" i="39"/>
  <c r="J58" i="39"/>
  <c r="K58" i="39"/>
  <c r="J60" i="39"/>
  <c r="K60" i="39"/>
  <c r="K62" i="39"/>
  <c r="J62" i="39"/>
  <c r="M12" i="39"/>
  <c r="L12" i="39"/>
  <c r="L16" i="39"/>
  <c r="M16" i="39"/>
  <c r="M18" i="39"/>
  <c r="L18" i="39"/>
  <c r="M20" i="39"/>
  <c r="L20" i="39"/>
  <c r="L22" i="39"/>
  <c r="M22" i="39"/>
  <c r="M24" i="39"/>
  <c r="L24" i="39"/>
  <c r="M30" i="39"/>
  <c r="L30" i="39"/>
  <c r="L34" i="39"/>
  <c r="M34" i="39"/>
  <c r="M36" i="39"/>
  <c r="L36" i="39"/>
  <c r="M42" i="39"/>
  <c r="L42" i="39"/>
  <c r="M46" i="39"/>
  <c r="L46" i="39"/>
  <c r="M48" i="39"/>
  <c r="L48" i="39"/>
  <c r="M52" i="39"/>
  <c r="L52" i="39"/>
  <c r="L54" i="39"/>
  <c r="M54" i="39"/>
  <c r="M58" i="39"/>
  <c r="L58" i="39"/>
  <c r="L26" i="39"/>
  <c r="M26" i="39"/>
  <c r="L28" i="39"/>
  <c r="M28" i="39"/>
  <c r="M32" i="39"/>
  <c r="L32" i="39"/>
  <c r="M38" i="39"/>
  <c r="L38" i="39"/>
  <c r="L44" i="39"/>
  <c r="M44" i="39"/>
  <c r="L50" i="39"/>
  <c r="M50" i="39"/>
  <c r="L56" i="39"/>
  <c r="M56" i="39"/>
  <c r="L4" i="39"/>
  <c r="M4" i="39"/>
  <c r="L8" i="39"/>
  <c r="M8" i="39"/>
  <c r="J15" i="39"/>
  <c r="K15" i="39"/>
  <c r="J27" i="39"/>
  <c r="K27" i="39"/>
  <c r="K35" i="39"/>
  <c r="J35" i="39"/>
  <c r="J49" i="39"/>
  <c r="K49" i="39"/>
  <c r="J55" i="39"/>
  <c r="K55" i="39"/>
  <c r="J57" i="39"/>
  <c r="K57" i="39"/>
  <c r="K59" i="39"/>
  <c r="J59" i="39"/>
  <c r="M14" i="39"/>
  <c r="L14" i="39"/>
  <c r="J5" i="39"/>
  <c r="K5" i="39"/>
  <c r="J21" i="39"/>
  <c r="K21" i="39"/>
  <c r="J23" i="39"/>
  <c r="K23" i="39"/>
  <c r="K25" i="39"/>
  <c r="J25" i="39"/>
  <c r="J29" i="39"/>
  <c r="K29" i="39"/>
  <c r="J39" i="39"/>
  <c r="K39" i="39"/>
  <c r="K41" i="39"/>
  <c r="J41" i="39"/>
  <c r="J43" i="39"/>
  <c r="K43" i="39"/>
  <c r="K45" i="39"/>
  <c r="J45" i="39"/>
  <c r="J51" i="39"/>
  <c r="K51" i="39"/>
  <c r="K53" i="39"/>
  <c r="J53" i="39"/>
  <c r="J61" i="39"/>
  <c r="K61" i="39"/>
  <c r="M11" i="39"/>
  <c r="L11" i="39"/>
  <c r="L13" i="39"/>
  <c r="M13" i="39"/>
  <c r="L45" i="39"/>
  <c r="M45" i="39"/>
  <c r="L47" i="39"/>
  <c r="M47" i="39"/>
  <c r="M55" i="39"/>
  <c r="L55" i="39"/>
  <c r="L59" i="39"/>
  <c r="M59" i="39"/>
  <c r="M67" i="39"/>
  <c r="L67" i="39"/>
  <c r="M79" i="39"/>
  <c r="L79" i="39"/>
  <c r="L81" i="39"/>
  <c r="M81" i="39"/>
  <c r="M93" i="39"/>
  <c r="L93" i="39"/>
  <c r="M95" i="39"/>
  <c r="L95" i="39"/>
  <c r="L97" i="39"/>
  <c r="M97" i="39"/>
  <c r="M101" i="39"/>
  <c r="L101" i="39"/>
  <c r="M107" i="39"/>
  <c r="L107" i="39"/>
  <c r="M111" i="39"/>
  <c r="L111" i="39"/>
  <c r="M113" i="39"/>
  <c r="L113" i="39"/>
  <c r="L115" i="39"/>
  <c r="M115" i="39"/>
  <c r="M119" i="39"/>
  <c r="L119" i="39"/>
  <c r="M125" i="39"/>
  <c r="L125" i="39"/>
  <c r="M129" i="39"/>
  <c r="L129" i="39"/>
  <c r="M131" i="39"/>
  <c r="L131" i="39"/>
  <c r="L133" i="39"/>
  <c r="M133" i="39"/>
  <c r="M137" i="39"/>
  <c r="L137" i="39"/>
  <c r="M143" i="39"/>
  <c r="L143" i="39"/>
  <c r="M147" i="39"/>
  <c r="L147" i="39"/>
  <c r="M149" i="39"/>
  <c r="L149" i="39"/>
  <c r="L151" i="39"/>
  <c r="M151" i="39"/>
  <c r="M155" i="39"/>
  <c r="L155" i="39"/>
  <c r="M161" i="39"/>
  <c r="L161" i="39"/>
  <c r="M163" i="39"/>
  <c r="M165" i="39"/>
  <c r="L165" i="39"/>
  <c r="M167" i="39"/>
  <c r="L167" i="39"/>
  <c r="L169" i="39"/>
  <c r="M169" i="39"/>
  <c r="M171" i="39"/>
  <c r="M173" i="39"/>
  <c r="L173" i="39"/>
  <c r="M179" i="39"/>
  <c r="L179" i="39"/>
  <c r="M181" i="39"/>
  <c r="M183" i="39"/>
  <c r="L183" i="39"/>
  <c r="M185" i="39"/>
  <c r="L185" i="39"/>
  <c r="L187" i="39"/>
  <c r="M187" i="39"/>
  <c r="M189" i="39"/>
  <c r="M191" i="39"/>
  <c r="L191" i="39"/>
  <c r="M197" i="39"/>
  <c r="L197" i="39"/>
  <c r="M199" i="39"/>
  <c r="M201" i="39"/>
  <c r="L201" i="39"/>
  <c r="M203" i="39"/>
  <c r="L203" i="39"/>
  <c r="L205" i="39"/>
  <c r="M205" i="39"/>
  <c r="M207" i="39"/>
  <c r="M209" i="39"/>
  <c r="L209" i="39"/>
  <c r="M215" i="39"/>
  <c r="L215" i="39"/>
  <c r="M217" i="39"/>
  <c r="M219" i="39"/>
  <c r="L219" i="39"/>
  <c r="J68" i="39"/>
  <c r="J71" i="39"/>
  <c r="L98" i="39"/>
  <c r="M105" i="39"/>
  <c r="K120" i="39"/>
  <c r="L127" i="39"/>
  <c r="L134" i="39"/>
  <c r="M141" i="39"/>
  <c r="K156" i="39"/>
  <c r="L163" i="39"/>
  <c r="M177" i="39"/>
  <c r="K192" i="39"/>
  <c r="L199" i="39"/>
  <c r="M213" i="39"/>
  <c r="L60" i="39"/>
  <c r="J66" i="39"/>
  <c r="K80" i="39"/>
  <c r="K86" i="39"/>
  <c r="K92" i="39"/>
  <c r="L99" i="39"/>
  <c r="J114" i="39"/>
  <c r="K128" i="39"/>
  <c r="L135" i="39"/>
  <c r="J150" i="39"/>
  <c r="K164" i="39"/>
  <c r="L171" i="39"/>
  <c r="J186" i="39"/>
  <c r="K200" i="39"/>
  <c r="L207" i="39"/>
  <c r="J76" i="39"/>
  <c r="K76" i="39"/>
  <c r="J82" i="39"/>
  <c r="K82" i="39"/>
  <c r="K84" i="39"/>
  <c r="J84" i="39"/>
  <c r="J88" i="39"/>
  <c r="K88" i="39"/>
  <c r="K90" i="39"/>
  <c r="J90" i="39"/>
  <c r="K94" i="39"/>
  <c r="J94" i="39"/>
  <c r="J98" i="39"/>
  <c r="K98" i="39"/>
  <c r="K104" i="39"/>
  <c r="J104" i="39"/>
  <c r="K106" i="39"/>
  <c r="J106" i="39"/>
  <c r="K108" i="39"/>
  <c r="J108" i="39"/>
  <c r="K112" i="39"/>
  <c r="J112" i="39"/>
  <c r="J116" i="39"/>
  <c r="K116" i="39"/>
  <c r="K122" i="39"/>
  <c r="J122" i="39"/>
  <c r="K124" i="39"/>
  <c r="J124" i="39"/>
  <c r="K126" i="39"/>
  <c r="J126" i="39"/>
  <c r="K130" i="39"/>
  <c r="J130" i="39"/>
  <c r="J134" i="39"/>
  <c r="K134" i="39"/>
  <c r="K140" i="39"/>
  <c r="J140" i="39"/>
  <c r="K142" i="39"/>
  <c r="J142" i="39"/>
  <c r="K144" i="39"/>
  <c r="J144" i="39"/>
  <c r="K148" i="39"/>
  <c r="J148" i="39"/>
  <c r="J152" i="39"/>
  <c r="K152" i="39"/>
  <c r="K158" i="39"/>
  <c r="J158" i="39"/>
  <c r="K160" i="39"/>
  <c r="J160" i="39"/>
  <c r="K162" i="39"/>
  <c r="J162" i="39"/>
  <c r="K166" i="39"/>
  <c r="J166" i="39"/>
  <c r="J170" i="39"/>
  <c r="K170" i="39"/>
  <c r="K176" i="39"/>
  <c r="J176" i="39"/>
  <c r="K178" i="39"/>
  <c r="J178" i="39"/>
  <c r="K180" i="39"/>
  <c r="J180" i="39"/>
  <c r="K184" i="39"/>
  <c r="J184" i="39"/>
  <c r="J188" i="39"/>
  <c r="K188" i="39"/>
  <c r="K194" i="39"/>
  <c r="J194" i="39"/>
  <c r="K196" i="39"/>
  <c r="J196" i="39"/>
  <c r="K198" i="39"/>
  <c r="J198" i="39"/>
  <c r="K202" i="39"/>
  <c r="J202" i="39"/>
  <c r="J206" i="39"/>
  <c r="K206" i="39"/>
  <c r="K212" i="39"/>
  <c r="J212" i="39"/>
  <c r="K214" i="39"/>
  <c r="J214" i="39"/>
  <c r="K216" i="39"/>
  <c r="J216" i="39"/>
  <c r="J218" i="39"/>
  <c r="K69" i="39"/>
  <c r="L76" i="39"/>
  <c r="J100" i="39"/>
  <c r="K107" i="39"/>
  <c r="L114" i="39"/>
  <c r="M121" i="39"/>
  <c r="J136" i="39"/>
  <c r="K143" i="39"/>
  <c r="L150" i="39"/>
  <c r="M157" i="39"/>
  <c r="J172" i="39"/>
  <c r="K179" i="39"/>
  <c r="M193" i="39"/>
  <c r="J208" i="39"/>
  <c r="K215" i="39"/>
  <c r="L62" i="39"/>
  <c r="L68" i="39"/>
  <c r="M68" i="39"/>
  <c r="M70" i="39"/>
  <c r="L70" i="39"/>
  <c r="L72" i="39"/>
  <c r="M72" i="39"/>
  <c r="L74" i="39"/>
  <c r="L78" i="39"/>
  <c r="M78" i="39"/>
  <c r="L80" i="39"/>
  <c r="L84" i="39"/>
  <c r="M84" i="39"/>
  <c r="L86" i="39"/>
  <c r="L90" i="39"/>
  <c r="M90" i="39"/>
  <c r="M92" i="39"/>
  <c r="L92" i="39"/>
  <c r="L94" i="39"/>
  <c r="M94" i="39"/>
  <c r="M100" i="39"/>
  <c r="L100" i="39"/>
  <c r="M102" i="39"/>
  <c r="L102" i="39"/>
  <c r="M104" i="39"/>
  <c r="L104" i="39"/>
  <c r="L106" i="39"/>
  <c r="M108" i="39"/>
  <c r="L108" i="39"/>
  <c r="M110" i="39"/>
  <c r="L110" i="39"/>
  <c r="L112" i="39"/>
  <c r="M112" i="39"/>
  <c r="M118" i="39"/>
  <c r="L118" i="39"/>
  <c r="M120" i="39"/>
  <c r="L120" i="39"/>
  <c r="M122" i="39"/>
  <c r="L122" i="39"/>
  <c r="L124" i="39"/>
  <c r="M126" i="39"/>
  <c r="L126" i="39"/>
  <c r="M128" i="39"/>
  <c r="L128" i="39"/>
  <c r="L130" i="39"/>
  <c r="M130" i="39"/>
  <c r="M136" i="39"/>
  <c r="L136" i="39"/>
  <c r="M138" i="39"/>
  <c r="L138" i="39"/>
  <c r="M140" i="39"/>
  <c r="L140" i="39"/>
  <c r="L142" i="39"/>
  <c r="M144" i="39"/>
  <c r="L144" i="39"/>
  <c r="M146" i="39"/>
  <c r="L146" i="39"/>
  <c r="L148" i="39"/>
  <c r="M148" i="39"/>
  <c r="M154" i="39"/>
  <c r="L154" i="39"/>
  <c r="M156" i="39"/>
  <c r="L156" i="39"/>
  <c r="M158" i="39"/>
  <c r="L158" i="39"/>
  <c r="L160" i="39"/>
  <c r="L166" i="39"/>
  <c r="K64" i="39"/>
  <c r="L66" i="39"/>
  <c r="J72" i="39"/>
  <c r="K77" i="39"/>
  <c r="L82" i="39"/>
  <c r="L88" i="39"/>
  <c r="K102" i="39"/>
  <c r="L109" i="39"/>
  <c r="L116" i="39"/>
  <c r="M123" i="39"/>
  <c r="K138" i="39"/>
  <c r="L145" i="39"/>
  <c r="L152" i="39"/>
  <c r="M159" i="39"/>
  <c r="K174" i="39"/>
  <c r="L181" i="39"/>
  <c r="M195" i="39"/>
  <c r="K210" i="39"/>
  <c r="L64" i="39"/>
  <c r="K83" i="39"/>
  <c r="K89" i="39"/>
  <c r="J96" i="39"/>
  <c r="K110" i="39"/>
  <c r="L117" i="39"/>
  <c r="M124" i="39"/>
  <c r="J132" i="39"/>
  <c r="K146" i="39"/>
  <c r="L153" i="39"/>
  <c r="M160" i="39"/>
  <c r="J168" i="39"/>
  <c r="K182" i="39"/>
  <c r="L189" i="39"/>
  <c r="J204" i="39"/>
  <c r="K218" i="39"/>
  <c r="K63" i="39"/>
  <c r="K65" i="39"/>
  <c r="J65" i="39"/>
  <c r="J67" i="39"/>
  <c r="K67" i="39"/>
  <c r="J73" i="39"/>
  <c r="K73" i="39"/>
  <c r="K75" i="39"/>
  <c r="J79" i="39"/>
  <c r="K79" i="39"/>
  <c r="K81" i="39"/>
  <c r="J81" i="39"/>
  <c r="J85" i="39"/>
  <c r="K85" i="39"/>
  <c r="K87" i="39"/>
  <c r="J87" i="39"/>
  <c r="J91" i="39"/>
  <c r="K91" i="39"/>
  <c r="K93" i="39"/>
  <c r="K95" i="39"/>
  <c r="K97" i="39"/>
  <c r="J97" i="39"/>
  <c r="K99" i="39"/>
  <c r="J99" i="39"/>
  <c r="J101" i="39"/>
  <c r="K101" i="39"/>
  <c r="K103" i="39"/>
  <c r="K105" i="39"/>
  <c r="J105" i="39"/>
  <c r="K109" i="39"/>
  <c r="J109" i="39"/>
  <c r="K111" i="39"/>
  <c r="K113" i="39"/>
  <c r="K115" i="39"/>
  <c r="J115" i="39"/>
  <c r="K117" i="39"/>
  <c r="J117" i="39"/>
  <c r="J119" i="39"/>
  <c r="K119" i="39"/>
  <c r="K121" i="39"/>
  <c r="K123" i="39"/>
  <c r="J123" i="39"/>
  <c r="K127" i="39"/>
  <c r="J127" i="39"/>
  <c r="K129" i="39"/>
  <c r="K131" i="39"/>
  <c r="K133" i="39"/>
  <c r="J133" i="39"/>
  <c r="K135" i="39"/>
  <c r="J135" i="39"/>
  <c r="J137" i="39"/>
  <c r="K137" i="39"/>
  <c r="K139" i="39"/>
  <c r="K141" i="39"/>
  <c r="J141" i="39"/>
  <c r="K145" i="39"/>
  <c r="J145" i="39"/>
  <c r="K147" i="39"/>
  <c r="K149" i="39"/>
  <c r="K151" i="39"/>
  <c r="J151" i="39"/>
  <c r="K153" i="39"/>
  <c r="J153" i="39"/>
  <c r="J155" i="39"/>
  <c r="K155" i="39"/>
  <c r="K157" i="39"/>
  <c r="K159" i="39"/>
  <c r="J159" i="39"/>
  <c r="K163" i="39"/>
  <c r="J163" i="39"/>
  <c r="K165" i="39"/>
  <c r="K167" i="39"/>
  <c r="K169" i="39"/>
  <c r="J169" i="39"/>
  <c r="K171" i="39"/>
  <c r="J171" i="39"/>
  <c r="J173" i="39"/>
  <c r="K173" i="39"/>
  <c r="K175" i="39"/>
  <c r="K177" i="39"/>
  <c r="J177" i="39"/>
  <c r="K181" i="39"/>
  <c r="J181" i="39"/>
  <c r="K183" i="39"/>
  <c r="K185" i="39"/>
  <c r="K187" i="39"/>
  <c r="J187" i="39"/>
  <c r="K189" i="39"/>
  <c r="J189" i="39"/>
  <c r="J191" i="39"/>
  <c r="K191" i="39"/>
  <c r="K193" i="39"/>
  <c r="K195" i="39"/>
  <c r="J195" i="39"/>
  <c r="K199" i="39"/>
  <c r="J199" i="39"/>
  <c r="K201" i="39"/>
  <c r="K203" i="39"/>
  <c r="K205" i="39"/>
  <c r="J205" i="39"/>
  <c r="K207" i="39"/>
  <c r="J207" i="39"/>
  <c r="J209" i="39"/>
  <c r="K209" i="39"/>
  <c r="K211" i="39"/>
  <c r="K213" i="39"/>
  <c r="J213" i="39"/>
  <c r="K217" i="39"/>
  <c r="J217" i="39"/>
  <c r="K70" i="39"/>
  <c r="K74" i="39"/>
  <c r="J78" i="39"/>
  <c r="L96" i="39"/>
  <c r="M103" i="39"/>
  <c r="J111" i="39"/>
  <c r="J118" i="39"/>
  <c r="K125" i="39"/>
  <c r="L132" i="39"/>
  <c r="M139" i="39"/>
  <c r="J147" i="39"/>
  <c r="J154" i="39"/>
  <c r="K161" i="39"/>
  <c r="M175" i="39"/>
  <c r="J183" i="39"/>
  <c r="J190" i="39"/>
  <c r="K197" i="39"/>
  <c r="M211" i="39"/>
  <c r="J219" i="39"/>
  <c r="M180" i="39"/>
  <c r="L184" i="39"/>
  <c r="M198" i="39"/>
  <c r="L202" i="39"/>
  <c r="M216" i="39"/>
  <c r="M164" i="39"/>
  <c r="M170" i="39"/>
  <c r="M176" i="39"/>
  <c r="M182" i="39"/>
  <c r="M188" i="39"/>
  <c r="M194" i="39"/>
  <c r="M200" i="39"/>
  <c r="M206" i="39"/>
  <c r="M212" i="39"/>
  <c r="M218" i="39"/>
  <c r="L164" i="39"/>
  <c r="L182" i="39"/>
  <c r="L200" i="39"/>
  <c r="L218" i="39"/>
  <c r="L174" i="39"/>
  <c r="L176" i="39"/>
  <c r="L3" i="30"/>
  <c r="M3" i="30"/>
  <c r="N3" i="30"/>
  <c r="O3" i="30"/>
  <c r="L4" i="30"/>
  <c r="M4" i="30"/>
  <c r="N4" i="30"/>
  <c r="O4" i="30"/>
  <c r="L5" i="30"/>
  <c r="M5" i="30"/>
  <c r="N5" i="30"/>
  <c r="O5" i="30"/>
  <c r="L6" i="30"/>
  <c r="M6" i="30"/>
  <c r="N6" i="30"/>
  <c r="O6" i="30"/>
  <c r="L7" i="30"/>
  <c r="M7" i="30"/>
  <c r="N7" i="30"/>
  <c r="O7" i="30"/>
  <c r="L8" i="30"/>
  <c r="M8" i="30"/>
  <c r="N8" i="30"/>
  <c r="O8" i="30"/>
  <c r="L9" i="30"/>
  <c r="M9" i="30"/>
  <c r="N9" i="30"/>
  <c r="O9" i="30"/>
  <c r="L10" i="30"/>
  <c r="M10" i="30"/>
  <c r="N10" i="30"/>
  <c r="O10" i="30"/>
  <c r="L11" i="30"/>
  <c r="M11" i="30"/>
  <c r="N11" i="30"/>
  <c r="O11" i="30"/>
  <c r="L12" i="30"/>
  <c r="M12" i="30"/>
  <c r="N12" i="30"/>
  <c r="O12" i="30"/>
  <c r="L13" i="30"/>
  <c r="M13" i="30"/>
  <c r="N13" i="30"/>
  <c r="O13" i="30"/>
  <c r="L14" i="30"/>
  <c r="M14" i="30"/>
  <c r="N14" i="30"/>
  <c r="O14" i="30"/>
  <c r="L15" i="30"/>
  <c r="M15" i="30"/>
  <c r="N15" i="30"/>
  <c r="O15" i="30"/>
  <c r="L16" i="30"/>
  <c r="M16" i="30"/>
  <c r="N16" i="30"/>
  <c r="O16" i="30"/>
  <c r="L17" i="30"/>
  <c r="M17" i="30"/>
  <c r="N17" i="30"/>
  <c r="O17" i="30"/>
  <c r="L18" i="30"/>
  <c r="M18" i="30"/>
  <c r="N18" i="30"/>
  <c r="O18" i="30"/>
  <c r="L19" i="30"/>
  <c r="M19" i="30"/>
  <c r="N19" i="30"/>
  <c r="O19" i="30"/>
  <c r="L20" i="30"/>
  <c r="M20" i="30"/>
  <c r="N20" i="30"/>
  <c r="O20" i="30"/>
  <c r="L21" i="30"/>
  <c r="M21" i="30"/>
  <c r="N21" i="30"/>
  <c r="O21" i="30"/>
  <c r="L22" i="30"/>
  <c r="M22" i="30"/>
  <c r="N22" i="30"/>
  <c r="O22" i="30"/>
  <c r="L23" i="30"/>
  <c r="M23" i="30"/>
  <c r="N23" i="30"/>
  <c r="O23" i="30"/>
  <c r="L24" i="30"/>
  <c r="M24" i="30"/>
  <c r="N24" i="30"/>
  <c r="O24" i="30"/>
  <c r="L25" i="30"/>
  <c r="M25" i="30"/>
  <c r="N25" i="30"/>
  <c r="O25" i="30"/>
  <c r="L26" i="30"/>
  <c r="M26" i="30"/>
  <c r="N26" i="30"/>
  <c r="O26" i="30"/>
  <c r="L27" i="30"/>
  <c r="M27" i="30"/>
  <c r="N27" i="30"/>
  <c r="O27" i="30"/>
  <c r="L28" i="30"/>
  <c r="M28" i="30"/>
  <c r="N28" i="30"/>
  <c r="O28" i="30"/>
  <c r="L29" i="30"/>
  <c r="M29" i="30"/>
  <c r="N29" i="30"/>
  <c r="O29" i="30"/>
  <c r="L30" i="30"/>
  <c r="M30" i="30"/>
  <c r="N30" i="30"/>
  <c r="O30" i="30"/>
  <c r="L31" i="30"/>
  <c r="M31" i="30"/>
  <c r="N31" i="30"/>
  <c r="O31" i="30"/>
  <c r="L32" i="30"/>
  <c r="M32" i="30"/>
  <c r="N32" i="30"/>
  <c r="O32" i="30"/>
  <c r="L33" i="30"/>
  <c r="M33" i="30"/>
  <c r="N33" i="30"/>
  <c r="O33" i="30"/>
  <c r="L34" i="30"/>
  <c r="M34" i="30"/>
  <c r="N34" i="30"/>
  <c r="O34" i="30"/>
  <c r="L35" i="30"/>
  <c r="M35" i="30"/>
  <c r="N35" i="30"/>
  <c r="O35" i="30"/>
  <c r="L36" i="30"/>
  <c r="M36" i="30"/>
  <c r="N36" i="30"/>
  <c r="O36" i="30"/>
  <c r="L37" i="30"/>
  <c r="M37" i="30"/>
  <c r="N37" i="30"/>
  <c r="O37" i="30"/>
  <c r="L38" i="30"/>
  <c r="M38" i="30"/>
  <c r="N38" i="30"/>
  <c r="O38" i="30"/>
  <c r="L39" i="30"/>
  <c r="M39" i="30"/>
  <c r="N39" i="30"/>
  <c r="O39" i="30"/>
  <c r="L40" i="30"/>
  <c r="M40" i="30"/>
  <c r="N40" i="30"/>
  <c r="O40" i="30"/>
  <c r="L41" i="30"/>
  <c r="M41" i="30"/>
  <c r="N41" i="30"/>
  <c r="O41" i="30"/>
  <c r="L42" i="30"/>
  <c r="M42" i="30"/>
  <c r="N42" i="30"/>
  <c r="O42" i="30"/>
  <c r="L43" i="30"/>
  <c r="M43" i="30"/>
  <c r="N43" i="30"/>
  <c r="O43" i="30"/>
  <c r="L44" i="30"/>
  <c r="M44" i="30"/>
  <c r="N44" i="30"/>
  <c r="O44" i="30"/>
  <c r="L45" i="30"/>
  <c r="M45" i="30"/>
  <c r="N45" i="30"/>
  <c r="O45" i="30"/>
  <c r="L46" i="30"/>
  <c r="M46" i="30"/>
  <c r="N46" i="30"/>
  <c r="O46" i="30"/>
  <c r="L47" i="30"/>
  <c r="M47" i="30"/>
  <c r="N47" i="30"/>
  <c r="O47" i="30"/>
  <c r="L48" i="30"/>
  <c r="M48" i="30"/>
  <c r="N48" i="30"/>
  <c r="O48" i="30"/>
  <c r="L49" i="30"/>
  <c r="M49" i="30"/>
  <c r="N49" i="30"/>
  <c r="O49" i="30"/>
  <c r="L50" i="30"/>
  <c r="M50" i="30"/>
  <c r="N50" i="30"/>
  <c r="O50" i="30"/>
  <c r="L51" i="30"/>
  <c r="M51" i="30"/>
  <c r="N51" i="30"/>
  <c r="O51" i="30"/>
  <c r="L52" i="30"/>
  <c r="M52" i="30"/>
  <c r="N52" i="30"/>
  <c r="O52" i="30"/>
  <c r="L53" i="30"/>
  <c r="M53" i="30"/>
  <c r="N53" i="30"/>
  <c r="O53" i="30"/>
  <c r="L54" i="30"/>
  <c r="M54" i="30"/>
  <c r="N54" i="30"/>
  <c r="O54" i="30"/>
  <c r="L55" i="30"/>
  <c r="M55" i="30"/>
  <c r="N55" i="30"/>
  <c r="O55" i="30"/>
  <c r="L56" i="30"/>
  <c r="M56" i="30"/>
  <c r="N56" i="30"/>
  <c r="O56" i="30"/>
  <c r="L57" i="30"/>
  <c r="M57" i="30"/>
  <c r="N57" i="30"/>
  <c r="O57" i="30"/>
  <c r="L58" i="30"/>
  <c r="M58" i="30"/>
  <c r="N58" i="30"/>
  <c r="O58" i="30"/>
  <c r="L59" i="30"/>
  <c r="M59" i="30"/>
  <c r="N59" i="30"/>
  <c r="O59" i="30"/>
  <c r="L60" i="30"/>
  <c r="M60" i="30"/>
  <c r="N60" i="30"/>
  <c r="O60" i="30"/>
  <c r="L61" i="30"/>
  <c r="M61" i="30"/>
  <c r="N61" i="30"/>
  <c r="O61" i="30"/>
  <c r="L62" i="30"/>
  <c r="M62" i="30"/>
  <c r="N62" i="30"/>
  <c r="O62" i="30"/>
  <c r="L63" i="30"/>
  <c r="M63" i="30"/>
  <c r="N63" i="30"/>
  <c r="O63" i="30"/>
  <c r="L64" i="30"/>
  <c r="M64" i="30"/>
  <c r="N64" i="30"/>
  <c r="O64" i="30"/>
  <c r="L65" i="30"/>
  <c r="M65" i="30"/>
  <c r="N65" i="30"/>
  <c r="O65" i="30"/>
  <c r="L66" i="30"/>
  <c r="M66" i="30"/>
  <c r="N66" i="30"/>
  <c r="O66" i="30"/>
  <c r="L67" i="30"/>
  <c r="M67" i="30"/>
  <c r="N67" i="30"/>
  <c r="O67" i="30"/>
  <c r="L68" i="30"/>
  <c r="M68" i="30"/>
  <c r="N68" i="30"/>
  <c r="O68" i="30"/>
  <c r="L69" i="30"/>
  <c r="M69" i="30"/>
  <c r="N69" i="30"/>
  <c r="O69" i="30"/>
  <c r="L70" i="30"/>
  <c r="M70" i="30"/>
  <c r="N70" i="30"/>
  <c r="O70" i="30"/>
  <c r="L71" i="30"/>
  <c r="M71" i="30"/>
  <c r="N71" i="30"/>
  <c r="O71" i="30"/>
  <c r="L72" i="30"/>
  <c r="M72" i="30"/>
  <c r="N72" i="30"/>
  <c r="O72" i="30"/>
  <c r="L73" i="30"/>
  <c r="M73" i="30"/>
  <c r="N73" i="30"/>
  <c r="O73" i="30"/>
  <c r="L74" i="30"/>
  <c r="M74" i="30"/>
  <c r="N74" i="30"/>
  <c r="O74" i="30"/>
  <c r="L75" i="30"/>
  <c r="M75" i="30"/>
  <c r="N75" i="30"/>
  <c r="O75" i="30"/>
  <c r="L76" i="30"/>
  <c r="M76" i="30"/>
  <c r="N76" i="30"/>
  <c r="O76" i="30"/>
  <c r="L77" i="30"/>
  <c r="M77" i="30"/>
  <c r="N77" i="30"/>
  <c r="O77" i="30"/>
  <c r="L78" i="30"/>
  <c r="M78" i="30"/>
  <c r="N78" i="30"/>
  <c r="O78" i="30"/>
  <c r="L79" i="30"/>
  <c r="M79" i="30"/>
  <c r="N79" i="30"/>
  <c r="O79" i="30"/>
  <c r="L80" i="30"/>
  <c r="M80" i="30"/>
  <c r="N80" i="30"/>
  <c r="O80" i="30"/>
  <c r="L81" i="30"/>
  <c r="M81" i="30"/>
  <c r="N81" i="30"/>
  <c r="O81" i="30"/>
  <c r="L82" i="30"/>
  <c r="M82" i="30"/>
  <c r="N82" i="30"/>
  <c r="O82" i="30"/>
  <c r="L83" i="30"/>
  <c r="M83" i="30"/>
  <c r="N83" i="30"/>
  <c r="O83" i="30"/>
  <c r="L84" i="30"/>
  <c r="M84" i="30"/>
  <c r="N84" i="30"/>
  <c r="O84" i="30"/>
  <c r="L85" i="30"/>
  <c r="M85" i="30"/>
  <c r="N85" i="30"/>
  <c r="O85" i="30"/>
  <c r="L86" i="30"/>
  <c r="M86" i="30"/>
  <c r="N86" i="30"/>
  <c r="O86" i="30"/>
  <c r="L87" i="30"/>
  <c r="M87" i="30"/>
  <c r="N87" i="30"/>
  <c r="O87" i="30"/>
  <c r="L88" i="30"/>
  <c r="M88" i="30"/>
  <c r="N88" i="30"/>
  <c r="O88" i="30"/>
  <c r="L89" i="30"/>
  <c r="M89" i="30"/>
  <c r="N89" i="30"/>
  <c r="O89" i="30"/>
  <c r="L90" i="30"/>
  <c r="M90" i="30"/>
  <c r="N90" i="30"/>
  <c r="O90" i="30"/>
  <c r="L91" i="30"/>
  <c r="M91" i="30"/>
  <c r="N91" i="30"/>
  <c r="O91" i="30"/>
  <c r="L92" i="30"/>
  <c r="M92" i="30"/>
  <c r="N92" i="30"/>
  <c r="O92" i="30"/>
  <c r="L93" i="30"/>
  <c r="M93" i="30"/>
  <c r="N93" i="30"/>
  <c r="O93" i="30"/>
  <c r="L94" i="30"/>
  <c r="M94" i="30"/>
  <c r="N94" i="30"/>
  <c r="O94" i="30"/>
  <c r="L95" i="30"/>
  <c r="M95" i="30"/>
  <c r="N95" i="30"/>
  <c r="O95" i="30"/>
  <c r="L96" i="30"/>
  <c r="M96" i="30"/>
  <c r="N96" i="30"/>
  <c r="O96" i="30"/>
  <c r="L97" i="30"/>
  <c r="M97" i="30"/>
  <c r="N97" i="30"/>
  <c r="O97" i="30"/>
  <c r="L98" i="30"/>
  <c r="M98" i="30"/>
  <c r="N98" i="30"/>
  <c r="O98" i="30"/>
  <c r="L99" i="30"/>
  <c r="M99" i="30"/>
  <c r="N99" i="30"/>
  <c r="O99" i="30"/>
  <c r="L100" i="30"/>
  <c r="M100" i="30"/>
  <c r="N100" i="30"/>
  <c r="O100" i="30"/>
  <c r="L101" i="30"/>
  <c r="M101" i="30"/>
  <c r="N101" i="30"/>
  <c r="O101" i="30"/>
  <c r="L102" i="30"/>
  <c r="M102" i="30"/>
  <c r="N102" i="30"/>
  <c r="O102" i="30"/>
  <c r="L103" i="30"/>
  <c r="M103" i="30"/>
  <c r="N103" i="30"/>
  <c r="O103" i="30"/>
  <c r="L104" i="30"/>
  <c r="M104" i="30"/>
  <c r="N104" i="30"/>
  <c r="O104" i="30"/>
  <c r="L105" i="30"/>
  <c r="M105" i="30"/>
  <c r="N105" i="30"/>
  <c r="O105" i="30"/>
  <c r="L106" i="30"/>
  <c r="M106" i="30"/>
  <c r="N106" i="30"/>
  <c r="O106" i="30"/>
  <c r="L107" i="30"/>
  <c r="M107" i="30"/>
  <c r="N107" i="30"/>
  <c r="O107" i="30"/>
  <c r="L108" i="30"/>
  <c r="M108" i="30"/>
  <c r="N108" i="30"/>
  <c r="O108" i="30"/>
  <c r="L109" i="30"/>
  <c r="M109" i="30"/>
  <c r="N109" i="30"/>
  <c r="O109" i="30"/>
  <c r="L110" i="30"/>
  <c r="M110" i="30"/>
  <c r="N110" i="30"/>
  <c r="O110" i="30"/>
  <c r="L111" i="30"/>
  <c r="M111" i="30"/>
  <c r="N111" i="30"/>
  <c r="O111" i="30"/>
  <c r="L112" i="30"/>
  <c r="M112" i="30"/>
  <c r="N112" i="30"/>
  <c r="O112" i="30"/>
  <c r="L113" i="30"/>
  <c r="M113" i="30"/>
  <c r="N113" i="30"/>
  <c r="O113" i="30"/>
  <c r="L114" i="30"/>
  <c r="M114" i="30"/>
  <c r="N114" i="30"/>
  <c r="O114" i="30"/>
  <c r="L115" i="30"/>
  <c r="M115" i="30"/>
  <c r="N115" i="30"/>
  <c r="O115" i="30"/>
  <c r="L116" i="30"/>
  <c r="M116" i="30"/>
  <c r="N116" i="30"/>
  <c r="O116" i="30"/>
  <c r="L117" i="30"/>
  <c r="M117" i="30"/>
  <c r="N117" i="30"/>
  <c r="O117" i="30"/>
  <c r="L118" i="30"/>
  <c r="M118" i="30"/>
  <c r="N118" i="30"/>
  <c r="O118" i="30"/>
  <c r="L119" i="30"/>
  <c r="M119" i="30"/>
  <c r="N119" i="30"/>
  <c r="O119" i="30"/>
  <c r="L120" i="30"/>
  <c r="M120" i="30"/>
  <c r="N120" i="30"/>
  <c r="O120" i="30"/>
  <c r="L121" i="30"/>
  <c r="M121" i="30"/>
  <c r="N121" i="30"/>
  <c r="O121" i="30"/>
  <c r="L122" i="30"/>
  <c r="M122" i="30"/>
  <c r="N122" i="30"/>
  <c r="O122" i="30"/>
  <c r="L123" i="30"/>
  <c r="M123" i="30"/>
  <c r="N123" i="30"/>
  <c r="O123" i="30"/>
  <c r="L124" i="30"/>
  <c r="M124" i="30"/>
  <c r="N124" i="30"/>
  <c r="O124" i="30"/>
  <c r="L125" i="30"/>
  <c r="M125" i="30"/>
  <c r="N125" i="30"/>
  <c r="O125" i="30"/>
  <c r="L126" i="30"/>
  <c r="M126" i="30"/>
  <c r="N126" i="30"/>
  <c r="O126" i="30"/>
  <c r="L127" i="30"/>
  <c r="M127" i="30"/>
  <c r="N127" i="30"/>
  <c r="O127" i="30"/>
  <c r="L128" i="30"/>
  <c r="M128" i="30"/>
  <c r="N128" i="30"/>
  <c r="O128" i="30"/>
  <c r="L129" i="30"/>
  <c r="M129" i="30"/>
  <c r="N129" i="30"/>
  <c r="O129" i="30"/>
  <c r="L130" i="30"/>
  <c r="M130" i="30"/>
  <c r="N130" i="30"/>
  <c r="O130" i="30"/>
  <c r="L131" i="30"/>
  <c r="M131" i="30"/>
  <c r="N131" i="30"/>
  <c r="O131" i="30"/>
  <c r="L132" i="30"/>
  <c r="M132" i="30"/>
  <c r="N132" i="30"/>
  <c r="O132" i="30"/>
  <c r="L133" i="30"/>
  <c r="M133" i="30"/>
  <c r="N133" i="30"/>
  <c r="O133" i="30"/>
  <c r="L134" i="30"/>
  <c r="M134" i="30"/>
  <c r="N134" i="30"/>
  <c r="O134" i="30"/>
  <c r="L135" i="30"/>
  <c r="M135" i="30"/>
  <c r="N135" i="30"/>
  <c r="O135" i="30"/>
  <c r="L136" i="30"/>
  <c r="M136" i="30"/>
  <c r="N136" i="30"/>
  <c r="O136" i="30"/>
  <c r="L137" i="30"/>
  <c r="M137" i="30"/>
  <c r="N137" i="30"/>
  <c r="O137" i="30"/>
  <c r="L138" i="30"/>
  <c r="M138" i="30"/>
  <c r="N138" i="30"/>
  <c r="O138" i="30"/>
  <c r="L139" i="30"/>
  <c r="M139" i="30"/>
  <c r="N139" i="30"/>
  <c r="O139" i="30"/>
  <c r="L140" i="30"/>
  <c r="M140" i="30"/>
  <c r="N140" i="30"/>
  <c r="O140" i="30"/>
  <c r="L141" i="30"/>
  <c r="M141" i="30"/>
  <c r="N141" i="30"/>
  <c r="O141" i="30"/>
  <c r="L142" i="30"/>
  <c r="M142" i="30"/>
  <c r="N142" i="30"/>
  <c r="O142" i="30"/>
  <c r="L143" i="30"/>
  <c r="M143" i="30"/>
  <c r="N143" i="30"/>
  <c r="O143" i="30"/>
  <c r="L144" i="30"/>
  <c r="M144" i="30"/>
  <c r="N144" i="30"/>
  <c r="O144" i="30"/>
  <c r="L145" i="30"/>
  <c r="M145" i="30"/>
  <c r="N145" i="30"/>
  <c r="O145" i="30"/>
  <c r="L146" i="30"/>
  <c r="M146" i="30"/>
  <c r="N146" i="30"/>
  <c r="O146" i="30"/>
  <c r="L147" i="30"/>
  <c r="M147" i="30"/>
  <c r="N147" i="30"/>
  <c r="O147" i="30"/>
  <c r="L148" i="30"/>
  <c r="M148" i="30"/>
  <c r="N148" i="30"/>
  <c r="O148" i="30"/>
  <c r="L149" i="30"/>
  <c r="M149" i="30"/>
  <c r="N149" i="30"/>
  <c r="O149" i="30"/>
  <c r="L150" i="30"/>
  <c r="M150" i="30"/>
  <c r="N150" i="30"/>
  <c r="O150" i="30"/>
  <c r="L151" i="30"/>
  <c r="M151" i="30"/>
  <c r="N151" i="30"/>
  <c r="O151" i="30"/>
  <c r="L152" i="30"/>
  <c r="M152" i="30"/>
  <c r="N152" i="30"/>
  <c r="O152" i="30"/>
  <c r="L153" i="30"/>
  <c r="M153" i="30"/>
  <c r="N153" i="30"/>
  <c r="O153" i="30"/>
  <c r="L154" i="30"/>
  <c r="M154" i="30"/>
  <c r="N154" i="30"/>
  <c r="O154" i="30"/>
  <c r="L155" i="30"/>
  <c r="M155" i="30"/>
  <c r="N155" i="30"/>
  <c r="O155" i="30"/>
  <c r="L156" i="30"/>
  <c r="M156" i="30"/>
  <c r="N156" i="30"/>
  <c r="O156" i="30"/>
  <c r="L157" i="30"/>
  <c r="M157" i="30"/>
  <c r="N157" i="30"/>
  <c r="O157" i="30"/>
  <c r="L158" i="30"/>
  <c r="M158" i="30"/>
  <c r="N158" i="30"/>
  <c r="O158" i="30"/>
  <c r="L159" i="30"/>
  <c r="M159" i="30"/>
  <c r="N159" i="30"/>
  <c r="O159" i="30"/>
  <c r="L160" i="30"/>
  <c r="M160" i="30"/>
  <c r="N160" i="30"/>
  <c r="O160" i="30"/>
  <c r="L161" i="30"/>
  <c r="M161" i="30"/>
  <c r="N161" i="30"/>
  <c r="O161" i="30"/>
  <c r="L162" i="30"/>
  <c r="M162" i="30"/>
  <c r="N162" i="30"/>
  <c r="O162" i="30"/>
  <c r="L163" i="30"/>
  <c r="M163" i="30"/>
  <c r="N163" i="30"/>
  <c r="O163" i="30"/>
  <c r="L164" i="30"/>
  <c r="M164" i="30"/>
  <c r="N164" i="30"/>
  <c r="O164" i="30"/>
  <c r="L165" i="30"/>
  <c r="M165" i="30"/>
  <c r="N165" i="30"/>
  <c r="O165" i="30"/>
  <c r="L166" i="30"/>
  <c r="M166" i="30"/>
  <c r="N166" i="30"/>
  <c r="O166" i="30"/>
  <c r="L167" i="30"/>
  <c r="M167" i="30"/>
  <c r="N167" i="30"/>
  <c r="O167" i="30"/>
  <c r="L168" i="30"/>
  <c r="M168" i="30"/>
  <c r="N168" i="30"/>
  <c r="O168" i="30"/>
  <c r="L169" i="30"/>
  <c r="M169" i="30"/>
  <c r="N169" i="30"/>
  <c r="O169" i="30"/>
  <c r="L170" i="30"/>
  <c r="M170" i="30"/>
  <c r="N170" i="30"/>
  <c r="O170" i="30"/>
  <c r="L171" i="30"/>
  <c r="M171" i="30"/>
  <c r="N171" i="30"/>
  <c r="O171" i="30"/>
  <c r="L172" i="30"/>
  <c r="M172" i="30"/>
  <c r="N172" i="30"/>
  <c r="O172" i="30"/>
  <c r="L173" i="30"/>
  <c r="M173" i="30"/>
  <c r="N173" i="30"/>
  <c r="O173" i="30"/>
  <c r="L174" i="30"/>
  <c r="M174" i="30"/>
  <c r="N174" i="30"/>
  <c r="O174" i="30"/>
  <c r="L175" i="30"/>
  <c r="M175" i="30"/>
  <c r="N175" i="30"/>
  <c r="O175" i="30"/>
  <c r="L176" i="30"/>
  <c r="M176" i="30"/>
  <c r="N176" i="30"/>
  <c r="O176" i="30"/>
  <c r="L177" i="30"/>
  <c r="M177" i="30"/>
  <c r="N177" i="30"/>
  <c r="O177" i="30"/>
  <c r="L178" i="30"/>
  <c r="M178" i="30"/>
  <c r="N178" i="30"/>
  <c r="O178" i="30"/>
  <c r="L179" i="30"/>
  <c r="M179" i="30"/>
  <c r="N179" i="30"/>
  <c r="O179" i="30"/>
  <c r="L180" i="30"/>
  <c r="M180" i="30"/>
  <c r="N180" i="30"/>
  <c r="O180" i="30"/>
  <c r="L181" i="30"/>
  <c r="M181" i="30"/>
  <c r="N181" i="30"/>
  <c r="O181" i="30"/>
  <c r="L182" i="30"/>
  <c r="M182" i="30"/>
  <c r="N182" i="30"/>
  <c r="O182" i="30"/>
  <c r="L183" i="30"/>
  <c r="M183" i="30"/>
  <c r="N183" i="30"/>
  <c r="O183" i="30"/>
  <c r="L184" i="30"/>
  <c r="M184" i="30"/>
  <c r="N184" i="30"/>
  <c r="O184" i="30"/>
  <c r="L185" i="30"/>
  <c r="M185" i="30"/>
  <c r="N185" i="30"/>
  <c r="O185" i="30"/>
  <c r="L186" i="30"/>
  <c r="M186" i="30"/>
  <c r="N186" i="30"/>
  <c r="O186" i="30"/>
  <c r="L187" i="30"/>
  <c r="M187" i="30"/>
  <c r="N187" i="30"/>
  <c r="O187" i="30"/>
  <c r="L188" i="30"/>
  <c r="M188" i="30"/>
  <c r="N188" i="30"/>
  <c r="O188" i="30"/>
  <c r="L189" i="30"/>
  <c r="M189" i="30"/>
  <c r="N189" i="30"/>
  <c r="O189" i="30"/>
  <c r="L190" i="30"/>
  <c r="M190" i="30"/>
  <c r="N190" i="30"/>
  <c r="O190" i="30"/>
  <c r="L191" i="30"/>
  <c r="M191" i="30"/>
  <c r="N191" i="30"/>
  <c r="O191" i="30"/>
  <c r="L192" i="30"/>
  <c r="M192" i="30"/>
  <c r="N192" i="30"/>
  <c r="O192" i="30"/>
  <c r="L193" i="30"/>
  <c r="M193" i="30"/>
  <c r="N193" i="30"/>
  <c r="O193" i="30"/>
  <c r="L194" i="30"/>
  <c r="M194" i="30"/>
  <c r="N194" i="30"/>
  <c r="O194" i="30"/>
  <c r="L195" i="30"/>
  <c r="M195" i="30"/>
  <c r="N195" i="30"/>
  <c r="O195" i="30"/>
  <c r="L196" i="30"/>
  <c r="M196" i="30"/>
  <c r="N196" i="30"/>
  <c r="O196" i="30"/>
  <c r="L197" i="30"/>
  <c r="M197" i="30"/>
  <c r="N197" i="30"/>
  <c r="O197" i="30"/>
  <c r="L198" i="30"/>
  <c r="M198" i="30"/>
  <c r="N198" i="30"/>
  <c r="O198" i="30"/>
  <c r="L199" i="30"/>
  <c r="M199" i="30"/>
  <c r="N199" i="30"/>
  <c r="O199" i="30"/>
  <c r="L200" i="30"/>
  <c r="M200" i="30"/>
  <c r="N200" i="30"/>
  <c r="O200" i="30"/>
  <c r="L201" i="30"/>
  <c r="M201" i="30"/>
  <c r="N201" i="30"/>
  <c r="O201" i="30"/>
  <c r="L202" i="30"/>
  <c r="M202" i="30"/>
  <c r="N202" i="30"/>
  <c r="O202" i="30"/>
  <c r="L203" i="30"/>
  <c r="M203" i="30"/>
  <c r="N203" i="30"/>
  <c r="O203" i="30"/>
  <c r="L204" i="30"/>
  <c r="M204" i="30"/>
  <c r="N204" i="30"/>
  <c r="O204" i="30"/>
  <c r="L205" i="30"/>
  <c r="M205" i="30"/>
  <c r="N205" i="30"/>
  <c r="O205" i="30"/>
  <c r="L206" i="30"/>
  <c r="M206" i="30"/>
  <c r="N206" i="30"/>
  <c r="O206" i="30"/>
  <c r="L207" i="30"/>
  <c r="M207" i="30"/>
  <c r="N207" i="30"/>
  <c r="O207" i="30"/>
  <c r="L208" i="30"/>
  <c r="M208" i="30"/>
  <c r="N208" i="30"/>
  <c r="O208" i="30"/>
  <c r="L209" i="30"/>
  <c r="M209" i="30"/>
  <c r="N209" i="30"/>
  <c r="O209" i="30"/>
  <c r="L210" i="30"/>
  <c r="M210" i="30"/>
  <c r="N210" i="30"/>
  <c r="O210" i="30"/>
  <c r="L211" i="30"/>
  <c r="M211" i="30"/>
  <c r="N211" i="30"/>
  <c r="O211" i="30"/>
  <c r="L212" i="30"/>
  <c r="M212" i="30"/>
  <c r="N212" i="30"/>
  <c r="O212" i="30"/>
  <c r="L213" i="30"/>
  <c r="M213" i="30"/>
  <c r="N213" i="30"/>
  <c r="O213" i="30"/>
  <c r="L214" i="30"/>
  <c r="M214" i="30"/>
  <c r="N214" i="30"/>
  <c r="O214" i="30"/>
  <c r="L215" i="30"/>
  <c r="M215" i="30"/>
  <c r="N215" i="30"/>
  <c r="O215" i="30"/>
  <c r="L216" i="30"/>
  <c r="M216" i="30"/>
  <c r="N216" i="30"/>
  <c r="O216" i="30"/>
  <c r="L217" i="30"/>
  <c r="M217" i="30"/>
  <c r="N217" i="30"/>
  <c r="O217" i="30"/>
  <c r="L218" i="30"/>
  <c r="M218" i="30"/>
  <c r="N218" i="30"/>
  <c r="O218" i="30"/>
  <c r="L219" i="30"/>
  <c r="M219" i="30"/>
  <c r="N219" i="30"/>
  <c r="O219" i="30"/>
  <c r="O2" i="30"/>
  <c r="N2" i="30"/>
  <c r="M2" i="30"/>
  <c r="L2" i="30"/>
  <c r="R9" i="39" l="1"/>
  <c r="S9" i="39" s="1"/>
  <c r="R8" i="39"/>
  <c r="S8" i="39" s="1"/>
  <c r="R10" i="39"/>
  <c r="S10" i="39" s="1"/>
  <c r="Q2" i="39"/>
  <c r="Q7" i="39"/>
  <c r="C66" i="35"/>
  <c r="C34" i="35"/>
  <c r="C9" i="35"/>
  <c r="A80" i="35"/>
  <c r="A79" i="35"/>
  <c r="A78" i="35"/>
  <c r="A77" i="35"/>
  <c r="A73" i="35"/>
  <c r="A72" i="35"/>
  <c r="A71" i="35"/>
  <c r="A70" i="35"/>
  <c r="E69" i="35"/>
  <c r="D69" i="35"/>
  <c r="C69" i="35"/>
  <c r="B69" i="35"/>
  <c r="C63" i="35"/>
  <c r="C62" i="35"/>
  <c r="A48" i="35"/>
  <c r="A47" i="35"/>
  <c r="A46" i="35"/>
  <c r="A45" i="35"/>
  <c r="A41" i="35"/>
  <c r="A40" i="35"/>
  <c r="A39" i="35"/>
  <c r="A38" i="35"/>
  <c r="E37" i="35"/>
  <c r="D37" i="35"/>
  <c r="C37" i="35"/>
  <c r="B37" i="35"/>
  <c r="C31" i="35"/>
  <c r="C30" i="35"/>
  <c r="A21" i="35"/>
  <c r="A20" i="35"/>
  <c r="A19" i="35"/>
  <c r="A15" i="35"/>
  <c r="A14" i="35"/>
  <c r="A13" i="35"/>
  <c r="D12" i="35"/>
  <c r="C12" i="35"/>
  <c r="B12" i="35"/>
  <c r="C7" i="35"/>
  <c r="C6" i="35"/>
  <c r="C30" i="34"/>
  <c r="C8" i="34"/>
  <c r="C27" i="34"/>
  <c r="C6" i="34"/>
  <c r="R7" i="39" l="1"/>
  <c r="S7" i="39" s="1"/>
  <c r="Q12" i="39"/>
  <c r="C78" i="35"/>
  <c r="B13" i="35"/>
  <c r="D15" i="35"/>
  <c r="B21" i="35" s="1"/>
  <c r="D13" i="35"/>
  <c r="B15" i="35"/>
  <c r="C19" i="35" s="1"/>
  <c r="C14" i="35"/>
  <c r="E38" i="35"/>
  <c r="E40" i="35"/>
  <c r="E71" i="35"/>
  <c r="E73" i="35"/>
  <c r="B80" i="35" s="1"/>
  <c r="E39" i="35"/>
  <c r="E41" i="35"/>
  <c r="B48" i="35" s="1"/>
  <c r="E70" i="35"/>
  <c r="E72" i="35"/>
  <c r="D38" i="35"/>
  <c r="D39" i="35"/>
  <c r="D40" i="35"/>
  <c r="D41" i="35"/>
  <c r="C47" i="35" s="1"/>
  <c r="D14" i="35"/>
  <c r="B14" i="35"/>
  <c r="B38" i="35"/>
  <c r="B39" i="35"/>
  <c r="B40" i="35"/>
  <c r="B41" i="35"/>
  <c r="C45" i="35" s="1"/>
  <c r="B70" i="35"/>
  <c r="D70" i="35"/>
  <c r="B71" i="35"/>
  <c r="D71" i="35"/>
  <c r="B72" i="35"/>
  <c r="D72" i="35"/>
  <c r="B73" i="35"/>
  <c r="C77" i="35" s="1"/>
  <c r="D73" i="35"/>
  <c r="C79" i="35" s="1"/>
  <c r="C13" i="35"/>
  <c r="C15" i="35"/>
  <c r="C20" i="35" s="1"/>
  <c r="C38" i="35"/>
  <c r="C39" i="35"/>
  <c r="C40" i="35"/>
  <c r="C41" i="35"/>
  <c r="C46" i="35" s="1"/>
  <c r="C70" i="35"/>
  <c r="C71" i="35"/>
  <c r="C72" i="35"/>
  <c r="C73" i="35"/>
  <c r="A42" i="34"/>
  <c r="A41" i="34"/>
  <c r="A40" i="34"/>
  <c r="A36" i="34"/>
  <c r="A35" i="34"/>
  <c r="A34" i="34"/>
  <c r="D33" i="34"/>
  <c r="C33" i="34"/>
  <c r="B33" i="34"/>
  <c r="A18" i="34"/>
  <c r="A17" i="34"/>
  <c r="A13" i="34"/>
  <c r="A12" i="34"/>
  <c r="C11" i="34"/>
  <c r="B11" i="34"/>
  <c r="D78" i="33"/>
  <c r="F78" i="33"/>
  <c r="B80" i="33"/>
  <c r="E80" i="33"/>
  <c r="E77" i="33"/>
  <c r="C69" i="33"/>
  <c r="C68" i="33"/>
  <c r="A89" i="33"/>
  <c r="A88" i="33"/>
  <c r="A87" i="33"/>
  <c r="A86" i="33"/>
  <c r="A85" i="33"/>
  <c r="A81" i="33"/>
  <c r="D81" i="33" s="1"/>
  <c r="A80" i="33"/>
  <c r="C80" i="33" s="1"/>
  <c r="A79" i="33"/>
  <c r="B79" i="33" s="1"/>
  <c r="A78" i="33"/>
  <c r="B78" i="33" s="1"/>
  <c r="A77" i="33"/>
  <c r="D77" i="33" s="1"/>
  <c r="F76" i="33"/>
  <c r="F81" i="33" s="1"/>
  <c r="E76" i="33"/>
  <c r="D76" i="33"/>
  <c r="C76" i="33"/>
  <c r="C78" i="33" s="1"/>
  <c r="B76" i="33"/>
  <c r="C73" i="33"/>
  <c r="C72" i="33"/>
  <c r="A51" i="33"/>
  <c r="F45" i="33"/>
  <c r="C46" i="33"/>
  <c r="C42" i="33"/>
  <c r="A43" i="33"/>
  <c r="B43" i="33" s="1"/>
  <c r="C41" i="33"/>
  <c r="C34" i="33"/>
  <c r="C33" i="33"/>
  <c r="A22" i="33"/>
  <c r="A15" i="33"/>
  <c r="C13" i="33"/>
  <c r="C7" i="33"/>
  <c r="C6" i="33"/>
  <c r="A54" i="33"/>
  <c r="A53" i="33"/>
  <c r="A52" i="33"/>
  <c r="A50" i="33"/>
  <c r="A46" i="33"/>
  <c r="E46" i="33" s="1"/>
  <c r="A45" i="33"/>
  <c r="B45" i="33" s="1"/>
  <c r="A44" i="33"/>
  <c r="C44" i="33" s="1"/>
  <c r="A42" i="33"/>
  <c r="E42" i="33" s="1"/>
  <c r="F41" i="33"/>
  <c r="E41" i="33"/>
  <c r="E45" i="33" s="1"/>
  <c r="D41" i="33"/>
  <c r="B41" i="33"/>
  <c r="C38" i="33"/>
  <c r="C37" i="33"/>
  <c r="A24" i="33"/>
  <c r="A23" i="33"/>
  <c r="A21" i="33"/>
  <c r="A17" i="33"/>
  <c r="A16" i="33"/>
  <c r="B16" i="33" s="1"/>
  <c r="A14" i="33"/>
  <c r="E13" i="33"/>
  <c r="D13" i="33"/>
  <c r="B13" i="33"/>
  <c r="C10" i="33"/>
  <c r="C9" i="33"/>
  <c r="A48" i="32"/>
  <c r="A47" i="32"/>
  <c r="A46" i="32"/>
  <c r="A45" i="32"/>
  <c r="A41" i="32"/>
  <c r="A40" i="32"/>
  <c r="D40" i="32" s="1"/>
  <c r="A39" i="32"/>
  <c r="B39" i="32" s="1"/>
  <c r="A38" i="32"/>
  <c r="D38" i="32" s="1"/>
  <c r="E37" i="32"/>
  <c r="E39" i="32" s="1"/>
  <c r="D37" i="32"/>
  <c r="C37" i="32"/>
  <c r="B37" i="32"/>
  <c r="A21" i="32"/>
  <c r="A20" i="32"/>
  <c r="A19" i="32"/>
  <c r="A15" i="32"/>
  <c r="A14" i="32"/>
  <c r="A13" i="32"/>
  <c r="D12" i="32"/>
  <c r="C12" i="32"/>
  <c r="B12" i="32"/>
  <c r="D39" i="32"/>
  <c r="C40" i="32"/>
  <c r="B41" i="32"/>
  <c r="C41" i="32"/>
  <c r="D41" i="32"/>
  <c r="E41" i="32"/>
  <c r="C38" i="32"/>
  <c r="F43" i="33" l="1"/>
  <c r="C81" i="33"/>
  <c r="B40" i="32"/>
  <c r="B15" i="33"/>
  <c r="F42" i="33"/>
  <c r="B46" i="33"/>
  <c r="E43" i="33"/>
  <c r="B81" i="33"/>
  <c r="F79" i="33"/>
  <c r="E78" i="33"/>
  <c r="C88" i="33" s="1"/>
  <c r="C14" i="33"/>
  <c r="C43" i="33"/>
  <c r="B51" i="33" s="1"/>
  <c r="D51" i="33" s="1"/>
  <c r="C77" i="33"/>
  <c r="F80" i="33"/>
  <c r="E79" i="33"/>
  <c r="E40" i="32"/>
  <c r="C39" i="32"/>
  <c r="B17" i="33"/>
  <c r="F46" i="33"/>
  <c r="C45" i="33"/>
  <c r="C51" i="33" s="1"/>
  <c r="B77" i="33"/>
  <c r="E81" i="33"/>
  <c r="D80" i="33"/>
  <c r="C79" i="33"/>
  <c r="D79" i="33"/>
  <c r="C21" i="35"/>
  <c r="D21" i="35" s="1"/>
  <c r="B24" i="35" s="1"/>
  <c r="D43" i="33"/>
  <c r="F77" i="33"/>
  <c r="B20" i="35"/>
  <c r="B19" i="35"/>
  <c r="D19" i="35" s="1"/>
  <c r="C80" i="35"/>
  <c r="C48" i="35"/>
  <c r="D48" i="35" s="1"/>
  <c r="B51" i="35" s="1"/>
  <c r="B46" i="35"/>
  <c r="B77" i="35"/>
  <c r="D77" i="35" s="1"/>
  <c r="B45" i="35"/>
  <c r="D45" i="35" s="1"/>
  <c r="B78" i="35"/>
  <c r="D78" i="35" s="1"/>
  <c r="D20" i="35"/>
  <c r="B79" i="35"/>
  <c r="B47" i="35"/>
  <c r="D47" i="35" s="1"/>
  <c r="D34" i="34"/>
  <c r="C42" i="34" s="1"/>
  <c r="D36" i="34"/>
  <c r="B42" i="34" s="1"/>
  <c r="D35" i="34"/>
  <c r="B38" i="32"/>
  <c r="E38" i="32"/>
  <c r="B12" i="34"/>
  <c r="B17" i="34" s="1"/>
  <c r="C13" i="34"/>
  <c r="B18" i="34" s="1"/>
  <c r="C34" i="34"/>
  <c r="B41" i="34" s="1"/>
  <c r="C35" i="34"/>
  <c r="C36" i="34"/>
  <c r="C41" i="34" s="1"/>
  <c r="C12" i="34"/>
  <c r="C18" i="34" s="1"/>
  <c r="B13" i="34"/>
  <c r="C17" i="34" s="1"/>
  <c r="B34" i="34"/>
  <c r="B35" i="34"/>
  <c r="B36" i="34"/>
  <c r="C40" i="34" s="1"/>
  <c r="B88" i="33"/>
  <c r="C85" i="33"/>
  <c r="B89" i="33"/>
  <c r="D42" i="33"/>
  <c r="D46" i="33"/>
  <c r="F44" i="33"/>
  <c r="C54" i="33" s="1"/>
  <c r="D44" i="33"/>
  <c r="B44" i="33"/>
  <c r="D45" i="33"/>
  <c r="C52" i="33" s="1"/>
  <c r="E44" i="33"/>
  <c r="C53" i="33" s="1"/>
  <c r="D14" i="33"/>
  <c r="E17" i="33"/>
  <c r="C17" i="33"/>
  <c r="E16" i="33"/>
  <c r="B24" i="33" s="1"/>
  <c r="C16" i="33"/>
  <c r="C22" i="33" s="1"/>
  <c r="E15" i="33"/>
  <c r="C15" i="33"/>
  <c r="B22" i="33" s="1"/>
  <c r="E14" i="33"/>
  <c r="D17" i="33"/>
  <c r="D16" i="33"/>
  <c r="D15" i="33"/>
  <c r="B14" i="33"/>
  <c r="B21" i="33" s="1"/>
  <c r="B42" i="33"/>
  <c r="C50" i="33"/>
  <c r="B53" i="33"/>
  <c r="C30" i="32"/>
  <c r="C34" i="32"/>
  <c r="C33" i="32"/>
  <c r="C9" i="32"/>
  <c r="C8" i="32"/>
  <c r="C6" i="32"/>
  <c r="B14" i="32"/>
  <c r="C14" i="32"/>
  <c r="D14" i="32"/>
  <c r="B15" i="32"/>
  <c r="C15" i="32"/>
  <c r="D15" i="32"/>
  <c r="C13" i="32"/>
  <c r="D13" i="32"/>
  <c r="C21" i="32" s="1"/>
  <c r="B13" i="32"/>
  <c r="B19" i="32" s="1"/>
  <c r="C20" i="32" l="1"/>
  <c r="B50" i="33"/>
  <c r="D88" i="33"/>
  <c r="C24" i="33"/>
  <c r="C23" i="33"/>
  <c r="C46" i="32"/>
  <c r="D53" i="33"/>
  <c r="B40" i="34"/>
  <c r="D40" i="34" s="1"/>
  <c r="B44" i="34" s="1"/>
  <c r="D79" i="35"/>
  <c r="B82" i="35" s="1"/>
  <c r="B84" i="35" s="1"/>
  <c r="D80" i="35"/>
  <c r="B83" i="35" s="1"/>
  <c r="D46" i="35"/>
  <c r="B50" i="35" s="1"/>
  <c r="B52" i="35" s="1"/>
  <c r="B23" i="35"/>
  <c r="D17" i="34"/>
  <c r="B20" i="34" s="1"/>
  <c r="D18" i="34"/>
  <c r="B21" i="34" s="1"/>
  <c r="D42" i="34"/>
  <c r="B45" i="34" s="1"/>
  <c r="D41" i="34"/>
  <c r="B86" i="33"/>
  <c r="B87" i="33"/>
  <c r="C86" i="33"/>
  <c r="C87" i="33"/>
  <c r="C89" i="33"/>
  <c r="D89" i="33" s="1"/>
  <c r="B85" i="33"/>
  <c r="D85" i="33" s="1"/>
  <c r="B52" i="33"/>
  <c r="D52" i="33" s="1"/>
  <c r="D22" i="33"/>
  <c r="B23" i="33"/>
  <c r="D23" i="33" s="1"/>
  <c r="B54" i="33"/>
  <c r="D54" i="33" s="1"/>
  <c r="C21" i="33"/>
  <c r="D21" i="33" s="1"/>
  <c r="B26" i="33" s="1"/>
  <c r="D50" i="33"/>
  <c r="D24" i="33"/>
  <c r="B27" i="33" s="1"/>
  <c r="C48" i="32"/>
  <c r="B45" i="32"/>
  <c r="C47" i="32"/>
  <c r="B46" i="32"/>
  <c r="B20" i="32"/>
  <c r="B21" i="32"/>
  <c r="D21" i="32" s="1"/>
  <c r="C19" i="32"/>
  <c r="D19" i="32" s="1"/>
  <c r="B23" i="32" s="1"/>
  <c r="C45" i="32"/>
  <c r="B48" i="32"/>
  <c r="B47" i="32"/>
  <c r="D1" i="30"/>
  <c r="E1" i="30"/>
  <c r="F1" i="30"/>
  <c r="G1" i="30"/>
  <c r="H1" i="30"/>
  <c r="I1" i="30"/>
  <c r="J1" i="30"/>
  <c r="K1" i="30"/>
  <c r="M48" i="27"/>
  <c r="A3" i="30"/>
  <c r="J3" i="30"/>
  <c r="K3" i="30"/>
  <c r="A4" i="30"/>
  <c r="J4" i="30"/>
  <c r="K4" i="30"/>
  <c r="A5" i="30"/>
  <c r="J5" i="30"/>
  <c r="K5" i="30"/>
  <c r="A6" i="30"/>
  <c r="J6" i="30"/>
  <c r="K6" i="30"/>
  <c r="A7" i="30"/>
  <c r="J7" i="30"/>
  <c r="K7" i="30"/>
  <c r="A8" i="30"/>
  <c r="J8" i="30"/>
  <c r="K8" i="30"/>
  <c r="A9" i="30"/>
  <c r="J9" i="30"/>
  <c r="K9" i="30"/>
  <c r="A10" i="30"/>
  <c r="J10" i="30"/>
  <c r="K10" i="30"/>
  <c r="A11" i="30"/>
  <c r="J11" i="30"/>
  <c r="K11" i="30"/>
  <c r="A12" i="30"/>
  <c r="J12" i="30"/>
  <c r="K12" i="30"/>
  <c r="A13" i="30"/>
  <c r="J13" i="30"/>
  <c r="K13" i="30"/>
  <c r="A14" i="30"/>
  <c r="J14" i="30"/>
  <c r="K14" i="30"/>
  <c r="A15" i="30"/>
  <c r="J15" i="30"/>
  <c r="K15" i="30"/>
  <c r="A16" i="30"/>
  <c r="J16" i="30"/>
  <c r="K16" i="30"/>
  <c r="A17" i="30"/>
  <c r="J17" i="30"/>
  <c r="K17" i="30"/>
  <c r="A18" i="30"/>
  <c r="J18" i="30"/>
  <c r="K18" i="30"/>
  <c r="A19" i="30"/>
  <c r="J19" i="30"/>
  <c r="K19" i="30"/>
  <c r="A20" i="30"/>
  <c r="J20" i="30"/>
  <c r="K20" i="30"/>
  <c r="A21" i="30"/>
  <c r="J21" i="30"/>
  <c r="K21" i="30"/>
  <c r="A22" i="30"/>
  <c r="J22" i="30"/>
  <c r="K22" i="30"/>
  <c r="A23" i="30"/>
  <c r="J23" i="30"/>
  <c r="K23" i="30"/>
  <c r="A24" i="30"/>
  <c r="J24" i="30"/>
  <c r="K24" i="30"/>
  <c r="A25" i="30"/>
  <c r="J25" i="30"/>
  <c r="K25" i="30"/>
  <c r="A26" i="30"/>
  <c r="J26" i="30"/>
  <c r="K26" i="30"/>
  <c r="A27" i="30"/>
  <c r="J27" i="30"/>
  <c r="K27" i="30"/>
  <c r="A28" i="30"/>
  <c r="J28" i="30"/>
  <c r="K28" i="30"/>
  <c r="A29" i="30"/>
  <c r="J29" i="30"/>
  <c r="K29" i="30"/>
  <c r="A30" i="30"/>
  <c r="J30" i="30"/>
  <c r="K30" i="30"/>
  <c r="A31" i="30"/>
  <c r="J31" i="30"/>
  <c r="K31" i="30"/>
  <c r="A32" i="30"/>
  <c r="J32" i="30"/>
  <c r="K32" i="30"/>
  <c r="A33" i="30"/>
  <c r="J33" i="30"/>
  <c r="K33" i="30"/>
  <c r="A34" i="30"/>
  <c r="J34" i="30"/>
  <c r="K34" i="30"/>
  <c r="A35" i="30"/>
  <c r="J35" i="30"/>
  <c r="K35" i="30"/>
  <c r="A36" i="30"/>
  <c r="J36" i="30"/>
  <c r="K36" i="30"/>
  <c r="A37" i="30"/>
  <c r="J37" i="30"/>
  <c r="K37" i="30"/>
  <c r="A38" i="30"/>
  <c r="J38" i="30"/>
  <c r="K38" i="30"/>
  <c r="A39" i="30"/>
  <c r="J39" i="30"/>
  <c r="K39" i="30"/>
  <c r="A40" i="30"/>
  <c r="D40" i="30"/>
  <c r="E40" i="30"/>
  <c r="F40" i="30"/>
  <c r="G40" i="30"/>
  <c r="H40" i="30"/>
  <c r="I40" i="30"/>
  <c r="J40" i="30"/>
  <c r="K40" i="30"/>
  <c r="A41" i="30"/>
  <c r="J41" i="30"/>
  <c r="K41" i="30"/>
  <c r="A42" i="30"/>
  <c r="J42" i="30"/>
  <c r="K42" i="30"/>
  <c r="A43" i="30"/>
  <c r="J43" i="30"/>
  <c r="K43" i="30"/>
  <c r="A44" i="30"/>
  <c r="J44" i="30"/>
  <c r="K44" i="30"/>
  <c r="A45" i="30"/>
  <c r="J45" i="30"/>
  <c r="K45" i="30"/>
  <c r="A46" i="30"/>
  <c r="J46" i="30"/>
  <c r="K46" i="30"/>
  <c r="A47" i="30"/>
  <c r="J47" i="30"/>
  <c r="K47" i="30"/>
  <c r="A48" i="30"/>
  <c r="J48" i="30"/>
  <c r="K48" i="30"/>
  <c r="A49" i="30"/>
  <c r="J49" i="30"/>
  <c r="K49" i="30"/>
  <c r="A50" i="30"/>
  <c r="J50" i="30"/>
  <c r="K50" i="30"/>
  <c r="A51" i="30"/>
  <c r="J51" i="30"/>
  <c r="K51" i="30"/>
  <c r="A52" i="30"/>
  <c r="J52" i="30"/>
  <c r="K52" i="30"/>
  <c r="A53" i="30"/>
  <c r="J53" i="30"/>
  <c r="K53" i="30"/>
  <c r="A54" i="30"/>
  <c r="J54" i="30"/>
  <c r="K54" i="30"/>
  <c r="A55" i="30"/>
  <c r="J55" i="30"/>
  <c r="K55" i="30"/>
  <c r="A56" i="30"/>
  <c r="J56" i="30"/>
  <c r="K56" i="30"/>
  <c r="A57" i="30"/>
  <c r="J57" i="30"/>
  <c r="K57" i="30"/>
  <c r="A58" i="30"/>
  <c r="J58" i="30"/>
  <c r="K58" i="30"/>
  <c r="A59" i="30"/>
  <c r="J59" i="30"/>
  <c r="K59" i="30"/>
  <c r="A60" i="30"/>
  <c r="J60" i="30"/>
  <c r="K60" i="30"/>
  <c r="A61" i="30"/>
  <c r="J61" i="30"/>
  <c r="K61" i="30"/>
  <c r="A62" i="30"/>
  <c r="J62" i="30"/>
  <c r="K62" i="30"/>
  <c r="A63" i="30"/>
  <c r="J63" i="30"/>
  <c r="K63" i="30"/>
  <c r="A64" i="30"/>
  <c r="J64" i="30"/>
  <c r="K64" i="30"/>
  <c r="A65" i="30"/>
  <c r="J65" i="30"/>
  <c r="K65" i="30"/>
  <c r="A66" i="30"/>
  <c r="J66" i="30"/>
  <c r="K66" i="30"/>
  <c r="A67" i="30"/>
  <c r="J67" i="30"/>
  <c r="K67" i="30"/>
  <c r="A68" i="30"/>
  <c r="J68" i="30"/>
  <c r="K68" i="30"/>
  <c r="A69" i="30"/>
  <c r="J69" i="30"/>
  <c r="K69" i="30"/>
  <c r="A70" i="30"/>
  <c r="J70" i="30"/>
  <c r="K70" i="30"/>
  <c r="A71" i="30"/>
  <c r="J71" i="30"/>
  <c r="K71" i="30"/>
  <c r="A72" i="30"/>
  <c r="J72" i="30"/>
  <c r="K72" i="30"/>
  <c r="A73" i="30"/>
  <c r="J73" i="30"/>
  <c r="K73" i="30"/>
  <c r="A74" i="30"/>
  <c r="J74" i="30"/>
  <c r="K74" i="30"/>
  <c r="A75" i="30"/>
  <c r="J75" i="30"/>
  <c r="K75" i="30"/>
  <c r="A76" i="30"/>
  <c r="J76" i="30"/>
  <c r="K76" i="30"/>
  <c r="A77" i="30"/>
  <c r="J77" i="30"/>
  <c r="K77" i="30"/>
  <c r="A78" i="30"/>
  <c r="J78" i="30"/>
  <c r="K78" i="30"/>
  <c r="A79" i="30"/>
  <c r="J79" i="30"/>
  <c r="K79" i="30"/>
  <c r="A80" i="30"/>
  <c r="J80" i="30"/>
  <c r="K80" i="30"/>
  <c r="A81" i="30"/>
  <c r="J81" i="30"/>
  <c r="K81" i="30"/>
  <c r="A82" i="30"/>
  <c r="J82" i="30"/>
  <c r="K82" i="30"/>
  <c r="A83" i="30"/>
  <c r="J83" i="30"/>
  <c r="K83" i="30"/>
  <c r="A84" i="30"/>
  <c r="J84" i="30"/>
  <c r="K84" i="30"/>
  <c r="A85" i="30"/>
  <c r="J85" i="30"/>
  <c r="K85" i="30"/>
  <c r="A86" i="30"/>
  <c r="J86" i="30"/>
  <c r="K86" i="30"/>
  <c r="A87" i="30"/>
  <c r="J87" i="30"/>
  <c r="K87" i="30"/>
  <c r="A88" i="30"/>
  <c r="J88" i="30"/>
  <c r="K88" i="30"/>
  <c r="A89" i="30"/>
  <c r="J89" i="30"/>
  <c r="K89" i="30"/>
  <c r="A90" i="30"/>
  <c r="J90" i="30"/>
  <c r="K90" i="30"/>
  <c r="A91" i="30"/>
  <c r="J91" i="30"/>
  <c r="K91" i="30"/>
  <c r="A92" i="30"/>
  <c r="J92" i="30"/>
  <c r="K92" i="30"/>
  <c r="A93" i="30"/>
  <c r="J93" i="30"/>
  <c r="K93" i="30"/>
  <c r="A94" i="30"/>
  <c r="J94" i="30"/>
  <c r="K94" i="30"/>
  <c r="A95" i="30"/>
  <c r="J95" i="30"/>
  <c r="K95" i="30"/>
  <c r="A96" i="30"/>
  <c r="J96" i="30"/>
  <c r="K96" i="30"/>
  <c r="A97" i="30"/>
  <c r="J97" i="30"/>
  <c r="K97" i="30"/>
  <c r="A98" i="30"/>
  <c r="J98" i="30"/>
  <c r="K98" i="30"/>
  <c r="A99" i="30"/>
  <c r="J99" i="30"/>
  <c r="K99" i="30"/>
  <c r="A100" i="30"/>
  <c r="J100" i="30"/>
  <c r="K100" i="30"/>
  <c r="A101" i="30"/>
  <c r="J101" i="30"/>
  <c r="K101" i="30"/>
  <c r="A102" i="30"/>
  <c r="J102" i="30"/>
  <c r="K102" i="30"/>
  <c r="A103" i="30"/>
  <c r="J103" i="30"/>
  <c r="K103" i="30"/>
  <c r="A104" i="30"/>
  <c r="J104" i="30"/>
  <c r="K104" i="30"/>
  <c r="A105" i="30"/>
  <c r="J105" i="30"/>
  <c r="K105" i="30"/>
  <c r="A106" i="30"/>
  <c r="J106" i="30"/>
  <c r="K106" i="30"/>
  <c r="A107" i="30"/>
  <c r="J107" i="30"/>
  <c r="K107" i="30"/>
  <c r="A108" i="30"/>
  <c r="J108" i="30"/>
  <c r="K108" i="30"/>
  <c r="A109" i="30"/>
  <c r="J109" i="30"/>
  <c r="K109" i="30"/>
  <c r="A110" i="30"/>
  <c r="J110" i="30"/>
  <c r="K110" i="30"/>
  <c r="A111" i="30"/>
  <c r="J111" i="30"/>
  <c r="K111" i="30"/>
  <c r="A112" i="30"/>
  <c r="J112" i="30"/>
  <c r="K112" i="30"/>
  <c r="A113" i="30"/>
  <c r="J113" i="30"/>
  <c r="K113" i="30"/>
  <c r="A114" i="30"/>
  <c r="J114" i="30"/>
  <c r="K114" i="30"/>
  <c r="A115" i="30"/>
  <c r="J115" i="30"/>
  <c r="K115" i="30"/>
  <c r="A116" i="30"/>
  <c r="J116" i="30"/>
  <c r="K116" i="30"/>
  <c r="A117" i="30"/>
  <c r="J117" i="30"/>
  <c r="K117" i="30"/>
  <c r="A118" i="30"/>
  <c r="J118" i="30"/>
  <c r="K118" i="30"/>
  <c r="A119" i="30"/>
  <c r="J119" i="30"/>
  <c r="K119" i="30"/>
  <c r="A120" i="30"/>
  <c r="J120" i="30"/>
  <c r="K120" i="30"/>
  <c r="A121" i="30"/>
  <c r="J121" i="30"/>
  <c r="K121" i="30"/>
  <c r="A122" i="30"/>
  <c r="J122" i="30"/>
  <c r="K122" i="30"/>
  <c r="A123" i="30"/>
  <c r="J123" i="30"/>
  <c r="K123" i="30"/>
  <c r="A124" i="30"/>
  <c r="J124" i="30"/>
  <c r="K124" i="30"/>
  <c r="A125" i="30"/>
  <c r="J125" i="30"/>
  <c r="K125" i="30"/>
  <c r="A126" i="30"/>
  <c r="J126" i="30"/>
  <c r="K126" i="30"/>
  <c r="A127" i="30"/>
  <c r="J127" i="30"/>
  <c r="K127" i="30"/>
  <c r="A128" i="30"/>
  <c r="J128" i="30"/>
  <c r="K128" i="30"/>
  <c r="A129" i="30"/>
  <c r="J129" i="30"/>
  <c r="K129" i="30"/>
  <c r="A130" i="30"/>
  <c r="J130" i="30"/>
  <c r="K130" i="30"/>
  <c r="A131" i="30"/>
  <c r="J131" i="30"/>
  <c r="K131" i="30"/>
  <c r="A132" i="30"/>
  <c r="J132" i="30"/>
  <c r="K132" i="30"/>
  <c r="A133" i="30"/>
  <c r="J133" i="30"/>
  <c r="K133" i="30"/>
  <c r="A134" i="30"/>
  <c r="J134" i="30"/>
  <c r="K134" i="30"/>
  <c r="A135" i="30"/>
  <c r="J135" i="30"/>
  <c r="K135" i="30"/>
  <c r="A136" i="30"/>
  <c r="J136" i="30"/>
  <c r="K136" i="30"/>
  <c r="A137" i="30"/>
  <c r="J137" i="30"/>
  <c r="K137" i="30"/>
  <c r="A138" i="30"/>
  <c r="J138" i="30"/>
  <c r="K138" i="30"/>
  <c r="A139" i="30"/>
  <c r="J139" i="30"/>
  <c r="K139" i="30"/>
  <c r="A140" i="30"/>
  <c r="J140" i="30"/>
  <c r="K140" i="30"/>
  <c r="A141" i="30"/>
  <c r="J141" i="30"/>
  <c r="K141" i="30"/>
  <c r="A142" i="30"/>
  <c r="J142" i="30"/>
  <c r="K142" i="30"/>
  <c r="A143" i="30"/>
  <c r="J143" i="30"/>
  <c r="K143" i="30"/>
  <c r="A144" i="30"/>
  <c r="J144" i="30"/>
  <c r="K144" i="30"/>
  <c r="A145" i="30"/>
  <c r="J145" i="30"/>
  <c r="K145" i="30"/>
  <c r="A146" i="30"/>
  <c r="J146" i="30"/>
  <c r="K146" i="30"/>
  <c r="A147" i="30"/>
  <c r="J147" i="30"/>
  <c r="K147" i="30"/>
  <c r="A148" i="30"/>
  <c r="J148" i="30"/>
  <c r="K148" i="30"/>
  <c r="A149" i="30"/>
  <c r="J149" i="30"/>
  <c r="K149" i="30"/>
  <c r="A150" i="30"/>
  <c r="J150" i="30"/>
  <c r="K150" i="30"/>
  <c r="A151" i="30"/>
  <c r="J151" i="30"/>
  <c r="K151" i="30"/>
  <c r="A152" i="30"/>
  <c r="J152" i="30"/>
  <c r="K152" i="30"/>
  <c r="A153" i="30"/>
  <c r="J153" i="30"/>
  <c r="K153" i="30"/>
  <c r="A154" i="30"/>
  <c r="J154" i="30"/>
  <c r="K154" i="30"/>
  <c r="A155" i="30"/>
  <c r="J155" i="30"/>
  <c r="K155" i="30"/>
  <c r="A156" i="30"/>
  <c r="J156" i="30"/>
  <c r="K156" i="30"/>
  <c r="A157" i="30"/>
  <c r="J157" i="30"/>
  <c r="K157" i="30"/>
  <c r="A158" i="30"/>
  <c r="J158" i="30"/>
  <c r="K158" i="30"/>
  <c r="A159" i="30"/>
  <c r="J159" i="30"/>
  <c r="K159" i="30"/>
  <c r="A160" i="30"/>
  <c r="J160" i="30"/>
  <c r="K160" i="30"/>
  <c r="A161" i="30"/>
  <c r="J161" i="30"/>
  <c r="K161" i="30"/>
  <c r="A162" i="30"/>
  <c r="J162" i="30"/>
  <c r="K162" i="30"/>
  <c r="A163" i="30"/>
  <c r="J163" i="30"/>
  <c r="K163" i="30"/>
  <c r="A164" i="30"/>
  <c r="J164" i="30"/>
  <c r="K164" i="30"/>
  <c r="A165" i="30"/>
  <c r="J165" i="30"/>
  <c r="K165" i="30"/>
  <c r="A166" i="30"/>
  <c r="J166" i="30"/>
  <c r="K166" i="30"/>
  <c r="A167" i="30"/>
  <c r="J167" i="30"/>
  <c r="K167" i="30"/>
  <c r="A168" i="30"/>
  <c r="J168" i="30"/>
  <c r="K168" i="30"/>
  <c r="A169" i="30"/>
  <c r="J169" i="30"/>
  <c r="K169" i="30"/>
  <c r="A170" i="30"/>
  <c r="J170" i="30"/>
  <c r="K170" i="30"/>
  <c r="A171" i="30"/>
  <c r="J171" i="30"/>
  <c r="K171" i="30"/>
  <c r="A172" i="30"/>
  <c r="J172" i="30"/>
  <c r="K172" i="30"/>
  <c r="A173" i="30"/>
  <c r="J173" i="30"/>
  <c r="K173" i="30"/>
  <c r="A174" i="30"/>
  <c r="J174" i="30"/>
  <c r="K174" i="30"/>
  <c r="A175" i="30"/>
  <c r="J175" i="30"/>
  <c r="K175" i="30"/>
  <c r="A176" i="30"/>
  <c r="J176" i="30"/>
  <c r="K176" i="30"/>
  <c r="A177" i="30"/>
  <c r="J177" i="30"/>
  <c r="K177" i="30"/>
  <c r="A178" i="30"/>
  <c r="J178" i="30"/>
  <c r="K178" i="30"/>
  <c r="A179" i="30"/>
  <c r="J179" i="30"/>
  <c r="K179" i="30"/>
  <c r="A180" i="30"/>
  <c r="J180" i="30"/>
  <c r="K180" i="30"/>
  <c r="A181" i="30"/>
  <c r="J181" i="30"/>
  <c r="K181" i="30"/>
  <c r="A182" i="30"/>
  <c r="J182" i="30"/>
  <c r="K182" i="30"/>
  <c r="A183" i="30"/>
  <c r="J183" i="30"/>
  <c r="K183" i="30"/>
  <c r="A184" i="30"/>
  <c r="J184" i="30"/>
  <c r="K184" i="30"/>
  <c r="A185" i="30"/>
  <c r="J185" i="30"/>
  <c r="K185" i="30"/>
  <c r="A186" i="30"/>
  <c r="J186" i="30"/>
  <c r="K186" i="30"/>
  <c r="A187" i="30"/>
  <c r="J187" i="30"/>
  <c r="K187" i="30"/>
  <c r="A188" i="30"/>
  <c r="J188" i="30"/>
  <c r="K188" i="30"/>
  <c r="A189" i="30"/>
  <c r="J189" i="30"/>
  <c r="K189" i="30"/>
  <c r="A190" i="30"/>
  <c r="J190" i="30"/>
  <c r="K190" i="30"/>
  <c r="A191" i="30"/>
  <c r="J191" i="30"/>
  <c r="K191" i="30"/>
  <c r="A192" i="30"/>
  <c r="J192" i="30"/>
  <c r="K192" i="30"/>
  <c r="A193" i="30"/>
  <c r="J193" i="30"/>
  <c r="K193" i="30"/>
  <c r="A194" i="30"/>
  <c r="J194" i="30"/>
  <c r="K194" i="30"/>
  <c r="A195" i="30"/>
  <c r="J195" i="30"/>
  <c r="K195" i="30"/>
  <c r="A196" i="30"/>
  <c r="J196" i="30"/>
  <c r="K196" i="30"/>
  <c r="A197" i="30"/>
  <c r="J197" i="30"/>
  <c r="K197" i="30"/>
  <c r="A198" i="30"/>
  <c r="J198" i="30"/>
  <c r="K198" i="30"/>
  <c r="A199" i="30"/>
  <c r="J199" i="30"/>
  <c r="K199" i="30"/>
  <c r="A200" i="30"/>
  <c r="J200" i="30"/>
  <c r="K200" i="30"/>
  <c r="A201" i="30"/>
  <c r="J201" i="30"/>
  <c r="K201" i="30"/>
  <c r="A202" i="30"/>
  <c r="J202" i="30"/>
  <c r="K202" i="30"/>
  <c r="A203" i="30"/>
  <c r="J203" i="30"/>
  <c r="K203" i="30"/>
  <c r="A204" i="30"/>
  <c r="J204" i="30"/>
  <c r="K204" i="30"/>
  <c r="A205" i="30"/>
  <c r="J205" i="30"/>
  <c r="K205" i="30"/>
  <c r="A206" i="30"/>
  <c r="J206" i="30"/>
  <c r="K206" i="30"/>
  <c r="A207" i="30"/>
  <c r="J207" i="30"/>
  <c r="K207" i="30"/>
  <c r="A208" i="30"/>
  <c r="J208" i="30"/>
  <c r="K208" i="30"/>
  <c r="A209" i="30"/>
  <c r="J209" i="30"/>
  <c r="K209" i="30"/>
  <c r="A210" i="30"/>
  <c r="J210" i="30"/>
  <c r="K210" i="30"/>
  <c r="A211" i="30"/>
  <c r="J211" i="30"/>
  <c r="K211" i="30"/>
  <c r="A212" i="30"/>
  <c r="J212" i="30"/>
  <c r="K212" i="30"/>
  <c r="A213" i="30"/>
  <c r="J213" i="30"/>
  <c r="K213" i="30"/>
  <c r="A214" i="30"/>
  <c r="J214" i="30"/>
  <c r="K214" i="30"/>
  <c r="A215" i="30"/>
  <c r="J215" i="30"/>
  <c r="K215" i="30"/>
  <c r="A216" i="30"/>
  <c r="J216" i="30"/>
  <c r="K216" i="30"/>
  <c r="A217" i="30"/>
  <c r="J217" i="30"/>
  <c r="K217" i="30"/>
  <c r="A218" i="30"/>
  <c r="J218" i="30"/>
  <c r="K218" i="30"/>
  <c r="A219" i="30"/>
  <c r="J219" i="30"/>
  <c r="K219" i="30"/>
  <c r="K2" i="30"/>
  <c r="J2" i="30"/>
  <c r="C2" i="30"/>
  <c r="B2" i="30"/>
  <c r="A2" i="30"/>
  <c r="D20" i="32" l="1"/>
  <c r="B56" i="33"/>
  <c r="D46" i="32"/>
  <c r="B61" i="33"/>
  <c r="C61" i="33" s="1"/>
  <c r="B92" i="33"/>
  <c r="B97" i="33" s="1"/>
  <c r="C97" i="33" s="1"/>
  <c r="B22" i="34"/>
  <c r="B87" i="35"/>
  <c r="C87" i="35" s="1"/>
  <c r="B88" i="35"/>
  <c r="C88" i="35" s="1"/>
  <c r="B56" i="35"/>
  <c r="C56" i="35" s="1"/>
  <c r="B55" i="35"/>
  <c r="C55" i="35" s="1"/>
  <c r="B25" i="35"/>
  <c r="B50" i="34"/>
  <c r="C50" i="34" s="1"/>
  <c r="B49" i="34"/>
  <c r="C49" i="34" s="1"/>
  <c r="D87" i="33"/>
  <c r="D86" i="33"/>
  <c r="B91" i="33" s="1"/>
  <c r="B96" i="33" s="1"/>
  <c r="C96" i="33" s="1"/>
  <c r="B57" i="33"/>
  <c r="B62" i="33" s="1"/>
  <c r="C62" i="33" s="1"/>
  <c r="B28" i="33"/>
  <c r="D48" i="32"/>
  <c r="D47" i="32"/>
  <c r="B24" i="32"/>
  <c r="B25" i="32" s="1"/>
  <c r="D45" i="32"/>
  <c r="B50" i="32" s="1"/>
  <c r="B55" i="32" s="1"/>
  <c r="C55" i="32" s="1"/>
  <c r="X211" i="27"/>
  <c r="G210" i="30" s="1"/>
  <c r="W211" i="27"/>
  <c r="F210" i="30" s="1"/>
  <c r="V211" i="27"/>
  <c r="D210" i="30" s="1"/>
  <c r="U211" i="27"/>
  <c r="I210" i="30" s="1"/>
  <c r="T211" i="27"/>
  <c r="H210" i="30" s="1"/>
  <c r="S211" i="27"/>
  <c r="E210" i="30" s="1"/>
  <c r="X43" i="27"/>
  <c r="G42" i="30" s="1"/>
  <c r="W43" i="27"/>
  <c r="F42" i="30" s="1"/>
  <c r="V43" i="27"/>
  <c r="D42" i="30" s="1"/>
  <c r="U43" i="27"/>
  <c r="I42" i="30" s="1"/>
  <c r="T43" i="27"/>
  <c r="H42" i="30" s="1"/>
  <c r="S43" i="27"/>
  <c r="E42" i="30" s="1"/>
  <c r="B89" i="35" l="1"/>
  <c r="C89" i="35" s="1"/>
  <c r="B57" i="35"/>
  <c r="C57" i="35" s="1"/>
  <c r="B46" i="34"/>
  <c r="B63" i="33"/>
  <c r="C63" i="33" s="1"/>
  <c r="B51" i="32"/>
  <c r="B56" i="32" s="1"/>
  <c r="C56" i="32" s="1"/>
  <c r="B51" i="34"/>
  <c r="C51" i="34" s="1"/>
  <c r="B93" i="33"/>
  <c r="B98" i="33" s="1"/>
  <c r="C98" i="33" s="1"/>
  <c r="B58" i="33"/>
  <c r="S174" i="27"/>
  <c r="E173" i="30" s="1"/>
  <c r="S173" i="27"/>
  <c r="E172" i="30" s="1"/>
  <c r="S172" i="27"/>
  <c r="E171" i="30" s="1"/>
  <c r="S170" i="27"/>
  <c r="E169" i="30" s="1"/>
  <c r="S167" i="27"/>
  <c r="E166" i="30" s="1"/>
  <c r="S166" i="27"/>
  <c r="E165" i="30" s="1"/>
  <c r="S161" i="27"/>
  <c r="E160" i="30" s="1"/>
  <c r="S157" i="27"/>
  <c r="E156" i="30" s="1"/>
  <c r="S154" i="27"/>
  <c r="E153" i="30" s="1"/>
  <c r="S153" i="27"/>
  <c r="E152" i="30" s="1"/>
  <c r="S152" i="27"/>
  <c r="E151" i="30" s="1"/>
  <c r="S151" i="27"/>
  <c r="E150" i="30" s="1"/>
  <c r="S150" i="27"/>
  <c r="E149" i="30" s="1"/>
  <c r="S149" i="27"/>
  <c r="E148" i="30" s="1"/>
  <c r="S148" i="27"/>
  <c r="E147" i="30" s="1"/>
  <c r="X192" i="27"/>
  <c r="G191" i="30" s="1"/>
  <c r="W192" i="27"/>
  <c r="F191" i="30" s="1"/>
  <c r="V192" i="27"/>
  <c r="D191" i="30" s="1"/>
  <c r="U192" i="27"/>
  <c r="I191" i="30" s="1"/>
  <c r="T192" i="27"/>
  <c r="H191" i="30" s="1"/>
  <c r="S192" i="27"/>
  <c r="E191" i="30" s="1"/>
  <c r="X190" i="27"/>
  <c r="G189" i="30" s="1"/>
  <c r="W190" i="27"/>
  <c r="F189" i="30" s="1"/>
  <c r="V190" i="27"/>
  <c r="D189" i="30" s="1"/>
  <c r="U190" i="27"/>
  <c r="I189" i="30" s="1"/>
  <c r="T190" i="27"/>
  <c r="H189" i="30" s="1"/>
  <c r="S190" i="27"/>
  <c r="E189" i="30" s="1"/>
  <c r="X174" i="27"/>
  <c r="G173" i="30" s="1"/>
  <c r="W174" i="27"/>
  <c r="F173" i="30" s="1"/>
  <c r="V174" i="27"/>
  <c r="D173" i="30" s="1"/>
  <c r="U174" i="27"/>
  <c r="I173" i="30" s="1"/>
  <c r="T174" i="27"/>
  <c r="H173" i="30" s="1"/>
  <c r="X170" i="27"/>
  <c r="G169" i="30" s="1"/>
  <c r="W170" i="27"/>
  <c r="F169" i="30" s="1"/>
  <c r="V170" i="27"/>
  <c r="D169" i="30" s="1"/>
  <c r="U170" i="27"/>
  <c r="I169" i="30" s="1"/>
  <c r="T170" i="27"/>
  <c r="H169" i="30" s="1"/>
  <c r="X167" i="27"/>
  <c r="G166" i="30" s="1"/>
  <c r="W167" i="27"/>
  <c r="F166" i="30" s="1"/>
  <c r="V167" i="27"/>
  <c r="D166" i="30" s="1"/>
  <c r="U167" i="27"/>
  <c r="I166" i="30" s="1"/>
  <c r="T167" i="27"/>
  <c r="H166" i="30" s="1"/>
  <c r="X166" i="27"/>
  <c r="G165" i="30" s="1"/>
  <c r="W166" i="27"/>
  <c r="F165" i="30" s="1"/>
  <c r="V166" i="27"/>
  <c r="D165" i="30" s="1"/>
  <c r="U166" i="27"/>
  <c r="I165" i="30" s="1"/>
  <c r="T166" i="27"/>
  <c r="H165" i="30" s="1"/>
  <c r="X161" i="27"/>
  <c r="G160" i="30" s="1"/>
  <c r="W161" i="27"/>
  <c r="F160" i="30" s="1"/>
  <c r="V161" i="27"/>
  <c r="D160" i="30" s="1"/>
  <c r="U161" i="27"/>
  <c r="I160" i="30" s="1"/>
  <c r="T161" i="27"/>
  <c r="H160" i="30" s="1"/>
  <c r="X157" i="27"/>
  <c r="G156" i="30" s="1"/>
  <c r="W157" i="27"/>
  <c r="F156" i="30" s="1"/>
  <c r="V157" i="27"/>
  <c r="D156" i="30" s="1"/>
  <c r="U157" i="27"/>
  <c r="I156" i="30" s="1"/>
  <c r="T157" i="27"/>
  <c r="H156" i="30" s="1"/>
  <c r="X154" i="27"/>
  <c r="G153" i="30" s="1"/>
  <c r="W154" i="27"/>
  <c r="F153" i="30" s="1"/>
  <c r="V154" i="27"/>
  <c r="D153" i="30" s="1"/>
  <c r="U154" i="27"/>
  <c r="I153" i="30" s="1"/>
  <c r="T154" i="27"/>
  <c r="H153" i="30" s="1"/>
  <c r="X153" i="27"/>
  <c r="G152" i="30" s="1"/>
  <c r="W153" i="27"/>
  <c r="F152" i="30" s="1"/>
  <c r="V153" i="27"/>
  <c r="D152" i="30" s="1"/>
  <c r="U153" i="27"/>
  <c r="I152" i="30" s="1"/>
  <c r="T153" i="27"/>
  <c r="H152" i="30" s="1"/>
  <c r="X152" i="27"/>
  <c r="G151" i="30" s="1"/>
  <c r="W152" i="27"/>
  <c r="F151" i="30" s="1"/>
  <c r="V152" i="27"/>
  <c r="D151" i="30" s="1"/>
  <c r="U152" i="27"/>
  <c r="I151" i="30" s="1"/>
  <c r="T152" i="27"/>
  <c r="H151" i="30" s="1"/>
  <c r="X151" i="27"/>
  <c r="G150" i="30" s="1"/>
  <c r="W151" i="27"/>
  <c r="F150" i="30" s="1"/>
  <c r="V151" i="27"/>
  <c r="D150" i="30" s="1"/>
  <c r="U151" i="27"/>
  <c r="I150" i="30" s="1"/>
  <c r="T151" i="27"/>
  <c r="H150" i="30" s="1"/>
  <c r="X150" i="27"/>
  <c r="G149" i="30" s="1"/>
  <c r="W150" i="27"/>
  <c r="F149" i="30" s="1"/>
  <c r="V150" i="27"/>
  <c r="D149" i="30" s="1"/>
  <c r="U150" i="27"/>
  <c r="I149" i="30" s="1"/>
  <c r="T150" i="27"/>
  <c r="H149" i="30" s="1"/>
  <c r="X149" i="27"/>
  <c r="G148" i="30" s="1"/>
  <c r="W149" i="27"/>
  <c r="F148" i="30" s="1"/>
  <c r="V149" i="27"/>
  <c r="D148" i="30" s="1"/>
  <c r="U149" i="27"/>
  <c r="I148" i="30" s="1"/>
  <c r="T149" i="27"/>
  <c r="H148" i="30" s="1"/>
  <c r="T148" i="27"/>
  <c r="H147" i="30" s="1"/>
  <c r="U148" i="27"/>
  <c r="I147" i="30" s="1"/>
  <c r="V148" i="27"/>
  <c r="D147" i="30" s="1"/>
  <c r="W148" i="27"/>
  <c r="F147" i="30" s="1"/>
  <c r="X148" i="27"/>
  <c r="G147" i="30" s="1"/>
  <c r="X147" i="27"/>
  <c r="G146" i="30" s="1"/>
  <c r="W147" i="27"/>
  <c r="F146" i="30" s="1"/>
  <c r="V147" i="27"/>
  <c r="D146" i="30" s="1"/>
  <c r="U147" i="27"/>
  <c r="I146" i="30" s="1"/>
  <c r="T147" i="27"/>
  <c r="H146" i="30" s="1"/>
  <c r="S147" i="27"/>
  <c r="E146" i="30" s="1"/>
  <c r="X146" i="27"/>
  <c r="G145" i="30" s="1"/>
  <c r="W146" i="27"/>
  <c r="F145" i="30" s="1"/>
  <c r="V146" i="27"/>
  <c r="D145" i="30" s="1"/>
  <c r="U146" i="27"/>
  <c r="I145" i="30" s="1"/>
  <c r="T146" i="27"/>
  <c r="H145" i="30" s="1"/>
  <c r="S146" i="27"/>
  <c r="E145" i="30" s="1"/>
  <c r="X145" i="27"/>
  <c r="G144" i="30" s="1"/>
  <c r="W145" i="27"/>
  <c r="F144" i="30" s="1"/>
  <c r="V145" i="27"/>
  <c r="D144" i="30" s="1"/>
  <c r="U145" i="27"/>
  <c r="I144" i="30" s="1"/>
  <c r="T145" i="27"/>
  <c r="H144" i="30" s="1"/>
  <c r="S145" i="27"/>
  <c r="E144" i="30" s="1"/>
  <c r="X144" i="27"/>
  <c r="G143" i="30" s="1"/>
  <c r="W144" i="27"/>
  <c r="F143" i="30" s="1"/>
  <c r="V144" i="27"/>
  <c r="D143" i="30" s="1"/>
  <c r="U144" i="27"/>
  <c r="I143" i="30" s="1"/>
  <c r="T144" i="27"/>
  <c r="H143" i="30" s="1"/>
  <c r="S144" i="27"/>
  <c r="E143" i="30" s="1"/>
  <c r="X109" i="27"/>
  <c r="G108" i="30" s="1"/>
  <c r="W109" i="27"/>
  <c r="F108" i="30" s="1"/>
  <c r="V109" i="27"/>
  <c r="D108" i="30" s="1"/>
  <c r="U109" i="27"/>
  <c r="I108" i="30" s="1"/>
  <c r="T109" i="27"/>
  <c r="H108" i="30" s="1"/>
  <c r="S109" i="27"/>
  <c r="E108" i="30" s="1"/>
  <c r="B52" i="32" l="1"/>
  <c r="B57" i="32" s="1"/>
  <c r="C57" i="32" s="1"/>
  <c r="D220" i="27"/>
  <c r="C219" i="30" s="1"/>
  <c r="B220" i="27"/>
  <c r="B219" i="30" s="1"/>
  <c r="B219" i="27"/>
  <c r="B218" i="30" s="1"/>
  <c r="B218" i="27"/>
  <c r="B217" i="30" s="1"/>
  <c r="D217" i="27"/>
  <c r="C216" i="30" s="1"/>
  <c r="B217" i="27"/>
  <c r="B216" i="30" s="1"/>
  <c r="B216" i="27"/>
  <c r="B215" i="30" s="1"/>
  <c r="D215" i="27"/>
  <c r="C214" i="30" s="1"/>
  <c r="B215" i="27"/>
  <c r="B214" i="30" s="1"/>
  <c r="D214" i="27"/>
  <c r="C213" i="30" s="1"/>
  <c r="B214" i="27"/>
  <c r="B213" i="30" s="1"/>
  <c r="D213" i="27"/>
  <c r="C212" i="30" s="1"/>
  <c r="B213" i="27"/>
  <c r="B212" i="30" s="1"/>
  <c r="B212" i="27"/>
  <c r="B211" i="30" s="1"/>
  <c r="B211" i="27"/>
  <c r="B210" i="30" s="1"/>
  <c r="B210" i="27"/>
  <c r="B209" i="30" s="1"/>
  <c r="D209" i="27"/>
  <c r="C208" i="30" s="1"/>
  <c r="B209" i="27"/>
  <c r="B208" i="30" s="1"/>
  <c r="D208" i="27"/>
  <c r="C207" i="30" s="1"/>
  <c r="B208" i="27"/>
  <c r="B207" i="30" s="1"/>
  <c r="D207" i="27"/>
  <c r="C206" i="30" s="1"/>
  <c r="B207" i="27"/>
  <c r="B206" i="30" s="1"/>
  <c r="D206" i="27"/>
  <c r="C205" i="30" s="1"/>
  <c r="B206" i="27"/>
  <c r="B205" i="30" s="1"/>
  <c r="D205" i="27"/>
  <c r="C204" i="30" s="1"/>
  <c r="B205" i="27"/>
  <c r="B204" i="30" s="1"/>
  <c r="D204" i="27"/>
  <c r="C203" i="30" s="1"/>
  <c r="B204" i="27"/>
  <c r="B203" i="30" s="1"/>
  <c r="B203" i="27"/>
  <c r="B202" i="30" s="1"/>
  <c r="B202" i="27"/>
  <c r="B201" i="30" s="1"/>
  <c r="B201" i="27"/>
  <c r="B200" i="30" s="1"/>
  <c r="D200" i="27"/>
  <c r="C199" i="30" s="1"/>
  <c r="B200" i="27"/>
  <c r="B199" i="30" s="1"/>
  <c r="D199" i="27"/>
  <c r="C198" i="30" s="1"/>
  <c r="B199" i="27"/>
  <c r="B198" i="30" s="1"/>
  <c r="D198" i="27"/>
  <c r="C197" i="30" s="1"/>
  <c r="B198" i="27"/>
  <c r="B197" i="30" s="1"/>
  <c r="D197" i="27"/>
  <c r="C196" i="30" s="1"/>
  <c r="B197" i="27"/>
  <c r="B196" i="30" s="1"/>
  <c r="D196" i="27"/>
  <c r="C195" i="30" s="1"/>
  <c r="B196" i="27"/>
  <c r="B195" i="30" s="1"/>
  <c r="D195" i="27"/>
  <c r="C194" i="30" s="1"/>
  <c r="B195" i="27"/>
  <c r="B194" i="30" s="1"/>
  <c r="D194" i="27"/>
  <c r="C193" i="30" s="1"/>
  <c r="B194" i="27"/>
  <c r="B193" i="30" s="1"/>
  <c r="D193" i="27"/>
  <c r="C192" i="30" s="1"/>
  <c r="B193" i="27"/>
  <c r="B192" i="30" s="1"/>
  <c r="D192" i="27"/>
  <c r="C191" i="30" s="1"/>
  <c r="B192" i="27"/>
  <c r="B191" i="30" s="1"/>
  <c r="D191" i="27"/>
  <c r="C190" i="30" s="1"/>
  <c r="B191" i="27"/>
  <c r="B190" i="30" s="1"/>
  <c r="D190" i="27"/>
  <c r="C189" i="30" s="1"/>
  <c r="B190" i="27"/>
  <c r="B189" i="30" s="1"/>
  <c r="D189" i="27"/>
  <c r="C188" i="30" s="1"/>
  <c r="B189" i="27"/>
  <c r="B188" i="30" s="1"/>
  <c r="D188" i="27"/>
  <c r="C187" i="30" s="1"/>
  <c r="B188" i="27"/>
  <c r="B187" i="30" s="1"/>
  <c r="D187" i="27"/>
  <c r="C186" i="30" s="1"/>
  <c r="B187" i="27"/>
  <c r="B186" i="30" s="1"/>
  <c r="D186" i="27"/>
  <c r="C185" i="30" s="1"/>
  <c r="B186" i="27"/>
  <c r="B185" i="30" s="1"/>
  <c r="D185" i="27"/>
  <c r="C184" i="30" s="1"/>
  <c r="B185" i="27"/>
  <c r="B184" i="30" s="1"/>
  <c r="D184" i="27"/>
  <c r="C183" i="30" s="1"/>
  <c r="B184" i="27"/>
  <c r="B183" i="30" s="1"/>
  <c r="D183" i="27"/>
  <c r="C182" i="30" s="1"/>
  <c r="B183" i="27"/>
  <c r="B182" i="30" s="1"/>
  <c r="D182" i="27"/>
  <c r="C181" i="30" s="1"/>
  <c r="B182" i="27"/>
  <c r="B181" i="30" s="1"/>
  <c r="D181" i="27"/>
  <c r="C180" i="30" s="1"/>
  <c r="B181" i="27"/>
  <c r="B180" i="30" s="1"/>
  <c r="D180" i="27"/>
  <c r="C179" i="30" s="1"/>
  <c r="B180" i="27"/>
  <c r="B179" i="30" s="1"/>
  <c r="D179" i="27"/>
  <c r="C178" i="30" s="1"/>
  <c r="B179" i="27"/>
  <c r="B178" i="30" s="1"/>
  <c r="D178" i="27"/>
  <c r="C177" i="30" s="1"/>
  <c r="B178" i="27"/>
  <c r="B177" i="30" s="1"/>
  <c r="B177" i="27"/>
  <c r="B176" i="30" s="1"/>
  <c r="B176" i="27"/>
  <c r="B175" i="30" s="1"/>
  <c r="B175" i="27"/>
  <c r="B174" i="30" s="1"/>
  <c r="B174" i="27"/>
  <c r="B173" i="30" s="1"/>
  <c r="B173" i="27"/>
  <c r="B172" i="30" s="1"/>
  <c r="B172" i="27"/>
  <c r="B171" i="30" s="1"/>
  <c r="B171" i="27"/>
  <c r="B170" i="30" s="1"/>
  <c r="B170" i="27"/>
  <c r="B169" i="30" s="1"/>
  <c r="B169" i="27"/>
  <c r="B168" i="30" s="1"/>
  <c r="B168" i="27"/>
  <c r="B167" i="30" s="1"/>
  <c r="B167" i="27"/>
  <c r="B166" i="30" s="1"/>
  <c r="B166" i="27"/>
  <c r="B165" i="30" s="1"/>
  <c r="B165" i="27"/>
  <c r="B164" i="30" s="1"/>
  <c r="D164" i="27"/>
  <c r="C163" i="30" s="1"/>
  <c r="B164" i="27"/>
  <c r="B163" i="30" s="1"/>
  <c r="D163" i="27"/>
  <c r="C162" i="30" s="1"/>
  <c r="B163" i="27"/>
  <c r="B162" i="30" s="1"/>
  <c r="D162" i="27"/>
  <c r="C161" i="30" s="1"/>
  <c r="B162" i="27"/>
  <c r="B161" i="30" s="1"/>
  <c r="B161" i="27"/>
  <c r="B160" i="30" s="1"/>
  <c r="B160" i="27"/>
  <c r="B159" i="30" s="1"/>
  <c r="B159" i="27"/>
  <c r="B158" i="30" s="1"/>
  <c r="B158" i="27"/>
  <c r="B157" i="30" s="1"/>
  <c r="B157" i="27"/>
  <c r="B156" i="30" s="1"/>
  <c r="B156" i="27"/>
  <c r="B155" i="30" s="1"/>
  <c r="B155" i="27"/>
  <c r="B154" i="30" s="1"/>
  <c r="B154" i="27"/>
  <c r="B153" i="30" s="1"/>
  <c r="B153" i="27"/>
  <c r="B152" i="30" s="1"/>
  <c r="B152" i="27"/>
  <c r="B151" i="30" s="1"/>
  <c r="B151" i="27"/>
  <c r="B150" i="30" s="1"/>
  <c r="B150" i="27"/>
  <c r="B149" i="30" s="1"/>
  <c r="B149" i="27"/>
  <c r="B148" i="30" s="1"/>
  <c r="B148" i="27"/>
  <c r="B147" i="30" s="1"/>
  <c r="B147" i="27"/>
  <c r="B146" i="30" s="1"/>
  <c r="D146" i="27"/>
  <c r="C145" i="30" s="1"/>
  <c r="B146" i="27"/>
  <c r="B145" i="30" s="1"/>
  <c r="B145" i="27"/>
  <c r="B144" i="30" s="1"/>
  <c r="B144" i="27"/>
  <c r="B143" i="30" s="1"/>
  <c r="D143" i="27"/>
  <c r="C142" i="30" s="1"/>
  <c r="B143" i="27"/>
  <c r="B142" i="30" s="1"/>
  <c r="D142" i="27"/>
  <c r="C141" i="30" s="1"/>
  <c r="B142" i="27"/>
  <c r="B141" i="30" s="1"/>
  <c r="D141" i="27"/>
  <c r="C140" i="30" s="1"/>
  <c r="B141" i="27"/>
  <c r="B140" i="30" s="1"/>
  <c r="D140" i="27"/>
  <c r="C139" i="30" s="1"/>
  <c r="B140" i="27"/>
  <c r="B139" i="30" s="1"/>
  <c r="D139" i="27"/>
  <c r="C138" i="30" s="1"/>
  <c r="B139" i="27"/>
  <c r="B138" i="30" s="1"/>
  <c r="D138" i="27"/>
  <c r="C137" i="30" s="1"/>
  <c r="B138" i="27"/>
  <c r="B137" i="30" s="1"/>
  <c r="D137" i="27"/>
  <c r="C136" i="30" s="1"/>
  <c r="B137" i="27"/>
  <c r="B136" i="30" s="1"/>
  <c r="D136" i="27"/>
  <c r="C135" i="30" s="1"/>
  <c r="B136" i="27"/>
  <c r="B135" i="30" s="1"/>
  <c r="D135" i="27"/>
  <c r="C134" i="30" s="1"/>
  <c r="B135" i="27"/>
  <c r="B134" i="30" s="1"/>
  <c r="D134" i="27"/>
  <c r="C133" i="30" s="1"/>
  <c r="B134" i="27"/>
  <c r="B133" i="30" s="1"/>
  <c r="D133" i="27"/>
  <c r="C132" i="30" s="1"/>
  <c r="B133" i="27"/>
  <c r="B132" i="30" s="1"/>
  <c r="D132" i="27"/>
  <c r="C131" i="30" s="1"/>
  <c r="B132" i="27"/>
  <c r="B131" i="30" s="1"/>
  <c r="B131" i="27"/>
  <c r="B130" i="30" s="1"/>
  <c r="B130" i="27"/>
  <c r="B129" i="30" s="1"/>
  <c r="D129" i="27"/>
  <c r="C128" i="30" s="1"/>
  <c r="B129" i="27"/>
  <c r="B128" i="30" s="1"/>
  <c r="D128" i="27"/>
  <c r="C127" i="30" s="1"/>
  <c r="B128" i="27"/>
  <c r="B127" i="30" s="1"/>
  <c r="D127" i="27"/>
  <c r="C126" i="30" s="1"/>
  <c r="B127" i="27"/>
  <c r="B126" i="30" s="1"/>
  <c r="B126" i="27"/>
  <c r="B125" i="30" s="1"/>
  <c r="B125" i="27"/>
  <c r="B124" i="30" s="1"/>
  <c r="B124" i="27"/>
  <c r="B123" i="30" s="1"/>
  <c r="B123" i="27"/>
  <c r="B122" i="30" s="1"/>
  <c r="B122" i="27"/>
  <c r="B121" i="30" s="1"/>
  <c r="B121" i="27"/>
  <c r="B120" i="30" s="1"/>
  <c r="B120" i="27"/>
  <c r="B119" i="30" s="1"/>
  <c r="B119" i="27"/>
  <c r="B118" i="30" s="1"/>
  <c r="B118" i="27"/>
  <c r="B117" i="30" s="1"/>
  <c r="B117" i="27"/>
  <c r="B116" i="30" s="1"/>
  <c r="B116" i="27"/>
  <c r="B115" i="30" s="1"/>
  <c r="B115" i="27"/>
  <c r="B114" i="30" s="1"/>
  <c r="B114" i="27"/>
  <c r="B113" i="30" s="1"/>
  <c r="B113" i="27"/>
  <c r="B112" i="30" s="1"/>
  <c r="B112" i="27"/>
  <c r="B111" i="30" s="1"/>
  <c r="B111" i="27"/>
  <c r="B110" i="30" s="1"/>
  <c r="D110" i="27"/>
  <c r="C109" i="30" s="1"/>
  <c r="B110" i="27"/>
  <c r="B109" i="30" s="1"/>
  <c r="B109" i="27"/>
  <c r="B108" i="30" s="1"/>
  <c r="D108" i="27"/>
  <c r="C107" i="30" s="1"/>
  <c r="B108" i="27"/>
  <c r="B107" i="30" s="1"/>
  <c r="B107" i="27"/>
  <c r="B106" i="30" s="1"/>
  <c r="D106" i="27"/>
  <c r="C105" i="30" s="1"/>
  <c r="B106" i="27"/>
  <c r="B105" i="30" s="1"/>
  <c r="B105" i="27"/>
  <c r="B104" i="30" s="1"/>
  <c r="B104" i="27"/>
  <c r="B103" i="30" s="1"/>
  <c r="B103" i="27"/>
  <c r="B102" i="30" s="1"/>
  <c r="B102" i="27"/>
  <c r="B101" i="30" s="1"/>
  <c r="D101" i="27"/>
  <c r="C100" i="30" s="1"/>
  <c r="B101" i="27"/>
  <c r="B100" i="30" s="1"/>
  <c r="D100" i="27"/>
  <c r="C99" i="30" s="1"/>
  <c r="B100" i="27"/>
  <c r="B99" i="30" s="1"/>
  <c r="D99" i="27"/>
  <c r="C98" i="30" s="1"/>
  <c r="B99" i="27"/>
  <c r="B98" i="30" s="1"/>
  <c r="D98" i="27"/>
  <c r="C97" i="30" s="1"/>
  <c r="B98" i="27"/>
  <c r="B97" i="30" s="1"/>
  <c r="D97" i="27"/>
  <c r="C96" i="30" s="1"/>
  <c r="B97" i="27"/>
  <c r="B96" i="30" s="1"/>
  <c r="D96" i="27"/>
  <c r="C95" i="30" s="1"/>
  <c r="B96" i="27"/>
  <c r="B95" i="30" s="1"/>
  <c r="D95" i="27"/>
  <c r="C94" i="30" s="1"/>
  <c r="B95" i="27"/>
  <c r="B94" i="30" s="1"/>
  <c r="D94" i="27"/>
  <c r="C93" i="30" s="1"/>
  <c r="B94" i="27"/>
  <c r="B93" i="30" s="1"/>
  <c r="D93" i="27"/>
  <c r="C92" i="30" s="1"/>
  <c r="B93" i="27"/>
  <c r="B92" i="30" s="1"/>
  <c r="D92" i="27"/>
  <c r="C91" i="30" s="1"/>
  <c r="B92" i="27"/>
  <c r="B91" i="30" s="1"/>
  <c r="D91" i="27"/>
  <c r="C90" i="30" s="1"/>
  <c r="B91" i="27"/>
  <c r="B90" i="30" s="1"/>
  <c r="D90" i="27"/>
  <c r="C89" i="30" s="1"/>
  <c r="B90" i="27"/>
  <c r="B89" i="30" s="1"/>
  <c r="D89" i="27"/>
  <c r="C88" i="30" s="1"/>
  <c r="B89" i="27"/>
  <c r="B88" i="30" s="1"/>
  <c r="D88" i="27"/>
  <c r="C87" i="30" s="1"/>
  <c r="B88" i="27"/>
  <c r="B87" i="30" s="1"/>
  <c r="D87" i="27"/>
  <c r="C86" i="30" s="1"/>
  <c r="B87" i="27"/>
  <c r="B86" i="30" s="1"/>
  <c r="D86" i="27"/>
  <c r="C85" i="30" s="1"/>
  <c r="B86" i="27"/>
  <c r="B85" i="30" s="1"/>
  <c r="D85" i="27"/>
  <c r="C84" i="30" s="1"/>
  <c r="B85" i="27"/>
  <c r="B84" i="30" s="1"/>
  <c r="D84" i="27"/>
  <c r="C83" i="30" s="1"/>
  <c r="B84" i="27"/>
  <c r="B83" i="30" s="1"/>
  <c r="D83" i="27"/>
  <c r="C82" i="30" s="1"/>
  <c r="B83" i="27"/>
  <c r="B82" i="30" s="1"/>
  <c r="D82" i="27"/>
  <c r="C81" i="30" s="1"/>
  <c r="B82" i="27"/>
  <c r="B81" i="30" s="1"/>
  <c r="D81" i="27"/>
  <c r="C80" i="30" s="1"/>
  <c r="B81" i="27"/>
  <c r="B80" i="30" s="1"/>
  <c r="D80" i="27"/>
  <c r="C79" i="30" s="1"/>
  <c r="B80" i="27"/>
  <c r="B79" i="30" s="1"/>
  <c r="D79" i="27"/>
  <c r="C78" i="30" s="1"/>
  <c r="B79" i="27"/>
  <c r="B78" i="30" s="1"/>
  <c r="D78" i="27"/>
  <c r="C77" i="30" s="1"/>
  <c r="B78" i="27"/>
  <c r="B77" i="30" s="1"/>
  <c r="D77" i="27"/>
  <c r="C76" i="30" s="1"/>
  <c r="B77" i="27"/>
  <c r="B76" i="30" s="1"/>
  <c r="D76" i="27"/>
  <c r="C75" i="30" s="1"/>
  <c r="B76" i="27"/>
  <c r="B75" i="30" s="1"/>
  <c r="D75" i="27"/>
  <c r="C74" i="30" s="1"/>
  <c r="B75" i="27"/>
  <c r="B74" i="30" s="1"/>
  <c r="D74" i="27"/>
  <c r="C73" i="30" s="1"/>
  <c r="B74" i="27"/>
  <c r="B73" i="30" s="1"/>
  <c r="D73" i="27"/>
  <c r="C72" i="30" s="1"/>
  <c r="B73" i="27"/>
  <c r="B72" i="30" s="1"/>
  <c r="D72" i="27"/>
  <c r="C71" i="30" s="1"/>
  <c r="B72" i="27"/>
  <c r="B71" i="30" s="1"/>
  <c r="D71" i="27"/>
  <c r="C70" i="30" s="1"/>
  <c r="B71" i="27"/>
  <c r="B70" i="30" s="1"/>
  <c r="D70" i="27"/>
  <c r="C69" i="30" s="1"/>
  <c r="B70" i="27"/>
  <c r="B69" i="30" s="1"/>
  <c r="D69" i="27"/>
  <c r="C68" i="30" s="1"/>
  <c r="B69" i="27"/>
  <c r="B68" i="30" s="1"/>
  <c r="D68" i="27"/>
  <c r="C67" i="30" s="1"/>
  <c r="B68" i="27"/>
  <c r="B67" i="30" s="1"/>
  <c r="D67" i="27"/>
  <c r="C66" i="30" s="1"/>
  <c r="B67" i="27"/>
  <c r="B66" i="30" s="1"/>
  <c r="D66" i="27"/>
  <c r="C65" i="30" s="1"/>
  <c r="B66" i="27"/>
  <c r="B65" i="30" s="1"/>
  <c r="D65" i="27"/>
  <c r="C64" i="30" s="1"/>
  <c r="B65" i="27"/>
  <c r="B64" i="30" s="1"/>
  <c r="D64" i="27"/>
  <c r="C63" i="30" s="1"/>
  <c r="B64" i="27"/>
  <c r="B63" i="30" s="1"/>
  <c r="D63" i="27"/>
  <c r="C62" i="30" s="1"/>
  <c r="B63" i="27"/>
  <c r="B62" i="30" s="1"/>
  <c r="D62" i="27"/>
  <c r="C61" i="30" s="1"/>
  <c r="B62" i="27"/>
  <c r="B61" i="30" s="1"/>
  <c r="D61" i="27"/>
  <c r="C60" i="30" s="1"/>
  <c r="B61" i="27"/>
  <c r="B60" i="30" s="1"/>
  <c r="D60" i="27"/>
  <c r="C59" i="30" s="1"/>
  <c r="B60" i="27"/>
  <c r="B59" i="30" s="1"/>
  <c r="D59" i="27"/>
  <c r="C58" i="30" s="1"/>
  <c r="B59" i="27"/>
  <c r="B58" i="30" s="1"/>
  <c r="D58" i="27"/>
  <c r="C57" i="30" s="1"/>
  <c r="B58" i="27"/>
  <c r="B57" i="30" s="1"/>
  <c r="D57" i="27"/>
  <c r="C56" i="30" s="1"/>
  <c r="B57" i="27"/>
  <c r="B56" i="30" s="1"/>
  <c r="D56" i="27"/>
  <c r="C55" i="30" s="1"/>
  <c r="B56" i="27"/>
  <c r="B55" i="30" s="1"/>
  <c r="D55" i="27"/>
  <c r="C54" i="30" s="1"/>
  <c r="B55" i="27"/>
  <c r="B54" i="30" s="1"/>
  <c r="D54" i="27"/>
  <c r="C53" i="30" s="1"/>
  <c r="B54" i="27"/>
  <c r="B53" i="30" s="1"/>
  <c r="D53" i="27"/>
  <c r="C52" i="30" s="1"/>
  <c r="B53" i="27"/>
  <c r="B52" i="30" s="1"/>
  <c r="D52" i="27"/>
  <c r="C51" i="30" s="1"/>
  <c r="B52" i="27"/>
  <c r="B51" i="30" s="1"/>
  <c r="D51" i="27"/>
  <c r="C50" i="30" s="1"/>
  <c r="B51" i="27"/>
  <c r="B50" i="30" s="1"/>
  <c r="D50" i="27"/>
  <c r="C49" i="30" s="1"/>
  <c r="B50" i="27"/>
  <c r="B49" i="30" s="1"/>
  <c r="D49" i="27"/>
  <c r="C48" i="30" s="1"/>
  <c r="B49" i="27"/>
  <c r="B48" i="30" s="1"/>
  <c r="D48" i="27"/>
  <c r="C47" i="30" s="1"/>
  <c r="B48" i="27"/>
  <c r="B47" i="30" s="1"/>
  <c r="D47" i="27"/>
  <c r="C46" i="30" s="1"/>
  <c r="B47" i="27"/>
  <c r="B46" i="30" s="1"/>
  <c r="D46" i="27"/>
  <c r="C45" i="30" s="1"/>
  <c r="B46" i="27"/>
  <c r="B45" i="30" s="1"/>
  <c r="D45" i="27"/>
  <c r="C44" i="30" s="1"/>
  <c r="B45" i="27"/>
  <c r="B44" i="30" s="1"/>
  <c r="D44" i="27"/>
  <c r="C43" i="30" s="1"/>
  <c r="B44" i="27"/>
  <c r="B43" i="30" s="1"/>
  <c r="B43" i="27"/>
  <c r="B42" i="30" s="1"/>
  <c r="B42" i="27"/>
  <c r="B41" i="30" s="1"/>
  <c r="D41" i="27"/>
  <c r="C40" i="30" s="1"/>
  <c r="B41" i="27"/>
  <c r="B40" i="30" s="1"/>
  <c r="D40" i="27"/>
  <c r="C39" i="30" s="1"/>
  <c r="B40" i="27"/>
  <c r="B39" i="30" s="1"/>
  <c r="D39" i="27"/>
  <c r="C38" i="30" s="1"/>
  <c r="B39" i="27"/>
  <c r="B38" i="30" s="1"/>
  <c r="D38" i="27"/>
  <c r="C37" i="30" s="1"/>
  <c r="B38" i="27"/>
  <c r="B37" i="30" s="1"/>
  <c r="D37" i="27"/>
  <c r="C36" i="30" s="1"/>
  <c r="B37" i="27"/>
  <c r="B36" i="30" s="1"/>
  <c r="D36" i="27"/>
  <c r="C35" i="30" s="1"/>
  <c r="B36" i="27"/>
  <c r="B35" i="30" s="1"/>
  <c r="D35" i="27"/>
  <c r="C34" i="30" s="1"/>
  <c r="B35" i="27"/>
  <c r="B34" i="30" s="1"/>
  <c r="D34" i="27"/>
  <c r="C33" i="30" s="1"/>
  <c r="B34" i="27"/>
  <c r="B33" i="30" s="1"/>
  <c r="D33" i="27"/>
  <c r="C32" i="30" s="1"/>
  <c r="B33" i="27"/>
  <c r="B32" i="30" s="1"/>
  <c r="D32" i="27"/>
  <c r="C31" i="30" s="1"/>
  <c r="B32" i="27"/>
  <c r="B31" i="30" s="1"/>
  <c r="D31" i="27"/>
  <c r="C30" i="30" s="1"/>
  <c r="B31" i="27"/>
  <c r="B30" i="30" s="1"/>
  <c r="D30" i="27"/>
  <c r="C29" i="30" s="1"/>
  <c r="B30" i="27"/>
  <c r="B29" i="30" s="1"/>
  <c r="D29" i="27"/>
  <c r="C28" i="30" s="1"/>
  <c r="B29" i="27"/>
  <c r="B28" i="30" s="1"/>
  <c r="D28" i="27"/>
  <c r="C27" i="30" s="1"/>
  <c r="B28" i="27"/>
  <c r="B27" i="30" s="1"/>
  <c r="D27" i="27"/>
  <c r="C26" i="30" s="1"/>
  <c r="B27" i="27"/>
  <c r="B26" i="30" s="1"/>
  <c r="D26" i="27"/>
  <c r="C25" i="30" s="1"/>
  <c r="B26" i="27"/>
  <c r="B25" i="30" s="1"/>
  <c r="D25" i="27"/>
  <c r="C24" i="30" s="1"/>
  <c r="B25" i="27"/>
  <c r="B24" i="30" s="1"/>
  <c r="D24" i="27"/>
  <c r="C23" i="30" s="1"/>
  <c r="B24" i="27"/>
  <c r="B23" i="30" s="1"/>
  <c r="D23" i="27"/>
  <c r="C22" i="30" s="1"/>
  <c r="B23" i="27"/>
  <c r="B22" i="30" s="1"/>
  <c r="D22" i="27"/>
  <c r="C21" i="30" s="1"/>
  <c r="B22" i="27"/>
  <c r="B21" i="30" s="1"/>
  <c r="D21" i="27"/>
  <c r="C20" i="30" s="1"/>
  <c r="B21" i="27"/>
  <c r="B20" i="30" s="1"/>
  <c r="D20" i="27"/>
  <c r="C19" i="30" s="1"/>
  <c r="B20" i="27"/>
  <c r="B19" i="30" s="1"/>
  <c r="D19" i="27"/>
  <c r="C18" i="30" s="1"/>
  <c r="B19" i="27"/>
  <c r="B18" i="30" s="1"/>
  <c r="D18" i="27"/>
  <c r="C17" i="30" s="1"/>
  <c r="B18" i="27"/>
  <c r="B17" i="30" s="1"/>
  <c r="D17" i="27"/>
  <c r="C16" i="30" s="1"/>
  <c r="B17" i="27"/>
  <c r="B16" i="30" s="1"/>
  <c r="D16" i="27"/>
  <c r="C15" i="30" s="1"/>
  <c r="B16" i="27"/>
  <c r="B15" i="30" s="1"/>
  <c r="D15" i="27"/>
  <c r="C14" i="30" s="1"/>
  <c r="B15" i="27"/>
  <c r="B14" i="30" s="1"/>
  <c r="D14" i="27"/>
  <c r="C13" i="30" s="1"/>
  <c r="B14" i="27"/>
  <c r="B13" i="30" s="1"/>
  <c r="D13" i="27"/>
  <c r="C12" i="30" s="1"/>
  <c r="B13" i="27"/>
  <c r="B12" i="30" s="1"/>
  <c r="D12" i="27"/>
  <c r="C11" i="30" s="1"/>
  <c r="B12" i="27"/>
  <c r="B11" i="30" s="1"/>
  <c r="D11" i="27"/>
  <c r="C10" i="30" s="1"/>
  <c r="B11" i="27"/>
  <c r="B10" i="30" s="1"/>
  <c r="D10" i="27"/>
  <c r="C9" i="30" s="1"/>
  <c r="B10" i="27"/>
  <c r="B9" i="30" s="1"/>
  <c r="D9" i="27"/>
  <c r="C8" i="30" s="1"/>
  <c r="B9" i="27"/>
  <c r="B8" i="30" s="1"/>
  <c r="D8" i="27"/>
  <c r="C7" i="30" s="1"/>
  <c r="B8" i="27"/>
  <c r="B7" i="30" s="1"/>
  <c r="D7" i="27"/>
  <c r="C6" i="30" s="1"/>
  <c r="B7" i="27"/>
  <c r="B6" i="30" s="1"/>
  <c r="D6" i="27"/>
  <c r="C5" i="30" s="1"/>
  <c r="B6" i="27"/>
  <c r="B5" i="30" s="1"/>
  <c r="D5" i="27"/>
  <c r="C4" i="30" s="1"/>
  <c r="B5" i="27"/>
  <c r="B4" i="30" s="1"/>
  <c r="D4" i="27"/>
  <c r="C3" i="30" s="1"/>
  <c r="B4" i="27"/>
  <c r="B3" i="30" s="1"/>
  <c r="C46" i="29"/>
  <c r="D219" i="27" s="1"/>
  <c r="C218" i="30" s="1"/>
  <c r="C45" i="29"/>
  <c r="D218" i="27" s="1"/>
  <c r="C217" i="30" s="1"/>
  <c r="C43" i="29"/>
  <c r="B34" i="29"/>
  <c r="B32" i="29"/>
  <c r="B30" i="29"/>
  <c r="B26" i="29"/>
  <c r="B17" i="29"/>
  <c r="B20" i="29" s="1"/>
  <c r="B16" i="29"/>
  <c r="B11" i="29"/>
  <c r="B23" i="29" s="1"/>
  <c r="B9" i="29"/>
  <c r="B5" i="29"/>
  <c r="C37" i="25"/>
  <c r="D212" i="27" s="1"/>
  <c r="C211" i="30" s="1"/>
  <c r="C36" i="25"/>
  <c r="C35" i="25"/>
  <c r="D210" i="27" s="1"/>
  <c r="C209" i="30" s="1"/>
  <c r="B28" i="25"/>
  <c r="B26" i="25"/>
  <c r="B24" i="25"/>
  <c r="B20" i="25"/>
  <c r="B13" i="25"/>
  <c r="B9" i="25"/>
  <c r="B30" i="25" s="1"/>
  <c r="B31" i="25" s="1"/>
  <c r="B7" i="25"/>
  <c r="B16" i="25" s="1"/>
  <c r="B5" i="25"/>
  <c r="B29" i="18"/>
  <c r="B27" i="18"/>
  <c r="B25" i="18"/>
  <c r="B21" i="18"/>
  <c r="B15" i="18"/>
  <c r="B13" i="18"/>
  <c r="B9" i="18"/>
  <c r="B7" i="18"/>
  <c r="B18" i="18" s="1"/>
  <c r="B5" i="18"/>
  <c r="B31" i="18" s="1"/>
  <c r="B32" i="18" s="1"/>
  <c r="B29" i="26"/>
  <c r="B27" i="26"/>
  <c r="B25" i="26"/>
  <c r="B21" i="26"/>
  <c r="B18" i="26"/>
  <c r="B15" i="26"/>
  <c r="B31" i="26" s="1"/>
  <c r="B32" i="26" s="1"/>
  <c r="B13" i="26"/>
  <c r="B7" i="26"/>
  <c r="B9" i="26" s="1"/>
  <c r="B5" i="26"/>
  <c r="C55" i="24"/>
  <c r="C54" i="24"/>
  <c r="C53" i="24"/>
  <c r="D124" i="27" s="1"/>
  <c r="C123" i="30" s="1"/>
  <c r="C52" i="24"/>
  <c r="C51" i="24"/>
  <c r="C50" i="24"/>
  <c r="D121" i="27" s="1"/>
  <c r="C120" i="30" s="1"/>
  <c r="C49" i="24"/>
  <c r="C48" i="24"/>
  <c r="C47" i="24"/>
  <c r="D118" i="27" s="1"/>
  <c r="C117" i="30" s="1"/>
  <c r="C46" i="24"/>
  <c r="C45" i="24"/>
  <c r="C44" i="24"/>
  <c r="D115" i="27" s="1"/>
  <c r="C114" i="30" s="1"/>
  <c r="C43" i="24"/>
  <c r="C42" i="24"/>
  <c r="C41" i="24"/>
  <c r="D112" i="27" s="1"/>
  <c r="C111" i="30" s="1"/>
  <c r="C40" i="24"/>
  <c r="C38" i="24"/>
  <c r="D109" i="27" s="1"/>
  <c r="C108" i="30" s="1"/>
  <c r="C36" i="24"/>
  <c r="C34" i="24"/>
  <c r="D105" i="27" s="1"/>
  <c r="C104" i="30" s="1"/>
  <c r="C33" i="24"/>
  <c r="D104" i="27" s="1"/>
  <c r="C103" i="30" s="1"/>
  <c r="C32" i="24"/>
  <c r="D103" i="27" s="1"/>
  <c r="C102" i="30" s="1"/>
  <c r="C31" i="24"/>
  <c r="D102" i="27" s="1"/>
  <c r="C101" i="30" s="1"/>
  <c r="B25" i="24"/>
  <c r="B23" i="24"/>
  <c r="B19" i="24"/>
  <c r="B16" i="24"/>
  <c r="B13" i="24"/>
  <c r="B7" i="24"/>
  <c r="B9" i="24" s="1"/>
  <c r="B5" i="24"/>
  <c r="C14" i="23"/>
  <c r="D147" i="27" s="1"/>
  <c r="C146" i="30" s="1"/>
  <c r="C12" i="23"/>
  <c r="C11" i="23"/>
  <c r="B7" i="23"/>
  <c r="D13" i="23" s="1"/>
  <c r="E146" i="27" s="1"/>
  <c r="C62" i="22"/>
  <c r="C61" i="22"/>
  <c r="C60" i="22"/>
  <c r="D175" i="27" s="1"/>
  <c r="C174" i="30" s="1"/>
  <c r="C59" i="22"/>
  <c r="C58" i="22"/>
  <c r="C57" i="22"/>
  <c r="D172" i="27" s="1"/>
  <c r="C171" i="30" s="1"/>
  <c r="C56" i="22"/>
  <c r="C55" i="22"/>
  <c r="C54" i="22"/>
  <c r="D169" i="27" s="1"/>
  <c r="C168" i="30" s="1"/>
  <c r="C53" i="22"/>
  <c r="D168" i="27" s="1"/>
  <c r="C167" i="30" s="1"/>
  <c r="C52" i="22"/>
  <c r="D167" i="27" s="1"/>
  <c r="C166" i="30" s="1"/>
  <c r="C51" i="22"/>
  <c r="D166" i="27" s="1"/>
  <c r="C165" i="30" s="1"/>
  <c r="C50" i="22"/>
  <c r="D165" i="27" s="1"/>
  <c r="C164" i="30" s="1"/>
  <c r="C46" i="22"/>
  <c r="D161" i="27" s="1"/>
  <c r="C160" i="30" s="1"/>
  <c r="C45" i="22"/>
  <c r="D160" i="27" s="1"/>
  <c r="C159" i="30" s="1"/>
  <c r="C44" i="22"/>
  <c r="D159" i="27" s="1"/>
  <c r="C158" i="30" s="1"/>
  <c r="C43" i="22"/>
  <c r="D158" i="27" s="1"/>
  <c r="C157" i="30" s="1"/>
  <c r="C42" i="22"/>
  <c r="D157" i="27" s="1"/>
  <c r="C156" i="30" s="1"/>
  <c r="C41" i="22"/>
  <c r="D156" i="27" s="1"/>
  <c r="C155" i="30" s="1"/>
  <c r="C40" i="22"/>
  <c r="D155" i="27" s="1"/>
  <c r="C154" i="30" s="1"/>
  <c r="C39" i="22"/>
  <c r="D154" i="27" s="1"/>
  <c r="C153" i="30" s="1"/>
  <c r="C38" i="22"/>
  <c r="D153" i="27" s="1"/>
  <c r="C152" i="30" s="1"/>
  <c r="C37" i="22"/>
  <c r="D152" i="27" s="1"/>
  <c r="C151" i="30" s="1"/>
  <c r="C36" i="22"/>
  <c r="D151" i="27" s="1"/>
  <c r="C150" i="30" s="1"/>
  <c r="C35" i="22"/>
  <c r="D150" i="27" s="1"/>
  <c r="C149" i="30" s="1"/>
  <c r="C34" i="22"/>
  <c r="D149" i="27" s="1"/>
  <c r="C148" i="30" s="1"/>
  <c r="C33" i="22"/>
  <c r="D148" i="27" s="1"/>
  <c r="C147" i="30" s="1"/>
  <c r="B27" i="22"/>
  <c r="B25" i="22"/>
  <c r="B23" i="22"/>
  <c r="B19" i="22"/>
  <c r="B13" i="22"/>
  <c r="B9" i="22"/>
  <c r="B29" i="22" s="1"/>
  <c r="B30" i="22" s="1"/>
  <c r="B7" i="22"/>
  <c r="B16" i="22" s="1"/>
  <c r="B5" i="22"/>
  <c r="C35" i="21"/>
  <c r="D131" i="27" s="1"/>
  <c r="C130" i="30" s="1"/>
  <c r="C34" i="21"/>
  <c r="D130" i="27" s="1"/>
  <c r="C129" i="30" s="1"/>
  <c r="B28" i="21"/>
  <c r="B26" i="21"/>
  <c r="B24" i="21"/>
  <c r="B20" i="21"/>
  <c r="B16" i="21"/>
  <c r="B13" i="21"/>
  <c r="B9" i="21"/>
  <c r="B7" i="21"/>
  <c r="B5" i="21"/>
  <c r="B30" i="21" s="1"/>
  <c r="B31" i="21" s="1"/>
  <c r="B25" i="20"/>
  <c r="B23" i="20"/>
  <c r="B19" i="20"/>
  <c r="B16" i="20"/>
  <c r="B13" i="20"/>
  <c r="B9" i="20"/>
  <c r="B27" i="20" s="1"/>
  <c r="B28" i="20" s="1"/>
  <c r="B5" i="20"/>
  <c r="B29" i="19"/>
  <c r="B27" i="19"/>
  <c r="B25" i="19"/>
  <c r="B21" i="19"/>
  <c r="B15" i="19"/>
  <c r="B13" i="19"/>
  <c r="B7" i="19"/>
  <c r="B18" i="19" s="1"/>
  <c r="B5" i="19"/>
  <c r="B28" i="5"/>
  <c r="B26" i="5"/>
  <c r="B24" i="5"/>
  <c r="B20" i="5"/>
  <c r="B16" i="5"/>
  <c r="B13" i="5"/>
  <c r="B9" i="5"/>
  <c r="B7" i="5"/>
  <c r="B5" i="5"/>
  <c r="B30" i="5" s="1"/>
  <c r="B31" i="5" s="1"/>
  <c r="C43" i="16"/>
  <c r="D203" i="27" s="1"/>
  <c r="C202" i="30" s="1"/>
  <c r="C42" i="16"/>
  <c r="D202" i="27" s="1"/>
  <c r="C201" i="30" s="1"/>
  <c r="C41" i="16"/>
  <c r="D201" i="27" s="1"/>
  <c r="C200" i="30" s="1"/>
  <c r="B28" i="16"/>
  <c r="B26" i="16"/>
  <c r="B24" i="16"/>
  <c r="B20" i="16"/>
  <c r="B13" i="16"/>
  <c r="B7" i="16"/>
  <c r="B16" i="16" s="1"/>
  <c r="B5" i="16"/>
  <c r="C43" i="1"/>
  <c r="C42" i="1"/>
  <c r="C41" i="1"/>
  <c r="B28" i="1"/>
  <c r="B26" i="1"/>
  <c r="B24" i="1"/>
  <c r="B20" i="1"/>
  <c r="B13" i="1"/>
  <c r="B7" i="1"/>
  <c r="B16" i="1" s="1"/>
  <c r="B5" i="1"/>
  <c r="X219" i="27"/>
  <c r="G218" i="30" s="1"/>
  <c r="T216" i="27"/>
  <c r="H215" i="30" s="1"/>
  <c r="V207" i="27"/>
  <c r="D206" i="30" s="1"/>
  <c r="X204" i="27"/>
  <c r="G203" i="30" s="1"/>
  <c r="T202" i="27"/>
  <c r="H201" i="30" s="1"/>
  <c r="V198" i="27"/>
  <c r="D197" i="30" s="1"/>
  <c r="X195" i="27"/>
  <c r="G194" i="30" s="1"/>
  <c r="T188" i="27"/>
  <c r="H187" i="30" s="1"/>
  <c r="V185" i="27"/>
  <c r="D184" i="30" s="1"/>
  <c r="X164" i="27"/>
  <c r="G163" i="30" s="1"/>
  <c r="T162" i="27"/>
  <c r="H161" i="30" s="1"/>
  <c r="V128" i="27"/>
  <c r="D127" i="30" s="1"/>
  <c r="X124" i="27"/>
  <c r="G123" i="30" s="1"/>
  <c r="T122" i="27"/>
  <c r="H121" i="30" s="1"/>
  <c r="V118" i="27"/>
  <c r="D117" i="30" s="1"/>
  <c r="X108" i="27"/>
  <c r="G107" i="30" s="1"/>
  <c r="T101" i="27"/>
  <c r="H100" i="30" s="1"/>
  <c r="V85" i="27"/>
  <c r="D84" i="30" s="1"/>
  <c r="X70" i="27"/>
  <c r="G69" i="30" s="1"/>
  <c r="T65" i="27"/>
  <c r="H64" i="30" s="1"/>
  <c r="S32" i="27"/>
  <c r="E31" i="30" s="1"/>
  <c r="U218" i="27"/>
  <c r="I217" i="30" s="1"/>
  <c r="W208" i="27"/>
  <c r="F207" i="30" s="1"/>
  <c r="S206" i="27"/>
  <c r="E205" i="30" s="1"/>
  <c r="U203" i="27"/>
  <c r="I202" i="30" s="1"/>
  <c r="W199" i="27"/>
  <c r="F198" i="30" s="1"/>
  <c r="S197" i="27"/>
  <c r="E196" i="30" s="1"/>
  <c r="U193" i="27"/>
  <c r="I192" i="30" s="1"/>
  <c r="W186" i="27"/>
  <c r="F185" i="30" s="1"/>
  <c r="S184" i="27"/>
  <c r="E183" i="30" s="1"/>
  <c r="U163" i="27"/>
  <c r="I162" i="30" s="1"/>
  <c r="W129" i="27"/>
  <c r="F128" i="30" s="1"/>
  <c r="S127" i="27"/>
  <c r="E126" i="30" s="1"/>
  <c r="U123" i="27"/>
  <c r="I122" i="30" s="1"/>
  <c r="W119" i="27"/>
  <c r="F118" i="30" s="1"/>
  <c r="S117" i="27"/>
  <c r="E116" i="30" s="1"/>
  <c r="U106" i="27"/>
  <c r="I105" i="30" s="1"/>
  <c r="W86" i="27"/>
  <c r="F85" i="30" s="1"/>
  <c r="S81" i="27"/>
  <c r="E80" i="30" s="1"/>
  <c r="U69" i="27"/>
  <c r="I68" i="30" s="1"/>
  <c r="W54" i="27"/>
  <c r="F53" i="30" s="1"/>
  <c r="V32" i="27"/>
  <c r="D31" i="30" s="1"/>
  <c r="X218" i="27"/>
  <c r="G217" i="30" s="1"/>
  <c r="T213" i="27"/>
  <c r="H212" i="30" s="1"/>
  <c r="V206" i="27"/>
  <c r="D205" i="30" s="1"/>
  <c r="X203" i="27"/>
  <c r="G202" i="30" s="1"/>
  <c r="T200" i="27"/>
  <c r="H199" i="30" s="1"/>
  <c r="V197" i="27"/>
  <c r="D196" i="30" s="1"/>
  <c r="X193" i="27"/>
  <c r="G192" i="30" s="1"/>
  <c r="T187" i="27"/>
  <c r="H186" i="30" s="1"/>
  <c r="V184" i="27"/>
  <c r="D183" i="30" s="1"/>
  <c r="X163" i="27"/>
  <c r="G162" i="30" s="1"/>
  <c r="T142" i="27"/>
  <c r="H141" i="30" s="1"/>
  <c r="V127" i="27"/>
  <c r="D126" i="30" s="1"/>
  <c r="X123" i="27"/>
  <c r="G122" i="30" s="1"/>
  <c r="T120" i="27"/>
  <c r="H119" i="30" s="1"/>
  <c r="V117" i="27"/>
  <c r="D116" i="30" s="1"/>
  <c r="X106" i="27"/>
  <c r="G105" i="30" s="1"/>
  <c r="T91" i="27"/>
  <c r="H90" i="30" s="1"/>
  <c r="V81" i="27"/>
  <c r="D80" i="30" s="1"/>
  <c r="X69" i="27"/>
  <c r="G68" i="30" s="1"/>
  <c r="T59" i="27"/>
  <c r="H58" i="30" s="1"/>
  <c r="S220" i="27"/>
  <c r="E219" i="30" s="1"/>
  <c r="U216" i="27"/>
  <c r="I215" i="30" s="1"/>
  <c r="W207" i="27"/>
  <c r="F206" i="30" s="1"/>
  <c r="S205" i="27"/>
  <c r="E204" i="30" s="1"/>
  <c r="U202" i="27"/>
  <c r="I201" i="30" s="1"/>
  <c r="W198" i="27"/>
  <c r="F197" i="30" s="1"/>
  <c r="S196" i="27"/>
  <c r="E195" i="30" s="1"/>
  <c r="U188" i="27"/>
  <c r="I187" i="30" s="1"/>
  <c r="W185" i="27"/>
  <c r="F184" i="30" s="1"/>
  <c r="S165" i="27"/>
  <c r="E164" i="30" s="1"/>
  <c r="U162" i="27"/>
  <c r="I161" i="30" s="1"/>
  <c r="W128" i="27"/>
  <c r="F127" i="30" s="1"/>
  <c r="S126" i="27"/>
  <c r="E125" i="30" s="1"/>
  <c r="U122" i="27"/>
  <c r="I121" i="30" s="1"/>
  <c r="W118" i="27"/>
  <c r="F117" i="30" s="1"/>
  <c r="S110" i="27"/>
  <c r="E109" i="30" s="1"/>
  <c r="U101" i="27"/>
  <c r="I100" i="30" s="1"/>
  <c r="W85" i="27"/>
  <c r="F84" i="30" s="1"/>
  <c r="S75" i="27"/>
  <c r="E74" i="30" s="1"/>
  <c r="U65" i="27"/>
  <c r="I64" i="30" s="1"/>
  <c r="W53" i="27"/>
  <c r="F52" i="30" s="1"/>
  <c r="X32" i="27"/>
  <c r="G31" i="30" s="1"/>
  <c r="T219" i="27"/>
  <c r="H218" i="30" s="1"/>
  <c r="V213" i="27"/>
  <c r="D212" i="30" s="1"/>
  <c r="X206" i="27"/>
  <c r="G205" i="30" s="1"/>
  <c r="T204" i="27"/>
  <c r="H203" i="30" s="1"/>
  <c r="V200" i="27"/>
  <c r="D199" i="30" s="1"/>
  <c r="X197" i="27"/>
  <c r="G196" i="30" s="1"/>
  <c r="T195" i="27"/>
  <c r="H194" i="30" s="1"/>
  <c r="V187" i="27"/>
  <c r="D186" i="30" s="1"/>
  <c r="X184" i="27"/>
  <c r="G183" i="30" s="1"/>
  <c r="T164" i="27"/>
  <c r="H163" i="30" s="1"/>
  <c r="V142" i="27"/>
  <c r="D141" i="30" s="1"/>
  <c r="X127" i="27"/>
  <c r="G126" i="30" s="1"/>
  <c r="T124" i="27"/>
  <c r="H123" i="30" s="1"/>
  <c r="V120" i="27"/>
  <c r="D119" i="30" s="1"/>
  <c r="X117" i="27"/>
  <c r="G116" i="30" s="1"/>
  <c r="T108" i="27"/>
  <c r="H107" i="30" s="1"/>
  <c r="V91" i="27"/>
  <c r="D90" i="30" s="1"/>
  <c r="X81" i="27"/>
  <c r="G80" i="30" s="1"/>
  <c r="T70" i="27"/>
  <c r="H69" i="30" s="1"/>
  <c r="V59" i="27"/>
  <c r="D58" i="30" s="1"/>
  <c r="U220" i="27"/>
  <c r="I219" i="30" s="1"/>
  <c r="W216" i="27"/>
  <c r="F215" i="30" s="1"/>
  <c r="S208" i="27"/>
  <c r="E207" i="30" s="1"/>
  <c r="U205" i="27"/>
  <c r="I204" i="30" s="1"/>
  <c r="W202" i="27"/>
  <c r="F201" i="30" s="1"/>
  <c r="S199" i="27"/>
  <c r="E198" i="30" s="1"/>
  <c r="U196" i="27"/>
  <c r="I195" i="30" s="1"/>
  <c r="W188" i="27"/>
  <c r="F187" i="30" s="1"/>
  <c r="S186" i="27"/>
  <c r="E185" i="30" s="1"/>
  <c r="U165" i="27"/>
  <c r="I164" i="30" s="1"/>
  <c r="W162" i="27"/>
  <c r="F161" i="30" s="1"/>
  <c r="S129" i="27"/>
  <c r="E128" i="30" s="1"/>
  <c r="U126" i="27"/>
  <c r="I125" i="30" s="1"/>
  <c r="W122" i="27"/>
  <c r="F121" i="30" s="1"/>
  <c r="S119" i="27"/>
  <c r="E118" i="30" s="1"/>
  <c r="U110" i="27"/>
  <c r="I109" i="30" s="1"/>
  <c r="W101" i="27"/>
  <c r="F100" i="30" s="1"/>
  <c r="S86" i="27"/>
  <c r="E85" i="30" s="1"/>
  <c r="U75" i="27"/>
  <c r="I74" i="30" s="1"/>
  <c r="W65" i="27"/>
  <c r="F64" i="30" s="1"/>
  <c r="S54" i="27"/>
  <c r="E53" i="30" s="1"/>
  <c r="X220" i="27"/>
  <c r="G219" i="30" s="1"/>
  <c r="T218" i="27"/>
  <c r="H217" i="30" s="1"/>
  <c r="V208" i="27"/>
  <c r="D207" i="30" s="1"/>
  <c r="X205" i="27"/>
  <c r="G204" i="30" s="1"/>
  <c r="T203" i="27"/>
  <c r="H202" i="30" s="1"/>
  <c r="V199" i="27"/>
  <c r="D198" i="30" s="1"/>
  <c r="X196" i="27"/>
  <c r="G195" i="30" s="1"/>
  <c r="T193" i="27"/>
  <c r="H192" i="30" s="1"/>
  <c r="V186" i="27"/>
  <c r="D185" i="30" s="1"/>
  <c r="X165" i="27"/>
  <c r="G164" i="30" s="1"/>
  <c r="T163" i="27"/>
  <c r="H162" i="30" s="1"/>
  <c r="V129" i="27"/>
  <c r="D128" i="30" s="1"/>
  <c r="X126" i="27"/>
  <c r="G125" i="30" s="1"/>
  <c r="T123" i="27"/>
  <c r="H122" i="30" s="1"/>
  <c r="V119" i="27"/>
  <c r="D118" i="30" s="1"/>
  <c r="X110" i="27"/>
  <c r="G109" i="30" s="1"/>
  <c r="T106" i="27"/>
  <c r="H105" i="30" s="1"/>
  <c r="V86" i="27"/>
  <c r="D85" i="30" s="1"/>
  <c r="X75" i="27"/>
  <c r="G74" i="30" s="1"/>
  <c r="T69" i="27"/>
  <c r="H68" i="30" s="1"/>
  <c r="V54" i="27"/>
  <c r="D53" i="30" s="1"/>
  <c r="U219" i="27"/>
  <c r="I218" i="30" s="1"/>
  <c r="W213" i="27"/>
  <c r="F212" i="30" s="1"/>
  <c r="S207" i="27"/>
  <c r="E206" i="30" s="1"/>
  <c r="U204" i="27"/>
  <c r="I203" i="30" s="1"/>
  <c r="W200" i="27"/>
  <c r="F199" i="30" s="1"/>
  <c r="S198" i="27"/>
  <c r="E197" i="30" s="1"/>
  <c r="U195" i="27"/>
  <c r="I194" i="30" s="1"/>
  <c r="W187" i="27"/>
  <c r="F186" i="30" s="1"/>
  <c r="S185" i="27"/>
  <c r="E184" i="30" s="1"/>
  <c r="U164" i="27"/>
  <c r="I163" i="30" s="1"/>
  <c r="W142" i="27"/>
  <c r="F141" i="30" s="1"/>
  <c r="S128" i="27"/>
  <c r="E127" i="30" s="1"/>
  <c r="U124" i="27"/>
  <c r="I123" i="30" s="1"/>
  <c r="W120" i="27"/>
  <c r="F119" i="30" s="1"/>
  <c r="S118" i="27"/>
  <c r="E117" i="30" s="1"/>
  <c r="U108" i="27"/>
  <c r="I107" i="30" s="1"/>
  <c r="W91" i="27"/>
  <c r="F90" i="30" s="1"/>
  <c r="S85" i="27"/>
  <c r="E84" i="30" s="1"/>
  <c r="U70" i="27"/>
  <c r="I69" i="30" s="1"/>
  <c r="W59" i="27"/>
  <c r="F58" i="30" s="1"/>
  <c r="S53" i="27"/>
  <c r="E52" i="30" s="1"/>
  <c r="T32" i="27"/>
  <c r="H31" i="30" s="1"/>
  <c r="V218" i="27"/>
  <c r="D217" i="30" s="1"/>
  <c r="X208" i="27"/>
  <c r="G207" i="30" s="1"/>
  <c r="T206" i="27"/>
  <c r="H205" i="30" s="1"/>
  <c r="V203" i="27"/>
  <c r="D202" i="30" s="1"/>
  <c r="X199" i="27"/>
  <c r="G198" i="30" s="1"/>
  <c r="T197" i="27"/>
  <c r="H196" i="30" s="1"/>
  <c r="V193" i="27"/>
  <c r="D192" i="30" s="1"/>
  <c r="X186" i="27"/>
  <c r="G185" i="30" s="1"/>
  <c r="T184" i="27"/>
  <c r="H183" i="30" s="1"/>
  <c r="V163" i="27"/>
  <c r="D162" i="30" s="1"/>
  <c r="X129" i="27"/>
  <c r="G128" i="30" s="1"/>
  <c r="T127" i="27"/>
  <c r="H126" i="30" s="1"/>
  <c r="V123" i="27"/>
  <c r="D122" i="30" s="1"/>
  <c r="X119" i="27"/>
  <c r="G118" i="30" s="1"/>
  <c r="T117" i="27"/>
  <c r="H116" i="30" s="1"/>
  <c r="V106" i="27"/>
  <c r="D105" i="30" s="1"/>
  <c r="X86" i="27"/>
  <c r="G85" i="30" s="1"/>
  <c r="T81" i="27"/>
  <c r="H80" i="30" s="1"/>
  <c r="V69" i="27"/>
  <c r="D68" i="30" s="1"/>
  <c r="X54" i="27"/>
  <c r="G53" i="30" s="1"/>
  <c r="W219" i="27"/>
  <c r="F218" i="30" s="1"/>
  <c r="S216" i="27"/>
  <c r="E215" i="30" s="1"/>
  <c r="U207" i="27"/>
  <c r="I206" i="30" s="1"/>
  <c r="W204" i="27"/>
  <c r="F203" i="30" s="1"/>
  <c r="S202" i="27"/>
  <c r="E201" i="30" s="1"/>
  <c r="U198" i="27"/>
  <c r="I197" i="30" s="1"/>
  <c r="W195" i="27"/>
  <c r="F194" i="30" s="1"/>
  <c r="S188" i="27"/>
  <c r="E187" i="30" s="1"/>
  <c r="U185" i="27"/>
  <c r="I184" i="30" s="1"/>
  <c r="W164" i="27"/>
  <c r="F163" i="30" s="1"/>
  <c r="S162" i="27"/>
  <c r="E161" i="30" s="1"/>
  <c r="U128" i="27"/>
  <c r="I127" i="30" s="1"/>
  <c r="W124" i="27"/>
  <c r="F123" i="30" s="1"/>
  <c r="S122" i="27"/>
  <c r="E121" i="30" s="1"/>
  <c r="U118" i="27"/>
  <c r="I117" i="30" s="1"/>
  <c r="W108" i="27"/>
  <c r="F107" i="30" s="1"/>
  <c r="S101" i="27"/>
  <c r="E100" i="30" s="1"/>
  <c r="U85" i="27"/>
  <c r="I84" i="30" s="1"/>
  <c r="W70" i="27"/>
  <c r="F69" i="30" s="1"/>
  <c r="S65" i="27"/>
  <c r="E64" i="30" s="1"/>
  <c r="U53" i="27"/>
  <c r="I52" i="30" s="1"/>
  <c r="T220" i="27"/>
  <c r="H219" i="30" s="1"/>
  <c r="V216" i="27"/>
  <c r="D215" i="30" s="1"/>
  <c r="X207" i="27"/>
  <c r="G206" i="30" s="1"/>
  <c r="T205" i="27"/>
  <c r="H204" i="30" s="1"/>
  <c r="V202" i="27"/>
  <c r="D201" i="30" s="1"/>
  <c r="X198" i="27"/>
  <c r="G197" i="30" s="1"/>
  <c r="T196" i="27"/>
  <c r="H195" i="30" s="1"/>
  <c r="V188" i="27"/>
  <c r="D187" i="30" s="1"/>
  <c r="X185" i="27"/>
  <c r="G184" i="30" s="1"/>
  <c r="T165" i="27"/>
  <c r="H164" i="30" s="1"/>
  <c r="V162" i="27"/>
  <c r="D161" i="30" s="1"/>
  <c r="X128" i="27"/>
  <c r="G127" i="30" s="1"/>
  <c r="T126" i="27"/>
  <c r="H125" i="30" s="1"/>
  <c r="V122" i="27"/>
  <c r="D121" i="30" s="1"/>
  <c r="X118" i="27"/>
  <c r="G117" i="30" s="1"/>
  <c r="T110" i="27"/>
  <c r="H109" i="30" s="1"/>
  <c r="V101" i="27"/>
  <c r="D100" i="30" s="1"/>
  <c r="X85" i="27"/>
  <c r="G84" i="30" s="1"/>
  <c r="T75" i="27"/>
  <c r="H74" i="30" s="1"/>
  <c r="V65" i="27"/>
  <c r="D64" i="30" s="1"/>
  <c r="U32" i="27"/>
  <c r="I31" i="30" s="1"/>
  <c r="W218" i="27"/>
  <c r="F217" i="30" s="1"/>
  <c r="S213" i="27"/>
  <c r="E212" i="30" s="1"/>
  <c r="U206" i="27"/>
  <c r="I205" i="30" s="1"/>
  <c r="W203" i="27"/>
  <c r="F202" i="30" s="1"/>
  <c r="S200" i="27"/>
  <c r="E199" i="30" s="1"/>
  <c r="U197" i="27"/>
  <c r="I196" i="30" s="1"/>
  <c r="W193" i="27"/>
  <c r="F192" i="30" s="1"/>
  <c r="S187" i="27"/>
  <c r="E186" i="30" s="1"/>
  <c r="U184" i="27"/>
  <c r="I183" i="30" s="1"/>
  <c r="W163" i="27"/>
  <c r="F162" i="30" s="1"/>
  <c r="S142" i="27"/>
  <c r="E141" i="30" s="1"/>
  <c r="U127" i="27"/>
  <c r="I126" i="30" s="1"/>
  <c r="W123" i="27"/>
  <c r="F122" i="30" s="1"/>
  <c r="S120" i="27"/>
  <c r="E119" i="30" s="1"/>
  <c r="U117" i="27"/>
  <c r="I116" i="30" s="1"/>
  <c r="W106" i="27"/>
  <c r="F105" i="30" s="1"/>
  <c r="S91" i="27"/>
  <c r="E90" i="30" s="1"/>
  <c r="U81" i="27"/>
  <c r="I80" i="30" s="1"/>
  <c r="W69" i="27"/>
  <c r="F68" i="30" s="1"/>
  <c r="S59" i="27"/>
  <c r="E58" i="30" s="1"/>
  <c r="U49" i="27"/>
  <c r="I48" i="30" s="1"/>
  <c r="V220" i="27"/>
  <c r="D219" i="30" s="1"/>
  <c r="X216" i="27"/>
  <c r="G215" i="30" s="1"/>
  <c r="T208" i="27"/>
  <c r="H207" i="30" s="1"/>
  <c r="V205" i="27"/>
  <c r="D204" i="30" s="1"/>
  <c r="X202" i="27"/>
  <c r="G201" i="30" s="1"/>
  <c r="T199" i="27"/>
  <c r="H198" i="30" s="1"/>
  <c r="V196" i="27"/>
  <c r="D195" i="30" s="1"/>
  <c r="X188" i="27"/>
  <c r="G187" i="30" s="1"/>
  <c r="T186" i="27"/>
  <c r="H185" i="30" s="1"/>
  <c r="V165" i="27"/>
  <c r="D164" i="30" s="1"/>
  <c r="X162" i="27"/>
  <c r="G161" i="30" s="1"/>
  <c r="T129" i="27"/>
  <c r="H128" i="30" s="1"/>
  <c r="V126" i="27"/>
  <c r="D125" i="30" s="1"/>
  <c r="X122" i="27"/>
  <c r="G121" i="30" s="1"/>
  <c r="T119" i="27"/>
  <c r="H118" i="30" s="1"/>
  <c r="V110" i="27"/>
  <c r="D109" i="30" s="1"/>
  <c r="X101" i="27"/>
  <c r="G100" i="30" s="1"/>
  <c r="T86" i="27"/>
  <c r="H85" i="30" s="1"/>
  <c r="V75" i="27"/>
  <c r="D74" i="30" s="1"/>
  <c r="X65" i="27"/>
  <c r="G64" i="30" s="1"/>
  <c r="W32" i="27"/>
  <c r="F31" i="30" s="1"/>
  <c r="S219" i="27"/>
  <c r="E218" i="30" s="1"/>
  <c r="U213" i="27"/>
  <c r="I212" i="30" s="1"/>
  <c r="W206" i="27"/>
  <c r="F205" i="30" s="1"/>
  <c r="S204" i="27"/>
  <c r="E203" i="30" s="1"/>
  <c r="U200" i="27"/>
  <c r="I199" i="30" s="1"/>
  <c r="W197" i="27"/>
  <c r="F196" i="30" s="1"/>
  <c r="S195" i="27"/>
  <c r="E194" i="30" s="1"/>
  <c r="U187" i="27"/>
  <c r="I186" i="30" s="1"/>
  <c r="W184" i="27"/>
  <c r="F183" i="30" s="1"/>
  <c r="S164" i="27"/>
  <c r="E163" i="30" s="1"/>
  <c r="U142" i="27"/>
  <c r="I141" i="30" s="1"/>
  <c r="W127" i="27"/>
  <c r="F126" i="30" s="1"/>
  <c r="S124" i="27"/>
  <c r="E123" i="30" s="1"/>
  <c r="U120" i="27"/>
  <c r="I119" i="30" s="1"/>
  <c r="W117" i="27"/>
  <c r="F116" i="30" s="1"/>
  <c r="S108" i="27"/>
  <c r="E107" i="30" s="1"/>
  <c r="U91" i="27"/>
  <c r="I90" i="30" s="1"/>
  <c r="W81" i="27"/>
  <c r="F80" i="30" s="1"/>
  <c r="S70" i="27"/>
  <c r="E69" i="30" s="1"/>
  <c r="U59" i="27"/>
  <c r="I58" i="30" s="1"/>
  <c r="W49" i="27"/>
  <c r="F48" i="30" s="1"/>
  <c r="V219" i="27"/>
  <c r="D218" i="30" s="1"/>
  <c r="X213" i="27"/>
  <c r="G212" i="30" s="1"/>
  <c r="T207" i="27"/>
  <c r="H206" i="30" s="1"/>
  <c r="V204" i="27"/>
  <c r="D203" i="30" s="1"/>
  <c r="X200" i="27"/>
  <c r="G199" i="30" s="1"/>
  <c r="T198" i="27"/>
  <c r="H197" i="30" s="1"/>
  <c r="V195" i="27"/>
  <c r="D194" i="30" s="1"/>
  <c r="X187" i="27"/>
  <c r="G186" i="30" s="1"/>
  <c r="T185" i="27"/>
  <c r="H184" i="30" s="1"/>
  <c r="V164" i="27"/>
  <c r="D163" i="30" s="1"/>
  <c r="X142" i="27"/>
  <c r="G141" i="30" s="1"/>
  <c r="T128" i="27"/>
  <c r="H127" i="30" s="1"/>
  <c r="V124" i="27"/>
  <c r="D123" i="30" s="1"/>
  <c r="X120" i="27"/>
  <c r="G119" i="30" s="1"/>
  <c r="T118" i="27"/>
  <c r="H117" i="30" s="1"/>
  <c r="V108" i="27"/>
  <c r="D107" i="30" s="1"/>
  <c r="X91" i="27"/>
  <c r="G90" i="30" s="1"/>
  <c r="T85" i="27"/>
  <c r="H84" i="30" s="1"/>
  <c r="V70" i="27"/>
  <c r="D69" i="30" s="1"/>
  <c r="X59" i="27"/>
  <c r="G58" i="30" s="1"/>
  <c r="W220" i="27"/>
  <c r="F219" i="30" s="1"/>
  <c r="S218" i="27"/>
  <c r="E217" i="30" s="1"/>
  <c r="U208" i="27"/>
  <c r="I207" i="30" s="1"/>
  <c r="W205" i="27"/>
  <c r="F204" i="30" s="1"/>
  <c r="S203" i="27"/>
  <c r="E202" i="30" s="1"/>
  <c r="U199" i="27"/>
  <c r="I198" i="30" s="1"/>
  <c r="W196" i="27"/>
  <c r="F195" i="30" s="1"/>
  <c r="S193" i="27"/>
  <c r="E192" i="30" s="1"/>
  <c r="U186" i="27"/>
  <c r="I185" i="30" s="1"/>
  <c r="W165" i="27"/>
  <c r="F164" i="30" s="1"/>
  <c r="S163" i="27"/>
  <c r="E162" i="30" s="1"/>
  <c r="U129" i="27"/>
  <c r="I128" i="30" s="1"/>
  <c r="W126" i="27"/>
  <c r="F125" i="30" s="1"/>
  <c r="S123" i="27"/>
  <c r="E122" i="30" s="1"/>
  <c r="U119" i="27"/>
  <c r="I118" i="30" s="1"/>
  <c r="W110" i="27"/>
  <c r="F109" i="30" s="1"/>
  <c r="S106" i="27"/>
  <c r="E105" i="30" s="1"/>
  <c r="U86" i="27"/>
  <c r="I85" i="30" s="1"/>
  <c r="W75" i="27"/>
  <c r="F74" i="30" s="1"/>
  <c r="S69" i="27"/>
  <c r="E68" i="30" s="1"/>
  <c r="U54" i="27"/>
  <c r="I53" i="30" s="1"/>
  <c r="T54" i="27"/>
  <c r="H53" i="30" s="1"/>
  <c r="X49" i="27"/>
  <c r="G48" i="30" s="1"/>
  <c r="X29" i="27"/>
  <c r="G28" i="30" s="1"/>
  <c r="X53" i="27"/>
  <c r="G52" i="30" s="1"/>
  <c r="U34" i="27"/>
  <c r="I33" i="30" s="1"/>
  <c r="W24" i="27"/>
  <c r="F23" i="30" s="1"/>
  <c r="T15" i="27"/>
  <c r="H14" i="30" s="1"/>
  <c r="X34" i="27"/>
  <c r="G33" i="30" s="1"/>
  <c r="T28" i="27"/>
  <c r="H27" i="30" s="1"/>
  <c r="U40" i="27"/>
  <c r="I39" i="30" s="1"/>
  <c r="W28" i="27"/>
  <c r="F27" i="30" s="1"/>
  <c r="S15" i="27"/>
  <c r="E14" i="30" s="1"/>
  <c r="T217" i="27"/>
  <c r="H216" i="30" s="1"/>
  <c r="V212" i="27"/>
  <c r="D211" i="30" s="1"/>
  <c r="X201" i="27"/>
  <c r="G200" i="30" s="1"/>
  <c r="W214" i="27"/>
  <c r="F213" i="30" s="1"/>
  <c r="V217" i="27"/>
  <c r="D216" i="30" s="1"/>
  <c r="X212" i="27"/>
  <c r="G211" i="30" s="1"/>
  <c r="T209" i="27"/>
  <c r="H208" i="30" s="1"/>
  <c r="S215" i="27"/>
  <c r="E214" i="30" s="1"/>
  <c r="T201" i="27"/>
  <c r="H200" i="30" s="1"/>
  <c r="W194" i="27"/>
  <c r="F193" i="30" s="1"/>
  <c r="X183" i="27"/>
  <c r="G182" i="30" s="1"/>
  <c r="T56" i="27"/>
  <c r="H55" i="30" s="1"/>
  <c r="W191" i="27"/>
  <c r="F190" i="30" s="1"/>
  <c r="S183" i="27"/>
  <c r="E182" i="30" s="1"/>
  <c r="U181" i="27"/>
  <c r="I180" i="30" s="1"/>
  <c r="X189" i="27"/>
  <c r="G188" i="30" s="1"/>
  <c r="T182" i="27"/>
  <c r="H181" i="30" s="1"/>
  <c r="V180" i="27"/>
  <c r="D179" i="30" s="1"/>
  <c r="U183" i="27"/>
  <c r="I182" i="30" s="1"/>
  <c r="W181" i="27"/>
  <c r="F180" i="30" s="1"/>
  <c r="T179" i="27"/>
  <c r="H178" i="30" s="1"/>
  <c r="V173" i="27"/>
  <c r="D172" i="30" s="1"/>
  <c r="X176" i="27"/>
  <c r="G175" i="30" s="1"/>
  <c r="T171" i="27"/>
  <c r="H170" i="30" s="1"/>
  <c r="V168" i="27"/>
  <c r="D167" i="30" s="1"/>
  <c r="T159" i="27"/>
  <c r="H158" i="30" s="1"/>
  <c r="V155" i="27"/>
  <c r="D154" i="30" s="1"/>
  <c r="U178" i="27"/>
  <c r="I177" i="30" s="1"/>
  <c r="W172" i="27"/>
  <c r="F171" i="30" s="1"/>
  <c r="S176" i="27"/>
  <c r="E175" i="30" s="1"/>
  <c r="U158" i="27"/>
  <c r="I157" i="30" s="1"/>
  <c r="W156" i="27"/>
  <c r="F155" i="30" s="1"/>
  <c r="T178" i="27"/>
  <c r="H177" i="30" s="1"/>
  <c r="V172" i="27"/>
  <c r="D171" i="30" s="1"/>
  <c r="X160" i="27"/>
  <c r="G159" i="30" s="1"/>
  <c r="T158" i="27"/>
  <c r="H157" i="30" s="1"/>
  <c r="V156" i="27"/>
  <c r="D155" i="30" s="1"/>
  <c r="U177" i="27"/>
  <c r="I176" i="30" s="1"/>
  <c r="W175" i="27"/>
  <c r="F174" i="30" s="1"/>
  <c r="U169" i="27"/>
  <c r="I168" i="30" s="1"/>
  <c r="S160" i="27"/>
  <c r="E159" i="30" s="1"/>
  <c r="V143" i="27"/>
  <c r="D142" i="30" s="1"/>
  <c r="T141" i="27"/>
  <c r="H140" i="30" s="1"/>
  <c r="S141" i="27"/>
  <c r="E140" i="30" s="1"/>
  <c r="X139" i="27"/>
  <c r="G138" i="30" s="1"/>
  <c r="S210" i="27"/>
  <c r="E209" i="30" s="1"/>
  <c r="X40" i="27"/>
  <c r="G39" i="30" s="1"/>
  <c r="T29" i="27"/>
  <c r="H28" i="30" s="1"/>
  <c r="V49" i="27"/>
  <c r="D48" i="30" s="1"/>
  <c r="W29" i="27"/>
  <c r="F28" i="30" s="1"/>
  <c r="S24" i="27"/>
  <c r="E23" i="30" s="1"/>
  <c r="V53" i="27"/>
  <c r="D52" i="30" s="1"/>
  <c r="T34" i="27"/>
  <c r="H33" i="30" s="1"/>
  <c r="X15" i="27"/>
  <c r="G14" i="30" s="1"/>
  <c r="W34" i="27"/>
  <c r="F33" i="30" s="1"/>
  <c r="S28" i="27"/>
  <c r="E27" i="30" s="1"/>
  <c r="X24" i="27"/>
  <c r="G23" i="30" s="1"/>
  <c r="V215" i="27"/>
  <c r="D214" i="30" s="1"/>
  <c r="W217" i="27"/>
  <c r="F216" i="30" s="1"/>
  <c r="S214" i="27"/>
  <c r="E213" i="30" s="1"/>
  <c r="U209" i="27"/>
  <c r="I208" i="30" s="1"/>
  <c r="X215" i="27"/>
  <c r="G214" i="30" s="1"/>
  <c r="T212" i="27"/>
  <c r="H211" i="30" s="1"/>
  <c r="V201" i="27"/>
  <c r="D200" i="30" s="1"/>
  <c r="U214" i="27"/>
  <c r="I213" i="30" s="1"/>
  <c r="W209" i="27"/>
  <c r="F208" i="30" s="1"/>
  <c r="X194" i="27"/>
  <c r="G193" i="30" s="1"/>
  <c r="S194" i="27"/>
  <c r="E193" i="30" s="1"/>
  <c r="X191" i="27"/>
  <c r="G190" i="30" s="1"/>
  <c r="T183" i="27"/>
  <c r="H182" i="30" s="1"/>
  <c r="V181" i="27"/>
  <c r="D180" i="30" s="1"/>
  <c r="S191" i="27"/>
  <c r="E190" i="30" s="1"/>
  <c r="U182" i="27"/>
  <c r="I181" i="30" s="1"/>
  <c r="W180" i="27"/>
  <c r="F179" i="30" s="1"/>
  <c r="T189" i="27"/>
  <c r="H188" i="30" s="1"/>
  <c r="V56" i="27"/>
  <c r="D55" i="30" s="1"/>
  <c r="U191" i="27"/>
  <c r="I190" i="30" s="1"/>
  <c r="W182" i="27"/>
  <c r="F181" i="30" s="1"/>
  <c r="S181" i="27"/>
  <c r="E180" i="30" s="1"/>
  <c r="V178" i="27"/>
  <c r="D177" i="30" s="1"/>
  <c r="X172" i="27"/>
  <c r="G171" i="30" s="1"/>
  <c r="T176" i="27"/>
  <c r="H175" i="30" s="1"/>
  <c r="V158" i="27"/>
  <c r="D157" i="30" s="1"/>
  <c r="X156" i="27"/>
  <c r="G155" i="30" s="1"/>
  <c r="W177" i="27"/>
  <c r="F176" i="30" s="1"/>
  <c r="W169" i="27"/>
  <c r="F168" i="30" s="1"/>
  <c r="U160" i="27"/>
  <c r="I159" i="30" s="1"/>
  <c r="S156" i="27"/>
  <c r="E155" i="30" s="1"/>
  <c r="V177" i="27"/>
  <c r="D176" i="30" s="1"/>
  <c r="X175" i="27"/>
  <c r="G174" i="30" s="1"/>
  <c r="V169" i="27"/>
  <c r="D168" i="30" s="1"/>
  <c r="T160" i="27"/>
  <c r="H159" i="30" s="1"/>
  <c r="U179" i="27"/>
  <c r="I178" i="30" s="1"/>
  <c r="W173" i="27"/>
  <c r="F172" i="30" s="1"/>
  <c r="S175" i="27"/>
  <c r="E174" i="30" s="1"/>
  <c r="U171" i="27"/>
  <c r="I170" i="30" s="1"/>
  <c r="W168" i="27"/>
  <c r="F167" i="30" s="1"/>
  <c r="U159" i="27"/>
  <c r="I158" i="30" s="1"/>
  <c r="W155" i="27"/>
  <c r="F154" i="30" s="1"/>
  <c r="X143" i="27"/>
  <c r="G142" i="30" s="1"/>
  <c r="U143" i="27"/>
  <c r="I142" i="30" s="1"/>
  <c r="V139" i="27"/>
  <c r="D138" i="30" s="1"/>
  <c r="U139" i="27"/>
  <c r="I138" i="30" s="1"/>
  <c r="T139" i="27"/>
  <c r="H138" i="30" s="1"/>
  <c r="T40" i="27"/>
  <c r="H39" i="30" s="1"/>
  <c r="V28" i="27"/>
  <c r="D27" i="30" s="1"/>
  <c r="W40" i="27"/>
  <c r="F39" i="30" s="1"/>
  <c r="S29" i="27"/>
  <c r="E28" i="30" s="1"/>
  <c r="U15" i="27"/>
  <c r="I14" i="30" s="1"/>
  <c r="T49" i="27"/>
  <c r="H48" i="30" s="1"/>
  <c r="V29" i="27"/>
  <c r="D28" i="30" s="1"/>
  <c r="T53" i="27"/>
  <c r="H52" i="30" s="1"/>
  <c r="S34" i="27"/>
  <c r="E33" i="30" s="1"/>
  <c r="U24" i="27"/>
  <c r="I23" i="30" s="1"/>
  <c r="V15" i="27"/>
  <c r="D14" i="30" s="1"/>
  <c r="X214" i="27"/>
  <c r="G213" i="30" s="1"/>
  <c r="S217" i="27"/>
  <c r="E216" i="30" s="1"/>
  <c r="U212" i="27"/>
  <c r="I211" i="30" s="1"/>
  <c r="W201" i="27"/>
  <c r="F200" i="30" s="1"/>
  <c r="T215" i="27"/>
  <c r="H214" i="30" s="1"/>
  <c r="U217" i="27"/>
  <c r="I216" i="30" s="1"/>
  <c r="W212" i="27"/>
  <c r="F211" i="30" s="1"/>
  <c r="S209" i="27"/>
  <c r="E208" i="30" s="1"/>
  <c r="T194" i="27"/>
  <c r="H193" i="30" s="1"/>
  <c r="U194" i="27"/>
  <c r="I193" i="30" s="1"/>
  <c r="T191" i="27"/>
  <c r="H190" i="30" s="1"/>
  <c r="V182" i="27"/>
  <c r="D181" i="30" s="1"/>
  <c r="X180" i="27"/>
  <c r="G179" i="30" s="1"/>
  <c r="U189" i="27"/>
  <c r="I188" i="30" s="1"/>
  <c r="W56" i="27"/>
  <c r="F55" i="30" s="1"/>
  <c r="S180" i="27"/>
  <c r="E179" i="30" s="1"/>
  <c r="V183" i="27"/>
  <c r="D182" i="30" s="1"/>
  <c r="X181" i="27"/>
  <c r="G180" i="30" s="1"/>
  <c r="W189" i="27"/>
  <c r="F188" i="30" s="1"/>
  <c r="S182" i="27"/>
  <c r="E181" i="30" s="1"/>
  <c r="U180" i="27"/>
  <c r="I179" i="30" s="1"/>
  <c r="X177" i="27"/>
  <c r="G176" i="30" s="1"/>
  <c r="T172" i="27"/>
  <c r="H171" i="30" s="1"/>
  <c r="X169" i="27"/>
  <c r="G168" i="30" s="1"/>
  <c r="V160" i="27"/>
  <c r="D159" i="30" s="1"/>
  <c r="T156" i="27"/>
  <c r="H155" i="30" s="1"/>
  <c r="W179" i="27"/>
  <c r="F178" i="30" s="1"/>
  <c r="S177" i="27"/>
  <c r="E176" i="30" s="1"/>
  <c r="U175" i="27"/>
  <c r="I174" i="30" s="1"/>
  <c r="W171" i="27"/>
  <c r="F170" i="30" s="1"/>
  <c r="S169" i="27"/>
  <c r="E168" i="30" s="1"/>
  <c r="W159" i="27"/>
  <c r="F158" i="30" s="1"/>
  <c r="V179" i="27"/>
  <c r="D178" i="30" s="1"/>
  <c r="X173" i="27"/>
  <c r="G172" i="30" s="1"/>
  <c r="T175" i="27"/>
  <c r="H174" i="30" s="1"/>
  <c r="V171" i="27"/>
  <c r="D170" i="30" s="1"/>
  <c r="X168" i="27"/>
  <c r="G167" i="30" s="1"/>
  <c r="V159" i="27"/>
  <c r="D158" i="30" s="1"/>
  <c r="X155" i="27"/>
  <c r="G154" i="30" s="1"/>
  <c r="W178" i="27"/>
  <c r="F177" i="30" s="1"/>
  <c r="U176" i="27"/>
  <c r="I175" i="30" s="1"/>
  <c r="S168" i="27"/>
  <c r="E167" i="30" s="1"/>
  <c r="W158" i="27"/>
  <c r="F157" i="30" s="1"/>
  <c r="S155" i="27"/>
  <c r="E154" i="30" s="1"/>
  <c r="T143" i="27"/>
  <c r="H142" i="30" s="1"/>
  <c r="S143" i="27"/>
  <c r="E142" i="30" s="1"/>
  <c r="U141" i="27"/>
  <c r="I140" i="30" s="1"/>
  <c r="W139" i="27"/>
  <c r="F138" i="30" s="1"/>
  <c r="S139" i="27"/>
  <c r="E138" i="30" s="1"/>
  <c r="V34" i="27"/>
  <c r="D33" i="30" s="1"/>
  <c r="T24" i="27"/>
  <c r="H23" i="30" s="1"/>
  <c r="S40" i="27"/>
  <c r="E39" i="30" s="1"/>
  <c r="U28" i="27"/>
  <c r="I27" i="30" s="1"/>
  <c r="V24" i="27"/>
  <c r="D23" i="30" s="1"/>
  <c r="V40" i="27"/>
  <c r="D39" i="30" s="1"/>
  <c r="X28" i="27"/>
  <c r="G27" i="30" s="1"/>
  <c r="S49" i="27"/>
  <c r="E48" i="30" s="1"/>
  <c r="U29" i="27"/>
  <c r="I28" i="30" s="1"/>
  <c r="W15" i="27"/>
  <c r="F14" i="30" s="1"/>
  <c r="X217" i="27"/>
  <c r="G216" i="30" s="1"/>
  <c r="T214" i="27"/>
  <c r="H213" i="30" s="1"/>
  <c r="V209" i="27"/>
  <c r="D208" i="30" s="1"/>
  <c r="U215" i="27"/>
  <c r="I214" i="30" s="1"/>
  <c r="S201" i="27"/>
  <c r="E200" i="30" s="1"/>
  <c r="V214" i="27"/>
  <c r="D213" i="30" s="1"/>
  <c r="X209" i="27"/>
  <c r="G208" i="30" s="1"/>
  <c r="W215" i="27"/>
  <c r="F214" i="30" s="1"/>
  <c r="S212" i="27"/>
  <c r="E211" i="30" s="1"/>
  <c r="U201" i="27"/>
  <c r="I200" i="30" s="1"/>
  <c r="V194" i="27"/>
  <c r="D193" i="30" s="1"/>
  <c r="V189" i="27"/>
  <c r="D188" i="30" s="1"/>
  <c r="X56" i="27"/>
  <c r="G55" i="30" s="1"/>
  <c r="T180" i="27"/>
  <c r="H179" i="30" s="1"/>
  <c r="W183" i="27"/>
  <c r="F182" i="30" s="1"/>
  <c r="S56" i="27"/>
  <c r="E55" i="30" s="1"/>
  <c r="V191" i="27"/>
  <c r="D190" i="30" s="1"/>
  <c r="X182" i="27"/>
  <c r="G181" i="30" s="1"/>
  <c r="T181" i="27"/>
  <c r="H180" i="30" s="1"/>
  <c r="S189" i="27"/>
  <c r="E188" i="30" s="1"/>
  <c r="U56" i="27"/>
  <c r="I55" i="30" s="1"/>
  <c r="X179" i="27"/>
  <c r="G178" i="30" s="1"/>
  <c r="T177" i="27"/>
  <c r="H176" i="30" s="1"/>
  <c r="V175" i="27"/>
  <c r="D174" i="30" s="1"/>
  <c r="X171" i="27"/>
  <c r="G170" i="30" s="1"/>
  <c r="T169" i="27"/>
  <c r="H168" i="30" s="1"/>
  <c r="X159" i="27"/>
  <c r="G158" i="30" s="1"/>
  <c r="S179" i="27"/>
  <c r="E178" i="30" s="1"/>
  <c r="U173" i="27"/>
  <c r="I172" i="30" s="1"/>
  <c r="W176" i="27"/>
  <c r="F175" i="30" s="1"/>
  <c r="S171" i="27"/>
  <c r="E170" i="30" s="1"/>
  <c r="U168" i="27"/>
  <c r="I167" i="30" s="1"/>
  <c r="S159" i="27"/>
  <c r="E158" i="30" s="1"/>
  <c r="U155" i="27"/>
  <c r="I154" i="30" s="1"/>
  <c r="X178" i="27"/>
  <c r="G177" i="30" s="1"/>
  <c r="T173" i="27"/>
  <c r="H172" i="30" s="1"/>
  <c r="V176" i="27"/>
  <c r="D175" i="30" s="1"/>
  <c r="T168" i="27"/>
  <c r="H167" i="30" s="1"/>
  <c r="X158" i="27"/>
  <c r="G157" i="30" s="1"/>
  <c r="T155" i="27"/>
  <c r="H154" i="30" s="1"/>
  <c r="S178" i="27"/>
  <c r="E177" i="30" s="1"/>
  <c r="U172" i="27"/>
  <c r="I171" i="30" s="1"/>
  <c r="W160" i="27"/>
  <c r="F159" i="30" s="1"/>
  <c r="S158" i="27"/>
  <c r="E157" i="30" s="1"/>
  <c r="U156" i="27"/>
  <c r="I155" i="30" s="1"/>
  <c r="W143" i="27"/>
  <c r="F142" i="30" s="1"/>
  <c r="X141" i="27"/>
  <c r="G140" i="30" s="1"/>
  <c r="W141" i="27"/>
  <c r="F140" i="30" s="1"/>
  <c r="V141" i="27"/>
  <c r="D140" i="30" s="1"/>
  <c r="W210" i="27"/>
  <c r="F209" i="30" s="1"/>
  <c r="U140" i="27"/>
  <c r="I139" i="30" s="1"/>
  <c r="W138" i="27"/>
  <c r="F137" i="30" s="1"/>
  <c r="S136" i="27"/>
  <c r="E135" i="30" s="1"/>
  <c r="U133" i="27"/>
  <c r="I132" i="30" s="1"/>
  <c r="W130" i="27"/>
  <c r="F129" i="30" s="1"/>
  <c r="S121" i="27"/>
  <c r="E120" i="30" s="1"/>
  <c r="U114" i="27"/>
  <c r="I113" i="30" s="1"/>
  <c r="W111" i="27"/>
  <c r="F110" i="30" s="1"/>
  <c r="T105" i="27"/>
  <c r="H104" i="30" s="1"/>
  <c r="V102" i="27"/>
  <c r="D101" i="30" s="1"/>
  <c r="X98" i="27"/>
  <c r="G97" i="30" s="1"/>
  <c r="T96" i="27"/>
  <c r="H95" i="30" s="1"/>
  <c r="V93" i="27"/>
  <c r="D92" i="30" s="1"/>
  <c r="X89" i="27"/>
  <c r="G88" i="30" s="1"/>
  <c r="T87" i="27"/>
  <c r="H86" i="30" s="1"/>
  <c r="V82" i="27"/>
  <c r="D81" i="30" s="1"/>
  <c r="X78" i="27"/>
  <c r="G77" i="30" s="1"/>
  <c r="T76" i="27"/>
  <c r="H75" i="30" s="1"/>
  <c r="V72" i="27"/>
  <c r="D71" i="30" s="1"/>
  <c r="X67" i="27"/>
  <c r="G66" i="30" s="1"/>
  <c r="V210" i="27"/>
  <c r="D209" i="30" s="1"/>
  <c r="T140" i="27"/>
  <c r="H139" i="30" s="1"/>
  <c r="V136" i="27"/>
  <c r="D135" i="30" s="1"/>
  <c r="X133" i="27"/>
  <c r="G132" i="30" s="1"/>
  <c r="T131" i="27"/>
  <c r="H130" i="30" s="1"/>
  <c r="V121" i="27"/>
  <c r="D120" i="30" s="1"/>
  <c r="X114" i="27"/>
  <c r="G113" i="30" s="1"/>
  <c r="T112" i="27"/>
  <c r="H111" i="30" s="1"/>
  <c r="W105" i="27"/>
  <c r="F104" i="30" s="1"/>
  <c r="S103" i="27"/>
  <c r="E102" i="30" s="1"/>
  <c r="U99" i="27"/>
  <c r="I98" i="30" s="1"/>
  <c r="W96" i="27"/>
  <c r="F95" i="30" s="1"/>
  <c r="S94" i="27"/>
  <c r="E93" i="30" s="1"/>
  <c r="U90" i="27"/>
  <c r="I89" i="30" s="1"/>
  <c r="W87" i="27"/>
  <c r="F86" i="30" s="1"/>
  <c r="S83" i="27"/>
  <c r="E82" i="30" s="1"/>
  <c r="U79" i="27"/>
  <c r="I78" i="30" s="1"/>
  <c r="W76" i="27"/>
  <c r="F75" i="30" s="1"/>
  <c r="S73" i="27"/>
  <c r="E72" i="30" s="1"/>
  <c r="U68" i="27"/>
  <c r="I67" i="30" s="1"/>
  <c r="W137" i="27"/>
  <c r="F136" i="30" s="1"/>
  <c r="S135" i="27"/>
  <c r="E134" i="30" s="1"/>
  <c r="U132" i="27"/>
  <c r="I131" i="30" s="1"/>
  <c r="W125" i="27"/>
  <c r="F124" i="30" s="1"/>
  <c r="S116" i="27"/>
  <c r="E115" i="30" s="1"/>
  <c r="U113" i="27"/>
  <c r="I112" i="30" s="1"/>
  <c r="X107" i="27"/>
  <c r="G106" i="30" s="1"/>
  <c r="T104" i="27"/>
  <c r="H103" i="30" s="1"/>
  <c r="V100" i="27"/>
  <c r="D99" i="30" s="1"/>
  <c r="X97" i="27"/>
  <c r="G96" i="30" s="1"/>
  <c r="T95" i="27"/>
  <c r="H94" i="30" s="1"/>
  <c r="V92" i="27"/>
  <c r="D91" i="30" s="1"/>
  <c r="X88" i="27"/>
  <c r="G87" i="30" s="1"/>
  <c r="T84" i="27"/>
  <c r="H83" i="30" s="1"/>
  <c r="V80" i="27"/>
  <c r="D79" i="30" s="1"/>
  <c r="X77" i="27"/>
  <c r="G76" i="30" s="1"/>
  <c r="T74" i="27"/>
  <c r="H73" i="30" s="1"/>
  <c r="V71" i="27"/>
  <c r="D70" i="30" s="1"/>
  <c r="X66" i="27"/>
  <c r="G65" i="30" s="1"/>
  <c r="T210" i="27"/>
  <c r="H209" i="30" s="1"/>
  <c r="X138" i="27"/>
  <c r="G137" i="30" s="1"/>
  <c r="T136" i="27"/>
  <c r="H135" i="30" s="1"/>
  <c r="V133" i="27"/>
  <c r="D132" i="30" s="1"/>
  <c r="X130" i="27"/>
  <c r="G129" i="30" s="1"/>
  <c r="T121" i="27"/>
  <c r="H120" i="30" s="1"/>
  <c r="V114" i="27"/>
  <c r="D113" i="30" s="1"/>
  <c r="X111" i="27"/>
  <c r="G110" i="30" s="1"/>
  <c r="U105" i="27"/>
  <c r="I104" i="30" s="1"/>
  <c r="W102" i="27"/>
  <c r="F101" i="30" s="1"/>
  <c r="S99" i="27"/>
  <c r="E98" i="30" s="1"/>
  <c r="U96" i="27"/>
  <c r="I95" i="30" s="1"/>
  <c r="W93" i="27"/>
  <c r="F92" i="30" s="1"/>
  <c r="S90" i="27"/>
  <c r="E89" i="30" s="1"/>
  <c r="U87" i="27"/>
  <c r="I86" i="30" s="1"/>
  <c r="W82" i="27"/>
  <c r="F81" i="30" s="1"/>
  <c r="S79" i="27"/>
  <c r="E78" i="30" s="1"/>
  <c r="U76" i="27"/>
  <c r="I75" i="30" s="1"/>
  <c r="W72" i="27"/>
  <c r="F71" i="30" s="1"/>
  <c r="U66" i="27"/>
  <c r="I65" i="30" s="1"/>
  <c r="S138" i="27"/>
  <c r="E137" i="30" s="1"/>
  <c r="U135" i="27"/>
  <c r="I134" i="30" s="1"/>
  <c r="W132" i="27"/>
  <c r="F131" i="30" s="1"/>
  <c r="S130" i="27"/>
  <c r="E129" i="30" s="1"/>
  <c r="U116" i="27"/>
  <c r="I115" i="30" s="1"/>
  <c r="W113" i="27"/>
  <c r="F112" i="30" s="1"/>
  <c r="S111" i="27"/>
  <c r="E110" i="30" s="1"/>
  <c r="V104" i="27"/>
  <c r="D103" i="30" s="1"/>
  <c r="X100" i="27"/>
  <c r="G99" i="30" s="1"/>
  <c r="T98" i="27"/>
  <c r="H97" i="30" s="1"/>
  <c r="V95" i="27"/>
  <c r="D94" i="30" s="1"/>
  <c r="X92" i="27"/>
  <c r="G91" i="30" s="1"/>
  <c r="T89" i="27"/>
  <c r="H88" i="30" s="1"/>
  <c r="V84" i="27"/>
  <c r="D83" i="30" s="1"/>
  <c r="X80" i="27"/>
  <c r="G79" i="30" s="1"/>
  <c r="T78" i="27"/>
  <c r="H77" i="30" s="1"/>
  <c r="V74" i="27"/>
  <c r="D73" i="30" s="1"/>
  <c r="X71" i="27"/>
  <c r="G70" i="30" s="1"/>
  <c r="T67" i="27"/>
  <c r="H66" i="30" s="1"/>
  <c r="V138" i="27"/>
  <c r="D137" i="30" s="1"/>
  <c r="X135" i="27"/>
  <c r="G134" i="30" s="1"/>
  <c r="T133" i="27"/>
  <c r="H132" i="30" s="1"/>
  <c r="V130" i="27"/>
  <c r="D129" i="30" s="1"/>
  <c r="X116" i="27"/>
  <c r="G115" i="30" s="1"/>
  <c r="T114" i="27"/>
  <c r="H113" i="30" s="1"/>
  <c r="V111" i="27"/>
  <c r="D110" i="30" s="1"/>
  <c r="S105" i="27"/>
  <c r="E104" i="30" s="1"/>
  <c r="U102" i="27"/>
  <c r="I101" i="30" s="1"/>
  <c r="W98" i="27"/>
  <c r="F97" i="30" s="1"/>
  <c r="S96" i="27"/>
  <c r="E95" i="30" s="1"/>
  <c r="U93" i="27"/>
  <c r="I92" i="30" s="1"/>
  <c r="W89" i="27"/>
  <c r="F88" i="30" s="1"/>
  <c r="S87" i="27"/>
  <c r="E86" i="30" s="1"/>
  <c r="U82" i="27"/>
  <c r="I81" i="30" s="1"/>
  <c r="W78" i="27"/>
  <c r="F77" i="30" s="1"/>
  <c r="S76" i="27"/>
  <c r="E75" i="30" s="1"/>
  <c r="U72" i="27"/>
  <c r="I71" i="30" s="1"/>
  <c r="W67" i="27"/>
  <c r="F66" i="30" s="1"/>
  <c r="W140" i="27"/>
  <c r="F139" i="30" s="1"/>
  <c r="S137" i="27"/>
  <c r="E136" i="30" s="1"/>
  <c r="U134" i="27"/>
  <c r="I133" i="30" s="1"/>
  <c r="W131" i="27"/>
  <c r="F130" i="30" s="1"/>
  <c r="S125" i="27"/>
  <c r="E124" i="30" s="1"/>
  <c r="U115" i="27"/>
  <c r="I114" i="30" s="1"/>
  <c r="W112" i="27"/>
  <c r="F111" i="30" s="1"/>
  <c r="T107" i="27"/>
  <c r="H106" i="30" s="1"/>
  <c r="V103" i="27"/>
  <c r="D102" i="30" s="1"/>
  <c r="X99" i="27"/>
  <c r="G98" i="30" s="1"/>
  <c r="T97" i="27"/>
  <c r="H96" i="30" s="1"/>
  <c r="V94" i="27"/>
  <c r="D93" i="30" s="1"/>
  <c r="X90" i="27"/>
  <c r="G89" i="30" s="1"/>
  <c r="T88" i="27"/>
  <c r="H87" i="30" s="1"/>
  <c r="V83" i="27"/>
  <c r="D82" i="30" s="1"/>
  <c r="X79" i="27"/>
  <c r="G78" i="30" s="1"/>
  <c r="T77" i="27"/>
  <c r="H76" i="30" s="1"/>
  <c r="V73" i="27"/>
  <c r="D72" i="30" s="1"/>
  <c r="X68" i="27"/>
  <c r="G67" i="30" s="1"/>
  <c r="T66" i="27"/>
  <c r="H65" i="30" s="1"/>
  <c r="T138" i="27"/>
  <c r="H137" i="30" s="1"/>
  <c r="V135" i="27"/>
  <c r="D134" i="30" s="1"/>
  <c r="X132" i="27"/>
  <c r="G131" i="30" s="1"/>
  <c r="T130" i="27"/>
  <c r="H129" i="30" s="1"/>
  <c r="V116" i="27"/>
  <c r="D115" i="30" s="1"/>
  <c r="X113" i="27"/>
  <c r="G112" i="30" s="1"/>
  <c r="T111" i="27"/>
  <c r="H110" i="30" s="1"/>
  <c r="W104" i="27"/>
  <c r="F103" i="30" s="1"/>
  <c r="S102" i="27"/>
  <c r="E101" i="30" s="1"/>
  <c r="U98" i="27"/>
  <c r="I97" i="30" s="1"/>
  <c r="W95" i="27"/>
  <c r="F94" i="30" s="1"/>
  <c r="S93" i="27"/>
  <c r="E92" i="30" s="1"/>
  <c r="U89" i="27"/>
  <c r="I88" i="30" s="1"/>
  <c r="W84" i="27"/>
  <c r="F83" i="30" s="1"/>
  <c r="S82" i="27"/>
  <c r="E81" i="30" s="1"/>
  <c r="U78" i="27"/>
  <c r="I77" i="30" s="1"/>
  <c r="W74" i="27"/>
  <c r="F73" i="30" s="1"/>
  <c r="S72" i="27"/>
  <c r="E71" i="30" s="1"/>
  <c r="U137" i="27"/>
  <c r="I136" i="30" s="1"/>
  <c r="W134" i="27"/>
  <c r="F133" i="30" s="1"/>
  <c r="S132" i="27"/>
  <c r="E131" i="30" s="1"/>
  <c r="U125" i="27"/>
  <c r="I124" i="30" s="1"/>
  <c r="W115" i="27"/>
  <c r="F114" i="30" s="1"/>
  <c r="S113" i="27"/>
  <c r="E112" i="30" s="1"/>
  <c r="V107" i="27"/>
  <c r="D106" i="30" s="1"/>
  <c r="X103" i="27"/>
  <c r="G102" i="30" s="1"/>
  <c r="T100" i="27"/>
  <c r="H99" i="30" s="1"/>
  <c r="V97" i="27"/>
  <c r="D96" i="30" s="1"/>
  <c r="X94" i="27"/>
  <c r="G93" i="30" s="1"/>
  <c r="T92" i="27"/>
  <c r="H91" i="30" s="1"/>
  <c r="V88" i="27"/>
  <c r="D87" i="30" s="1"/>
  <c r="X83" i="27"/>
  <c r="G82" i="30" s="1"/>
  <c r="T80" i="27"/>
  <c r="H79" i="30" s="1"/>
  <c r="V77" i="27"/>
  <c r="D76" i="30" s="1"/>
  <c r="X73" i="27"/>
  <c r="G72" i="30" s="1"/>
  <c r="T71" i="27"/>
  <c r="H70" i="30" s="1"/>
  <c r="V66" i="27"/>
  <c r="D65" i="30" s="1"/>
  <c r="X137" i="27"/>
  <c r="G136" i="30" s="1"/>
  <c r="T135" i="27"/>
  <c r="H134" i="30" s="1"/>
  <c r="V132" i="27"/>
  <c r="D131" i="30" s="1"/>
  <c r="X125" i="27"/>
  <c r="G124" i="30" s="1"/>
  <c r="T116" i="27"/>
  <c r="H115" i="30" s="1"/>
  <c r="V113" i="27"/>
  <c r="D112" i="30" s="1"/>
  <c r="U104" i="27"/>
  <c r="I103" i="30" s="1"/>
  <c r="W100" i="27"/>
  <c r="F99" i="30" s="1"/>
  <c r="S98" i="27"/>
  <c r="E97" i="30" s="1"/>
  <c r="U95" i="27"/>
  <c r="I94" i="30" s="1"/>
  <c r="W92" i="27"/>
  <c r="F91" i="30" s="1"/>
  <c r="S89" i="27"/>
  <c r="E88" i="30" s="1"/>
  <c r="U84" i="27"/>
  <c r="I83" i="30" s="1"/>
  <c r="W80" i="27"/>
  <c r="F79" i="30" s="1"/>
  <c r="S78" i="27"/>
  <c r="E77" i="30" s="1"/>
  <c r="U74" i="27"/>
  <c r="I73" i="30" s="1"/>
  <c r="W71" i="27"/>
  <c r="F70" i="30" s="1"/>
  <c r="U210" i="27"/>
  <c r="I209" i="30" s="1"/>
  <c r="S140" i="27"/>
  <c r="E139" i="30" s="1"/>
  <c r="U136" i="27"/>
  <c r="I135" i="30" s="1"/>
  <c r="W133" i="27"/>
  <c r="F132" i="30" s="1"/>
  <c r="S131" i="27"/>
  <c r="E130" i="30" s="1"/>
  <c r="U121" i="27"/>
  <c r="I120" i="30" s="1"/>
  <c r="W114" i="27"/>
  <c r="F113" i="30" s="1"/>
  <c r="S112" i="27"/>
  <c r="E111" i="30" s="1"/>
  <c r="V105" i="27"/>
  <c r="D104" i="30" s="1"/>
  <c r="X102" i="27"/>
  <c r="G101" i="30" s="1"/>
  <c r="T99" i="27"/>
  <c r="H98" i="30" s="1"/>
  <c r="V96" i="27"/>
  <c r="D95" i="30" s="1"/>
  <c r="X93" i="27"/>
  <c r="G92" i="30" s="1"/>
  <c r="T90" i="27"/>
  <c r="H89" i="30" s="1"/>
  <c r="V87" i="27"/>
  <c r="D86" i="30" s="1"/>
  <c r="X82" i="27"/>
  <c r="G81" i="30" s="1"/>
  <c r="T79" i="27"/>
  <c r="H78" i="30" s="1"/>
  <c r="V76" i="27"/>
  <c r="D75" i="30" s="1"/>
  <c r="X72" i="27"/>
  <c r="G71" i="30" s="1"/>
  <c r="T68" i="27"/>
  <c r="H67" i="30" s="1"/>
  <c r="V64" i="27"/>
  <c r="D63" i="30" s="1"/>
  <c r="V137" i="27"/>
  <c r="D136" i="30" s="1"/>
  <c r="X134" i="27"/>
  <c r="G133" i="30" s="1"/>
  <c r="T132" i="27"/>
  <c r="H131" i="30" s="1"/>
  <c r="V125" i="27"/>
  <c r="D124" i="30" s="1"/>
  <c r="X115" i="27"/>
  <c r="G114" i="30" s="1"/>
  <c r="T113" i="27"/>
  <c r="H112" i="30" s="1"/>
  <c r="W107" i="27"/>
  <c r="F106" i="30" s="1"/>
  <c r="S104" i="27"/>
  <c r="E103" i="30" s="1"/>
  <c r="U100" i="27"/>
  <c r="I99" i="30" s="1"/>
  <c r="W97" i="27"/>
  <c r="F96" i="30" s="1"/>
  <c r="S95" i="27"/>
  <c r="E94" i="30" s="1"/>
  <c r="U92" i="27"/>
  <c r="I91" i="30" s="1"/>
  <c r="W88" i="27"/>
  <c r="F87" i="30" s="1"/>
  <c r="S84" i="27"/>
  <c r="E83" i="30" s="1"/>
  <c r="U80" i="27"/>
  <c r="I79" i="30" s="1"/>
  <c r="W77" i="27"/>
  <c r="F76" i="30" s="1"/>
  <c r="S74" i="27"/>
  <c r="E73" i="30" s="1"/>
  <c r="U71" i="27"/>
  <c r="I70" i="30" s="1"/>
  <c r="V63" i="27"/>
  <c r="D62" i="30" s="1"/>
  <c r="X60" i="27"/>
  <c r="G59" i="30" s="1"/>
  <c r="T57" i="27"/>
  <c r="H56" i="30" s="1"/>
  <c r="V51" i="27"/>
  <c r="D50" i="30" s="1"/>
  <c r="W136" i="27"/>
  <c r="F135" i="30" s="1"/>
  <c r="S134" i="27"/>
  <c r="E133" i="30" s="1"/>
  <c r="U131" i="27"/>
  <c r="I130" i="30" s="1"/>
  <c r="W121" i="27"/>
  <c r="F120" i="30" s="1"/>
  <c r="S115" i="27"/>
  <c r="E114" i="30" s="1"/>
  <c r="U112" i="27"/>
  <c r="I111" i="30" s="1"/>
  <c r="X105" i="27"/>
  <c r="G104" i="30" s="1"/>
  <c r="T103" i="27"/>
  <c r="H102" i="30" s="1"/>
  <c r="V99" i="27"/>
  <c r="D98" i="30" s="1"/>
  <c r="X96" i="27"/>
  <c r="G95" i="30" s="1"/>
  <c r="T94" i="27"/>
  <c r="H93" i="30" s="1"/>
  <c r="V90" i="27"/>
  <c r="D89" i="30" s="1"/>
  <c r="X87" i="27"/>
  <c r="G86" i="30" s="1"/>
  <c r="T83" i="27"/>
  <c r="H82" i="30" s="1"/>
  <c r="V79" i="27"/>
  <c r="D78" i="30" s="1"/>
  <c r="X76" i="27"/>
  <c r="G75" i="30" s="1"/>
  <c r="T73" i="27"/>
  <c r="H72" i="30" s="1"/>
  <c r="V68" i="27"/>
  <c r="D67" i="30" s="1"/>
  <c r="X64" i="27"/>
  <c r="G63" i="30" s="1"/>
  <c r="X140" i="27"/>
  <c r="G139" i="30" s="1"/>
  <c r="T137" i="27"/>
  <c r="H136" i="30" s="1"/>
  <c r="V134" i="27"/>
  <c r="D133" i="30" s="1"/>
  <c r="X131" i="27"/>
  <c r="G130" i="30" s="1"/>
  <c r="T125" i="27"/>
  <c r="H124" i="30" s="1"/>
  <c r="V115" i="27"/>
  <c r="D114" i="30" s="1"/>
  <c r="X112" i="27"/>
  <c r="G111" i="30" s="1"/>
  <c r="U107" i="27"/>
  <c r="I106" i="30" s="1"/>
  <c r="W103" i="27"/>
  <c r="F102" i="30" s="1"/>
  <c r="S100" i="27"/>
  <c r="E99" i="30" s="1"/>
  <c r="U97" i="27"/>
  <c r="I96" i="30" s="1"/>
  <c r="W94" i="27"/>
  <c r="F93" i="30" s="1"/>
  <c r="S92" i="27"/>
  <c r="E91" i="30" s="1"/>
  <c r="U88" i="27"/>
  <c r="I87" i="30" s="1"/>
  <c r="W83" i="27"/>
  <c r="F82" i="30" s="1"/>
  <c r="S80" i="27"/>
  <c r="E79" i="30" s="1"/>
  <c r="U77" i="27"/>
  <c r="I76" i="30" s="1"/>
  <c r="W73" i="27"/>
  <c r="F72" i="30" s="1"/>
  <c r="S71" i="27"/>
  <c r="E70" i="30" s="1"/>
  <c r="U138" i="27"/>
  <c r="I137" i="30" s="1"/>
  <c r="W135" i="27"/>
  <c r="F134" i="30" s="1"/>
  <c r="S133" i="27"/>
  <c r="E132" i="30" s="1"/>
  <c r="U130" i="27"/>
  <c r="I129" i="30" s="1"/>
  <c r="W116" i="27"/>
  <c r="F115" i="30" s="1"/>
  <c r="S114" i="27"/>
  <c r="E113" i="30" s="1"/>
  <c r="U111" i="27"/>
  <c r="I110" i="30" s="1"/>
  <c r="X104" i="27"/>
  <c r="G103" i="30" s="1"/>
  <c r="T102" i="27"/>
  <c r="H101" i="30" s="1"/>
  <c r="V98" i="27"/>
  <c r="D97" i="30" s="1"/>
  <c r="X95" i="27"/>
  <c r="G94" i="30" s="1"/>
  <c r="T93" i="27"/>
  <c r="H92" i="30" s="1"/>
  <c r="V89" i="27"/>
  <c r="D88" i="30" s="1"/>
  <c r="X84" i="27"/>
  <c r="G83" i="30" s="1"/>
  <c r="T82" i="27"/>
  <c r="H81" i="30" s="1"/>
  <c r="V78" i="27"/>
  <c r="D77" i="30" s="1"/>
  <c r="X74" i="27"/>
  <c r="G73" i="30" s="1"/>
  <c r="T72" i="27"/>
  <c r="H71" i="30" s="1"/>
  <c r="V67" i="27"/>
  <c r="D66" i="30" s="1"/>
  <c r="X210" i="27"/>
  <c r="G209" i="30" s="1"/>
  <c r="V140" i="27"/>
  <c r="D139" i="30" s="1"/>
  <c r="X136" i="27"/>
  <c r="G135" i="30" s="1"/>
  <c r="T134" i="27"/>
  <c r="H133" i="30" s="1"/>
  <c r="V131" i="27"/>
  <c r="D130" i="30" s="1"/>
  <c r="X121" i="27"/>
  <c r="G120" i="30" s="1"/>
  <c r="T115" i="27"/>
  <c r="H114" i="30" s="1"/>
  <c r="V112" i="27"/>
  <c r="D111" i="30" s="1"/>
  <c r="S107" i="27"/>
  <c r="E106" i="30" s="1"/>
  <c r="U103" i="27"/>
  <c r="I102" i="30" s="1"/>
  <c r="W99" i="27"/>
  <c r="F98" i="30" s="1"/>
  <c r="S97" i="27"/>
  <c r="E96" i="30" s="1"/>
  <c r="U94" i="27"/>
  <c r="I93" i="30" s="1"/>
  <c r="W90" i="27"/>
  <c r="F89" i="30" s="1"/>
  <c r="S88" i="27"/>
  <c r="E87" i="30" s="1"/>
  <c r="U83" i="27"/>
  <c r="I82" i="30" s="1"/>
  <c r="W79" i="27"/>
  <c r="F78" i="30" s="1"/>
  <c r="S77" i="27"/>
  <c r="E76" i="30" s="1"/>
  <c r="U73" i="27"/>
  <c r="I72" i="30" s="1"/>
  <c r="S68" i="27"/>
  <c r="E67" i="30" s="1"/>
  <c r="X62" i="27"/>
  <c r="G61" i="30" s="1"/>
  <c r="T60" i="27"/>
  <c r="H59" i="30" s="1"/>
  <c r="V55" i="27"/>
  <c r="D54" i="30" s="1"/>
  <c r="X50" i="27"/>
  <c r="G49" i="30" s="1"/>
  <c r="T64" i="27"/>
  <c r="H63" i="30" s="1"/>
  <c r="X57" i="27"/>
  <c r="G56" i="30" s="1"/>
  <c r="V48" i="27"/>
  <c r="D47" i="30" s="1"/>
  <c r="X45" i="27"/>
  <c r="G44" i="30" s="1"/>
  <c r="T42" i="27"/>
  <c r="H41" i="30" s="1"/>
  <c r="V37" i="27"/>
  <c r="D36" i="30" s="1"/>
  <c r="X33" i="27"/>
  <c r="G32" i="30" s="1"/>
  <c r="T30" i="27"/>
  <c r="H29" i="30" s="1"/>
  <c r="V25" i="27"/>
  <c r="D24" i="30" s="1"/>
  <c r="X21" i="27"/>
  <c r="G20" i="30" s="1"/>
  <c r="T19" i="27"/>
  <c r="H18" i="30" s="1"/>
  <c r="V16" i="27"/>
  <c r="D15" i="30" s="1"/>
  <c r="X12" i="27"/>
  <c r="G11" i="30" s="1"/>
  <c r="T10" i="27"/>
  <c r="H9" i="30" s="1"/>
  <c r="V7" i="27"/>
  <c r="D6" i="30" s="1"/>
  <c r="X4" i="27"/>
  <c r="G3" i="30" s="1"/>
  <c r="S66" i="27"/>
  <c r="E65" i="30" s="1"/>
  <c r="S62" i="27"/>
  <c r="E61" i="30" s="1"/>
  <c r="U58" i="27"/>
  <c r="I57" i="30" s="1"/>
  <c r="W52" i="27"/>
  <c r="F51" i="30" s="1"/>
  <c r="S50" i="27"/>
  <c r="E49" i="30" s="1"/>
  <c r="U46" i="27"/>
  <c r="I45" i="30" s="1"/>
  <c r="W42" i="27"/>
  <c r="F41" i="30" s="1"/>
  <c r="S38" i="27"/>
  <c r="E37" i="30" s="1"/>
  <c r="U35" i="27"/>
  <c r="I34" i="30" s="1"/>
  <c r="W30" i="27"/>
  <c r="F29" i="30" s="1"/>
  <c r="S26" i="27"/>
  <c r="E25" i="30" s="1"/>
  <c r="U22" i="27"/>
  <c r="I21" i="30" s="1"/>
  <c r="W19" i="27"/>
  <c r="F18" i="30" s="1"/>
  <c r="S17" i="27"/>
  <c r="E16" i="30" s="1"/>
  <c r="U13" i="27"/>
  <c r="I12" i="30" s="1"/>
  <c r="W10" i="27"/>
  <c r="F9" i="30" s="1"/>
  <c r="S8" i="27"/>
  <c r="E7" i="30" s="1"/>
  <c r="U5" i="27"/>
  <c r="I4" i="30" s="1"/>
  <c r="S67" i="27"/>
  <c r="E66" i="30" s="1"/>
  <c r="V62" i="27"/>
  <c r="D61" i="30" s="1"/>
  <c r="X58" i="27"/>
  <c r="G57" i="30" s="1"/>
  <c r="T55" i="27"/>
  <c r="H54" i="30" s="1"/>
  <c r="V50" i="27"/>
  <c r="D49" i="30" s="1"/>
  <c r="X46" i="27"/>
  <c r="G45" i="30" s="1"/>
  <c r="T44" i="27"/>
  <c r="H43" i="30" s="1"/>
  <c r="V38" i="27"/>
  <c r="D37" i="30" s="1"/>
  <c r="X35" i="27"/>
  <c r="G34" i="30" s="1"/>
  <c r="T31" i="27"/>
  <c r="H30" i="30" s="1"/>
  <c r="V26" i="27"/>
  <c r="D25" i="30" s="1"/>
  <c r="X22" i="27"/>
  <c r="G21" i="30" s="1"/>
  <c r="T20" i="27"/>
  <c r="H19" i="30" s="1"/>
  <c r="V17" i="27"/>
  <c r="D16" i="30" s="1"/>
  <c r="X13" i="27"/>
  <c r="G12" i="30" s="1"/>
  <c r="T11" i="27"/>
  <c r="H10" i="30" s="1"/>
  <c r="V8" i="27"/>
  <c r="D7" i="30" s="1"/>
  <c r="X5" i="27"/>
  <c r="G4" i="30" s="1"/>
  <c r="T3" i="27"/>
  <c r="H2" i="30" s="1"/>
  <c r="U64" i="27"/>
  <c r="I63" i="30" s="1"/>
  <c r="W61" i="27"/>
  <c r="F60" i="30" s="1"/>
  <c r="S58" i="27"/>
  <c r="E57" i="30" s="1"/>
  <c r="U52" i="27"/>
  <c r="I51" i="30" s="1"/>
  <c r="W48" i="27"/>
  <c r="F47" i="30" s="1"/>
  <c r="S46" i="27"/>
  <c r="E45" i="30" s="1"/>
  <c r="U42" i="27"/>
  <c r="I41" i="30" s="1"/>
  <c r="W37" i="27"/>
  <c r="F36" i="30" s="1"/>
  <c r="S35" i="27"/>
  <c r="E34" i="30" s="1"/>
  <c r="U30" i="27"/>
  <c r="I29" i="30" s="1"/>
  <c r="W25" i="27"/>
  <c r="F24" i="30" s="1"/>
  <c r="S22" i="27"/>
  <c r="E21" i="30" s="1"/>
  <c r="U19" i="27"/>
  <c r="I18" i="30" s="1"/>
  <c r="W16" i="27"/>
  <c r="F15" i="30" s="1"/>
  <c r="S13" i="27"/>
  <c r="E12" i="30" s="1"/>
  <c r="W7" i="27"/>
  <c r="F6" i="30" s="1"/>
  <c r="T62" i="27"/>
  <c r="H61" i="30" s="1"/>
  <c r="X52" i="27"/>
  <c r="G51" i="30" s="1"/>
  <c r="X47" i="27"/>
  <c r="G46" i="30" s="1"/>
  <c r="T45" i="27"/>
  <c r="H44" i="30" s="1"/>
  <c r="V39" i="27"/>
  <c r="D38" i="30" s="1"/>
  <c r="X36" i="27"/>
  <c r="G35" i="30" s="1"/>
  <c r="T33" i="27"/>
  <c r="H32" i="30" s="1"/>
  <c r="V27" i="27"/>
  <c r="D26" i="30" s="1"/>
  <c r="X23" i="27"/>
  <c r="G22" i="30" s="1"/>
  <c r="T21" i="27"/>
  <c r="H20" i="30" s="1"/>
  <c r="V18" i="27"/>
  <c r="D17" i="30" s="1"/>
  <c r="X14" i="27"/>
  <c r="G13" i="30" s="1"/>
  <c r="T12" i="27"/>
  <c r="H11" i="30" s="1"/>
  <c r="V9" i="27"/>
  <c r="D8" i="30" s="1"/>
  <c r="X6" i="27"/>
  <c r="G5" i="30" s="1"/>
  <c r="T4" i="27"/>
  <c r="H3" i="30" s="1"/>
  <c r="S64" i="27"/>
  <c r="E63" i="30" s="1"/>
  <c r="U61" i="27"/>
  <c r="I60" i="30" s="1"/>
  <c r="W57" i="27"/>
  <c r="F56" i="30" s="1"/>
  <c r="S52" i="27"/>
  <c r="E51" i="30" s="1"/>
  <c r="U48" i="27"/>
  <c r="I47" i="30" s="1"/>
  <c r="W45" i="27"/>
  <c r="F44" i="30" s="1"/>
  <c r="S42" i="27"/>
  <c r="E41" i="30" s="1"/>
  <c r="U37" i="27"/>
  <c r="I36" i="30" s="1"/>
  <c r="W33" i="27"/>
  <c r="F32" i="30" s="1"/>
  <c r="S30" i="27"/>
  <c r="E29" i="30" s="1"/>
  <c r="U25" i="27"/>
  <c r="I24" i="30" s="1"/>
  <c r="W21" i="27"/>
  <c r="F20" i="30" s="1"/>
  <c r="S19" i="27"/>
  <c r="E18" i="30" s="1"/>
  <c r="U16" i="27"/>
  <c r="I15" i="30" s="1"/>
  <c r="W12" i="27"/>
  <c r="F11" i="30" s="1"/>
  <c r="S10" i="27"/>
  <c r="E9" i="30" s="1"/>
  <c r="U7" i="27"/>
  <c r="I6" i="30" s="1"/>
  <c r="W4" i="27"/>
  <c r="F3" i="30" s="1"/>
  <c r="W64" i="27"/>
  <c r="F63" i="30" s="1"/>
  <c r="X61" i="27"/>
  <c r="G60" i="30" s="1"/>
  <c r="T58" i="27"/>
  <c r="H57" i="30" s="1"/>
  <c r="V52" i="27"/>
  <c r="D51" i="30" s="1"/>
  <c r="X48" i="27"/>
  <c r="G47" i="30" s="1"/>
  <c r="T46" i="27"/>
  <c r="H45" i="30" s="1"/>
  <c r="V42" i="27"/>
  <c r="D41" i="30" s="1"/>
  <c r="X37" i="27"/>
  <c r="G36" i="30" s="1"/>
  <c r="T35" i="27"/>
  <c r="H34" i="30" s="1"/>
  <c r="V30" i="27"/>
  <c r="D29" i="30" s="1"/>
  <c r="X25" i="27"/>
  <c r="G24" i="30" s="1"/>
  <c r="T22" i="27"/>
  <c r="H21" i="30" s="1"/>
  <c r="V19" i="27"/>
  <c r="D18" i="30" s="1"/>
  <c r="X16" i="27"/>
  <c r="G15" i="30" s="1"/>
  <c r="T13" i="27"/>
  <c r="H12" i="30" s="1"/>
  <c r="V10" i="27"/>
  <c r="D9" i="30" s="1"/>
  <c r="X7" i="27"/>
  <c r="G6" i="30" s="1"/>
  <c r="T5" i="27"/>
  <c r="H4" i="30" s="1"/>
  <c r="S3" i="27"/>
  <c r="E2" i="30" s="1"/>
  <c r="W63" i="27"/>
  <c r="F62" i="30" s="1"/>
  <c r="S61" i="27"/>
  <c r="E60" i="30" s="1"/>
  <c r="U57" i="27"/>
  <c r="I56" i="30" s="1"/>
  <c r="W51" i="27"/>
  <c r="F50" i="30" s="1"/>
  <c r="S48" i="27"/>
  <c r="E47" i="30" s="1"/>
  <c r="U45" i="27"/>
  <c r="I44" i="30" s="1"/>
  <c r="W39" i="27"/>
  <c r="F38" i="30" s="1"/>
  <c r="S37" i="27"/>
  <c r="E36" i="30" s="1"/>
  <c r="U33" i="27"/>
  <c r="I32" i="30" s="1"/>
  <c r="W27" i="27"/>
  <c r="F26" i="30" s="1"/>
  <c r="S25" i="27"/>
  <c r="E24" i="30" s="1"/>
  <c r="U21" i="27"/>
  <c r="I20" i="30" s="1"/>
  <c r="W18" i="27"/>
  <c r="F17" i="30" s="1"/>
  <c r="S16" i="27"/>
  <c r="E15" i="30" s="1"/>
  <c r="U12" i="27"/>
  <c r="I11" i="30" s="1"/>
  <c r="W9" i="27"/>
  <c r="F8" i="30" s="1"/>
  <c r="S7" i="27"/>
  <c r="E6" i="30" s="1"/>
  <c r="U4" i="27"/>
  <c r="I3" i="30" s="1"/>
  <c r="S9" i="27"/>
  <c r="E8" i="30" s="1"/>
  <c r="V61" i="27"/>
  <c r="D60" i="30" s="1"/>
  <c r="T52" i="27"/>
  <c r="H51" i="30" s="1"/>
  <c r="T47" i="27"/>
  <c r="H46" i="30" s="1"/>
  <c r="V44" i="27"/>
  <c r="D43" i="30" s="1"/>
  <c r="X38" i="27"/>
  <c r="G37" i="30" s="1"/>
  <c r="T36" i="27"/>
  <c r="H35" i="30" s="1"/>
  <c r="V31" i="27"/>
  <c r="D30" i="30" s="1"/>
  <c r="X26" i="27"/>
  <c r="G25" i="30" s="1"/>
  <c r="T23" i="27"/>
  <c r="H22" i="30" s="1"/>
  <c r="V20" i="27"/>
  <c r="D19" i="30" s="1"/>
  <c r="X17" i="27"/>
  <c r="G16" i="30" s="1"/>
  <c r="T14" i="27"/>
  <c r="H13" i="30" s="1"/>
  <c r="V11" i="27"/>
  <c r="D10" i="30" s="1"/>
  <c r="X8" i="27"/>
  <c r="G7" i="30" s="1"/>
  <c r="T6" i="27"/>
  <c r="H5" i="30" s="1"/>
  <c r="V3" i="27"/>
  <c r="D2" i="30" s="1"/>
  <c r="U63" i="27"/>
  <c r="I62" i="30" s="1"/>
  <c r="W60" i="27"/>
  <c r="F59" i="30" s="1"/>
  <c r="S57" i="27"/>
  <c r="E56" i="30" s="1"/>
  <c r="U51" i="27"/>
  <c r="I50" i="30" s="1"/>
  <c r="W47" i="27"/>
  <c r="F46" i="30" s="1"/>
  <c r="S45" i="27"/>
  <c r="E44" i="30" s="1"/>
  <c r="U39" i="27"/>
  <c r="I38" i="30" s="1"/>
  <c r="W36" i="27"/>
  <c r="F35" i="30" s="1"/>
  <c r="S33" i="27"/>
  <c r="E32" i="30" s="1"/>
  <c r="U27" i="27"/>
  <c r="I26" i="30" s="1"/>
  <c r="W23" i="27"/>
  <c r="F22" i="30" s="1"/>
  <c r="S21" i="27"/>
  <c r="E20" i="30" s="1"/>
  <c r="U18" i="27"/>
  <c r="I17" i="30" s="1"/>
  <c r="W14" i="27"/>
  <c r="F13" i="30" s="1"/>
  <c r="S12" i="27"/>
  <c r="E11" i="30" s="1"/>
  <c r="U9" i="27"/>
  <c r="I8" i="30" s="1"/>
  <c r="W6" i="27"/>
  <c r="F5" i="30" s="1"/>
  <c r="S4" i="27"/>
  <c r="E3" i="30" s="1"/>
  <c r="X63" i="27"/>
  <c r="G62" i="30" s="1"/>
  <c r="T61" i="27"/>
  <c r="H60" i="30" s="1"/>
  <c r="V57" i="27"/>
  <c r="D56" i="30" s="1"/>
  <c r="X51" i="27"/>
  <c r="G50" i="30" s="1"/>
  <c r="T48" i="27"/>
  <c r="H47" i="30" s="1"/>
  <c r="V45" i="27"/>
  <c r="D44" i="30" s="1"/>
  <c r="X39" i="27"/>
  <c r="G38" i="30" s="1"/>
  <c r="T37" i="27"/>
  <c r="H36" i="30" s="1"/>
  <c r="V33" i="27"/>
  <c r="D32" i="30" s="1"/>
  <c r="X27" i="27"/>
  <c r="G26" i="30" s="1"/>
  <c r="T25" i="27"/>
  <c r="H24" i="30" s="1"/>
  <c r="V21" i="27"/>
  <c r="D20" i="30" s="1"/>
  <c r="X18" i="27"/>
  <c r="G17" i="30" s="1"/>
  <c r="T16" i="27"/>
  <c r="H15" i="30" s="1"/>
  <c r="V12" i="27"/>
  <c r="D11" i="30" s="1"/>
  <c r="X9" i="27"/>
  <c r="G8" i="30" s="1"/>
  <c r="T7" i="27"/>
  <c r="H6" i="30" s="1"/>
  <c r="V4" i="27"/>
  <c r="D3" i="30" s="1"/>
  <c r="W68" i="27"/>
  <c r="F67" i="30" s="1"/>
  <c r="S63" i="27"/>
  <c r="E62" i="30" s="1"/>
  <c r="U60" i="27"/>
  <c r="I59" i="30" s="1"/>
  <c r="W55" i="27"/>
  <c r="F54" i="30" s="1"/>
  <c r="S51" i="27"/>
  <c r="E50" i="30" s="1"/>
  <c r="U47" i="27"/>
  <c r="I46" i="30" s="1"/>
  <c r="W44" i="27"/>
  <c r="F43" i="30" s="1"/>
  <c r="S39" i="27"/>
  <c r="E38" i="30" s="1"/>
  <c r="U36" i="27"/>
  <c r="I35" i="30" s="1"/>
  <c r="W31" i="27"/>
  <c r="F30" i="30" s="1"/>
  <c r="S27" i="27"/>
  <c r="E26" i="30" s="1"/>
  <c r="U23" i="27"/>
  <c r="I22" i="30" s="1"/>
  <c r="W20" i="27"/>
  <c r="F19" i="30" s="1"/>
  <c r="S18" i="27"/>
  <c r="E17" i="30" s="1"/>
  <c r="U14" i="27"/>
  <c r="I13" i="30" s="1"/>
  <c r="W11" i="27"/>
  <c r="F10" i="30" s="1"/>
  <c r="U6" i="27"/>
  <c r="I5" i="30" s="1"/>
  <c r="V58" i="27"/>
  <c r="D57" i="30" s="1"/>
  <c r="T50" i="27"/>
  <c r="H49" i="30" s="1"/>
  <c r="V46" i="27"/>
  <c r="D45" i="30" s="1"/>
  <c r="X42" i="27"/>
  <c r="G41" i="30" s="1"/>
  <c r="T38" i="27"/>
  <c r="H37" i="30" s="1"/>
  <c r="V35" i="27"/>
  <c r="D34" i="30" s="1"/>
  <c r="X30" i="27"/>
  <c r="G29" i="30" s="1"/>
  <c r="T26" i="27"/>
  <c r="H25" i="30" s="1"/>
  <c r="V22" i="27"/>
  <c r="D21" i="30" s="1"/>
  <c r="X19" i="27"/>
  <c r="G18" i="30" s="1"/>
  <c r="T17" i="27"/>
  <c r="H16" i="30" s="1"/>
  <c r="V13" i="27"/>
  <c r="D12" i="30" s="1"/>
  <c r="X10" i="27"/>
  <c r="G9" i="30" s="1"/>
  <c r="T8" i="27"/>
  <c r="H7" i="30" s="1"/>
  <c r="V5" i="27"/>
  <c r="D4" i="30" s="1"/>
  <c r="U67" i="27"/>
  <c r="I66" i="30" s="1"/>
  <c r="W62" i="27"/>
  <c r="F61" i="30" s="1"/>
  <c r="S60" i="27"/>
  <c r="E59" i="30" s="1"/>
  <c r="U55" i="27"/>
  <c r="I54" i="30" s="1"/>
  <c r="W50" i="27"/>
  <c r="F49" i="30" s="1"/>
  <c r="S47" i="27"/>
  <c r="E46" i="30" s="1"/>
  <c r="U44" i="27"/>
  <c r="I43" i="30" s="1"/>
  <c r="W38" i="27"/>
  <c r="F37" i="30" s="1"/>
  <c r="S36" i="27"/>
  <c r="E35" i="30" s="1"/>
  <c r="U31" i="27"/>
  <c r="I30" i="30" s="1"/>
  <c r="W26" i="27"/>
  <c r="F25" i="30" s="1"/>
  <c r="S23" i="27"/>
  <c r="E22" i="30" s="1"/>
  <c r="U20" i="27"/>
  <c r="I19" i="30" s="1"/>
  <c r="W17" i="27"/>
  <c r="F16" i="30" s="1"/>
  <c r="S14" i="27"/>
  <c r="E13" i="30" s="1"/>
  <c r="U11" i="27"/>
  <c r="I10" i="30" s="1"/>
  <c r="W8" i="27"/>
  <c r="F7" i="30" s="1"/>
  <c r="S6" i="27"/>
  <c r="E5" i="30" s="1"/>
  <c r="U3" i="27"/>
  <c r="I2" i="30" s="1"/>
  <c r="T63" i="27"/>
  <c r="H62" i="30" s="1"/>
  <c r="V60" i="27"/>
  <c r="D59" i="30" s="1"/>
  <c r="X55" i="27"/>
  <c r="G54" i="30" s="1"/>
  <c r="T51" i="27"/>
  <c r="H50" i="30" s="1"/>
  <c r="V47" i="27"/>
  <c r="D46" i="30" s="1"/>
  <c r="X44" i="27"/>
  <c r="G43" i="30" s="1"/>
  <c r="T39" i="27"/>
  <c r="H38" i="30" s="1"/>
  <c r="V36" i="27"/>
  <c r="D35" i="30" s="1"/>
  <c r="X31" i="27"/>
  <c r="G30" i="30" s="1"/>
  <c r="T27" i="27"/>
  <c r="H26" i="30" s="1"/>
  <c r="V23" i="27"/>
  <c r="D22" i="30" s="1"/>
  <c r="X20" i="27"/>
  <c r="G19" i="30" s="1"/>
  <c r="T18" i="27"/>
  <c r="H17" i="30" s="1"/>
  <c r="V14" i="27"/>
  <c r="D13" i="30" s="1"/>
  <c r="X11" i="27"/>
  <c r="G10" i="30" s="1"/>
  <c r="T9" i="27"/>
  <c r="H8" i="30" s="1"/>
  <c r="V6" i="27"/>
  <c r="D5" i="30" s="1"/>
  <c r="X3" i="27"/>
  <c r="G2" i="30" s="1"/>
  <c r="W66" i="27"/>
  <c r="F65" i="30" s="1"/>
  <c r="U62" i="27"/>
  <c r="I61" i="30" s="1"/>
  <c r="W58" i="27"/>
  <c r="F57" i="30" s="1"/>
  <c r="S55" i="27"/>
  <c r="E54" i="30" s="1"/>
  <c r="U50" i="27"/>
  <c r="I49" i="30" s="1"/>
  <c r="W46" i="27"/>
  <c r="F45" i="30" s="1"/>
  <c r="S44" i="27"/>
  <c r="E43" i="30" s="1"/>
  <c r="U38" i="27"/>
  <c r="I37" i="30" s="1"/>
  <c r="W35" i="27"/>
  <c r="F34" i="30" s="1"/>
  <c r="S31" i="27"/>
  <c r="E30" i="30" s="1"/>
  <c r="U26" i="27"/>
  <c r="I25" i="30" s="1"/>
  <c r="W22" i="27"/>
  <c r="F21" i="30" s="1"/>
  <c r="S20" i="27"/>
  <c r="E19" i="30" s="1"/>
  <c r="U17" i="27"/>
  <c r="I16" i="30" s="1"/>
  <c r="W13" i="27"/>
  <c r="F12" i="30" s="1"/>
  <c r="S11" i="27"/>
  <c r="E10" i="30" s="1"/>
  <c r="U8" i="27"/>
  <c r="I7" i="30" s="1"/>
  <c r="W5" i="27"/>
  <c r="F4" i="30" s="1"/>
  <c r="W3" i="27"/>
  <c r="F2" i="30" s="1"/>
  <c r="U10" i="27"/>
  <c r="I9" i="30" s="1"/>
  <c r="S5" i="27"/>
  <c r="E4" i="30" s="1"/>
  <c r="C175" i="27" l="1"/>
  <c r="C172" i="27"/>
  <c r="C169" i="27"/>
  <c r="C166" i="27"/>
  <c r="C163" i="27"/>
  <c r="C160" i="27"/>
  <c r="C157" i="27"/>
  <c r="C154" i="27"/>
  <c r="C151" i="27"/>
  <c r="C148" i="27"/>
  <c r="C176" i="27"/>
  <c r="C173" i="27"/>
  <c r="C170" i="27"/>
  <c r="C167" i="27"/>
  <c r="C164" i="27"/>
  <c r="C161" i="27"/>
  <c r="C158" i="27"/>
  <c r="C155" i="27"/>
  <c r="C152" i="27"/>
  <c r="C149" i="27"/>
  <c r="C177" i="27"/>
  <c r="C174" i="27"/>
  <c r="C171" i="27"/>
  <c r="C168" i="27"/>
  <c r="C165" i="27"/>
  <c r="C162" i="27"/>
  <c r="C159" i="27"/>
  <c r="C156" i="27"/>
  <c r="C153" i="27"/>
  <c r="C150" i="27"/>
  <c r="D47" i="22"/>
  <c r="E162" i="27" s="1"/>
  <c r="D46" i="22"/>
  <c r="E161" i="27" s="1"/>
  <c r="D43" i="22"/>
  <c r="E158" i="27" s="1"/>
  <c r="D40" i="22"/>
  <c r="E155" i="27" s="1"/>
  <c r="D37" i="22"/>
  <c r="E152" i="27" s="1"/>
  <c r="D34" i="22"/>
  <c r="E149" i="27" s="1"/>
  <c r="D57" i="22"/>
  <c r="E172" i="27" s="1"/>
  <c r="D53" i="22"/>
  <c r="E168" i="27" s="1"/>
  <c r="D50" i="22"/>
  <c r="E165" i="27" s="1"/>
  <c r="D60" i="22"/>
  <c r="E175" i="27" s="1"/>
  <c r="D52" i="22"/>
  <c r="E167" i="27" s="1"/>
  <c r="D49" i="22"/>
  <c r="E164" i="27" s="1"/>
  <c r="D48" i="22"/>
  <c r="E163" i="27" s="1"/>
  <c r="B31" i="19"/>
  <c r="B32" i="19" s="1"/>
  <c r="C211" i="27"/>
  <c r="C212" i="27"/>
  <c r="C209" i="27"/>
  <c r="C210" i="27"/>
  <c r="C44" i="27"/>
  <c r="C41" i="27"/>
  <c r="C42" i="27"/>
  <c r="D35" i="25"/>
  <c r="D37" i="25"/>
  <c r="D34" i="25"/>
  <c r="C43" i="27"/>
  <c r="C100" i="27"/>
  <c r="C97" i="27"/>
  <c r="C94" i="27"/>
  <c r="C101" i="27"/>
  <c r="C98" i="27"/>
  <c r="C95" i="27"/>
  <c r="C99" i="27"/>
  <c r="C96" i="27"/>
  <c r="D43" i="26"/>
  <c r="E101" i="27" s="1"/>
  <c r="D37" i="26"/>
  <c r="E95" i="27" s="1"/>
  <c r="C93" i="27"/>
  <c r="D41" i="26"/>
  <c r="E99" i="27" s="1"/>
  <c r="D35" i="26"/>
  <c r="E93" i="27" s="1"/>
  <c r="D42" i="26"/>
  <c r="E100" i="27" s="1"/>
  <c r="D40" i="26"/>
  <c r="E98" i="27" s="1"/>
  <c r="D39" i="26"/>
  <c r="E97" i="27" s="1"/>
  <c r="D38" i="26"/>
  <c r="E96" i="27" s="1"/>
  <c r="D36" i="26"/>
  <c r="E94" i="27" s="1"/>
  <c r="C187" i="27"/>
  <c r="C184" i="27"/>
  <c r="C181" i="27"/>
  <c r="C178" i="27"/>
  <c r="C188" i="27"/>
  <c r="C185" i="27"/>
  <c r="C182" i="27"/>
  <c r="C179" i="27"/>
  <c r="C186" i="27"/>
  <c r="C183" i="27"/>
  <c r="C180" i="27"/>
  <c r="D40" i="18"/>
  <c r="E183" i="27" s="1"/>
  <c r="D44" i="18"/>
  <c r="E187" i="27" s="1"/>
  <c r="D38" i="18"/>
  <c r="E181" i="27" s="1"/>
  <c r="D37" i="18"/>
  <c r="E180" i="27" s="1"/>
  <c r="D45" i="18"/>
  <c r="E188" i="27" s="1"/>
  <c r="D36" i="18"/>
  <c r="E179" i="27" s="1"/>
  <c r="D43" i="18"/>
  <c r="E186" i="27" s="1"/>
  <c r="D35" i="18"/>
  <c r="E178" i="27" s="1"/>
  <c r="D42" i="18"/>
  <c r="E185" i="27" s="1"/>
  <c r="D41" i="18"/>
  <c r="E184" i="27" s="1"/>
  <c r="D39" i="18"/>
  <c r="E182" i="27" s="1"/>
  <c r="D36" i="25"/>
  <c r="D41" i="1"/>
  <c r="E11" i="27" s="1"/>
  <c r="C208" i="27"/>
  <c r="C205" i="27"/>
  <c r="C206" i="27"/>
  <c r="C207" i="27"/>
  <c r="C17" i="27"/>
  <c r="C18" i="27"/>
  <c r="C19" i="27"/>
  <c r="D37" i="5"/>
  <c r="C16" i="27"/>
  <c r="D36" i="5"/>
  <c r="D35" i="5"/>
  <c r="D34" i="5"/>
  <c r="C92" i="27"/>
  <c r="C89" i="27"/>
  <c r="C86" i="27"/>
  <c r="C83" i="27"/>
  <c r="C74" i="27"/>
  <c r="C71" i="27"/>
  <c r="C68" i="27"/>
  <c r="C59" i="27"/>
  <c r="C56" i="27"/>
  <c r="C53" i="27"/>
  <c r="C50" i="27"/>
  <c r="C35" i="27"/>
  <c r="C32" i="27"/>
  <c r="C29" i="27"/>
  <c r="C26" i="27"/>
  <c r="C90" i="27"/>
  <c r="C87" i="27"/>
  <c r="C84" i="27"/>
  <c r="C75" i="27"/>
  <c r="C72" i="27"/>
  <c r="C69" i="27"/>
  <c r="C66" i="27"/>
  <c r="C60" i="27"/>
  <c r="C57" i="27"/>
  <c r="C54" i="27"/>
  <c r="C51" i="27"/>
  <c r="C33" i="27"/>
  <c r="C30" i="27"/>
  <c r="C27" i="27"/>
  <c r="D36" i="20"/>
  <c r="C85" i="27"/>
  <c r="C76" i="27"/>
  <c r="C67" i="27"/>
  <c r="C58" i="27"/>
  <c r="C28" i="27"/>
  <c r="D41" i="20"/>
  <c r="D35" i="20"/>
  <c r="D40" i="20"/>
  <c r="D34" i="20"/>
  <c r="C91" i="27"/>
  <c r="C82" i="27"/>
  <c r="C73" i="27"/>
  <c r="C55" i="27"/>
  <c r="C34" i="27"/>
  <c r="C25" i="27"/>
  <c r="D39" i="20"/>
  <c r="D33" i="20"/>
  <c r="D38" i="20"/>
  <c r="D32" i="20"/>
  <c r="C88" i="27"/>
  <c r="C70" i="27"/>
  <c r="C52" i="27"/>
  <c r="C31" i="27"/>
  <c r="D37" i="20"/>
  <c r="D31" i="20"/>
  <c r="C136" i="27"/>
  <c r="C133" i="27"/>
  <c r="C130" i="27"/>
  <c r="C137" i="27"/>
  <c r="C134" i="27"/>
  <c r="C131" i="27"/>
  <c r="C135" i="27"/>
  <c r="C132" i="27"/>
  <c r="D39" i="21"/>
  <c r="E135" i="27" s="1"/>
  <c r="D38" i="21"/>
  <c r="E134" i="27" s="1"/>
  <c r="D37" i="21"/>
  <c r="E133" i="27" s="1"/>
  <c r="D36" i="21"/>
  <c r="E132" i="27" s="1"/>
  <c r="D41" i="21"/>
  <c r="E137" i="27" s="1"/>
  <c r="D35" i="21"/>
  <c r="E131" i="27" s="1"/>
  <c r="D40" i="21"/>
  <c r="E136" i="27" s="1"/>
  <c r="B9" i="1"/>
  <c r="B30" i="1" s="1"/>
  <c r="B31" i="1" s="1"/>
  <c r="B9" i="19"/>
  <c r="D35" i="22"/>
  <c r="E150" i="27" s="1"/>
  <c r="D38" i="22"/>
  <c r="E153" i="27" s="1"/>
  <c r="D41" i="22"/>
  <c r="E156" i="27" s="1"/>
  <c r="D44" i="22"/>
  <c r="E159" i="27" s="1"/>
  <c r="D170" i="27"/>
  <c r="C169" i="30" s="1"/>
  <c r="D55" i="22"/>
  <c r="E170" i="27" s="1"/>
  <c r="D144" i="27"/>
  <c r="C143" i="30" s="1"/>
  <c r="D11" i="23"/>
  <c r="E144" i="27" s="1"/>
  <c r="D119" i="27"/>
  <c r="C118" i="30" s="1"/>
  <c r="B13" i="29"/>
  <c r="B36" i="29" s="1"/>
  <c r="B37" i="29" s="1"/>
  <c r="D171" i="27"/>
  <c r="C170" i="30" s="1"/>
  <c r="D56" i="22"/>
  <c r="E171" i="27" s="1"/>
  <c r="D145" i="27"/>
  <c r="C144" i="30" s="1"/>
  <c r="D12" i="23"/>
  <c r="E145" i="27" s="1"/>
  <c r="D111" i="27"/>
  <c r="C110" i="30" s="1"/>
  <c r="D120" i="27"/>
  <c r="C119" i="30" s="1"/>
  <c r="B9" i="16"/>
  <c r="B30" i="16" s="1"/>
  <c r="B31" i="16" s="1"/>
  <c r="D33" i="22"/>
  <c r="E148" i="27" s="1"/>
  <c r="D36" i="22"/>
  <c r="E151" i="27" s="1"/>
  <c r="D39" i="22"/>
  <c r="E154" i="27" s="1"/>
  <c r="D42" i="22"/>
  <c r="E157" i="27" s="1"/>
  <c r="D45" i="22"/>
  <c r="E160" i="27" s="1"/>
  <c r="D176" i="27"/>
  <c r="C175" i="30" s="1"/>
  <c r="D61" i="22"/>
  <c r="E176" i="27" s="1"/>
  <c r="D116" i="27"/>
  <c r="C115" i="30" s="1"/>
  <c r="D125" i="27"/>
  <c r="C124" i="30" s="1"/>
  <c r="D177" i="27"/>
  <c r="C176" i="30" s="1"/>
  <c r="D62" i="22"/>
  <c r="E177" i="27" s="1"/>
  <c r="D107" i="27"/>
  <c r="C106" i="30" s="1"/>
  <c r="D117" i="27"/>
  <c r="C116" i="30" s="1"/>
  <c r="D126" i="27"/>
  <c r="C125" i="30" s="1"/>
  <c r="D173" i="27"/>
  <c r="C172" i="30" s="1"/>
  <c r="D58" i="22"/>
  <c r="E173" i="27" s="1"/>
  <c r="C145" i="27"/>
  <c r="C146" i="27"/>
  <c r="C143" i="27"/>
  <c r="C147" i="27"/>
  <c r="C144" i="27"/>
  <c r="D14" i="23"/>
  <c r="E147" i="27" s="1"/>
  <c r="D113" i="27"/>
  <c r="C112" i="30" s="1"/>
  <c r="D122" i="27"/>
  <c r="C121" i="30" s="1"/>
  <c r="D34" i="21"/>
  <c r="E130" i="27" s="1"/>
  <c r="D51" i="22"/>
  <c r="E166" i="27" s="1"/>
  <c r="D54" i="22"/>
  <c r="E169" i="27" s="1"/>
  <c r="D174" i="27"/>
  <c r="C173" i="30" s="1"/>
  <c r="D59" i="22"/>
  <c r="E174" i="27" s="1"/>
  <c r="D10" i="23"/>
  <c r="E143" i="27" s="1"/>
  <c r="B27" i="24"/>
  <c r="B28" i="24" s="1"/>
  <c r="D40" i="24" s="1"/>
  <c r="E111" i="27" s="1"/>
  <c r="D114" i="27"/>
  <c r="C113" i="30" s="1"/>
  <c r="D123" i="27"/>
  <c r="C122" i="30" s="1"/>
  <c r="D211" i="27"/>
  <c r="C210" i="30" s="1"/>
  <c r="D43" i="27"/>
  <c r="C42" i="30" s="1"/>
  <c r="D216" i="27"/>
  <c r="C215" i="30" s="1"/>
  <c r="D42" i="27"/>
  <c r="C41" i="30" s="1"/>
  <c r="C220" i="27" l="1"/>
  <c r="C217" i="27"/>
  <c r="C214" i="27"/>
  <c r="C218" i="27"/>
  <c r="C215" i="27"/>
  <c r="C219" i="27"/>
  <c r="C216" i="27"/>
  <c r="C213" i="27"/>
  <c r="D47" i="29"/>
  <c r="E220" i="27" s="1"/>
  <c r="D42" i="29"/>
  <c r="E215" i="27" s="1"/>
  <c r="D46" i="29"/>
  <c r="E219" i="27" s="1"/>
  <c r="D41" i="29"/>
  <c r="E214" i="27" s="1"/>
  <c r="D40" i="29"/>
  <c r="E213" i="27" s="1"/>
  <c r="D44" i="29"/>
  <c r="E217" i="27" s="1"/>
  <c r="D43" i="29"/>
  <c r="E216" i="27" s="1"/>
  <c r="D45" i="29"/>
  <c r="E218" i="27" s="1"/>
  <c r="E90" i="27"/>
  <c r="E33" i="27"/>
  <c r="E58" i="27"/>
  <c r="E74" i="27"/>
  <c r="D54" i="24"/>
  <c r="E125" i="27" s="1"/>
  <c r="D47" i="24"/>
  <c r="E118" i="27" s="1"/>
  <c r="D49" i="24"/>
  <c r="E120" i="27" s="1"/>
  <c r="E51" i="27"/>
  <c r="E67" i="27"/>
  <c r="E83" i="27"/>
  <c r="E26" i="27"/>
  <c r="D34" i="24"/>
  <c r="E105" i="27" s="1"/>
  <c r="E72" i="27"/>
  <c r="E88" i="27"/>
  <c r="E31" i="27"/>
  <c r="E56" i="27"/>
  <c r="D43" i="24"/>
  <c r="E114" i="27" s="1"/>
  <c r="D42" i="24"/>
  <c r="E113" i="27" s="1"/>
  <c r="D31" i="24"/>
  <c r="E102" i="27" s="1"/>
  <c r="C14" i="27"/>
  <c r="C11" i="27"/>
  <c r="C8" i="27"/>
  <c r="C5" i="27"/>
  <c r="C15" i="27"/>
  <c r="C12" i="27"/>
  <c r="C9" i="27"/>
  <c r="C6" i="27"/>
  <c r="D45" i="1"/>
  <c r="E15" i="27" s="1"/>
  <c r="D36" i="1"/>
  <c r="E6" i="27" s="1"/>
  <c r="C10" i="27"/>
  <c r="D44" i="1"/>
  <c r="E14" i="27" s="1"/>
  <c r="D35" i="1"/>
  <c r="E5" i="27" s="1"/>
  <c r="D43" i="1"/>
  <c r="E13" i="27" s="1"/>
  <c r="D40" i="1"/>
  <c r="E10" i="27" s="1"/>
  <c r="D34" i="1"/>
  <c r="E4" i="27" s="1"/>
  <c r="C7" i="27"/>
  <c r="D39" i="1"/>
  <c r="E9" i="27" s="1"/>
  <c r="D42" i="1"/>
  <c r="E12" i="27" s="1"/>
  <c r="D38" i="1"/>
  <c r="E8" i="27" s="1"/>
  <c r="C13" i="27"/>
  <c r="C4" i="27"/>
  <c r="D37" i="1"/>
  <c r="E7" i="27" s="1"/>
  <c r="E84" i="27"/>
  <c r="E27" i="27"/>
  <c r="E52" i="27"/>
  <c r="E68" i="27"/>
  <c r="E206" i="27"/>
  <c r="E17" i="27"/>
  <c r="E211" i="27"/>
  <c r="E43" i="27"/>
  <c r="E209" i="27"/>
  <c r="E41" i="27"/>
  <c r="C127" i="27"/>
  <c r="C124" i="27"/>
  <c r="C121" i="27"/>
  <c r="C118" i="27"/>
  <c r="C115" i="27"/>
  <c r="C112" i="27"/>
  <c r="C109" i="27"/>
  <c r="C106" i="27"/>
  <c r="C103" i="27"/>
  <c r="C128" i="27"/>
  <c r="C125" i="27"/>
  <c r="C122" i="27"/>
  <c r="C119" i="27"/>
  <c r="C116" i="27"/>
  <c r="C113" i="27"/>
  <c r="C110" i="27"/>
  <c r="C107" i="27"/>
  <c r="C104" i="27"/>
  <c r="C129" i="27"/>
  <c r="C126" i="27"/>
  <c r="C123" i="27"/>
  <c r="C120" i="27"/>
  <c r="C117" i="27"/>
  <c r="C114" i="27"/>
  <c r="C111" i="27"/>
  <c r="C108" i="27"/>
  <c r="C105" i="27"/>
  <c r="C102" i="27"/>
  <c r="D39" i="24"/>
  <c r="E110" i="27" s="1"/>
  <c r="D35" i="24"/>
  <c r="E106" i="27" s="1"/>
  <c r="D57" i="24"/>
  <c r="E128" i="27" s="1"/>
  <c r="D56" i="24"/>
  <c r="E127" i="27" s="1"/>
  <c r="D37" i="24"/>
  <c r="E108" i="27" s="1"/>
  <c r="D32" i="24"/>
  <c r="E103" i="27" s="1"/>
  <c r="D50" i="24"/>
  <c r="E121" i="27" s="1"/>
  <c r="D41" i="24"/>
  <c r="E112" i="27" s="1"/>
  <c r="D53" i="24"/>
  <c r="E124" i="27" s="1"/>
  <c r="D44" i="24"/>
  <c r="E115" i="27" s="1"/>
  <c r="D58" i="24"/>
  <c r="E129" i="27" s="1"/>
  <c r="D33" i="24"/>
  <c r="E104" i="27" s="1"/>
  <c r="D46" i="24"/>
  <c r="E117" i="27" s="1"/>
  <c r="D48" i="24"/>
  <c r="E119" i="27" s="1"/>
  <c r="E212" i="27"/>
  <c r="E44" i="27"/>
  <c r="C202" i="27"/>
  <c r="C199" i="27"/>
  <c r="C196" i="27"/>
  <c r="C203" i="27"/>
  <c r="C200" i="27"/>
  <c r="C197" i="27"/>
  <c r="C194" i="27"/>
  <c r="C204" i="27"/>
  <c r="C201" i="27"/>
  <c r="C198" i="27"/>
  <c r="C195" i="27"/>
  <c r="D40" i="16"/>
  <c r="E200" i="27" s="1"/>
  <c r="D34" i="16"/>
  <c r="E194" i="27" s="1"/>
  <c r="D39" i="16"/>
  <c r="E199" i="27" s="1"/>
  <c r="D42" i="16"/>
  <c r="E202" i="27" s="1"/>
  <c r="D38" i="16"/>
  <c r="E198" i="27" s="1"/>
  <c r="D37" i="16"/>
  <c r="E197" i="27" s="1"/>
  <c r="D41" i="16"/>
  <c r="E201" i="27" s="1"/>
  <c r="D36" i="16"/>
  <c r="E196" i="27" s="1"/>
  <c r="D44" i="16"/>
  <c r="E204" i="27" s="1"/>
  <c r="D35" i="16"/>
  <c r="E195" i="27" s="1"/>
  <c r="D38" i="24"/>
  <c r="E109" i="27" s="1"/>
  <c r="E69" i="27"/>
  <c r="E85" i="27"/>
  <c r="E28" i="27"/>
  <c r="E53" i="27"/>
  <c r="E210" i="27"/>
  <c r="E42" i="27"/>
  <c r="D52" i="24"/>
  <c r="E123" i="27" s="1"/>
  <c r="D36" i="24"/>
  <c r="E107" i="27" s="1"/>
  <c r="E75" i="27"/>
  <c r="E91" i="27"/>
  <c r="E34" i="27"/>
  <c r="E59" i="27"/>
  <c r="E208" i="27"/>
  <c r="E19" i="27"/>
  <c r="C193" i="27"/>
  <c r="C190" i="27"/>
  <c r="C142" i="27"/>
  <c r="C139" i="27"/>
  <c r="C191" i="27"/>
  <c r="C140" i="27"/>
  <c r="C192" i="27"/>
  <c r="C189" i="27"/>
  <c r="C141" i="27"/>
  <c r="C138" i="27"/>
  <c r="C80" i="27"/>
  <c r="C77" i="27"/>
  <c r="C65" i="27"/>
  <c r="C62" i="27"/>
  <c r="C47" i="27"/>
  <c r="C38" i="27"/>
  <c r="C23" i="27"/>
  <c r="C20" i="27"/>
  <c r="C81" i="27"/>
  <c r="C78" i="27"/>
  <c r="C63" i="27"/>
  <c r="C48" i="27"/>
  <c r="C45" i="27"/>
  <c r="C39" i="27"/>
  <c r="C36" i="27"/>
  <c r="C24" i="27"/>
  <c r="C21" i="27"/>
  <c r="D36" i="19"/>
  <c r="C49" i="27"/>
  <c r="C37" i="27"/>
  <c r="D35" i="19"/>
  <c r="C64" i="27"/>
  <c r="C46" i="27"/>
  <c r="D39" i="19"/>
  <c r="D38" i="19"/>
  <c r="C79" i="27"/>
  <c r="C61" i="27"/>
  <c r="C40" i="27"/>
  <c r="C22" i="27"/>
  <c r="D37" i="19"/>
  <c r="E207" i="27"/>
  <c r="E18" i="27"/>
  <c r="D43" i="16"/>
  <c r="E203" i="27" s="1"/>
  <c r="D51" i="24"/>
  <c r="E122" i="27" s="1"/>
  <c r="D45" i="24"/>
  <c r="E116" i="27" s="1"/>
  <c r="E66" i="27"/>
  <c r="E82" i="27"/>
  <c r="E25" i="27"/>
  <c r="E50" i="27"/>
  <c r="E54" i="27"/>
  <c r="E70" i="27"/>
  <c r="E86" i="27"/>
  <c r="E29" i="27"/>
  <c r="D55" i="24"/>
  <c r="E126" i="27" s="1"/>
  <c r="E57" i="27"/>
  <c r="E73" i="27"/>
  <c r="E89" i="27"/>
  <c r="E32" i="27"/>
  <c r="E60" i="27"/>
  <c r="E76" i="27"/>
  <c r="E92" i="27"/>
  <c r="E35" i="27"/>
  <c r="E87" i="27"/>
  <c r="E30" i="27"/>
  <c r="E55" i="27"/>
  <c r="E71" i="27"/>
  <c r="E205" i="27"/>
  <c r="E16" i="27"/>
  <c r="E193" i="27" l="1"/>
  <c r="E142" i="27"/>
  <c r="E81" i="27"/>
  <c r="E24" i="27"/>
  <c r="E49" i="27"/>
  <c r="E40" i="27"/>
  <c r="E65" i="27"/>
  <c r="E190" i="27"/>
  <c r="E139" i="27"/>
  <c r="E78" i="27"/>
  <c r="E21" i="27"/>
  <c r="E46" i="27"/>
  <c r="E37" i="27"/>
  <c r="E62" i="27"/>
  <c r="E189" i="27"/>
  <c r="E138" i="27"/>
  <c r="E45" i="27"/>
  <c r="E36" i="27"/>
  <c r="E61" i="27"/>
  <c r="E77" i="27"/>
  <c r="E20" i="27"/>
  <c r="E192" i="27"/>
  <c r="E141" i="27"/>
  <c r="E48" i="27"/>
  <c r="E39" i="27"/>
  <c r="E64" i="27"/>
  <c r="E80" i="27"/>
  <c r="E23" i="27"/>
  <c r="E191" i="27"/>
  <c r="E140" i="27"/>
  <c r="E63" i="27"/>
  <c r="E79" i="27"/>
  <c r="E22" i="27"/>
  <c r="E38" i="27"/>
  <c r="E47" i="27"/>
</calcChain>
</file>

<file path=xl/sharedStrings.xml><?xml version="1.0" encoding="utf-8"?>
<sst xmlns="http://schemas.openxmlformats.org/spreadsheetml/2006/main" count="8633" uniqueCount="1337">
  <si>
    <t>RIAC-HDBK-217Plus</t>
  </si>
  <si>
    <t>Pi-G</t>
  </si>
  <si>
    <t>Y</t>
  </si>
  <si>
    <t>Beta</t>
  </si>
  <si>
    <t>Lambda-OB</t>
  </si>
  <si>
    <t>Pi-DCO</t>
  </si>
  <si>
    <t>DC</t>
  </si>
  <si>
    <t>Justification</t>
  </si>
  <si>
    <t>Component</t>
  </si>
  <si>
    <t>Failure Rate Model</t>
  </si>
  <si>
    <t>RIAC-HDBK-217Plus Table 2.2.4-1</t>
  </si>
  <si>
    <t>RIAC-HDBK-217Plus Section 2.2.4</t>
  </si>
  <si>
    <t>Ea-op</t>
  </si>
  <si>
    <t>DC-1op</t>
  </si>
  <si>
    <t>T-AO</t>
  </si>
  <si>
    <t>T-R</t>
  </si>
  <si>
    <t>RIAC-HDBK-217Plus Table 2.2.4-1 (TR-Default)</t>
  </si>
  <si>
    <t>Pi-TO</t>
  </si>
  <si>
    <t>Lambda-EB</t>
  </si>
  <si>
    <t>DC-1nonop</t>
  </si>
  <si>
    <t>Pi-DCN</t>
  </si>
  <si>
    <t>RH</t>
  </si>
  <si>
    <t>Pi-RHT</t>
  </si>
  <si>
    <t>Ea-nonop</t>
  </si>
  <si>
    <t>T-AE</t>
  </si>
  <si>
    <t>Lambda-TCB</t>
  </si>
  <si>
    <t>CR</t>
  </si>
  <si>
    <t>Pi-CR</t>
  </si>
  <si>
    <t>CR1</t>
  </si>
  <si>
    <t>Pi-DT</t>
  </si>
  <si>
    <t>DT1</t>
  </si>
  <si>
    <t>Lambda-SJB</t>
  </si>
  <si>
    <t>Pi-SJDT</t>
  </si>
  <si>
    <t>Lambda-IND</t>
  </si>
  <si>
    <t>Lambda-P (FIT)</t>
  </si>
  <si>
    <t>Lambda-P (1/h)</t>
  </si>
  <si>
    <t>Lambda-P (FIT) / 1000000</t>
  </si>
  <si>
    <t>Perda de alimentação</t>
  </si>
  <si>
    <t>Probability</t>
  </si>
  <si>
    <t>Perda de integridade de dados</t>
  </si>
  <si>
    <t>Lentidão de acesso</t>
  </si>
  <si>
    <t>Abertura de pinos</t>
  </si>
  <si>
    <t>Curto-circuito entre pinos</t>
  </si>
  <si>
    <t>Safe</t>
  </si>
  <si>
    <t>Unsafe</t>
  </si>
  <si>
    <t>Undetectable</t>
  </si>
  <si>
    <t>-</t>
  </si>
  <si>
    <t>NXP MPC5744P</t>
  </si>
  <si>
    <t>https://www.nxp.com/docs/en/data-sheet/MPC5744P.pdf</t>
  </si>
  <si>
    <t>GigaDevice GD5F4GQ4UAYIG</t>
  </si>
  <si>
    <t>Hypothesis that the supervised and supervisor systems are used 24 hours per day.</t>
  </si>
  <si>
    <t>Assumed 71°C as the operational temperature of the processor in both the supervised and supervisor systems.</t>
  </si>
  <si>
    <t>Assumed the hypothesis of a worst-case humidity of 90% humidity during the operation.</t>
  </si>
  <si>
    <t>Assumed 14°C as the non-operational temperature of the processor in both the supervised and supervisor systems.</t>
  </si>
  <si>
    <t>Assumed that the processor is rebooted on once per day in both the supervised and supervisor systems.</t>
  </si>
  <si>
    <t>Assumed 71°C as the operational temperature of the Flash memory in both the supervised and supervisor systems.</t>
  </si>
  <si>
    <t>Assumed 14°C as the non-operational temperature of the Flash memory in both the supervised and supervisor systems.</t>
  </si>
  <si>
    <t>Assumed that the Flash memory is turned on once per day in both the supervised and supervisor systems.</t>
  </si>
  <si>
    <t>Failure Mode (PT-BR)</t>
  </si>
  <si>
    <t>Failure Rate of the Failure Mode</t>
  </si>
  <si>
    <t>Supply open</t>
  </si>
  <si>
    <t>Failure Mode (EN)</t>
  </si>
  <si>
    <t>Input open</t>
  </si>
  <si>
    <t>Justification Failure Mode and Probability</t>
  </si>
  <si>
    <t>MIL-HDBK-338B:1998</t>
  </si>
  <si>
    <t>MIL-HDBK-338B:1998 (Output open equally distributed per used output)</t>
  </si>
  <si>
    <t>Output 'Dig_Out1' open</t>
  </si>
  <si>
    <t>Output 'Dig_Out2' open</t>
  </si>
  <si>
    <t>Saída 'Dig_Out1' em aberto</t>
  </si>
  <si>
    <t>Saída 'Dig_Out2' em aberto</t>
  </si>
  <si>
    <t>MIL-HDBK-338B:1998 (Output stuck low equally distributed per used output)</t>
  </si>
  <si>
    <t>Output 'Dig_Out1' stuck low</t>
  </si>
  <si>
    <t>Output 'Dig_Out1' stuck high</t>
  </si>
  <si>
    <t>Output 'Dig_Out2' stuck low</t>
  </si>
  <si>
    <t>Output 'Dig_Out2' stuck high</t>
  </si>
  <si>
    <t>Saída 'Dig_Out1' fixada em nível ‘0’</t>
  </si>
  <si>
    <t>Saída 'Dig_Out2' fixada em nível ‘0’</t>
  </si>
  <si>
    <t>Saída 'Dig_Out1' fixada em nível ‘1’</t>
  </si>
  <si>
    <t>Saída 'Dig_Out2' fixada em nível ‘1’</t>
  </si>
  <si>
    <t>MIL-HDBK-338B:1998 (Output stuck high equally distributed per used output)</t>
  </si>
  <si>
    <t>Input 'Anal_In1' open</t>
  </si>
  <si>
    <t>Entrada 'Anal_In1' em aberto</t>
  </si>
  <si>
    <t>MIL-HDBK-338B:1998 (Input open equally distributed per used output)</t>
  </si>
  <si>
    <t>Data bit loss</t>
  </si>
  <si>
    <t>Slow transfer of data</t>
  </si>
  <si>
    <t>Open</t>
  </si>
  <si>
    <t>Short-circuit</t>
  </si>
  <si>
    <t>Short-Circuit</t>
  </si>
  <si>
    <t>Short-Circuit to Casing</t>
  </si>
  <si>
    <t>Abertura</t>
  </si>
  <si>
    <t>Curto-circuito com a Carcaça</t>
  </si>
  <si>
    <t>1N4728A</t>
  </si>
  <si>
    <t>https://www.vishay.com/docs/85816/1n4728a.pdf</t>
  </si>
  <si>
    <t>RIAC-HDBK-217Plus Table 2.2.3-1</t>
  </si>
  <si>
    <t>RIAC-HDBK-217Plus Section 2.2.3</t>
  </si>
  <si>
    <t>RIAC-HDBK-217Plus Table 2.2.3-1 (TR-Default)</t>
  </si>
  <si>
    <t>Pi-S</t>
  </si>
  <si>
    <t>Vs</t>
  </si>
  <si>
    <t>RIAC-HDBK-217Plus Table 2.2.3-1 (Vs-Default)</t>
  </si>
  <si>
    <t>Pi-TE</t>
  </si>
  <si>
    <t>Increase of Leakage Current</t>
  </si>
  <si>
    <t>Change of Differential Resistance</t>
  </si>
  <si>
    <t>Increase of Forward Conducting-State Voltage</t>
  </si>
  <si>
    <t>Decrease of Forward Conducting-State Voltage</t>
  </si>
  <si>
    <t>Increase of Forward Threshold Voltage</t>
  </si>
  <si>
    <t>Decrease of Forward Threshold Voltage</t>
  </si>
  <si>
    <t>Short-Circuit to Conductive Casing</t>
  </si>
  <si>
    <t>MIL-HDBK-338B:1998; CENELEC EN50129:2018</t>
  </si>
  <si>
    <t>Increase of Zener Voltage</t>
  </si>
  <si>
    <t>Decrease of Zener Voltage</t>
  </si>
  <si>
    <t>Aumento da Tensão Zener</t>
  </si>
  <si>
    <t>Diminuição da Tensão Zener</t>
  </si>
  <si>
    <t>Aumento da Corrente Reversa</t>
  </si>
  <si>
    <t>Alteração da Resistência Diferencial</t>
  </si>
  <si>
    <t>Aumento da Tensão de Condução Direta</t>
  </si>
  <si>
    <t>Diminuição da Tensão de Condução Direta</t>
  </si>
  <si>
    <t>Aumento da Tensão de Limiar Direta</t>
  </si>
  <si>
    <t>Diminuição da Tensão de Limiar Direta</t>
  </si>
  <si>
    <t>Curto-circuito para Carcaça Condutiva</t>
  </si>
  <si>
    <t>https://www.vishay.com/docs/49252/_sg2189-2102-smd_resistors-draloric_beyschlag.pdf</t>
  </si>
  <si>
    <t>Vishay SMD Film Resistors</t>
  </si>
  <si>
    <t>RIAC-HDBK-217Plus Table 2.2.12-1</t>
  </si>
  <si>
    <t>RIAC-HDBK-217Plus Section 2.2.12</t>
  </si>
  <si>
    <t>RIAC-HDBK-217Plus Table 2.2.12-1 (TR-Default)</t>
  </si>
  <si>
    <t>P</t>
  </si>
  <si>
    <t>Pi-P</t>
  </si>
  <si>
    <t>Maximum power rated as 1W as per the component datasheet for power resistors.</t>
  </si>
  <si>
    <t>Increase of Resistance Value</t>
  </si>
  <si>
    <t>Decrease of Resistance Value</t>
  </si>
  <si>
    <t>Curto-circuito</t>
  </si>
  <si>
    <t>Aumento da Resistência</t>
  </si>
  <si>
    <t>Diminuição da Resistência</t>
  </si>
  <si>
    <t>Diodo aberto</t>
  </si>
  <si>
    <t>Emissor aberto</t>
  </si>
  <si>
    <t>Base aberta</t>
  </si>
  <si>
    <t>Aumento da Sensibilidade à Luz</t>
  </si>
  <si>
    <t>Diminuição da Sensibilidade à Luz</t>
  </si>
  <si>
    <t>Alteração do Tempo de Chaveamento</t>
  </si>
  <si>
    <t>Aumento do Ganho de Corrente</t>
  </si>
  <si>
    <t>Diminuição do Ganho de Corrente</t>
  </si>
  <si>
    <t>Aumento da Corrente de Fuga</t>
  </si>
  <si>
    <t>Diminuição da Resistência de Isolamento entre Entrada e Saída</t>
  </si>
  <si>
    <t>Coletor aberto</t>
  </si>
  <si>
    <t>MIL-HDBK-338B:1998; CENELEC EN50129:2018; expert knowledge</t>
  </si>
  <si>
    <t>Open diode</t>
  </si>
  <si>
    <t>Open emitter</t>
  </si>
  <si>
    <t>Open collector</t>
  </si>
  <si>
    <t>Open base</t>
  </si>
  <si>
    <t>Increase of light sensitivity</t>
  </si>
  <si>
    <t>Decrease of light sensitivity</t>
  </si>
  <si>
    <t>Increase of leakage current</t>
  </si>
  <si>
    <t>Reduced insulation between input and output</t>
  </si>
  <si>
    <t>Change on switching time</t>
  </si>
  <si>
    <t>Increase of current gain</t>
  </si>
  <si>
    <t>Decrease of current gain</t>
  </si>
  <si>
    <t>https://www.vishay.com/docs/83725/4n25.pdf</t>
  </si>
  <si>
    <t>Vishay 4N25 (optocoupler/optoisolator)</t>
  </si>
  <si>
    <t>RIAC-HDBK-217Plus Table 2.2.8-1</t>
  </si>
  <si>
    <t>RIAC-HDBK-217Plus Section 2.2.8</t>
  </si>
  <si>
    <t>RIAC-HDBK-217Plus Table 2.2.8-1 (TR-Default)</t>
  </si>
  <si>
    <t>Nexperia 74LVC1G332</t>
  </si>
  <si>
    <t>https://assets.nexperia.com/documents/data-sheet/74LVC1G332.pdf</t>
  </si>
  <si>
    <t>RIAC-HDBK-217Plus Table 2.2.14-1</t>
  </si>
  <si>
    <t>RIAC-HDBK-217Plus Section 2.2.14</t>
  </si>
  <si>
    <t>RIAC-HDBK-217Plus Table 2.2.14-1 (TR-Default)</t>
  </si>
  <si>
    <t>Saída 'Y' em aberto</t>
  </si>
  <si>
    <t>Output 'Y' open</t>
  </si>
  <si>
    <t>Output 'Y' stuck low</t>
  </si>
  <si>
    <t>Output 'Y' stuck high</t>
  </si>
  <si>
    <t>Saída 'Y' fixada em nível ‘0’</t>
  </si>
  <si>
    <t>Saída 'Y' fixada em nível ‘1’</t>
  </si>
  <si>
    <t>Entrada em aberto</t>
  </si>
  <si>
    <t>Input 'A' open</t>
  </si>
  <si>
    <t>Input 'B' open</t>
  </si>
  <si>
    <t>Entrada 'A' em aberto</t>
  </si>
  <si>
    <t>Entrada 'B' em aberto</t>
  </si>
  <si>
    <t>Input 'C' open</t>
  </si>
  <si>
    <t>Entrada 'C' em aberto</t>
  </si>
  <si>
    <t>Interruption of Gate</t>
  </si>
  <si>
    <t>Interruption of Source</t>
  </si>
  <si>
    <t>Interruption of Drain</t>
  </si>
  <si>
    <t>Interruption of Gate and Source</t>
  </si>
  <si>
    <t>Interruption of Gate and Drain</t>
  </si>
  <si>
    <t>Interruption of Source and Drain</t>
  </si>
  <si>
    <t>Interruption of Gate, Source and Drain</t>
  </si>
  <si>
    <t>Short-Circuit Between Source and Drain</t>
  </si>
  <si>
    <t>Short-Circuit Between Gate and Drain</t>
  </si>
  <si>
    <t>Short-Circuit Between Source and Gate</t>
  </si>
  <si>
    <t>Short-Circuit Between Source, Gate and Drain</t>
  </si>
  <si>
    <t>Short-Circuit Between Source and Drain with Interruption of Gate</t>
  </si>
  <si>
    <t>Short-Circuit Between Gate and Drain with Interruption of Source</t>
  </si>
  <si>
    <t>Short-Circuit Between Source and Gate with Interruption of Drain</t>
  </si>
  <si>
    <t>Short-Circuit Between Casing and Source</t>
  </si>
  <si>
    <t>Short-Circuit Between Casing and Gate</t>
  </si>
  <si>
    <t>Short-Circuit Between Casing and Drain</t>
  </si>
  <si>
    <t>Increase of Forward Transcondutance</t>
  </si>
  <si>
    <t>Decrease of Forward Transcondutance</t>
  </si>
  <si>
    <t>Increase of Gate Threshold Voltage</t>
  </si>
  <si>
    <t>Decrease of Gate Threshold Voltage</t>
  </si>
  <si>
    <t>Decrease of Drain-Source Breakdown Voltage</t>
  </si>
  <si>
    <t>Decrease of Gate-Source Maximum Rated Voltage</t>
  </si>
  <si>
    <t>Decrease of Drain-Gate Maximum Rated Voltage</t>
  </si>
  <si>
    <t>Change of Turn-On Time</t>
  </si>
  <si>
    <t>Change of Turn-Off Time</t>
  </si>
  <si>
    <t>Increase of Leakage Current IGS</t>
  </si>
  <si>
    <t>Increase of Leakage Current IDS</t>
  </si>
  <si>
    <t>Increase of Leakage Current IGD</t>
  </si>
  <si>
    <t>Change of Static Drain to Source On-State Resistance</t>
  </si>
  <si>
    <t>Abertura da Porta</t>
  </si>
  <si>
    <t>Abertura da Fonte</t>
  </si>
  <si>
    <t>Abertura do Dreno</t>
  </si>
  <si>
    <t>Abertura da Porta e da Fonte</t>
  </si>
  <si>
    <t>Abertura da Porta e do Dreno</t>
  </si>
  <si>
    <t>Abertura da Fonte e do Dreno</t>
  </si>
  <si>
    <t>Abertura da Porta, da Fonte e do Dreno</t>
  </si>
  <si>
    <t>Curto-Circuito entre Fonte e Dreno</t>
  </si>
  <si>
    <t>Curto-Circuito entre Porta e Dreno</t>
  </si>
  <si>
    <t>Curto-Circuito entre Fonte e Porta</t>
  </si>
  <si>
    <t>Curto-Circuito entre Fonte, Porta e Dreno</t>
  </si>
  <si>
    <t>Curto-Circuito entre Fonte e Dreno com Abertura da Porta</t>
  </si>
  <si>
    <t>Curto-Circuito entre Porta e Dreno com Abertura da Fonte</t>
  </si>
  <si>
    <t>Curto-Circuito entre Fonte e Porta com Abertura do Dreno</t>
  </si>
  <si>
    <t>Curto-Circuito entre Carcaça e Fonte</t>
  </si>
  <si>
    <t>Curto-Circuito entre Carcaça e Porta</t>
  </si>
  <si>
    <t>Curto-Circuito entre Carcaça e Dreno</t>
  </si>
  <si>
    <t>Aumento da Transcondutância Direta</t>
  </si>
  <si>
    <t>Diminuição da Transcondutância Direta</t>
  </si>
  <si>
    <t>Aumento da Tensão de Limiar da Porta</t>
  </si>
  <si>
    <t>Diminuição da Tensão de Limiar da Porta</t>
  </si>
  <si>
    <t>Diminuição da Tensão de Ruptura Dreno-Fonte</t>
  </si>
  <si>
    <t>Diminuição da Tensão Máxima Porta-Fonte</t>
  </si>
  <si>
    <t>Diminuição da Tensão Máxima Dreno-Porta</t>
  </si>
  <si>
    <t>Alteração dos Tempos de Desacionamento</t>
  </si>
  <si>
    <t>Alteração dos Tempos de Acionamento</t>
  </si>
  <si>
    <t>Aumento da Corrente de Fuga IGS</t>
  </si>
  <si>
    <t>Aumento da Corrente de Fuga IDS</t>
  </si>
  <si>
    <t>Aumento da Corrente de Fuga IGD</t>
  </si>
  <si>
    <t>Alteração da Resistência Estática Dreno para Fonte em Saturação</t>
  </si>
  <si>
    <t>Not plausible for the component.</t>
  </si>
  <si>
    <t>CENELEC EN50129:2018; MIL-HDBK-338B:1998 (Open + Avg. Output Low/High distributed equally)</t>
  </si>
  <si>
    <t>CENELEC EN50129:2018; MIL-HDBK-338B:1998 (Short + Avg. Output Low/High distributed equally)</t>
  </si>
  <si>
    <t>CENELEC EN50129:2018; MIL-HDBK-338B:1998 (Parameter change equally distributed per used output)</t>
  </si>
  <si>
    <t>Littelfuse 273 Series</t>
  </si>
  <si>
    <t>IEC 62380:2004</t>
  </si>
  <si>
    <t>Lambda0</t>
  </si>
  <si>
    <t>IEC 62380:2004, Chapter 18</t>
  </si>
  <si>
    <t>Pi-I</t>
  </si>
  <si>
    <t>Lambda-EOS</t>
  </si>
  <si>
    <t>Lambda (1/h)</t>
  </si>
  <si>
    <t xml:space="preserve">Abertura </t>
  </si>
  <si>
    <t>Curto-circuito Paralelo</t>
  </si>
  <si>
    <t>Aumento da Corrente de Ruptura</t>
  </si>
  <si>
    <t>Aumento do Tempo de Ruptura</t>
  </si>
  <si>
    <t>Reconexão após uma Ruptura</t>
  </si>
  <si>
    <t>Interruption</t>
  </si>
  <si>
    <t>Parallel short-circuit</t>
  </si>
  <si>
    <t>Increase of rupture current</t>
  </si>
  <si>
    <t>Increase of rupture time</t>
  </si>
  <si>
    <t>Reconnection after rupture</t>
  </si>
  <si>
    <t>CENELEC EN50129:2018, MIL-HDBK-338B:1998</t>
  </si>
  <si>
    <t>CENELEC EN50129:2018, MIL-HDBK-338B:1998 ('Fails to open' on MIL-HDBK-338B proportional to all related failure modes).</t>
  </si>
  <si>
    <t>https://www.littelfuse.com/~/media/electronics/datasheets/fuses/littelfuse_fuse_272_273_274_278_279_datasheet.pdf.pdf</t>
  </si>
  <si>
    <t>RIAC-HDBK-217Plus Table 2.2.10-1</t>
  </si>
  <si>
    <t>RIAC-HDBK-217Plus Section 2.2.10</t>
  </si>
  <si>
    <t>RIAC-HDBK-217Plus Table 2.2.10-1 (TR-Default)</t>
  </si>
  <si>
    <t>Abertura de qualquer Bobina</t>
  </si>
  <si>
    <t>Vibração entre Contatos</t>
  </si>
  <si>
    <t>Aumento da Corrente de Ativação</t>
  </si>
  <si>
    <t>Diminuição da Corrente de Ativação</t>
  </si>
  <si>
    <t>Aumento da Corrente de Desativação</t>
  </si>
  <si>
    <t>Diminuição da Corrente de Desativação</t>
  </si>
  <si>
    <t>Alteração da Razão entre Ativação e Desativação</t>
  </si>
  <si>
    <t>Aumento do Tempo para Desativação</t>
  </si>
  <si>
    <t>Diminuição do Tempo para Desativação</t>
  </si>
  <si>
    <t>Relé não é Ativado</t>
  </si>
  <si>
    <t>Relé não é Desativado</t>
  </si>
  <si>
    <t>Falta de correspondência entre contatos NF</t>
  </si>
  <si>
    <t>Falta de correspondência entre contatos NA</t>
  </si>
  <si>
    <t>Curto-circuito ou Diminuição da Resistência de Isolação entre Bobinas</t>
  </si>
  <si>
    <t>Curto-circuito ou Diminuição da Resistência de Isolação entre Bobina e Contato</t>
  </si>
  <si>
    <t>Curto-circuito ou Diminuição da Resistência de Isolação entre Bobina e Carcaça</t>
  </si>
  <si>
    <t>Curto-circuito ou Diminuição da Resistência de Isolação entre Contatos</t>
  </si>
  <si>
    <t>Curto-circuito ou Diminuição da Resistência de Isolação entre Contato e Carcaça</t>
  </si>
  <si>
    <t>Curto-circuito ou Diminuição da Resistência de Isolação entre Contatos Abertos</t>
  </si>
  <si>
    <t>Interruption of any coil</t>
  </si>
  <si>
    <t>Short-circuit or decrease of insulation resistance between coil and coil</t>
  </si>
  <si>
    <t>Short-circuit or decrease of insulation resistance between coil and contact</t>
  </si>
  <si>
    <t>Short-circuit or decrease of insulation resistance between coil and case</t>
  </si>
  <si>
    <t>Short-circuit or decrease of insulation resistance between contact and contact</t>
  </si>
  <si>
    <t>Short-circuit or decrease of insulation resistance between contact and case</t>
  </si>
  <si>
    <t>Contact chatter</t>
  </si>
  <si>
    <t>Increase of pick-up current</t>
  </si>
  <si>
    <t>Decrease of pick-up current</t>
  </si>
  <si>
    <t>Increase of drop-away current</t>
  </si>
  <si>
    <t>Decrease of drop-away current</t>
  </si>
  <si>
    <t>Increase of pick-up time</t>
  </si>
  <si>
    <t>Decrease of pick-up time</t>
  </si>
  <si>
    <t>Aumento do Tempo para Ativação</t>
  </si>
  <si>
    <t>Diminuição do Tempo para Ativação</t>
  </si>
  <si>
    <t>Increase of drop-away time</t>
  </si>
  <si>
    <t>Decrease of drop-away time</t>
  </si>
  <si>
    <t>Relay does not pick up</t>
  </si>
  <si>
    <t>Relay does not drop away</t>
  </si>
  <si>
    <t>Closure of any front contact at the same time as any back contact (transient or continuous)</t>
  </si>
  <si>
    <t>Non-correspondence between front contacts</t>
  </si>
  <si>
    <t>Non-correspondence between back contacts</t>
  </si>
  <si>
    <t>Fechamento de qualquer contato NA ao mesmo tempo que qualquer contato NF (transiente ou contínuo)</t>
  </si>
  <si>
    <t>MIL-HDBK-338B:1998; CENELEC EN50129:2018. Not plausible for the chosen component ('weld no transfer').</t>
  </si>
  <si>
    <t>MIL-HDBK-338B:1998; CENELEC EN50129:2018. Not plausible for the chosen component (no conductive case).</t>
  </si>
  <si>
    <t>MIL-HDBK-338B:1998; CENELEC EN50129:2018. Not plausible for the chosen component (single coil).</t>
  </si>
  <si>
    <t>MIL-HDBK-338B:1998; CENELEC EN50129:2018 (subset of 'fails to trip').</t>
  </si>
  <si>
    <t>MIL-HDBK-338B:1998; CENELEC EN50129:2018 (subset of 'spurious trip').</t>
  </si>
  <si>
    <t>MIL-HDBK-338B:1998; CENELEC EN50129:2018 (subset of 'short-circuit').</t>
  </si>
  <si>
    <t>Vicor VI-J1Y-EW</t>
  </si>
  <si>
    <t>https://www.vicorpower.com/documents/datasheets/ds_vi-j00.pdf</t>
  </si>
  <si>
    <t>Ausência de Saída</t>
  </si>
  <si>
    <t>Aumento da Tensão de Saída</t>
  </si>
  <si>
    <t>Diminuição da Tensão de Saída</t>
  </si>
  <si>
    <t>No Output</t>
  </si>
  <si>
    <t>Increase in Output Voltage</t>
  </si>
  <si>
    <t>Decrease in Output Voltage</t>
  </si>
  <si>
    <t>Saída Ruidosa</t>
  </si>
  <si>
    <t>Noisy Output</t>
  </si>
  <si>
    <t>MIL-HDBK-338B:1998; self knowledge</t>
  </si>
  <si>
    <t>MIL-HDBK-338B:1998; self knowledge ('improper output' equally distributed).</t>
  </si>
  <si>
    <t>Increase of Reverse Current</t>
  </si>
  <si>
    <t>Decrease of Reverse Breakdown Voltage</t>
  </si>
  <si>
    <t>Increase of Conducting-State Voltage</t>
  </si>
  <si>
    <t>Decrease of Conducting-State Voltage</t>
  </si>
  <si>
    <t>Increase of Threshold Voltage</t>
  </si>
  <si>
    <t>Decrease of Threshold Voltage</t>
  </si>
  <si>
    <t>Diminuição da Tensão de Ruptura Reversa</t>
  </si>
  <si>
    <t>Aumento da Tensão de Condução</t>
  </si>
  <si>
    <t>Diminuição da Tensão de Condução</t>
  </si>
  <si>
    <t>Aumento da Tensão de Limiar</t>
  </si>
  <si>
    <t>Diminuição da Tensão de Limiar</t>
  </si>
  <si>
    <t>Curto-circuito com Carcaça Condutiva</t>
  </si>
  <si>
    <t>1N4002</t>
  </si>
  <si>
    <t>https://www.vishay.com/docs/88503/1n4001.pdf</t>
  </si>
  <si>
    <t>UC_Diag</t>
  </si>
  <si>
    <t>Flash_Diag</t>
  </si>
  <si>
    <t>DC_DC_Diag</t>
  </si>
  <si>
    <t>UC_Sys</t>
  </si>
  <si>
    <t>Flash_Sys</t>
  </si>
  <si>
    <t>DC_DC_Sys</t>
  </si>
  <si>
    <t>OR_Sys</t>
  </si>
  <si>
    <t>OC1_Sys</t>
  </si>
  <si>
    <t>OC2_Sys</t>
  </si>
  <si>
    <t>OC3_Sys</t>
  </si>
  <si>
    <t>Change of pick-up to drop-away ratio</t>
  </si>
  <si>
    <t>Pino Bidirecional 'SPI' em aberto</t>
  </si>
  <si>
    <t>Pino Bidirecional 'SPI' fixado em nível '0'</t>
  </si>
  <si>
    <t>Pino Bidirecional 'SPI' fixado em nível '1'</t>
  </si>
  <si>
    <t>MIL-HDBK-338B:1998 (Input &amp; Output open equally distributed per used output)</t>
  </si>
  <si>
    <t>Bidirectional Pin 'SPI' open</t>
  </si>
  <si>
    <t>Bidirectional Pin 'SPI' stuck low</t>
  </si>
  <si>
    <t>Bidirectional 'SPI' Pin stuck high</t>
  </si>
  <si>
    <t>Failure Mode</t>
  </si>
  <si>
    <t>Local Effect</t>
  </si>
  <si>
    <t>Global Effect</t>
  </si>
  <si>
    <t>Detectable / Undetectable</t>
  </si>
  <si>
    <t>Component ID</t>
  </si>
  <si>
    <t>Component Failure Rate</t>
  </si>
  <si>
    <t>Failure Mode Rate</t>
  </si>
  <si>
    <t>Safe / Unsafe</t>
  </si>
  <si>
    <t>Mean Fuse_Result_Not_Burn</t>
  </si>
  <si>
    <t>Min Fuse_Result_Not_Burn</t>
  </si>
  <si>
    <t>Max Fuse_Result_Not_Burn</t>
  </si>
  <si>
    <t>Mean Fuse_Result_Burn</t>
  </si>
  <si>
    <t>Min Fuse_Result_Burn</t>
  </si>
  <si>
    <t>Max Fuse_Result_Burn</t>
  </si>
  <si>
    <t>Failure Mode Probability</t>
  </si>
  <si>
    <t>D_Sys</t>
  </si>
  <si>
    <t>R1_Sys</t>
  </si>
  <si>
    <t>R2_Sys</t>
  </si>
  <si>
    <t>R3_Sys</t>
  </si>
  <si>
    <t>K_Sys</t>
  </si>
  <si>
    <t>R4_Sys</t>
  </si>
  <si>
    <t>F_Sys</t>
  </si>
  <si>
    <t>Q_Sys</t>
  </si>
  <si>
    <t>If small, no meaningful effect; if big, same effects of "Open".</t>
  </si>
  <si>
    <t>If small, no meaningful effect; if big, same effects of "Short-Circuit".</t>
  </si>
  <si>
    <t>This failure mode is not applicable because the component does not have a conductive casing.</t>
  </si>
  <si>
    <t>Once the diode is reversally polarized, this failure mode has no meaningful effect.</t>
  </si>
  <si>
    <t>If small, no meaningful effect; if big, same effects of "Short-Circuit Between Gate and Drain".</t>
  </si>
  <si>
    <t>Item</t>
  </si>
  <si>
    <t>Overall Theme</t>
  </si>
  <si>
    <t>Description</t>
  </si>
  <si>
    <t>Sim01</t>
  </si>
  <si>
    <t>According to the NXP MCP5744P datasheet, the following information is applicable to digital outputs:
VOH &gt;= 0.8 * VDD_HV_IO
VOL &lt;= 0.2 * VDD_HV_IO
3.15V &lt;= VDD_HV_IO &lt;= 3.6V
9mA &lt;= IOH &lt;= 90mA (half drive)
10mA &lt;= IOH &lt;= 180mA (full drive)
10.5mA &lt;= IOL &lt;= 115mA (half drive)
21mA &lt;= IOL &lt;= 230mA (full drive)
Based on the previous information, the following worst-case intervals for ROL and ROH are obtained:
17.5ohm &lt;= ROH &lt;= 400ohm
13.7ohm &lt;= ROL &lt;= 360ohm</t>
  </si>
  <si>
    <t>Sim02</t>
  </si>
  <si>
    <t>Sim03</t>
  </si>
  <si>
    <t>Sim04</t>
  </si>
  <si>
    <t>UC_Diag and UC_Sys Digital Input Electrical Models</t>
  </si>
  <si>
    <t>UC_Diag and UC_Sys Digital Output Electrical Models</t>
  </si>
  <si>
    <t>According to the NXP MCP5744P datasheet, the following information is applicable to digital inputs:
0,55 * VDD_HV_IO &lt;= VIH &gt;= VDD_HV_IO + 0,3V (pull-up)
VSS - 0,3V &lt;= VIL &lt;= 0.4 * VDD_HV_IO (pull-down)
3.15V &lt;= VDD_HV_IO &lt;= 3.6V
VSS = 0V
10uA &lt;= IIH, IIL &lt;= 80uA (half drive)
Based on the previous information, the following worst-case intervals for RIL and RIH are obtained:
0ohm &lt;= RIH &lt;= 144kohm
21.656kohm &lt;= RIL &lt;= 390kohm</t>
  </si>
  <si>
    <t>To take into account the circuitry on the NXP MCP5744P datasheet's Figure 8 and the loading data from Table 27 for CP1, CP2, CS, RSW1, and RAD.</t>
  </si>
  <si>
    <t>Infineon IRL3803</t>
  </si>
  <si>
    <t>https://www.infineon.com/dgdl/Infineon-IRL3803-DataSheet-v02_01-EN.pdf?fileId=5546d462533600a40153565f80172554</t>
  </si>
  <si>
    <t>K_Sys Coil Parameters</t>
  </si>
  <si>
    <t>Status on Simulation Model</t>
  </si>
  <si>
    <t>OK</t>
  </si>
  <si>
    <t>https://www.morssmitt.com/uploads/files/catalog/products/datasheet-d-bw-relays-ind-v1-4.pdf</t>
  </si>
  <si>
    <t>Mors Smitt D-BW Series (24VDC)</t>
  </si>
  <si>
    <t>According to the Mors Smitt D-BW Series datasheet, the following data is applicable to the 24VDC relays:
-Rcoil = 280ohm
-t(L/R) = 11ms (energized); 8ms (released).
-Lcoil (high) = Rcoil * t(L/R) = 3,08H
-I(on) = Umin / Rcoil = 19.2V / 280ohm = 68.57mA
-I(off) = Udrop-out / Rcoil = 2.4V / 280ohm = 8.57mA</t>
  </si>
  <si>
    <t>No faults on any component.</t>
  </si>
  <si>
    <t>Regular behavior.</t>
  </si>
  <si>
    <t>UC_Diag stops working.</t>
  </si>
  <si>
    <t>Detectable</t>
  </si>
  <si>
    <t>Not applicable</t>
  </si>
  <si>
    <t>UC_Diag stops generating Fuse_Test. In this condition, the OC1 optocoupler LED does not produce light whatsoever.</t>
  </si>
  <si>
    <t>The fuse F_Sys is burned.</t>
  </si>
  <si>
    <t>UC_Diag stops generating Keep_Power.</t>
  </si>
  <si>
    <t>C1</t>
  </si>
  <si>
    <t>C2</t>
  </si>
  <si>
    <t>In this condition, the relay K_Sys is turned off, thus turning off the power supplies PWR_Prot_Sys and VDD_Sys. As a result, the supervised system shuts down.</t>
  </si>
  <si>
    <t>The communication between UC_Diag and Flash_Diag ceases.</t>
  </si>
  <si>
    <t>C0</t>
  </si>
  <si>
    <t>The Fuse_Test signal remains stuck at '1', thus leading the LED of the optocoupler OC1 to produce light constantly.</t>
  </si>
  <si>
    <t>Keep_Power and Fuse_Test are kept on low level (0). In this condition, the relay K_Sys is turned off, and the fuse F_Sys might be burned if the time to turn off K_Sys is longer than the time to burn F_Sys.
Notes for multiple faults:
1) If combined with the saturation of OC3, the supervised system will be turned on and F_Sys will be subsequently burned.
2) If combined with the saturation of OC3 and OC1, the supervised system will be turned on, and the ability to test F_Sys will be lost.</t>
  </si>
  <si>
    <t>In this condition, the relay K_Sys is turned off, thus turning off the power supplies PWR_Prot_Sys and VDD_Sys. As a result, the supervised system is shut down.</t>
  </si>
  <si>
    <t>C1 (single fault)
C2 (double fault "1")
C4 (triple fault "2")</t>
  </si>
  <si>
    <t>C3 (single fault)
C4 (double fault "1")</t>
  </si>
  <si>
    <t>The Keep_Power signal remains stuck at '1', thus leading the LED of the optocoupler OC3 to produce light constantly.</t>
  </si>
  <si>
    <t>The update of the supervisor log, including records of failures and/or proper operation of the supervised system, is compromised. As a result, it might not be possible to trace back potential issues while the supervisor monitors the supervised system.
This is not deemed a safety-critical issue, but instead a maintenance-related issue.</t>
  </si>
  <si>
    <t>C5 (same outputs of C0, but compromising the ability of the supervisor in leading the supervised system to a safe state in case of a fault on the ability to burn F_Sys).</t>
  </si>
  <si>
    <t>Based on the circuitry of UC_Diag's built-in analog-to-digital converter, a low level input will be read by UC_Diag regardless of the behavior of the supervised system.</t>
  </si>
  <si>
    <t>The supervisor will consider that F_Sys has been burned and will command the shutdown of the supervised system by turning Keep_Power off.</t>
  </si>
  <si>
    <t>C6</t>
  </si>
  <si>
    <t>https://www.tdk-electronics.tdk.com/inf/20/30/db/aec/B41456_B41458.pdf</t>
  </si>
  <si>
    <t>TDK B41456/B41458 Series</t>
  </si>
  <si>
    <t>Decrease of Parallel Resistance</t>
  </si>
  <si>
    <t>Increased Dissipation Factor</t>
  </si>
  <si>
    <t>Increase of Capacitance</t>
  </si>
  <si>
    <t>Decrease of Capacitance</t>
  </si>
  <si>
    <t>Increase of Series Resistance</t>
  </si>
  <si>
    <t>Diminuição da Resistência Paralela</t>
  </si>
  <si>
    <t>Aumento do Fator de Dissipação</t>
  </si>
  <si>
    <t>Aumento da Capacitância</t>
  </si>
  <si>
    <t>Diminuição da Capacitância</t>
  </si>
  <si>
    <t>Aumento da Resistência Série</t>
  </si>
  <si>
    <t>Curto-Circuito com a Carcaça</t>
  </si>
  <si>
    <t>MIL-HDBK-338B:1998; CENELEC EN50129:2018, https://resources.pcb.cadence.com/blog/2022-the-causes-of-electrolytic-capacitor-degradation</t>
  </si>
  <si>
    <t>RIAC-HDBK-217Plus Table 2.2.2-1</t>
  </si>
  <si>
    <t>RIAC-HDBK-217Plus Section 2.2.2</t>
  </si>
  <si>
    <t>C</t>
  </si>
  <si>
    <t>CE</t>
  </si>
  <si>
    <t>Pi-C</t>
  </si>
  <si>
    <t>Design selection: 47000uF.</t>
  </si>
  <si>
    <t>S1</t>
  </si>
  <si>
    <t>n</t>
  </si>
  <si>
    <t>SA</t>
  </si>
  <si>
    <t>Applied Voltage: 3.3V; Rated Voltage: 16V; SA = 0,33</t>
  </si>
  <si>
    <t>Input 'Dig_In1' open</t>
  </si>
  <si>
    <t>Entrada 'Dig_In1' em aberto</t>
  </si>
  <si>
    <t>UC_Diag ADC Input Electrical Models</t>
  </si>
  <si>
    <t>C_Sys</t>
  </si>
  <si>
    <t>See "Increased Series Resistance".</t>
  </si>
  <si>
    <t>DZ_Sys</t>
  </si>
  <si>
    <t>R5_Sys</t>
  </si>
  <si>
    <t>R1_Diag</t>
  </si>
  <si>
    <t>OC_Diag</t>
  </si>
  <si>
    <t>R2_Diag</t>
  </si>
  <si>
    <t>Keep_Power = 0</t>
  </si>
  <si>
    <t>Keep_Power = 1</t>
  </si>
  <si>
    <t>Digital Level of Keep_Power_Readback for UC_Diag Input 'Dig_In1'</t>
  </si>
  <si>
    <t>Fuse_Result Failure Mode
Class of Equivalence</t>
  </si>
  <si>
    <t>Keep_Power_Readback
Failure Mode Class of Equivalence</t>
  </si>
  <si>
    <t>Considering that the digital input remains in a high Z state when open, it is susceptible to external noise. As a result, the input may not only be unstable, but also its recurrent noise-related switching can damage UC_Diag as a whole due to increased temperature.</t>
  </si>
  <si>
    <t>Keep_Power_Readback may not be in line with Keep_Power. In a worst case scenario, it is deemed that fails to detect issues with Keep_Power, thus preventing the burning of F_Sys in this scenario.
The fault itself is not unsafe per se, but, since it might not be detected, the supervised system can reach an unsafe state in the presence of any other faults that prevent K_Sys from being turned off.</t>
  </si>
  <si>
    <t>C0 (worst case)</t>
  </si>
  <si>
    <t>C1 (single fault)
C4 (triple fault)</t>
  </si>
  <si>
    <t>In this condition, the fuse F_Sys is burned by means of the Keep_Power_Readback test.</t>
  </si>
  <si>
    <t>The ability to burn the fuse F_Sys cannot be tested. In this scenario, the supervisor will detect the issue and command the shut down of the supervised system by turning Keep_Power off.
Note for multiple faults:
1) If combined with the saturation of OC3, the supervised system will be turned on, and the ability to test F_Sys will be lost.</t>
  </si>
  <si>
    <t>The communication between UC_Diag and Flash_Diag is susceptible to being compromised.</t>
  </si>
  <si>
    <t>The input 'Dig_In1' of UC_Diag gets stuck at high level ('1').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</si>
  <si>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Keep_Power_Readback is interpreted as if it were in high impedance state.</t>
  </si>
  <si>
    <t>UC_Diag's input 'Dig_In1' remains stuck at high level regardless of the signal 'Keep_Power_Readback'.</t>
  </si>
  <si>
    <t>No meaningful impact, since the bse of OC_Diag's transistor is open by default.</t>
  </si>
  <si>
    <t>No meaningful impact, since the base of OC_Diag's transistor is open by default.</t>
  </si>
  <si>
    <t>No meaningful impact.</t>
  </si>
  <si>
    <t>If small, no meaningful effect; if big, same effects of 'Open diode'.</t>
  </si>
  <si>
    <t>If small, no meaningful effect; if big, the following scenarios are deemed plausible:
1) UC_Diag's input 'Dig_In1' is susceptible to an excessively high voltage stemming from the power supply PWR_Sys through R1_Diag;
2) OC_Diag's base-emitter junction is excited by PWR_Sys through R1_Diag, thus leading UC_Diag's input 'Dig_In1' to remain in low level ('0') regardless of the input Keep_Power_Readback.</t>
  </si>
  <si>
    <t>If the switching time is either reduced or shortly increased, no meaningful effect; if significantly increased, 'Dig_In1' will be read by UC_Diag as having the opposite state of what is expected during a test of Keep_Power_Readback.</t>
  </si>
  <si>
    <t>C3</t>
  </si>
  <si>
    <t>If small, no meaningful impact; if big, the transistor of OC_Diag might either operate on active or cut-out mode if the OC_Diag's LED is excited.</t>
  </si>
  <si>
    <t>The voltage on UC_Diag's input 'Dig_In1' can be lower than VIL, thus preventing the recognition of high logic level ('1') when Keep_Power_Readback is on high impedance state.
As a result, Keep_Power will be diagnosed as unhealthy, thus leading to the burning of the fuse F_Sys.
Note for multiple faults:
1) If combined with a failure mode that is analogous to making 'Fuse_Test' stuck at '1', F_Sys cannot be burned, thus leading to a potentially unsafe situation.</t>
  </si>
  <si>
    <t>OC_Diag's transistor does not enter its saturation state even if OC_Diag's LED emits light. As a result, UC_Diag's input 'Dig_In1' behaves similarly to when it floats.
Considering that the digital input remains in a high Z state when open, it is susceptible to external noise. As a result, the input may not only be unstable, but also its recurrent noise-related switching can damage UC_Diag as a whole due to increased temperature.</t>
  </si>
  <si>
    <t>The current in the collector-emitter junction of OC_Diag's transistor is increased, leading to its rupture. In this scenario, the power supply VDD_Diag is short-circuited.</t>
  </si>
  <si>
    <t>It is considered that the short-circuit of VDD_Diag can lead the supervisor to behave unstably.  This is safe and detectable by its partner, who will order the shut down of the affected channel by means of Burn_Fuse_X_to_Y.</t>
  </si>
  <si>
    <t>The supervisor does not operate, hence, no Keep_Power and Fuse_Test signals are generated to the supervised system.</t>
  </si>
  <si>
    <t>The supervised system remains turned off.</t>
  </si>
  <si>
    <t>Not Applicable (supervisor turned off)</t>
  </si>
  <si>
    <t>C4</t>
  </si>
  <si>
    <t>If small, no meaningful effect; if big, UC_Diag and Flash_Sys might operate unstably.</t>
  </si>
  <si>
    <t>The input of OR_Sys connected to the transistor of OC1_Sys cannot be lead to high logic level even if Fuse_Test is at low logic level.</t>
  </si>
  <si>
    <t>The current in the collector-emitter junction of OC1_Sys's transistor is increased, leading to its rupture since it exceeds the 100mA 1ms peak specified for the component. In this scenario, the power supply VDD_Sys is short-circuited.</t>
  </si>
  <si>
    <t>It is considered that the short-circuit of VDD_Sys increases the drainage of current from PWR_Prot_Sys, thus leading to the burning of F_Sys. This leads to a safe and detectable situation.</t>
  </si>
  <si>
    <t>No meaningful impact, since the base of OC1_Sys's transistor is open by default.</t>
  </si>
  <si>
    <t>No meaningful impact, since the base of OC2_Sys's transistor is open by default.</t>
  </si>
  <si>
    <t>No meaningful impact, since the base of OC3_Sys's transistor is open by default.</t>
  </si>
  <si>
    <t>If small, no meaningful impact; if big, the transistor of OC2_Sys might either operate on active or cut-out mode if the OC2_Sys's LED is excited.</t>
  </si>
  <si>
    <t>If small, no meaningful impact; if big, the transistor of OC1_Sys might either operate on active or cut-out mode if the OC1_Sys's LED is excited.</t>
  </si>
  <si>
    <t>If small, no meaningful impact; if big, the transistor of OC3_Sys might either operate on active or cut-out mode if the OC3_Sys's LED is excited.</t>
  </si>
  <si>
    <t>Fuse_Test is interpreted as if it were in low logic level, since no light is emitted by OC1_Sys's LED.</t>
  </si>
  <si>
    <t>The voltage on OC1_Sys's transistor collector remains at high logic level regardless of the signal 'Fuse_Test'.</t>
  </si>
  <si>
    <t>If small, no meaningful effect; if big, the output on OC1_Sys's transistor collector is inverted in relation to what is expected for Fuse_Test.</t>
  </si>
  <si>
    <t>The fuse F_Sys is burned once Fuse_Test returns to its regular high logic level. Hence, even though the failure mode is not detected by the supervisor, it is safe and detectable because it will lead to the shut down of the supervised system.</t>
  </si>
  <si>
    <t>The current in the collector-emitter junction of OC2_Sys's transistor is increased, leading to its rupture since it exceeds the 100mA 1ms peak specified for the component. In this scenario, the power supply VDD_Sys is short-circuited.</t>
  </si>
  <si>
    <t>Burn_Fuse_X_to_Y is interpreted as if it were in low logic level, since no light is emitted by OC2_Sys's LED.</t>
  </si>
  <si>
    <t>The voltage on OC2_Sys's transistor collector remains at high logic level regardless of the signal 'Burn_Fuse_X_to_Y'.</t>
  </si>
  <si>
    <t>If small, no meaningful effect; if big, the output on OC2_Sys's transistor collector is inverted in relation to what is expected for Burn_Fuse_X_to_Y.</t>
  </si>
  <si>
    <t>The input of OR_Sys connected to the transistor of OC2_Sys cannot be lead to high logic level even if Burn_Fuse_X_to_Y is at low logic level.</t>
  </si>
  <si>
    <t>The fuse F_Sys is burned by the partner channel when it should not have been so, and the fuse F_Sys is not burned by the partner channel when it should have been so.
The first scenario leads to a safe and detectable situation.
The second scenario can only occur in case another failure that leads the partner channel to burn the local channel has occurred beforehand.</t>
  </si>
  <si>
    <t>C7 (precondiion of a failure involving the partner channel)</t>
  </si>
  <si>
    <t>If the switching time is either reduced or shortly increased, no meaningful effect; if significantly increased, Fuse_Result can still be either at high logic level when Fuse_Test is at low logic level or at low logic level when Fuse_Test is at high logic level.</t>
  </si>
  <si>
    <t>If the switching time is either reduced or shortly increased, no meaningful effect; if significantly increased, the output of OR_Sys can still be either at high logic level when Burn_Fuse_X_to_Y is at low logic level or at low logic level when Burn_Fuse_X_to_Y is at high logic level.</t>
  </si>
  <si>
    <t>The coil of the relay K_Sys is not powered regardless of Keep_Power.</t>
  </si>
  <si>
    <t>The current in the collector-emitter junction of OC3_Sys's transistor is increased, leading to its rupture since it exceeds the 100mA 1ms peak specified for the component. In this scenario, the aforementioned junction operates as a short-circuit.</t>
  </si>
  <si>
    <t>Detection Period</t>
  </si>
  <si>
    <t>If small, no meaningful effect; if big, the following scenarios are deemed plausible:
1) The high input voltage provided through UC_Diag's input 'Dig_In1' damages UC_Diag in three possible ways:
a) It compromises detecting faults related to Keep_Power, thus preventing the burning of F_Sys in this scenario. This scenario itself is not unsafe per se, but, since it might not be detected, the supervised system can reach an unsafe state in the presence of any other faults that prevent K_Sys from being turned off;
b) 'Dig_In1' is recognized as stuck at some level, thus leading UC_Diag to recognize an issue with Keep_Power and burning F_Sys as a result of this. This scenario is safe and detectable.
c) UC_Diag is damaged as a whole,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
2) Same outcome of '1-b)'.</t>
  </si>
  <si>
    <t>Time for the partner channel to detect that the local channel is faulty</t>
  </si>
  <si>
    <t>UC_Diag and Flash_Sys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</si>
  <si>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UC_Diag and Flash_Sys will behave unstably,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</si>
  <si>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Time for the local channel to detect that the partner channel is faulty</t>
  </si>
  <si>
    <t>Keep_Power is interpreted as if it were in low logic level, since no light is emitted by OC2_Sys's LED.</t>
  </si>
  <si>
    <t>As a result, PWR_Prot_sys and VDD_Sys are turned off, thus preventing the operation of the supervised system.</t>
  </si>
  <si>
    <t>If small, no meaningful effect; if big, the output on OC3_Sys's transistor collector is directly connected to Keep_Power. Since such signal's voltage is within the range [0V; 3.3V], the coil of the relay K_Sys will be powered with enough current to drive K_Sys's contacts.</t>
  </si>
  <si>
    <t>This will be detected by the supervisor, which will burn F_Sys and turn off PWR_Prot_sys and VDD_Sys.</t>
  </si>
  <si>
    <t>If the switching time is either reduced or shortly increased, no meaningful effect; if significantly increased, the coil of K_Sys will take longer to be either powered or unpowered according to Keep_Power.</t>
  </si>
  <si>
    <t>The fuse F_Sys cannot be burned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</si>
  <si>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It might take longer to burn F_Sys once a request for that is sent by the partner channel.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</si>
  <si>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In a worst case scenario, OR_Sys is driven by a signal that either oscillates between '0' and '1' when it should have been set to '1' while Burn_Fuse_X_to_Y is at low level. In this scenario, the partner channel might be unable to burn F_Sys once a request for that is sent by itself. This situation is detectable by means of the local channel, which can request the burning of F_Sys by means of 'Burn_Fuse_Self', thus leading to a safe scenario, unless the local channel is also failed.
In this scenario of double failure, the failure mode is unsafe and undetectable.</t>
  </si>
  <si>
    <t>The coil of the relay K_Sys is powered regardless of Keep_Power. This will be detected by the supervisor, which will burn F_Sys and turn off PWR_Prot_Sys and VDD_Sys.</t>
  </si>
  <si>
    <t>The coil of the relay K_Sys is not powered regardless of Keep_Power. As a result, PWR_Prot_Sys and VDD_Sys are turned off, thus preventing the operation of the supervised system.</t>
  </si>
  <si>
    <t>In a worst case scenario, the coil of the relay K_Sys will be driven by a current which causes the switching of the relay's contacts while Keep_Power is at high level. In this scenario, the supervised system would operate in an unstable way, which would be detected by the partner channel and mitigated by the burning of F_Sys by means of enabling Burn_Fuse_X_to_Y.</t>
  </si>
  <si>
    <t>Keep_Power_Readback may not be in line with Keep_Power. In a worst case scenario, it is deemed that UC_Diag fails to detect Keep_Power-related issues, thus preventing the burning of F_Sys in this scenario.
The fault itself is not unsafe per se, but, since it might not be detected, the supervised system can reach an unsafe state in the presence of any other faults that prevent K_Sys from being turned off.</t>
  </si>
  <si>
    <t>The emitter-collector juntion of OC3_Sys's transistor is subject to a significantly high negative voltage when the K_Sys coil is turned off when Keep_Power transitions from '1' to '0'. Such a negative voltage can lead to the rupture of the  emitter-collector juntion of OC3_Sys's transistor, leading it to behave like a short-circuit.</t>
  </si>
  <si>
    <t>Interruption of NO contact</t>
  </si>
  <si>
    <t>Interruption of NC contact</t>
  </si>
  <si>
    <t>Abertura de Contato NA</t>
  </si>
  <si>
    <t>Abertura de Contato NF</t>
  </si>
  <si>
    <t>The coil of the relay K_Sys is susceptible to being powered regardless of Keep_Power. This will be detected by the supervisor, which will burn F_Sys and turn off PWR_Prot_Sys and VDD_Sys.</t>
  </si>
  <si>
    <t>Short-circuit or decrease of insulation resistance across open contacts</t>
  </si>
  <si>
    <t>Worst-case scenario: the power supply PWR_Prot_Sys is turned on even in the absence of a Keep_Power command for that.</t>
  </si>
  <si>
    <t>Not applicable, since the component has a single coil.</t>
  </si>
  <si>
    <t>A low impedance path between PWR_Sys and the ground reference is formed.</t>
  </si>
  <si>
    <t>Taking into account that K_Sys is built with forcibly guided contacts, the interruption of the NC contacts forces the short-circuit of the NO contacts. In this scenario, PWR_Prot_Sys and VDD_Sys are turned on regardless of Keep_Power being at high level, and Keep_Power_Readback remains at high impedance state.</t>
  </si>
  <si>
    <t>Taking into account that K_Sys is built with forcibly guided contacts, the interruption of the NO contacts forces the short-circuit of the NC contacts. In this scenario, PWR_Prot_Sys and VDD_Sys are not turned on regardless of Keep_Power being at high level.</t>
  </si>
  <si>
    <t>Welding of NO contacts</t>
  </si>
  <si>
    <t>Welding of NC contacts</t>
  </si>
  <si>
    <t>União de Contatos NA</t>
  </si>
  <si>
    <t>União de Contatos NF</t>
  </si>
  <si>
    <t>Increase of NO contact resistance</t>
  </si>
  <si>
    <t>Increase of NC contact resistance</t>
  </si>
  <si>
    <t>Aumento da Resistência entre Contatos NA</t>
  </si>
  <si>
    <t>Aumento da Resistência entre Contatos NF</t>
  </si>
  <si>
    <t>Taking into account that K_Sys is built with forcibly guided contacts, the welding of NO contacts forces the interruption of the NC contacts and vice versa. As a result, the same effects of 'Inpterruption of NC contact' are expected.</t>
  </si>
  <si>
    <t>Taking into account that K_Sys is built with forcibly guided contacts, the welding of NO contacts forces the interruption of the NC contacts and vice versa. As a result, the same effects of 'Inpterruption of NO contact' are expected.</t>
  </si>
  <si>
    <t>If small, no meaningful impact; if big, same effects of "Interruption of NO contact"</t>
  </si>
  <si>
    <t>If small, no meaningful impact; if big, same effects of "Interruption of NC contact"</t>
  </si>
  <si>
    <t>If small, no meaningful impact; if big, same effects of "Interruption of NO contact".</t>
  </si>
  <si>
    <t>If small, no meaningful impact; if big, same effects of "Interruption of NC contact".</t>
  </si>
  <si>
    <t>If of short-term, no meaningful impact; if of long-term, the the powering of the supervised system is unstable.</t>
  </si>
  <si>
    <t>The supervised system might behave unstably. This is safe and detectable by its partner, who will order the shut down of the affected channel by means of Burn_Fuse_X_to_Y.</t>
  </si>
  <si>
    <t>If small, no meaningful impact; if big, same effects of "interruption of any coil".</t>
  </si>
  <si>
    <t>No meaningful impact, since the coil of the relay K_Sys is powered by a switch-like circuit.</t>
  </si>
  <si>
    <t>If small, no meaningful impact; if big, the relay K_Sys does not drop away.</t>
  </si>
  <si>
    <t>Keep_Power_Readback will be stuck at high impedance state and, as a result, the supervisor will detect this scenario and  burn F_Sys, thus turning off PWR_Prot_sys and VDD_Sys. This leads the supervised system to be shut down.</t>
  </si>
  <si>
    <t>Taking into account that K_Sys is built with forcibly guided contacts, the welding of NO contacts forces the interruption of the NC contacts and vice versa. As a result, the same effects of 'Interruption of NC contact' are expected.</t>
  </si>
  <si>
    <t>If small, no meaningful impact; if big, the supervised system takes a longer time to be powered.</t>
  </si>
  <si>
    <t>The supervised system might behave unstably if the charge of C_Sys is not enough to keep the supervised system powered until K_Sys picks up after the Keep_Power_Readback test. This is safe and detectable by its partner, who will order the shut down of the affected channel by means of Burn_Fuse_X_to_Y.</t>
  </si>
  <si>
    <t>If small, no meaningful impact; if big, Keep_Power_Readback can be in high impedance state when the Keep_Power_Readback test is performed by the supervised system.</t>
  </si>
  <si>
    <t>The supervisor will detect this scenario and  burn F_Sys, thus turning off PWR_Prot_sys and VDD_Sys. This leads the supervised system to be shut down.</t>
  </si>
  <si>
    <t>The supervised system's supply PWR_Prot_Sys cannot be turned off by means of Keep_Power, and Keep_Power_Readback gets stuck in high impedance state when the Keep_Power_Readback test is performed by the supervised system.</t>
  </si>
  <si>
    <t>This failure mode is not applicable because the component has forcibly guided contacts. As a result, no loss of correspondence between NO and NC contacts is deemed plausible due to the mechanical design of the relay.</t>
  </si>
  <si>
    <t>[OR1]</t>
  </si>
  <si>
    <t>https://assets.nexperia.com/documents/application-note/AN11009.pdf</t>
  </si>
  <si>
    <t>AN11009 - Pin FMEA for LVC family - Rev. 2, January 9th, 2019. Nexperia.</t>
  </si>
  <si>
    <t>https://www.endrich.com/fm/2/GD5F4GQ4UAYIG.pdf</t>
  </si>
  <si>
    <t>VCC Supply open</t>
  </si>
  <si>
    <t>GND Supply open</t>
  </si>
  <si>
    <t>Perda de alimentação VCC</t>
  </si>
  <si>
    <t>Perda de alimentação GND</t>
  </si>
  <si>
    <t>According to reference [OR1], the opening of supply pins leads OR_Sys to behave improperly and also increases current leakage. Based on the typical architecture of CMOS OR gates by Tocci, Widmer, and Moss (2010), it is expected that, whenever the output should be at '1', it will be in high impedance state instead.</t>
  </si>
  <si>
    <t>According to reference [OR1], the opening of supply pins leads OR_Sys to behave improperly and also increases current leakage. Based on the typical architecture of CMOS OR gates by Tocci, Widmer, and Moss (2010), it is expected that, whenever the output should be at '0', it will be in high impedance state instead.</t>
  </si>
  <si>
    <t>The fuse F_Sys cannot be tested nor burned by means of any request (i.e., from either the supervisor, the local processor or the partner channel). Since the checking of the burning ability of F_Sys is unsuccessful, the supervised system will be shut down by the supervisor on these tests by driving Keep_Power to low level (0).</t>
  </si>
  <si>
    <t>Due to the high impedance at the output of OR_Sys, Q_Sys can be spuriously driven to saturation by means of external noises. As a result, the fuse F_Sys is susceptible to being burned when it should not be.</t>
  </si>
  <si>
    <t>Not applicable, since the failure mode is undetectable</t>
  </si>
  <si>
    <t>Random (noise-dependent)</t>
  </si>
  <si>
    <t>Simultaneous with the failure mode</t>
  </si>
  <si>
    <t>Worst case: period of time between two fuse tests</t>
  </si>
  <si>
    <t>Worst case: period of time between two relay tests</t>
  </si>
  <si>
    <t>Worst case: period of time of a fuse test</t>
  </si>
  <si>
    <t>The supervisor will detect this scenario and burn F_Sys, thus turning off PWR_Prot_sys and VDD_Sys. This leads the supervised system to be shut down.</t>
  </si>
  <si>
    <t>C8</t>
  </si>
  <si>
    <t>Q_Sys operates in cut-off state regardless of the inputs Fuse_Test, Burn_Fuse_X_To_Y, and Burn_Fuse_Self.</t>
  </si>
  <si>
    <t>The gate of Q_Sys remains in high impedance state regardless of the inputs Fuse_Test, Burn_Fuse_X_To_Y, and Burn_Fuse_Self.</t>
  </si>
  <si>
    <t>Q_Sys operates in saturation state regardless of the inputs Fuse_Test, Burn_Fuse_X_To_Y, and Burn_Fuse_Self.</t>
  </si>
  <si>
    <t>Considering that the digital input remains in a high Z state when open, it is susceptible to external noise. As a result, the input may not only be unstable, but also its recurrent noise-related switching can damage OR_Sys as a whole due to increased temperature.</t>
  </si>
  <si>
    <t>There is susceptibility for preventing the fuse F_Sys from being tested and burned regardless of the inputs Fuse_Test, Burn_Fuse_X_To_Y, and Burn_Fuse_Self. Since the checking of the burning ability of F_Sys is unsuccessful, the supervised system will be shut down by the supervisor on these tests by driving Keep_Power to low level (0).</t>
  </si>
  <si>
    <t>The power supplies PWR_Prot_Sys and VDD_Sys are turned off.</t>
  </si>
  <si>
    <t>The fuse F_Sys can be burned even during its test.</t>
  </si>
  <si>
    <t>The voltage between the drain and the source of Q_Sys when it is saturated becomes greater than the breakdown threshold. In this condition, the semiconductive junction between drain and source is damaged and behaves as a short-circuit.</t>
  </si>
  <si>
    <t>The power supplies PWR_Prot_Sys and VDD_Sys cannot be turned off by the action of any of the signals whose aim is to burn F_Sys (i.e., Fuse_Test, Burn_Fuse_X_to_Y, and Burn_Fuse_Self). This is due to the fact that F_Sys is bypased by a parallel short-circuit.</t>
  </si>
  <si>
    <t>The supervised system cannot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</si>
  <si>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drain of Q_Sys will behave contrarily to its regular behavior. As a result, F_Sys will be burned whenever the supervised system is safe (i.e., if Fuse_Test = 1, Burn_Fuse_X_to_Y = 1 and Burn_Fuse_Self = 0) and will not be burned otherwise.</t>
  </si>
  <si>
    <t>The fuse F_Sys is burned regardless of the signals that control this process (i.e., Fuse_Test, Burn_Fuse_X_to_Y, and Burn_Fuse_Self).</t>
  </si>
  <si>
    <t>The supervised system is turned off.</t>
  </si>
  <si>
    <t>No meaningful impact, since the component operates as a switch, alternating between saturation and cut-off states.</t>
  </si>
  <si>
    <t>If small, no meaningful effect; if big, same effects of 'Interruption of Drain'.</t>
  </si>
  <si>
    <t>If small, no meaningful effect; if big, same effects of 'Interruption of Gate'.</t>
  </si>
  <si>
    <t>If small, no meaningful effect; if big, same effects of 'Short-Circuit Between Source and Drain'.</t>
  </si>
  <si>
    <t>If small, no meaningful effect; if big, same effects of 'Short-Circuit Between Source and Gate'.</t>
  </si>
  <si>
    <t>If small, no meaningful effect; if big, same effects of 'Short-Circuit Between Gate and Drain'.</t>
  </si>
  <si>
    <t>If the turn-on time is either reduced or shortly increased, no meaningful effect; if significantly increased, Fuse_Result can still be at low logic level when Fuse_Test is at high logic level, when Burn_Fuse_X_to_Y is at high logic level or when Burn_Fuse_Self is at low logic level.</t>
  </si>
  <si>
    <t>If the turn-on time is either reduced or shortly increased, no meaningful effect; if significantly increased, Fuse_Result can still be at high logic level when Fuse_Test is at low logic level, when Burn_Fuse_X_to_Y is at low logic level or when Burn_Fuse_Self is at high logic level.</t>
  </si>
  <si>
    <t>The fuse F_Sys might be burned even in the lack of faults for so.</t>
  </si>
  <si>
    <t>The fuse F_Sys might be considered unhealthy when it is not. In this condition, the relay K_Sys is turned off, thus shutting down the power supplies PWR_Prot_Sys and VDD_Sys. As a result, the supervised system is shut down.</t>
  </si>
  <si>
    <t>If the on-state resistance is reduced or unsignificantly increased, no meaningful effect; if significantly increased, Fuse_Result will increase even when Q_Sys is saturated. Moreover, there might not be enough current to burn F_Sys.</t>
  </si>
  <si>
    <t>The voltage on the input 'Anal_In1' of UC_Diag incrases significantly and goes beyond its maximum rating of 6V. In this scenario, it is deemed that UC_Diag as a whole can behave unstably in a worst-case scenario.</t>
  </si>
  <si>
    <t>Fuse_Result gets stuck at low level (0) regardless of Fuse_Test.</t>
  </si>
  <si>
    <t>If small, no meaningful effect; if big, the voltage on the input 'Anal_In1' of UC_Diag incrases and goes beyond its maximum rating of 6V. In this scenario, it is deemed that UC_Diag as a whole can behave unstably in a worst-case scenario.</t>
  </si>
  <si>
    <t>If small, no meaningful effect; if big, Fuse_Result approaches from a low level (0) regardless of Fuse_Test.</t>
  </si>
  <si>
    <t>If small, no meaningful effect; if big, OC1_Sys's LED behaves similarly to a short-circuit and does not emit light.</t>
  </si>
  <si>
    <t>If small, no meaningful effect; if big, OC_Diag's LED behaves similarly to a short-circuit and does not emit light.</t>
  </si>
  <si>
    <t>If small, no meaningful effect; if big, OC2_Sys's LED behaves similarly to a short-circuit and does not emit light.</t>
  </si>
  <si>
    <t>If small, no meaningful effect; if big, OC3_Sys's LED behaves similarly to a short-circuit and does not emit light.</t>
  </si>
  <si>
    <t>The current flowing through DZ_Sys increases and goes beyond its maximum zener current. As a result, the semiconductive junction of DZ_Sys is damaged and behaves similarly to a short-circuit. This leads the Fuse_Result input to be short-circuited to the ground reference.</t>
  </si>
  <si>
    <t>The supervisor detects a potential fault on the ability to burn F_Sys and commands the shut down of the supervised system by making Keep_Power = 0. This leads to a safe and detectable situation.</t>
  </si>
  <si>
    <t>If R1_Diag is short,circuited, the current flowing through the LED of OC_Diag incrases significantly, thus leading to the rupture of its P-N junction. In this scenario, OC_Diag's LED behaves as an open circuit and stops emitting light.</t>
  </si>
  <si>
    <t>The supervised system ceases its processing tasks.</t>
  </si>
  <si>
    <t>It is considered that the supervised system behaves in a safe way when its processor UC_Sys is powered off. Moreover, the partner channel may also request the burning of F_Sys should any unsafe state be detected.</t>
  </si>
  <si>
    <t>UC_Diag does not generate the signal Burn_Fuse_Self.</t>
  </si>
  <si>
    <t>UC_Diag does not generate the signal Burn_Fuse_Y_to_X.</t>
  </si>
  <si>
    <t>The supervised system cannot burn its own fuse through Burn_Fuse_Self in case it diagnoses itself as faulty.
The fault itself is not unsafe per se since the partner channel can still detect a misoperation of the local channel and request the burning of its fuse through Burn_Fuse_X_to_Y. However, if the partner channel is also faulty in generating Burn_Fuse_X_to_Y, an unsafe scenario can still arise.</t>
  </si>
  <si>
    <t>The supervised system cannot burn its partner's fuse through Burn_Fuse_X_to_Y in case it diagnoses itself as faulty.
The fault itself is not unsafe per se since the partner channel might still be able to detect a misoperation of itself and request the burning of its own fuse through its Burn_Fuse_Self signal. However, if the partner channel's UC_Diag has already been compromised to the point of not being able to generate Burn_Fuse_Self as well, an unsafe scenario can still arise.</t>
  </si>
  <si>
    <t>Time for the partner channel to detect that itself  is faulty</t>
  </si>
  <si>
    <t>The supervised system cannot store operational data on its Flash memory nor read data from it. In a worst case scenario, it is deemed that the operation of the supervised system is unstable, but safe and detectable by its partner, who will order its shut down by means of Burn_Fuse_X_to_Y.</t>
  </si>
  <si>
    <t>UC_Diag cannot enable the signal Burn_Fuse_Self.</t>
  </si>
  <si>
    <t>UC_Diag enables the active-low signal Burn_Fuse_Y_to_X.</t>
  </si>
  <si>
    <t>The fuse F_Sys of the partner channel is burned.</t>
  </si>
  <si>
    <t>The communication between UC_Diag and Flash_Diag is compromised.</t>
  </si>
  <si>
    <t>UC_Diag enables the signal Burn_Fuse_Self.</t>
  </si>
  <si>
    <t>The fuse F_sys is burned.</t>
  </si>
  <si>
    <t>UC_Diag cannot enable the active-low signal Burn_Fuse_Y_to_X.</t>
  </si>
  <si>
    <t>Considering that digital inputs remain in a high Z state when open, they are susceptible to external noise. As a result, the inputs may not only be unstable, but also its recurrent noise-related switching can damage UC_Sys as a whole due to increased temperature.</t>
  </si>
  <si>
    <t>In a worst case scenario, it is deemed that the operation of the supervised system is unstable, but safe and detectable by its partner, who will order its shut down by means of Burn_Fuse_X_to_Y.</t>
  </si>
  <si>
    <t>The power supply VDD_Sys is turned off. As a result, UC_Sys, Flash_Sys, OR_Sys are also turned off, and the pull-up circuitry on the collector of OC1_Sys and OC2_Sys's transistors are not operational as well.</t>
  </si>
  <si>
    <t xml:space="preserve">It is considered that the supervised system behaves in a safe way when its processor UC_Sys is powered off. </t>
  </si>
  <si>
    <t>In a worst case scenario, it is deemed that the supervisor is not able to diagnose potential faults involving the tests of F_Sys and K_Sys and that, despite the detection and a containment attempt by the partner channel by enabling Burn_Fuse_X_to_Y, it is deemed that the unstable behavior of OR_Sys can prevent the burning of F_Sys.</t>
  </si>
  <si>
    <t>If small, no meaningful effect; if big, UC_Sys, Flash_Sys, OR_Sys can be not only supplied above their corresponding maximum voltage, but the inputs of OR_Sys are also subject to be above such a threshold. In this situation, it is deemed that they can behave unstably.</t>
  </si>
  <si>
    <t>If small, no meaningful effect; if big, UC_Sys, Flash_Sys, OR_Sys are not only supplied above their corresponding maximum voltage, but the inputs of OR_Sys are also subject to be above such a threshold. In this situation, it is deemed that they can behave unstably.</t>
  </si>
  <si>
    <t>The supervised system wii temporarily cease its operation when Keep_Power is turned off by the supervision wheh performing the Keep_Power_Readback. As a result, the supervised system can behave unstably.</t>
  </si>
  <si>
    <t>It is deemed that the situation is safe and detectable by the partner channel partner, who will order the shut down of the local channel by means of Burn_Fuse_X_to_Y.</t>
  </si>
  <si>
    <t>The power supply VDD_Sys is short-circuited.</t>
  </si>
  <si>
    <t>OK with comments:
RI defined as 100kohm +/- 10%. This value is within the ranges of RIH and RIL.</t>
  </si>
  <si>
    <t>No meaningful impact, since the input Keep_Power_Readback makes the OC_Diag's transistor act like a switch,</t>
  </si>
  <si>
    <t>No meaningful impact, since the input Fuse_Test makes the OC1_Sys's transistor act like a switch,</t>
  </si>
  <si>
    <t>No meaningful impact, since the input Fuse_Test makes OC1_Sys's transistor act like a switch,</t>
  </si>
  <si>
    <t>No meaningful impact, since the input Burn_Fuse_X_To_Y makes the OC2_Sys's transistor act like a switch,</t>
  </si>
  <si>
    <t>No meaningful impact, since the input Fuse_Test makes OC2_Sys's transistor act like a switch,</t>
  </si>
  <si>
    <t>No meaningful impact, since the input Keep_Power makes the OC3_Sys's transistor act like a switch,</t>
  </si>
  <si>
    <t>No meaningful impact, since the input Fuse_Test makes OC3_Sys's transistor act like a switch,</t>
  </si>
  <si>
    <t>In this condition, the supervisor detects a potential issue with F_Sys and requests that the relay K_Sys is turned off, thus shutting down the power supplies PWR_Prot_Sys and VDD_Sys. As a result, the supervised system is shut down.
Note: It has been assumed by simplicity that the scenario 'Fuse Result can still be at high logic level when Fuse_Test is at low logic level' is the chosen behavior for the Case Study 3 simulator since it disables the burning of F_Sys. It is deemed that the overall impact on the supervisor's detection is the same of the opposite case.</t>
  </si>
  <si>
    <t>C9 (it could be C3 or C1/C2)</t>
  </si>
  <si>
    <t xml:space="preserve">The following scenarios are plausible:
1) PWR_Sys is made available on K_Sys's NC contact connected to ground;
2) PWR_Sys is made available on K_Sys's NC contact connected to Keep_Power_Readback;
3) PWR_Sys is made available on K_Sys's floating NC contact;
4) The connection between R3_Sys and K_Sys's coil is made available on K_Sys's NC contact connected to ground;
5) The connection between R3_Sys and K_Sys's coil is made available on K_Sys's NC contact connected to Keep_Power_Readback;
6) The connection between R3_Sys and K_Sys's coil is made available on K_Sys's floating NC contact;  
7) PWR_Sys is made available on K_Sys's NO contact connected to R4_Sys;
8) PWR_Sys is made available on K_Sys's NO contact connected to F_Sys;
9) PWR_Sys is made available on K_Sys's floating NO contact;
10) The connection between R3_Sys and K_Sys's coil is made available on K_Sys's NO contact connected to R4_Sys;
11) The connection between R3_Sys and K_Sys's coil is made available on K_Sys's NO contact connected to F_Sys;
12) The connection between R3_Sys and K_Sys's coil is made available on K_Sys's floating NO contact;  </t>
  </si>
  <si>
    <t>In a worst case scenario, it is deemed that the supervised system behaves unstably, but safe and detectable by its partner, who will order its shut down by means of Burn_Fuse_X_to_Y.</t>
  </si>
  <si>
    <t>The following global effects are plausible for each scenario:
1) PWR_Sys is short-circuited. In a worst case scenario, it is deemed that the supervised system behaves unstably, but safe and detectable by its partner, who will order its shut down by means of Burn_Fuse_X_to_Y.
2) OC_Diag's LED does not emit light, hence leading the supervisor to interpret that the powering circuitry of K_Sys is damaged. This will lead to the burning of F_Sys through Fuse_Test by the supervisor.
3) Same impact of '1' when K_Sys's coil is powered on.
4) K_Sys's coil is powered regardless of Keep_Power.  Same detection and impact of '2'.
5) The relay K_Sys is not powered on regardless of Keep_Power. This leads to a safe scenario in which the supervised system is not operational. 
6) The current flowing through the coil of K_Sys increases when it has been turned on. No meaningful impact on the operation.
7) The voltage between the drain and the source of Q_Sys when it is saturated becomes greater than the breakdown threshold. In this condition, the semiconductive junction between drain and source is damaged and behaves as a short-circuit. Hence, F_Sys can be burned even during its test.
8) Same impact of '7'.
9) No meaninfgul impact, since Q_Sys is always off when it is connected to the K_Sys's contact affected by the failure mode.
10) Same impact of '5'.
11) The coil of K_Sys is powered off regardless of Keep_Power when the failure mode occurs, but it can be powered back on by Fuse_Test = 0, Burn_Fuse_X_to_Y = 0 or Burn_Fuse_Self = 1, without the possiibility of burning F_Sys due to the series resistance of K_Sys's coil. Since a relay test will detect an issue with the powering of K_Sys's coil, its detection mitigation leads to making Fuse_Test = 0. The fault itself is not unsafe per se, but, since it might not be detected, the supervised system can reach an unsafe state in the presence of any other faults.
12) Same impact of '9'.</t>
  </si>
  <si>
    <t>The power supplies PWR_Prot_Sys and VDD_Sys may not be turned off by the action of any of the signals whose aim is to burn F_Sys (i.e., Fuse_Test, Burn_Fuse_X_to_Y, and Burn_Fuse_Self).</t>
  </si>
  <si>
    <t>The supervised system may not be turned off by the burning of F_Sys. This is not detectable because F_Sys tests carried out by the supervisor will still yield correct results in this situation.
The fault itself is not unsafe per se, but, since it might not be detected, the supervised system can reach an unsafe state in the presence of any other faults.</t>
  </si>
  <si>
    <t>The power supplies PWR_Prot_Sys and VDD_Sys are spuriously turned on, and they may not be turned off again by the action of any of the signals whose aim is to burn F_Sys (i.e., Fuse_Test, Burn_Fuse_X_to_Y, and Burn_Fuse_Self). This is due to the fact that F_Sys is bypased by a parallel short-circuit.</t>
  </si>
  <si>
    <t>The power supplies PWR_Prot_Sys and VDD_Sys cannot be turned off by the action of any of the signals whose aim is to burn F_Sys (i.e., Fuse_Test, Burn_Fuse_X_to_Y, and Burn_Fuse_Self). In this scenario, Fuse_Result reaches high voltage levels regardless of Fuse_Test, Burn_Fuse_X_to_Y or Burn_Fuse_Self.</t>
  </si>
  <si>
    <t>The supervisor commands the shut down of the power supplies PWR_Prot_Sys and VDD_Sys by detecting an issue when testing F_Sys and commands Keep_Power to 0.</t>
  </si>
  <si>
    <t>Not applicable (regular)</t>
  </si>
  <si>
    <t>In this scenario, the current to burn F_Sys might not be reached. This can be detected by the inspection of Fuse_Result carried out by the supervisor.
Knee: Approximately 1ohm above nominal resistance.</t>
  </si>
  <si>
    <t>In a worst case scenario, OR_Sys is driven by a signal that either oscillates between '0' and '1' when it should have been set to '1' while Fuse_Test is at low level. In this scenario, the supervisor fails to detect whether F_Sys is able to be burned, and the supervised system is shut down by turning Keep_Power off.
Knee: Approximately 0.16.</t>
  </si>
  <si>
    <t>If small, no meaningful effect; if big, same effects of 'Interruption of Drain'.
Knee: Approximately 4.</t>
  </si>
  <si>
    <t>If small, no meaningful effect; if big, UC_Diag and Flash_Diag are supplied above their corresponding maximum voltage. In this situation, it is deemed that they can behave unstably.</t>
  </si>
  <si>
    <t>UC_Diag and Flash_Diag will behave unstably and might even be damaged, thus compromising not only the diagnosis of Fuse_Test (through Fuse_Result) and Keep_Power (through Keep_Power_Readback), but also the generation of the aforementioned signals to the supervised system. In a worst case scenario, it is deemed that the operation of the supervised system is unstable, but safe and detectable by its partner, who will order its shut down by means of Burn_Fuse_X_to_Y.</t>
  </si>
  <si>
    <t>If small, no meaningful effect; if big, same effects of 'No Output'; if medium, UC_Diag and Flash_Diag are supplied below their corresponding minimum voltage. In this situation, it is deemed that they can behave unstably.</t>
  </si>
  <si>
    <t>If small, no meaningful effect; if big, same effects of "Short-Circuit".
Knee: Approximately 70ohm.</t>
  </si>
  <si>
    <t>If small, no meaningful effect; if big, same effects of "Open".
Knee: Approximately 550Mohm.</t>
  </si>
  <si>
    <t>If small, no meaningful effect; if big, same effects of 'No Output'; if medium, UC_Diag, Flash_Diag, OR_Diag are not only supplied below their corresponding maximum voltage, but the inputs of OR_Sys are also subject to be below such a threshold. In this situation, it is deemed that they can behave unstably.</t>
  </si>
  <si>
    <t>FM Probability</t>
  </si>
  <si>
    <t>Failure Mode (FM)</t>
  </si>
  <si>
    <t>Hypotheses</t>
  </si>
  <si>
    <t>3a</t>
  </si>
  <si>
    <t>In a worst-case scenario, the final two points shall indicate that the fuse is on the verge of not being able to be burned. Nevertheless, it is deemed that the 'not burning' capacity is still not enough to lead the point to move to the 'not burn' cluster - i.e., it remains on the 'burn' cluster, thus not unbalancing them with regard to the number of points, but the cluster silhouette and the overall silhouette are worsened.</t>
  </si>
  <si>
    <t>(N-2) points stemmed from a healthy system. Hence, half of them (0.5N - 1) belong to the 'burn' cluster, and the other half belongs to the 'not burn' cluster.</t>
  </si>
  <si>
    <t>Full Number of Points for K-Means Clustering within the Supervisor (Analysis_Unit)</t>
  </si>
  <si>
    <t>N</t>
  </si>
  <si>
    <t>In order to allow assessing the actual impacts of an 'outlier' within the 'burn' cluster behaves, a set of four different pessimistic scenarios related to the features of the (N-2) healthy test points and the two faulty points are assumed:</t>
  </si>
  <si>
    <t>3b</t>
  </si>
  <si>
    <t>3c</t>
  </si>
  <si>
    <t>3d</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</si>
  <si>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a high silhouette, but a small relative reduction when the failed point enters the cluster because it is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</si>
  <si>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classified on the upper boundary of the interval in which fuse burning is admissible (i.e., 'highest fuse burning capacity') for a system which is either fully healthy (i.e., without faults) or affected only by 'benign hardware faults' (i.e., hardware faults that do not affect the operation of the system as a whole).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lower the silhouette of the 'burn' cluster due to a reduced distance among its points and the 'not burn' cluster ones when compared to '3a', but it might have a lower relative reduction of the 'burn' cluster.</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</si>
  <si>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have a lower starting silhouette to the 'burn' cluster than '3a', but a greater shift on it when the point related to a 'burning capacity' fault enters the K-Means database, since the unhealthy point will be closer to the 'regular operation' subset.
- 'Not burn' cluster: The 'not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should minimize the silhouette of the 'not burn' cluster and, as a result, lead to the smallest reduction in the overall silhouette of both clusters.</t>
  </si>
  <si>
    <t>In order to allow assessing the actual impacts of an 'outlier' within the 'burn' cluster behaves, a set of four different pessimistic scenarios related to the features of the (N-2) healthy test points and the two faulty points are assumed:
- Faulty points: The point which indicates that the fuse is not able to being burned, during its 'burn test' is chosen as the one in which the nominal current of the fuse F_Sys is not reached. The point related to the 'not burn' test is randomly chosen within an interval that reduces the least the silhouette of the 'not burn' cluster.
- 'Burn' cluster: All 'burn' points are uniformly distributed within the interval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condition should lead to the smallest shift in the silhouette metrics when the point related to a 'burning capacity' fault enters the K-Means database, since the unhealthy point will be closer to the 'regular operation' subset.
- 'Not burn' cluster: The 'not burn' points are classified on the lower boundary of values that are admissible for either a fully healthy system (i.e., without faults) or only affected by 'benign hardware faults' (i.e., hardware faults that do not affect the operation of the system as a whole). A simplified version of this reasoning assumes that half of the points are on the upper bound of the 'not burn' interval and the other half, in the lower bound of the same interval.
This scenario has the potential of maximizing the impacts of the failed point over the overall silhouette across clusters despite minimizing shifts on the silhouettes of each individual cluster.</t>
  </si>
  <si>
    <t># Points</t>
  </si>
  <si>
    <t>Value</t>
  </si>
  <si>
    <t>Precondition Before Preventing the Burning of Fuse</t>
  </si>
  <si>
    <t>Burn Cluster</t>
  </si>
  <si>
    <t>Not Burn Cluster</t>
  </si>
  <si>
    <t>Distances Among Points</t>
  </si>
  <si>
    <t>a(Point)</t>
  </si>
  <si>
    <t>b(Point)</t>
  </si>
  <si>
    <t>Silhouette(point)</t>
  </si>
  <si>
    <t>Silhouette Calculation</t>
  </si>
  <si>
    <t>Point Value</t>
  </si>
  <si>
    <t>Overall</t>
  </si>
  <si>
    <t>Results After One Point Preventing the Burning of Fuse</t>
  </si>
  <si>
    <t>Overall Silh. Decrease</t>
  </si>
  <si>
    <t>Not Burn Silh. Decrease</t>
  </si>
  <si>
    <t>Burn Silh. Decrease</t>
  </si>
  <si>
    <t>Absolute</t>
  </si>
  <si>
    <t>Relative</t>
  </si>
  <si>
    <t>Results After One Point Preventing the Burning of Fuse - Removal of Highest Point from 'Burn Cluster'</t>
  </si>
  <si>
    <t>Results After One Point Preventing the Burning of Fuse - Removal of Lowest Point from 'Burn Cluster'</t>
  </si>
  <si>
    <t>C10</t>
  </si>
  <si>
    <t>Detected by Fuse_Result Test</t>
  </si>
  <si>
    <t>Detected by Keep_Power Test</t>
  </si>
  <si>
    <t>If the switching time is either reduced or shortly increased, no meaningful effect; if significantly increased, Keep_Power may not be diagnosed as unhealthy. This situation is not unsafe per se, but it affects safety since it prevents Keep_Power issues from being detected.
Note for multiple faults:
1) If combined with a failure mode that is analogous to making 'Fuse_Test' stuck at '1', F_Sys cannot be burned, thus leading to a potentially unsafe situation.</t>
  </si>
  <si>
    <t>In a worst case scenario, it might take longer to turn off K_Sys. This might not be detected during the test of Keep_Power_Readback. This situation is not unsafe per se, but it affects safety since it prevents Keep_Power issues from being detected.
However, if a previous fault that prevents F_Sys from being burned has occurred,  the supervised system cannot be turned off by the supervisor anymore. This can lead to a potentially unsafe situation unless the partner channel detects this scenario.</t>
  </si>
  <si>
    <t>Maybe</t>
  </si>
  <si>
    <t>Outside the scope of the local channel, but it will be detected in the future (all outputs zeroed for the Fuse_Result test)</t>
  </si>
  <si>
    <t>Outside the scope of the local supervisor. Its detection is performed by the own supervised system.</t>
  </si>
  <si>
    <t>No</t>
  </si>
  <si>
    <t>Yes</t>
  </si>
  <si>
    <t>No; impactless.</t>
  </si>
  <si>
    <t>CM1: If this fault occurs,  Keep_Power_Readback will always be considered correct (worst case), and Fuse_Result will be extracted from the second fault.</t>
  </si>
  <si>
    <t>Multiple Faults Class of Equivalence</t>
  </si>
  <si>
    <t>If small, no meaningful effect; if big, same effects of "Open".
Knee: Approximately 18ohm.
Potentially not detectable, since only very high resistance increases would lead to a behavior that is similar to that of the 'Open' failure mode. Not unsafe per se, but it prevents the burning of F_Sys if any other fault occurs.</t>
  </si>
  <si>
    <t>CM2: If this fault occurs,  Fuse_Result will be determined by the corresponding intervals of this failure mode,  and Keep_Power_Readback will be extracted from the second fault.</t>
  </si>
  <si>
    <t>CM3: If this fault occurs, Fuse_Result and Keep_Power_Readback will be determined by the corresponding intervals of this failrue mode regardless of other failure modes.</t>
  </si>
  <si>
    <t>Not applicable. Assumed that only undetectable faults will be classified onto a 'multiple faults class of equivalence'.</t>
  </si>
  <si>
    <t>FM Safety</t>
  </si>
  <si>
    <t>FM Detection by Fuse_Result Test</t>
  </si>
  <si>
    <t>FM Detection by Keep_Power_Readback Test</t>
  </si>
  <si>
    <t>Equivalence Class for Multiple Undetectable Faults</t>
  </si>
  <si>
    <t>CM0: If a second fault occurs, the effects of the second fault prevail.</t>
  </si>
  <si>
    <t>Subactivity 1-B.i</t>
  </si>
  <si>
    <t>ID</t>
  </si>
  <si>
    <t>AI Element</t>
  </si>
  <si>
    <t>HAZOP keyword</t>
  </si>
  <si>
    <t>Compared Element</t>
  </si>
  <si>
    <t>Deviation</t>
  </si>
  <si>
    <t>Consequence</t>
  </si>
  <si>
    <t>Cause</t>
  </si>
  <si>
    <t>Hazard</t>
  </si>
  <si>
    <t>Risk Analysis</t>
  </si>
  <si>
    <t>Remarks</t>
  </si>
  <si>
    <t>No/Not</t>
  </si>
  <si>
    <t>More</t>
  </si>
  <si>
    <t>Less</t>
  </si>
  <si>
    <t>As well as</t>
  </si>
  <si>
    <t>Part of</t>
  </si>
  <si>
    <t>Reverse</t>
  </si>
  <si>
    <t>Other than</t>
  </si>
  <si>
    <t>Before</t>
  </si>
  <si>
    <t>After</t>
  </si>
  <si>
    <t>Early</t>
  </si>
  <si>
    <t>Late</t>
  </si>
  <si>
    <t>Partitional Unsupervised Learning Algorithm with Hard Partitions</t>
  </si>
  <si>
    <t>Partitional Unsupervised Learning Algorithm with Soft Partitions</t>
  </si>
  <si>
    <t>Partitional Unsupervised Learning Algorithm with Fuzzy Partitions</t>
  </si>
  <si>
    <t>Partitional Unsupervised Learning Algorithm with Probabilistic Partitions</t>
  </si>
  <si>
    <t>Number of Clusters</t>
  </si>
  <si>
    <t>Manhattan Distance Function</t>
  </si>
  <si>
    <t>Supreme Distance Function</t>
  </si>
  <si>
    <t>Minkowski Distance Function (except for Euclidean, Manhattan, and Supreme cases)</t>
  </si>
  <si>
    <t>Mahalanobis Distance Function</t>
  </si>
  <si>
    <t>Normalized Distance Functions</t>
  </si>
  <si>
    <t>Hierarchical Unsupervised Learning Clustering</t>
  </si>
  <si>
    <t>Euclidean Distance Function</t>
  </si>
  <si>
    <t>No hierarchical clustering is performed.</t>
  </si>
  <si>
    <t>Hierarchical clustering is performed more frequently.</t>
  </si>
  <si>
    <t>Frequency</t>
  </si>
  <si>
    <t>Input Data</t>
  </si>
  <si>
    <t>Performance Metrics</t>
  </si>
  <si>
    <t>Hierarchical clustering is performed with more input data.</t>
  </si>
  <si>
    <t>Hierarchical clustering leads to higher performance metrics.</t>
  </si>
  <si>
    <t>Hierarchical clustering is performed with more clusters.</t>
  </si>
  <si>
    <t>Type of Clustering Algorithm</t>
  </si>
  <si>
    <t>Similarity or Distance Functions</t>
  </si>
  <si>
    <t>Another Clustering Approach</t>
  </si>
  <si>
    <t>Fuse_Result test (for Keep_Power_Readback)</t>
  </si>
  <si>
    <t>Keep_Power_Readback test (for Fuse_Result)</t>
  </si>
  <si>
    <t>Setting up Test Preconditions</t>
  </si>
  <si>
    <t>The Clustering Algorithm itself</t>
  </si>
  <si>
    <t>Fuse_Result and Keep_Power_Readback Tests order</t>
  </si>
  <si>
    <t>Fuse_Result and Keep_Power_Readback Tests Preconditions</t>
  </si>
  <si>
    <t>Density-Based Unsupervised Learning Clustering</t>
  </si>
  <si>
    <t>Data are partially captured</t>
  </si>
  <si>
    <t>Additional data captured per test iteration</t>
  </si>
  <si>
    <t>Data with higher values are captured</t>
  </si>
  <si>
    <t>Less data captured per test iteration</t>
  </si>
  <si>
    <t>Data with lower values are captured</t>
  </si>
  <si>
    <t>Data from another test are captured</t>
  </si>
  <si>
    <t>Data are captured in reverse order</t>
  </si>
  <si>
    <t>Data are captured before the corresponding preconditions are set</t>
  </si>
  <si>
    <t>Data are captured after the corresponding preconditions are set</t>
  </si>
  <si>
    <t>Distances are partially calculated.</t>
  </si>
  <si>
    <t>Distances are calculated before test points are added to the dataset</t>
  </si>
  <si>
    <t>Distances are calculated after test points are added to the dataset</t>
  </si>
  <si>
    <t>Criteria to resolve point conflicts</t>
  </si>
  <si>
    <t>A point is added to a different cluster.</t>
  </si>
  <si>
    <t>A different number of clusters is generated.</t>
  </si>
  <si>
    <t>The number of clusters is provided after the clustering process is carried out.</t>
  </si>
  <si>
    <t>Other distance functions</t>
  </si>
  <si>
    <t>Other performance metrics are calculated.</t>
  </si>
  <si>
    <t>Performance metrics are updated before the clusters are generated.</t>
  </si>
  <si>
    <t>Performance metrics are updated after the clusters are generated.</t>
  </si>
  <si>
    <t>1) Hierarchical clustering has not been deployed;
2) A hardware fault or a software error prevent the hierarchical clustering from being performed.</t>
  </si>
  <si>
    <t>Same of SR1.1 to SR1.3.</t>
  </si>
  <si>
    <t>No additional remarks.</t>
  </si>
  <si>
    <t>1) Improper software design;
2) Increased clock frequency due to an oscillator fault.</t>
  </si>
  <si>
    <t>The safety fuse and the safety relay of the supervised system are exposed to shortened lifespan due to an increase on their tests.</t>
  </si>
  <si>
    <t>Negligible due to the lack of a hazard.</t>
  </si>
  <si>
    <t>If the percentage of data indicating that the system is healthy is higher than expected, a fuse fault might not be detected.
No issues related to the safety relay are expected.</t>
  </si>
  <si>
    <t>The supervised system produces unsafe outputs which can, thus, lead to potentially unsafe scenarios within the scope of the system operating context.</t>
  </si>
  <si>
    <t>Old records are not removed from the dataset used by the clustering algorithm due to a hardware fault or a software error</t>
  </si>
  <si>
    <t>1) Improper software design;
2) A hardware fault corrupts the number of clusters employed by the clustering algorithm.</t>
  </si>
  <si>
    <t>The supervisor might detect an issue of the supervised system even in case such a problem does not exist.</t>
  </si>
  <si>
    <t>No hazards have been identified, since the scenario leans towards a safe behavior even when it is not necessary.</t>
  </si>
  <si>
    <t>The supervisor might fail in detecting an issue of the supervised system.</t>
  </si>
  <si>
    <t>Needed Action</t>
  </si>
  <si>
    <t>No needed action due to the lack of a hazard.</t>
  </si>
  <si>
    <t>Hierarchical clustering is performed less frequently.</t>
  </si>
  <si>
    <t>The exposure to potential faults on both the safety fuse and the safety relay is increased.</t>
  </si>
  <si>
    <t>1) Improper software design;
2) Decreased clock frequency due to an oscillator fault.</t>
  </si>
  <si>
    <t>Ensure means to detect frequency drifts of the supervisor's processing unit.</t>
  </si>
  <si>
    <t>Hierarchical clustering is performed with less input data.</t>
  </si>
  <si>
    <t>If the percentage of data indicating that the system is healthy is lower than expected, a fuse fault be detected even when the fuse is not unhealthy enough to trigger such a detection.
No issues related to the safety relay are expected.</t>
  </si>
  <si>
    <t>More old records than necessary are removed from the dataset used by the clustering algorithm due to a hardware fault or a software error</t>
  </si>
  <si>
    <t>Hierarchical clustering is performed with less clusters.</t>
  </si>
  <si>
    <t>The supervisor might detect faults of both the safety fuse and the safety relay when they do not exist.</t>
  </si>
  <si>
    <t>Since tests have been envisioned to take into account only two clusters, the merging of test scenario results into a single cluster will lead to a significant decrease on performance metrics.</t>
  </si>
  <si>
    <t>Since tests have been envisioned to take into account only two clusters, at least one of the cluster will have less test results than the other ones, hence triggering mitigation action.</t>
  </si>
  <si>
    <t>Hierarchical clustering leads to lower performance metrics.</t>
  </si>
  <si>
    <t>Different clustering algorithms might yield different results on diagnosing potential faults in the safety fuse and the safety relay of the supervised system.</t>
  </si>
  <si>
    <t>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</si>
  <si>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The supervised system is susceptible to producing unsafe outputs which can, thus, lead to potentially unsafe scenarios within the scope of the system operating context.</t>
  </si>
  <si>
    <t>The clustering process is only partially performed.</t>
  </si>
  <si>
    <t>A fuse fault be detected even when the safety fuse or the safety relay are not unhealthy enough to trigger such a detection.</t>
  </si>
  <si>
    <t>In a worst-case scenario, a potential fault affecting at least one of the tested elements (safety relay and safety fuse) might not be properly dealt with due to the conflicting responses of the different clustering algorithms.</t>
  </si>
  <si>
    <t>In a worst-case scenario, a potential fault affecting at least one of the tested elements (safety relay and safety fuse) might not be detected mitigated.</t>
  </si>
  <si>
    <t>The test results, read as inputs of the clustering process, can be corrupted.</t>
  </si>
  <si>
    <t>1) Ensure that the processes that are needed to set up the tests of both the safety fuse and the safety relay are properly specified, implemented, verified, validated, and deployed;
2) Use defensive programming techniques.</t>
  </si>
  <si>
    <t>The clustering process is performed with missing or outdated data.</t>
  </si>
  <si>
    <t>1) Improper software design;
2) A hardware fault compromises the control flow of the clustering process.</t>
  </si>
  <si>
    <t>1) Improper software design;
2) A hardware fault compromises the control flow of the setting up of test preconditions.</t>
  </si>
  <si>
    <t>1) Improper software design;
2) A hardware fault compromises the control flow of reading test results (inputs for the clustering method) and/or adding them to the dataset used by the clustering process.</t>
  </si>
  <si>
    <t>1) Ensure that the processes that are needed to read test results and add them to the clustering datasets are properly specified, implemented, verified, validated, and deployed;
2) Use defensive programming techniques.</t>
  </si>
  <si>
    <t>Performance metrics are only partially calculated.</t>
  </si>
  <si>
    <t>1) Improper software design;
2) A hardware fault compromises the control flow of the performance metrics calculation.</t>
  </si>
  <si>
    <t>1) Ensure that clustering performance metrics calculation has been properly specified implemented, verified, validated, and deployed;
2) Use defensive programming techniques.</t>
  </si>
  <si>
    <t>1) Ensure that clustering performance metrics calculation has been properly specified implemented, verified, validated, and deployed;
2) Ensure that the thresholds for detecting faults with the clustering process have been properly specified, implemented, verified, validated, and deployed;
3) Use defensive programming techniques.</t>
  </si>
  <si>
    <t>1) Ensure that the clustering method has been properly specified, implemented, verified, validated, and deployed;
2) Use defensive programming techniques.</t>
  </si>
  <si>
    <t>1) Ensure that dataset manipulation prior to clustering has been properly specified implemented, verified, validated, and deployed;
2) Use defensive programming techniques.</t>
  </si>
  <si>
    <t>1) Ensure that the only the clustering approaches that were deemed appropriate for the end application are left on the source and binary codes;
2) If more than a clustering algorithm is deemed necessary, implement a conflict resolution strategy to adjudicate diverging responses (e.g., majority voting) and ensure that its safe behavior has been properly specified, implemented, verified, validated, and deployed;
3) Use defensive programming techniques.</t>
  </si>
  <si>
    <t>The tests are performed in an inverted order.</t>
  </si>
  <si>
    <t>The tests are performed in an order that differs from the specified one. Nevertheless, both tests are still periodically performed.</t>
  </si>
  <si>
    <t>No hazards have been identified, since the sole inversion on the order of the tests does not compromise safety.</t>
  </si>
  <si>
    <t>Two possible scenarios:
1) The preconditions for each test case within the same test are inverted, but the test preconditions of both tests are not mixed up.
2) The preconditions of one test are performed instead of those of the complementary test (e.g., the preconditions for testing the safety fuse are set up when performing the safety relay fuse and vice-versa).</t>
  </si>
  <si>
    <t>1) Improper software design;
2) A hardware fault compromises the control flow of the tests.</t>
  </si>
  <si>
    <t>For both scenarios:
1) Improper software design;
2) A hardware fault compromises the control flow of the tests.</t>
  </si>
  <si>
    <t>Worst case (scenario 2): The supervised system is susceptible to producing unsafe outputs which can, thus, lead to potentially unsafe scenarios within the scope of the system operating context.</t>
  </si>
  <si>
    <t>Scenario 1: The test cases of each test category are performed in an inverted way. Since there are only two test cases in each test, both with expected complementary results, no safety concerns would be expected if the clustering process is performed with the same data, but on a different order.
Scenario 2: The test cases are not performed as desired, potentially affecting the detection of faults. In a worst-case scenario, it is deemed that faults might be masked and remain undetected.</t>
  </si>
  <si>
    <t>1) Ensure that the processes that are needed to set up the tests of both the safety fuse and the safety relay are properly specified, implemented, verified, validated, and deployed;
2) Use defensive programming techniques;
3) Ensure that, for each test, only two test cases are taken into account (one for each binary state of the corresponding test control signal).</t>
  </si>
  <si>
    <t>Fuse_Result and Keep_Power_Readback Tests' Result Signals</t>
  </si>
  <si>
    <t>Reading Fuse_Result and Keep_Power_Readback Tests' Result Signals</t>
  </si>
  <si>
    <t>Fuse_Result Test Result Data</t>
  </si>
  <si>
    <t>Keep_Power_Readback Test Result Data</t>
  </si>
  <si>
    <t>The signals that are used by the safety fuse clustering fault detection algorithm are used within the safety relay clustering fault detection algorithm and vice-versa.</t>
  </si>
  <si>
    <t>The test cases are not performed as desired, potentially affecting the detection of faults. In a worst-case scenario, it is deemed that faults might be masked and remain undetected.</t>
  </si>
  <si>
    <t>The clustering algorithm is performed from its end to its beginning.</t>
  </si>
  <si>
    <t>In a worst-case scenario, it is deemed that faults might be masked and remain undetected.</t>
  </si>
  <si>
    <t>A different clustering algorithm, not based on hierarchical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</si>
  <si>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hierarchical one.</t>
  </si>
  <si>
    <t>For both consequences:
1) Improper software design only (e.g., leaving an unused clustering algorithm within the binary code of the supervisor's software and leaving it within the software control flow);
2) Improper software design along with a hardware fault (e.g., leaving an unused clustering algorithm within the binary code of the supervisor's software, but outside the software control flow, along with a hardware fault that redirects the control flow to that program area).</t>
  </si>
  <si>
    <t>Worst case: The supervised system is susceptible to producing unsafe outputs which can, thus, lead to potentially unsafe scenarios within the scope of the system operating context.</t>
  </si>
  <si>
    <t>Incorrect preconditions for performing the needed tests for the safety fuse and/or the safety relay are defined.</t>
  </si>
  <si>
    <t>Two possible consequences:
Scenario 1: A falsely positive fault of the safety fuse and/or the safety relay is detected despite the components being healthy.
Scenario 2: A fault of the safety fuse and/or the safety relay remains undetected despite the tests.</t>
  </si>
  <si>
    <t>For both scenarios:
1) Improper software design;
2) A hardware fault compromises the setting up of test preconditions.</t>
  </si>
  <si>
    <t>The inputs received to perform the fault detection of the safety fuse and/or the safety relay are corrupted.</t>
  </si>
  <si>
    <t>For both scenarios:
1) Improper software design;
2) A hardware fault compromises the reading of Fuse_Result and Keep_Power_Readback.</t>
  </si>
  <si>
    <t>Worst case (Scenario 2): The supervised system is susceptible to producing unsafe outputs which can, thus, lead to potentially unsafe scenarios within the scope of the system operating context.</t>
  </si>
  <si>
    <t>Please refer to the table lines involving the keywords 'more' and 'less' and the compared element 'frequency' of the same clustering approach.</t>
  </si>
  <si>
    <t>Please refer to the table lines involving the keywords 'more' and 'less' and the compared element 'number of clusters' of the same clustering approach.</t>
  </si>
  <si>
    <t>Different performance metrics, potentially not applicable to hierarchical clustering, are employed and calculated.</t>
  </si>
  <si>
    <t>The performance metrics might not be suitable for the different clustering approach to detect faults, thus masking their detection and mitigation.</t>
  </si>
  <si>
    <t>1) Ensure that only the clustering approaches that were deemed appropriate for the end application are left on the source and binary codes;
2) If more than a clustering algorithm is deemed necessary, ensure that only the applicable performance metrics can be used by them;
3) Use defensive programming techniques (e.g., mechanisms to detect the inadequacy of performance metrics to a specific type of algorihm, in case they are triggered by a hardware fault).</t>
  </si>
  <si>
    <t>The hierarchical clustering is performed with outputs that differ from the conditions that should have been enforced prior to its running.</t>
  </si>
  <si>
    <t>1) Ensure that the processes that are needed to set up the tests of both the safety fuse and the safety relay are properly specified, implemented, verified, validated, and deployed;
2)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3) Use defensive programming techniques.</t>
  </si>
  <si>
    <t>The clustering approach will be performed with data from the previous iteration.</t>
  </si>
  <si>
    <t>A fault of the safety fuse and/or the safety relay remains undetected despite the tests until the next processing cycle.</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</si>
  <si>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Use defensive programming techniques.</t>
  </si>
  <si>
    <t>No deviation from the regular behavior.</t>
  </si>
  <si>
    <t>Normal operation.</t>
  </si>
  <si>
    <t>No hazards have been identified because this scenario corresponds to normal operation.</t>
  </si>
  <si>
    <t>No hard partitioning clustering is performed.</t>
  </si>
  <si>
    <t>A different clustering algorithm, not based on hard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</si>
  <si>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hard partitioning one.</t>
  </si>
  <si>
    <t>Different performance metrics, potentially not applicable to hard partitioning clustering, are employed and calculated.</t>
  </si>
  <si>
    <t>The hard partitioning clustering is performed with outputs that differ from the conditions that should have been enforced prior to its running.</t>
  </si>
  <si>
    <t>Hard partitioning clustering is performed more frequently.</t>
  </si>
  <si>
    <t>Hard partitioning clustering is performed with more input data.</t>
  </si>
  <si>
    <t>Hard partitioning clustering is performed with more clusters.</t>
  </si>
  <si>
    <t>Hard partitioning clustering leads to higher performance metrics.</t>
  </si>
  <si>
    <t>Hard partitioning clustering is performed less frequently.</t>
  </si>
  <si>
    <t>Hard partitioning clustering is performed with less input data.</t>
  </si>
  <si>
    <t>Hard partitioning clustering is performed with less clusters.</t>
  </si>
  <si>
    <t>Hard partitioning clustering leads to lower performance metrics.</t>
  </si>
  <si>
    <t>1) Hard partitioning clustering has not been deployed;
2) A hardware fault or a software error prevent the hard partitioning clustering from being performed.</t>
  </si>
  <si>
    <t>Soft partitioning clustering is performed more frequently.</t>
  </si>
  <si>
    <t>Soft partitioning clustering is performed with more input data.</t>
  </si>
  <si>
    <t>Soft partitioning clustering is performed with more clusters.</t>
  </si>
  <si>
    <t>Soft partitioning clustering leads to higher performance metrics.</t>
  </si>
  <si>
    <t>Soft partitioning clustering is performed less frequently.</t>
  </si>
  <si>
    <t>Soft partitioning clustering is performed with less input data.</t>
  </si>
  <si>
    <t>Soft partitioning clustering is performed with less clusters.</t>
  </si>
  <si>
    <t>Soft partitioning clustering leads to lower performance metrics.</t>
  </si>
  <si>
    <t>No soft partitioning clustering is performed.</t>
  </si>
  <si>
    <t>1) Soft partitioning clustering has not been deployed;
2) A hardware fault or a software error prevent the soft partitioning clustering from being performed.</t>
  </si>
  <si>
    <t>A different clustering algorithm, not based on soft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</si>
  <si>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soft partitioning one.</t>
  </si>
  <si>
    <t>Different performance metrics, potentially not applicable to soft partitioning clustering, are employed and calculated.</t>
  </si>
  <si>
    <t>The soft partitioning clustering is performed with outputs that differ from the conditions that should have been enforced prior to its running.</t>
  </si>
  <si>
    <t>Since each point of a dataset can fully belong to more than a cluster, the supervisor might fail in detecting an issue of the supervised system.</t>
  </si>
  <si>
    <t>Fuzzy partitioning clustering is performed more frequently.</t>
  </si>
  <si>
    <t>Fuzzy partitioning clustering is performed with more input data.</t>
  </si>
  <si>
    <t>Fuzzy partitioning clustering is performed with more clusters.</t>
  </si>
  <si>
    <t>Fuzzy partitioning clustering leads to higher performance metrics.</t>
  </si>
  <si>
    <t>Fuzzy partitioning clustering is performed less frequently.</t>
  </si>
  <si>
    <t>Fuzzy partitioning clustering is performed with less input data.</t>
  </si>
  <si>
    <t>Fuzzy partitioning clustering is performed with less clusters.</t>
  </si>
  <si>
    <t>Fuzzy partitioning clustering leads to lower performance metrics.</t>
  </si>
  <si>
    <t>No fuzzy partitioning clustering is performed.</t>
  </si>
  <si>
    <t>1) Fuzzy partitioning clustering has not been deployed;
2) A hardware fault or a software error prevent the fuzzy partitioning clustering from being performed.</t>
  </si>
  <si>
    <t>A different clustering algorithm, not based on fuzzy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</si>
  <si>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fuzzy partitioning one.</t>
  </si>
  <si>
    <t>Different performance metrics, potentially not applicable to fuzzy partitioning clustering, are employed and calculated.</t>
  </si>
  <si>
    <t>The fuzzy partitioning clustering is performed with outputs that differ from the conditions that should have been enforced prior to its running.</t>
  </si>
  <si>
    <t>Probabilistic partitioning clustering is performed more frequently.</t>
  </si>
  <si>
    <t>Probabilistic partitioning clustering is performed with more input data.</t>
  </si>
  <si>
    <t>Probabilistic partitioning clustering is performed with more clusters.</t>
  </si>
  <si>
    <t>Probabilistic partitioning clustering leads to higher performance metrics.</t>
  </si>
  <si>
    <t>Probabilistic partitioning clustering is performed less frequently.</t>
  </si>
  <si>
    <t>Probabilistic partitioning clustering is performed with less input data.</t>
  </si>
  <si>
    <t>Probabilistic partitioning clustering is performed with less clusters.</t>
  </si>
  <si>
    <t>Probabilistic partitioning clustering leads to lower performance metrics.</t>
  </si>
  <si>
    <t>1) Probabilistic partitioning clustering has not been deployed;
2) A hardware fault or a software error prevent the probabilistic partitioning clustering from being performed.</t>
  </si>
  <si>
    <t>A different clustering algorithm, not based on probabilistic partitioning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</si>
  <si>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probabilistic partitioning one.</t>
  </si>
  <si>
    <t>Different performance metrics, potentially not applicable to probabilistic partitioning clustering, are employed and calculated.</t>
  </si>
  <si>
    <t>The probabilistic partitioning clustering is performed with outputs that differ from the conditions that should have been enforced prior to its running.</t>
  </si>
  <si>
    <t>No probabilistic partitioning clustering is performed.</t>
  </si>
  <si>
    <t>Since each point of a dataset can belong to each cluster with a different probability, the supervisor might fail in detecting an issue of the supervised system.</t>
  </si>
  <si>
    <t>Density-based clustering is performed more frequently.</t>
  </si>
  <si>
    <t>Density-based clustering is performed with more input data.</t>
  </si>
  <si>
    <t>Density-based clustering is performed with more clusters.</t>
  </si>
  <si>
    <t>Density-based clustering leads to higher performance metrics.</t>
  </si>
  <si>
    <t>Density-based clustering is performed less frequently.</t>
  </si>
  <si>
    <t>Density-based clustering is performed with less input data.</t>
  </si>
  <si>
    <t>Density-based clustering is performed with less clusters.</t>
  </si>
  <si>
    <t>Density-based clustering leads to lower performance metrics.</t>
  </si>
  <si>
    <t>A different clustering algorithm, not based on density-based clustering, is performed.</t>
  </si>
  <si>
    <t>Two potential consequences:
1) If the fault only affects the clustering method itself, and not the underlying performance metrics, these might not be suitable for the different clustering approach to detect faults.
2) If performance metrics are also changed, the fault detection system will fully operate according to the different approach, other than the density-based one.</t>
  </si>
  <si>
    <t>Different performance metrics, potentially not applicable to density-based clustering, are employed and calculated.</t>
  </si>
  <si>
    <t>The density-based clustering is performed with outputs that differ from the conditions that should have been enforced prior to its running.</t>
  </si>
  <si>
    <t>No density-based clustering is performed.</t>
  </si>
  <si>
    <t>1) Density-based clustering has not been deployed;
2) A hardware fault or a software error prevent the density-based clustering from being performed.</t>
  </si>
  <si>
    <t>No data is captured to perform the Fuse_Result test.</t>
  </si>
  <si>
    <t>The test of the safety fuse is carried out with outdated data.</t>
  </si>
  <si>
    <t>1) Improper software design;
2) A hardware fault compromises the control flow of reading test results (inputs for the clustering method).</t>
  </si>
  <si>
    <t>The time window in which supervised system can produce unsafe outputs increases. This can lead to potentially unsafe scenarios within the scope of the system operating context.</t>
  </si>
  <si>
    <t>The time window in which supervised system can produce unsafe outputs increases; ultimately, no new data is generated, and no safety fuse faults are detected. This can lead to potentially unsafe scenarios within the scope of the system operating context.</t>
  </si>
  <si>
    <t>If the percentage of data indicating that the system is healthy is higher than expected, a fuse fault might not be detected.</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</si>
  <si>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the supervisor stops performing tests, there are means to lead the supervised system to a safe state;
3) Ensure that the processes that are needed to read test results and add them to the clustering datasets are properly specified, implemented, verified, validated, and deployed;
4) Use defensive programming techniques.</t>
  </si>
  <si>
    <t>If the percentage of data indicating that the system is healthy is lower than expected, the safety fuse might be detected as failed even when it is still healthy enough for operation.</t>
  </si>
  <si>
    <t>It might be possible to mask an unhealthy safety fuse, hence preventing its detection and the mitigation of such an event.</t>
  </si>
  <si>
    <t>The test cases of each test category are performed in an inverted way. Since there are only two test cases in each test, both with expected complementary results, no safety concerns would be expected if the clustering process is performed with the same data, but on a different order.</t>
  </si>
  <si>
    <t>No hazards have been identified, since the scenario leans towards a safe behavior.</t>
  </si>
  <si>
    <t>Data are captured earlier than needed.</t>
  </si>
  <si>
    <t>Data are captured later than needed.</t>
  </si>
  <si>
    <t>No data is captured to perform the Keep_Power_Readback test.</t>
  </si>
  <si>
    <t>The test of the safety relay is carried out with outdated data.</t>
  </si>
  <si>
    <t>The time window in which supervised system can produce unsafe outputs increases; ultimately, no new data is generated, and no safety relay faults are detected. This can lead to potentially unsafe scenarios within the scope of the system operating context.</t>
  </si>
  <si>
    <t>It might be possible to mask an unhealthy safety relay, hence preventing its detection and the mitigation of such an event.</t>
  </si>
  <si>
    <t>If the percentage of data indicating that the system is healthy is lower than expected, the safety relay might be detected as failed even when it is still healthy enough for operation.</t>
  </si>
  <si>
    <t>If the percentage of data indicating that the system is healthy is higher than expected, a safety relay fault might not be detected.</t>
  </si>
  <si>
    <t>If hierarchical clustering is the only means to detect faults on the supervised system, fault detection and mitigation actions might not be performed; otherwise, other approaches could be used.</t>
  </si>
  <si>
    <t>If hard partitioning clustering is the only means to detect faults on the supervised system, faults might not be detected nor mitigated accordingly; otherwise, other approaches could be used.</t>
  </si>
  <si>
    <t>If soft partitioning clustering is the only means to detect faults on the supervised system, faults might not be detected nor mitigated accordingly; otherwise, other approaches could be used.</t>
  </si>
  <si>
    <t>If fuzzy partitioning clustering is the only means to detect faults on the supervised system, faults might not be detected nor mitigated accordingly; otherwise, other approaches could be used.</t>
  </si>
  <si>
    <t>If probabilistic partitioning clustering is the only means to detect faults on the supervised system, faults might not be detected nor mitigated accordingly; otherwise, other approaches could be used.</t>
  </si>
  <si>
    <t>If density-based clustering is the only means to detect faults on the supervised system, faults might not be detected nor mitigated accordingly; otherwise, other approaches could be used.</t>
  </si>
  <si>
    <t>Single Linkage Similarity/ Distance Between Groups</t>
  </si>
  <si>
    <t>Scheme to Measure Similarity / Distance Among Groups</t>
  </si>
  <si>
    <t>Complete Linkage Similarity/ Distance Between Groups</t>
  </si>
  <si>
    <t>Average Linkage Similarity/ Distance Between Groups</t>
  </si>
  <si>
    <t>Average Centroid Similarity/ Distance Between Groups</t>
  </si>
  <si>
    <t>If single linkage is the only means to calculate the similarity / distance between groups with the clustering approach of the supervisor, faults might not be detected nor mitigated accordingly; otherwise, other approaches could be used.</t>
  </si>
  <si>
    <t>The similarity / distance between groups is not calculated using a single linkage approach.</t>
  </si>
  <si>
    <t>1) Single linkage similarity / distance calculation has not been deployed;
2) A hardware fault or a software error prevent the single linkage distance calculation from being performed.</t>
  </si>
  <si>
    <t>Other schemes to calculate similarity / distance are also calculated.</t>
  </si>
  <si>
    <t>Similarities / distances are partially calculated.</t>
  </si>
  <si>
    <t>Similarities / distances are calculated before test points are added to the dataset</t>
  </si>
  <si>
    <t>Similarities / distances are calculated after test points are added to the dataset</t>
  </si>
  <si>
    <t>Similarities / distances are calculated earlier than necessary.</t>
  </si>
  <si>
    <t>Similarities / distances are calculated with a delay.</t>
  </si>
  <si>
    <t>The resulting distance between clusters is greater than it should have been (dual: the resulting similarity between clusters is lower than it should have been).</t>
  </si>
  <si>
    <t>The resulting distance between clusters is lower than it should have been (dual: the resulting similarity between clusters is greater than it should have been).</t>
  </si>
  <si>
    <t>The similarity / distance between groups is not calculated using a complete linkage approach.</t>
  </si>
  <si>
    <t>The similarity / distance between groups is not calculated using an average centroid approach.</t>
  </si>
  <si>
    <t>The similarity / distance between groups is not calculated using an average linkage approach.</t>
  </si>
  <si>
    <t>1) Improper software design;
2) A hardware fault compromises the control flow of the distance/similarity calculation.</t>
  </si>
  <si>
    <t>The results of both the safety fuse and the safety relay might be improperly processed, thus preventing faults from being detected and mitigated accordingly.</t>
  </si>
  <si>
    <t>Depending on the clustering algorithm, a greater distance / lower similarity might lead to the misguiding results of the safety fuse test.
No issues related to the safety relay test are expected, since only two binary levels are expected.</t>
  </si>
  <si>
    <t>Depending on the clustering algorithm, a lower distance / greater similarity might lead to the misguiding results of the safety fuse test.
No issues related to the safety relay test are expected, since only two binary levels are expected.</t>
  </si>
  <si>
    <t>1) Ensure that the adequate scheme(s) to calculate similarity / distance between groups are properly specified, implemented, verified, validated, and deployed;
2) Use defensive programming techniques.</t>
  </si>
  <si>
    <t>Similarities / distances are calculated with an approach that differs from single linkage.</t>
  </si>
  <si>
    <t>Similarities / distances are calculated in reverse order.</t>
  </si>
  <si>
    <t>Similarities / distances are calculated with an approach that differs from complete linkage.</t>
  </si>
  <si>
    <t>Similarities / distances are calculated with an approach that differs from average linkage.</t>
  </si>
  <si>
    <t>Similarities / distances are calculated with an approach that differs from average centroids.</t>
  </si>
  <si>
    <t>In a worst-case scenario, it is deemed that issues with the processing flow of the similarity / distance calculation can affect the obtained results. As a result, there is the potential to prevent faults from being detected and mitigated accordingly.</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</si>
  <si>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single linkage), the results of both the safety fuse and the safety relay might be improperly processed, thus preventing faults from being detected and mitigated accordingly.</t>
  </si>
  <si>
    <t>Worst case: The supervised system produces unsafe outputs which can, thus, lead to potentially unsafe scenarios within the scope of the system operating context.</t>
  </si>
  <si>
    <t>Potential faults of the safety fuse and/or the safety relay will remain undetected and unmitigated.</t>
  </si>
  <si>
    <t>For both consequences:
1) Improper software design only (e.g., leaving an unused similarity/distance approach within the binary code of the supervisor's software and leaving it within the software control flow);
2) Improper software design along with a hardware fault (e.g., leaving an unused similarity / distance approach within the binary code of the supervisor's software, but outside the software control flow, along with a hardware fault that redirects the control flow to that program area).
3) A hardware fault compromises the control flow of the distance/similarity calculation (e.g., more than one similarity / distance approach shall be used, but a hardware fault makes the control flow 'skip' the similarity / distance approach).</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</si>
  <si>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adequate scheme(s) to calculate similarity / distance between groups are properly specified, implemented, verified, validated, and deployed;
3) Use defensive programming techniques.</t>
  </si>
  <si>
    <t>Potential faults of the safety fuse and/or the safety relay will remain undetected and unmitigated for a wider time window.</t>
  </si>
  <si>
    <t>If complete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</si>
  <si>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complete linkage), the results of both the safety fuse and the safety relay might be improperly processed, thus preventing faults from being detected and mitigated accordingly.</t>
  </si>
  <si>
    <t>1) Complete linkage similarity / distance calculation has not been deployed;
2) A hardware fault or a software error prevent the complete linkage distance calculation from being performed.</t>
  </si>
  <si>
    <t>If average linkage is the only means to calculate the similarity / distance between groups with the clustering approach of the supervisor, faults might not be detected nor mitigated accordingly; otherwise, other approaches could be used.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</si>
  <si>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linkage), the results of both the safety fuse and the safety relay might be improperly processed, thus preventing faults from being detected and mitigated accordingly.</t>
  </si>
  <si>
    <t>1) Average linkage similarity / distance calculation has not been deployed;
2) A hardware fault or a software error prevent the average linkage distance calculation from being performed.</t>
  </si>
  <si>
    <t>If average centroid is the only means to calculate the similarity / distance between groups with the clustering approach of the supervisor, faults might not be detected nor mitigated accordingly; otherwise, other approaches could be used.</t>
  </si>
  <si>
    <t>1) Average centroid similarity / distance calculation has not been deployed;
2) A hardware fault or a software error prevent the average centroid distance calculation from being performed.</t>
  </si>
  <si>
    <t>If other approaches have been built-in and are are processed in accordance to their own performance metrics and thresholds, it is deemed that no unsafe behavior can stem from this scenario.
On the other hand, if a different distance/similarity calculation approach is used, but the performance metrics and thresholds for fault detection remain the same of the original one (i.e., designed for average centroid), the results of both the safety fuse and the safety relay might be improperly processed, thus preventing faults from being detected and mitigated accordingly.</t>
  </si>
  <si>
    <t>No target number of clusters is specified for the clustering process.</t>
  </si>
  <si>
    <t>A higher number of clusters than the specified one is used by the clustering process.</t>
  </si>
  <si>
    <t>A lower number of clusters than the specified one is used by the clustering process.</t>
  </si>
  <si>
    <t>More than one number of clusters is used by the clustering process.</t>
  </si>
  <si>
    <t>The number of clusters is provided before the clustering process is carried out.</t>
  </si>
  <si>
    <t>The number of clusters is provided earlier than it should have been.</t>
  </si>
  <si>
    <t>The number of clusters is provided later than it should have been.</t>
  </si>
  <si>
    <t>1) Improper software design;
2) A hardware fault compromises the control flow which is responsible for setting up the number ofclusters to be considered by a clustering approach.</t>
  </si>
  <si>
    <t>Either the clustering process is not performed, or it is performed with a default number of clusters that might differ from the one specified to the appliction.
In both scenarios, it is considered that the supervisor might detect an issue of the supervised system even in case such a problem does not exist.</t>
  </si>
  <si>
    <t>The number of clusters is partially configured, hence leading to a corrupted number of clusters.</t>
  </si>
  <si>
    <t>In a worst-case scenario, it is deemed that improper criteria to resolve conflicts onto which cluster a point shall be assigned (in case the distance to all clusters is the same) is able to prevent faults from being detected and mitigated accordingly.</t>
  </si>
  <si>
    <t>1) Improper software design;
2) A hardware fault compromises the control flow which is responsible for processing the conflict resolution policies of the clustering process.</t>
  </si>
  <si>
    <t>Please refer to the table lines involving the keywords 'more' and 'less' and 'number of clusters'.</t>
  </si>
  <si>
    <t>The number of clusters might not be adequately configured. Please refer to the table lines involving the keywords 'no/not', 'more', 'less' and 'number of clusters'.</t>
  </si>
  <si>
    <t>Please refer to the table lines involving the keywords 'no/not', 'more', 'less' and 'number of clusters'.</t>
  </si>
  <si>
    <t>No calculation involving the Euclidean distance is performed.</t>
  </si>
  <si>
    <t>The calculation of Euclidean distances leads to results that are higher than they should have been.</t>
  </si>
  <si>
    <t>The calculation of Euclidean distances leads to results that are lower than they should have been.</t>
  </si>
  <si>
    <t>Euclidean distances are calculated along with other distance/similarity measurements.</t>
  </si>
  <si>
    <t>The algorithm to calculate Euclidean distance is reversed.</t>
  </si>
  <si>
    <t>Distances other than the Euclidean one are calculated.</t>
  </si>
  <si>
    <t>Distances are calculated earlier than they should have been.</t>
  </si>
  <si>
    <t>The clustering process leads to improper results, potentially leading every data point to be classified within a single cluster.</t>
  </si>
  <si>
    <t>If the extent to which the increase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</si>
  <si>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If the extent to which the decrease on the distance manifests varies according to the data used in the calculation, it is considered that, in a worst-case scenario, the clustering process can be affected in such a way to change clusters' members and/or shape. As a result, faults on the safety fuse and/or the safety relay might be not detected nor mitigated.</t>
  </si>
  <si>
    <t xml:space="preserve">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
  </si>
  <si>
    <t>1) Ensure that the adequate scheme(s) to calculate similarity / distance between groups are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</si>
  <si>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more than one distance function is used, proper performance metrics and conflict resolution among different clustering results shall ensure that faults are properly detected; otherwise, faults might not be detected nor mitigated accordingly.</t>
  </si>
  <si>
    <t>If more than one scheme to calculate distances / similarities is used, proper performance metrics and conflict resolution among different clustering results shall ensure that faults are properly detected; otherwise, faults might not be detected nor mitigated accordingly.</t>
  </si>
  <si>
    <t>Please refer to the following table lines:
- Keyword 'before' and compared element 'setting up test preconditions';
- Keyword 'before' and compared element 'eeading Fuse_Result and Keep_Power_Readback tests' result signals'.</t>
  </si>
  <si>
    <t>No safety concerns are expected with any other Minkowski-derived functions (including Manhattan and Supreme). Since both tests are carried out with unidimensional data, all Minkowski-derived distance functions retrieve the very same results.</t>
  </si>
  <si>
    <t>Please refer to the table lines involving the keywords 'more' and 'less' and the same distance function.</t>
  </si>
  <si>
    <t>The retrieved distance can be incorrect and/or invalid. Therefore,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</si>
  <si>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Manhattan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</si>
  <si>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The clustering process is carried out with incorrect distance calculations. As a result, a fault of the safety fuse and/or the safety relay remains undetected despite the tests.</t>
  </si>
  <si>
    <t>1) Improper software design;
2) A hardware fault compromises the control flow of reading test results (inputs for the clustering method) and/or adding them to the dataset used by the clustering process and/or calculating distance functions.</t>
  </si>
  <si>
    <t>a) If distances are calculated before test points are added to the dataset, please refer to the table line involving the keyword 'before' and the same distance function
b) Otherwise, it is deemed that the early calculation of distances does not affect the integrity of the clustering processes and, hence, safety.</t>
  </si>
  <si>
    <t>a) Please refer to the table line involving the keyword 'before' and the same distance function.
b) No hazards have been identified because this scenario corresponds to normal operation.</t>
  </si>
  <si>
    <t>a) Please refer to the table line involving the keyword 'before' and the same distance function.
b) Negligible due to the lack of a hazard.</t>
  </si>
  <si>
    <t>a) Please refer to the table line involving the keyword 'before' and the same distance function.
b) No needed action due to the lack of a hazard.</t>
  </si>
  <si>
    <t>Distances are calculated with delay.</t>
  </si>
  <si>
    <t>The clustering process might take longer than expected and, as a result, the detection and the mitigation of a potential fault might take longer to occur.</t>
  </si>
  <si>
    <t>1) Improper software design;
2) A hardware fault compromises the control flow of distance function(s) calculation.</t>
  </si>
  <si>
    <t>No calculation involving the Manhattan distance is performed.</t>
  </si>
  <si>
    <t>The calculation of Manhattan distances leads to results that are higher than they should have been.</t>
  </si>
  <si>
    <t>The calculation of Manhattan distances leads to results that are lower than they should have been.</t>
  </si>
  <si>
    <t>Manhattan distances are calculated along with other distance/similarity measurements.</t>
  </si>
  <si>
    <t>The algorithm to calculate Manhattan distance is reversed.</t>
  </si>
  <si>
    <t>Distances other than the Manhattan one are calculated.</t>
  </si>
  <si>
    <t>No calculation involving the Supreme distance is performed.</t>
  </si>
  <si>
    <t>The calculation of Supreme distances leads to results that are higher than they should have been.</t>
  </si>
  <si>
    <t>The calculation of Supreme distances leads to results that are lower than they should have been.</t>
  </si>
  <si>
    <t>Supreme distances are calculated along with other distance/similarity measurements.</t>
  </si>
  <si>
    <t>No safety concerns are expected with any other Minkowski-derived functions (including Manhattan and Euclidean). Since both tests are carried out with unidimensional data, all Minkowski-derived distance functions retrieve the very same results.</t>
  </si>
  <si>
    <t>The algorithm to calculate Supreme distance is reversed.</t>
  </si>
  <si>
    <t>Distances other than the Supreme one are calculated.</t>
  </si>
  <si>
    <t>No safety concerns are expected with any other Minkowski-derived functions (including Manhattan and Euclidean).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</si>
  <si>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
For other functions, it is considered that, in a worst-case scenario, the clustering process can be affected in such a way to change clusters' members and/or shape. As a result, faults on the safety fuse and/or the safety relay might be not detected nor mitigated.</t>
  </si>
  <si>
    <t>No safety concerns are expected with any other Minkowski-derived functions (including Euclidean and Supreme). Since both tests are carried out with unidimensional data, all Minkowski-derived distance functions retrieve the very same results.</t>
  </si>
  <si>
    <t>The calculation of Minkowski distances leads to results that are higher than they should have been.</t>
  </si>
  <si>
    <t>The calculation of Minkowski distances leads to results that are lower than they should have been.</t>
  </si>
  <si>
    <t>Minkowski distances are calculated along with other distance/similarity measurements.</t>
  </si>
  <si>
    <t>The algorithm to calculate Minkowski distance is reversed.</t>
  </si>
  <si>
    <t>Distances other than the Minkowski one are calculated.</t>
  </si>
  <si>
    <t>No calculation involving the Minkowski distance is performed.</t>
  </si>
  <si>
    <t>No safety concerns are expected with any Minkowski-derived functions (including Manhattan and Euclidean). Since both tests are carried out with unidimensional data, all Minkowski-derived distance functions retrieve the very same results.</t>
  </si>
  <si>
    <t>No calculation involving the Mahalanobis distance is performed.</t>
  </si>
  <si>
    <t>The calculation of Mahalanobis distances leads to results that are higher than they should have been.</t>
  </si>
  <si>
    <t>The calculation of Mahalanobis distances leads to results that are lower than they should have been.</t>
  </si>
  <si>
    <t>Mahalanobis distances are calculated along with other distance/similarity measurements.</t>
  </si>
  <si>
    <t>The algorithm to calculate Mahalanobis distance is reversed.</t>
  </si>
  <si>
    <t>Distances other than the Mahalanobis one are calculated.</t>
  </si>
  <si>
    <t>It is considered that, in a worst-case scenario, the clustering process can be affected in such a way to change clusters' members and/or shape. As a result, faults on the safety fuse and/or the safety relay might be not detected nor mitigated.</t>
  </si>
  <si>
    <t>If the covariance matrix (single point) equals 1, no safety concerns are expected with any other Minkowski-derived functions (including Manhattan and Euclidean). Since both tests are carried out with unidimensional data, all Minkowski-derived distance functions retrieve the very same results of the Mahalanobis function with the one-dimensional identitiy covariance matrix.
For other functions, it is considered that, in a worst-case scenario, the clustering process can be affected in such a way to change clusters' members and/or shape. As a result, faults on the safety fuse and/or the safety relay might be not detected nor mitigated.</t>
  </si>
  <si>
    <t>No calculation involving a normalized distance is performed.</t>
  </si>
  <si>
    <t>The calculation of normalized distances leads to results that are higher than they should have been.</t>
  </si>
  <si>
    <t>Since two different tests have been crafted for each involved variable, the normalization per se has negligible impact on the clustering process.
If the variables of both tests (i.e., Fuse_Result and Keep_Power_Readback) were combined into a two-dimensional point for a single test, additional requirements should have been defined to ensure the weight of each variable on the tests, since their domains are significantly different (0/1 for Keep_Power_Readback; [0; 4095] for Fuse_Result). Two tests with unidimensional variables are easier to implement and tend to produce better results than a single test with two-dimensional variables.</t>
  </si>
  <si>
    <t>The calculation of normalized distances leads to results that are lower than they should have been.</t>
  </si>
  <si>
    <t>Normalized distances are calculated along with other distance/similarity measurements.</t>
  </si>
  <si>
    <t>The algorithm to calculate normalized distances is reversed.</t>
  </si>
  <si>
    <t>Distances other than a normalized one are calculated.</t>
  </si>
  <si>
    <t>1) Ensure that the similarity / distance function(s) chosen to support the clustering process has (have) been properly specified, implemented, verified, validated, and deployed;
2) Use defensive programming techniques.</t>
  </si>
  <si>
    <t>1) Ensure that the similarity / distance function(s) chosen to support the clustering process has (have) been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</si>
  <si>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the similarity / distance function(s) chosen to support the clustering process has (have) been properly specified, implemented, verified, validated, and deployed;
3) Use defensive programming techniques.</t>
  </si>
  <si>
    <t>No correlation between cophenetic and distance matrices is calculated.</t>
  </si>
  <si>
    <t>The correlation between cophenetic and distance matrices is higher than it should have been.</t>
  </si>
  <si>
    <t>The correlation between cophenetic and distance matrices is lower than it should have been.</t>
  </si>
  <si>
    <t>Other performance metrics are calculated along with the correlation between cophenetic and distance matrices.</t>
  </si>
  <si>
    <t>Performance metrics are calculated earlier than expected.</t>
  </si>
  <si>
    <t>Performance metrics are calculated with a delay.</t>
  </si>
  <si>
    <t>Performance with Relative Variation of Error Measurement Based on Number of Clusters (Hierarchical Clustering)</t>
  </si>
  <si>
    <t>Performance with Correlation Between Cophenetic and Distance Matrices (Hierarchical Clustering)</t>
  </si>
  <si>
    <t xml:space="preserve">Considering that a reduced correlation between the cophenetic and the similarity/distance matrix indicates lower intercluster separation with lower intracluster cohesion, the detection of a fault involving at least one of the monitored safety elements (safety fuse and safety relay) with hierarchical clustering might occur even if such a fault is non-existent. </t>
  </si>
  <si>
    <t>1) Improper software design;
2) A hardware fault compromises the control flow of the clustering and performance metrics calculation.</t>
  </si>
  <si>
    <t>No hazards have been identified, since the scenario leads to a potentially safe situation by detecting a non-existent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</si>
  <si>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</si>
  <si>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</si>
  <si>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</si>
  <si>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No balancing of points per cluster is calculated.</t>
  </si>
  <si>
    <t>The balancing of points per cluster is higher than it should have been.</t>
  </si>
  <si>
    <t>The balancing of points per cluster is lower than it should have been.</t>
  </si>
  <si>
    <t>No hazards have been identified. An increase in test frequency allows the detection of potential issues caused by the reduced lifespan.</t>
  </si>
  <si>
    <t>1) Improper software design;
2) A hardware fault corrupts performance metrics data;
3) A hardware fault corrupts the thresholds for detecting faults through performance metrics .</t>
  </si>
  <si>
    <t>1) Improper software design only (e.g., leaving unused performance metrics functions within the binary code of the supervisor's software and leaving it within the software control flow);
2) Improper software design along with a hardware fault (e.g., leaving unused performance metrics functions within the binary code of the supervisor's software, but outside the software control flow, along with a hardware fault that redirects the control flow to that program area).</t>
  </si>
  <si>
    <t>Since each point of a dataset can belong to more than a cluster, the supervisor might fail in detecting an issue of the supervised system.</t>
  </si>
  <si>
    <t>Please refer to the table line involving the keyword 'no/not' and 'number of clusters'.</t>
  </si>
  <si>
    <t>Improper data is used when calculating the performance metrics.</t>
  </si>
  <si>
    <t>The non-calculation of the performance metrics prevent the detection of potential faults on the safety fuse and/or the safety relay. As a result, the supervised system might operate in a potentially unsafe condition within the scope of its operating context.</t>
  </si>
  <si>
    <t>The improper calculation of the performance metrics prevent the detection of potential faults on the safety fuse and/or the safety relay. As a result, the supervised system might operate in a potentially unsafe condition within the scope of its operating context.</t>
  </si>
  <si>
    <t>The performance metrics are partially calculated only.</t>
  </si>
  <si>
    <t>The performance metrics are reversely calculated.</t>
  </si>
  <si>
    <t>In a worst-case scenario, it is deemed that a delay on the calculation of the performance metrics have two direct consequences: (i.) the usage of outdated clustering data, or (ii.) a late detection of a preexisting fault. Both scenarios can ultimately prevent the proper detection of a fault on the safety fuse and/or the safety relay in due time.</t>
  </si>
  <si>
    <t>No relative variation of error measurement with the number of clusters is calculated.</t>
  </si>
  <si>
    <t>The relative variation of error measurement with the number of clusters is higher than it should have been.</t>
  </si>
  <si>
    <t>The relative variation of error measurement with the number of clusters is lower than it should have been.</t>
  </si>
  <si>
    <t>1) Improper software design;
2) A hardware fault compromises the control flow of the corresponding performance metrics calculation.</t>
  </si>
  <si>
    <t>If the performance metrics are calculated along with other ones also applicable to hierarchical clustering, it is deemed that no safety issues can arise. However, if performance metrics applicable for clustering schemes other than hierarchical clustering are calculated, it is deemed that, in a worst-case scenario, they can lead to improper results that might prevent the detection of a fault on the safety fuse and/or the safety relay.</t>
  </si>
  <si>
    <t>The improper calculation of other performance metrics can prevent the detection of potential faults on the safety fuse and/or the safety relay. As a result, the supervised system might operate in a potentially unsafe condition within the scope of its operating context.</t>
  </si>
  <si>
    <t>In a worst-case scenario, it is deemed that the partial calculation of the corresponding performance metrics can lead to improper results that might prevent the detection of a fault on the safety fuse and/or the safety relay.</t>
  </si>
  <si>
    <t>In a worst-case scenario, it is deemed that the reverse calculation of the corresponding performance metrics can lead to improper results that might prevent the detection of a fault on the safety fuse and/or the safety relay.</t>
  </si>
  <si>
    <t>In a worst-case scenario, it is deemed that the usage of improper input data for the calculation of the corresponding performance metrics can lead to improper results that might prevent the detection of a fault on the safety fuse and/or the safety relay.</t>
  </si>
  <si>
    <t>In a worst-case scenario, it is deemed that the usage of outdated cluster data or incorrect clusters for the calculation of the corresponding performance metrics can lead to improper results that might prevent the detection of a fault on the safety fuse and/or the safety relay.</t>
  </si>
  <si>
    <t>A different set of performance metrics is calculated.</t>
  </si>
  <si>
    <t>No silhouette metrics are calculated.</t>
  </si>
  <si>
    <t>The silhouette metrics are higher than they should have been.</t>
  </si>
  <si>
    <t>The silhouette metrics are lower than they should have been.</t>
  </si>
  <si>
    <t>No number of data points within more than a cluster is calculated.</t>
  </si>
  <si>
    <t>The number of data points within more than a cluster is lower than it should have been.</t>
  </si>
  <si>
    <t>No fuzzy hyper volume is calculated.</t>
  </si>
  <si>
    <t>The fuzzy hyper volume is higher than it should have been.</t>
  </si>
  <si>
    <t>The fuzzy hyper volume is lower than it should have been.</t>
  </si>
  <si>
    <t>The number of data points within more than a cluster is higher than it should have been.</t>
  </si>
  <si>
    <t>No average partition density is calculated.</t>
  </si>
  <si>
    <t>The average partition density is higher than it should have been.</t>
  </si>
  <si>
    <t>The average partition density is lower than it should have been.</t>
  </si>
  <si>
    <t>No fuzzy silhouette widhts are calculated.</t>
  </si>
  <si>
    <t>The fuzzy silhouette widhts are higher than they should have been.</t>
  </si>
  <si>
    <t>The fuzzy silhouette widhts are lower than they should have been.</t>
  </si>
  <si>
    <t>No Xie-Beni index is calculated.</t>
  </si>
  <si>
    <t>The Xie-Beni index is higher than it should have been.</t>
  </si>
  <si>
    <t>The Xie-Beni index is lower than it should have been.</t>
  </si>
  <si>
    <t>No number of data points per cluster is calculated.</t>
  </si>
  <si>
    <t>The number of data points per cluster is higher than it should have been.</t>
  </si>
  <si>
    <t>The number of data points per cluster is lower than it should have been.</t>
  </si>
  <si>
    <t>No a priori probability per cluster is calculated.</t>
  </si>
  <si>
    <t>The a priori probability per cluster is higher than it should have been.</t>
  </si>
  <si>
    <t>The a priori probability per cluster is lower than it should have been.</t>
  </si>
  <si>
    <t>No centroid variance is calculated.</t>
  </si>
  <si>
    <t>The centroid variance is higher than it should have been.</t>
  </si>
  <si>
    <t>The centroid variance is lower than it should have been.</t>
  </si>
  <si>
    <t>It might not be possible to detect faults related to the safety fuse and/or the safety relay with hierarchical clustering.</t>
  </si>
  <si>
    <t>Performance with Balancing of Points per Cluster (Hierarchical Clustering; Hard, Soft, and Density-Based Partitional Clustering)</t>
  </si>
  <si>
    <t>Performance with Silhouette Metrics (Hard, Soft, and Density-Based Partitional Clustering)</t>
  </si>
  <si>
    <t>Performance with Number of Points within more than a Cluster (Soft Partitional Clustering)</t>
  </si>
  <si>
    <t>Performance with Fuzzy Hyper Volume (Fuzzy Partitional Clustering)</t>
  </si>
  <si>
    <t>Performance with Average Partition Density (Fuzzy Partitional Clustering)</t>
  </si>
  <si>
    <t>Performance with Fuzzy Silhouette Width (Fuzzy Partitional Clustering)</t>
  </si>
  <si>
    <t>Performance with Xie-Beni Index (Fuzzy Partitional Clustering)</t>
  </si>
  <si>
    <t>Performance with Number of Points per Cluster (Probabilistic Partitional Clustering)</t>
  </si>
  <si>
    <t>Performance with a priori Probability per Cluster (Probabilistic Partitional Clustering)</t>
  </si>
  <si>
    <t>Performance with Variance of each Centroid (Probabilistic Partitional Clustering)</t>
  </si>
  <si>
    <t>It might not be possible to detect faults related to the safety fuse and/or the safety relay with hierarchical clustering, hard partitional clustering, soft partitional clustering, and density-based partitional clustering.</t>
  </si>
  <si>
    <t xml:space="preserve">Considering that a reduced balancing of points per cluster suggests that complementary test scenarios have been classified onto a same group/cluster, the detection of a fault involving at least one of the monitored safety elements (safety fuse and safety relay) might occur even if such a fault is non-existent. </t>
  </si>
  <si>
    <t xml:space="preserve">Considering that a reduced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be improperly masked, thus preventing its detection. </t>
  </si>
  <si>
    <t>It might not be possible to detect faults related to the safety fuse and/or the safety relay with hard partitional clustering, soft partitional clustering, and density-based partitional clustering.</t>
  </si>
  <si>
    <t xml:space="preserve">Considering that an increased silhouette measurement indicates reduced balancing of points per cluster suggests that higher intercluster separation with higher intracluster cohesion, the detection of a fault involving at least one of the monitored safety elements (safety fuse and safety relay) might be improperly masked, thus preventing its detection. </t>
  </si>
  <si>
    <t xml:space="preserve">Considering that a decreased silhouette measurement indicates lower intercluster separation with lower intracluster cohesion, the detection of a fault involving at least one of the monitored safety elements (safety fuse and safety relay) might occur even if such a fault is non-existent. </t>
  </si>
  <si>
    <t>If the performance metrics are calculated along with other ones also applicable to the same clustering scheme, it is deemed that no safety issues can arise. However, if performance metrics applicable for different clustering schemes are calculated, it is deemed that, in a worst-case scenario, they can lead to improper results that might prevent the detection of a fault on the safety fuse and/or the safety relay.</t>
  </si>
  <si>
    <t xml:space="preserve">Considering that a decreased number of data points within more than a cluster indicates higher intercluster separation with higher intracluster cohesion, the detection of a fault involving at least one of the monitored safety elements (safety fuse and safety relay) might be improperly masked, thus preventing its detection. </t>
  </si>
  <si>
    <t>If the performance metrics are calculated along with other ones also applicable to soft partitional clustering, it is deemed that no safety issues can arise. However, if performance metrics applicable for clustering schemes other than soft partitional clustering are calculated, it is deemed that, in a worst-case scenario, they can lead to improper results that might prevent the detection of a fault on the safety fuse and/or the safety relay.</t>
  </si>
  <si>
    <t>It might not be possible to detect faults related to the safety fuse and/or the safety relay with fuzzy partitional clustering.</t>
  </si>
  <si>
    <t>It might not be possible to detect faults related to the safety fuse and/or the safety relay with soft partitional clustering.</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</si>
  <si>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</si>
  <si>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</si>
  <si>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fuzzy partitional clustering, it is deemed that no safety issues can arise. However, if performance metrics applicable for clustering schemes other than fuzzy partitional clustering are calculated, it is deemed that, in a worst-case scenario, they can lead to improper results that might prevent the detection of a fault on the safety fuse and/or the safety relay.</t>
  </si>
  <si>
    <t>Please refer to the table line involving the keyword 'as well as' and the same subset of performance metrics.</t>
  </si>
  <si>
    <t xml:space="preserve">Worst-case scenario: please refer to the table line involving the keyword 'before' and the same subset of performance metrics. </t>
  </si>
  <si>
    <t xml:space="preserve">Considering that an increased correlation between the cophenetic and the similarity/distance matrix indicates higher intercluster separation with higher intracluster cohesion, the detection of a fault involving at least one of the monitored safety elements (safety fuse and safety relay) with hierarchical clustering might be improperly masked, thus preventing its detection. </t>
  </si>
  <si>
    <t xml:space="preserve">Considering that an increased relative variation of error measurement with the number of clusters indicates higher variation of the clustering quality as more clusters are added, the detection of a fault involving at least one of the monitored safety elements (safety fuse and safety relay) with hierarchical clustering might occur even if such a fault is non-existent </t>
  </si>
  <si>
    <t xml:space="preserve">Considering that an increased number of data points within more than a cluster indicates lower intercluster separation with lower intracluster cohesion, the detection of a fault involving at least one of the monitored safety elements (safety fuse and safety relay) might occur even if such a fault is non-existent. </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</si>
  <si>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</si>
  <si>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 xml:space="preserve">Considering that an increased  fuzzy hyper volume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</si>
  <si>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fuzzy hyper volume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</si>
  <si>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an increased average partition density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</si>
  <si>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average partition density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</si>
  <si>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fuzzy silhouette width indicates that the corresponding data fuzzy partition is better than it should have been, the detection of a fault involving at least one of the monitored safety elements (safety fuse and safety relay) might be improperly masked, thus preventing its detection. </t>
  </si>
  <si>
    <t xml:space="preserve">Considering that a decreased fuzzy silhouette width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</si>
  <si>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an increased Xie-Beni index indicates that the corresponding data fuzzy partition is worse than it should have been, the detection of a fault involving at least one of the monitored safety elements (safety fuse and safety relay) might occur even if such a fault is non-existent. </t>
  </si>
  <si>
    <t xml:space="preserve">Considering that a decreased Xie-Beni index indicates that the corresponding data fuzzy partition is better than it should have been, the detection of a fault involving at least one of the monitored safety elements (safety fuse and safety relay) might be improperly masked, thus preventing its detection. </t>
  </si>
  <si>
    <t>It might not be possible to detect faults related to the safety fuse and/or the safety relay with probabilistic partitional clustering.</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</si>
  <si>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</si>
  <si>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</si>
  <si>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If the performance metrics are calculated along with other ones also applicable to probabilistic partitional clustering, it is deemed that no safety issues can arise. However, if performance metrics applicable for clustering schemes other than probabilistic partitional clustering are calculated, it is deemed that, in a worst-case scenario, they can lead to improper results that might prevent the detection of a fault on the safety fuse and/or the safety relay.</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</si>
  <si>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</si>
  <si>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Since the a priori probability per cluster can affect how the points are distributed on each cluster, it is deemed that increased or decreased quantities might prevent the detection of faults related to the safety fuse and/or the safety relay.</t>
  </si>
  <si>
    <t>Since the number of points per cluster can affect how the points are balanced on each cluster, it is deemed that increased or decreased quantities might prevent the detection of faults related to the safety fuse and/or the safety relay.</t>
  </si>
  <si>
    <t xml:space="preserve">Considering that an increased centroid variance indicates that the corresponding data probabilistic partition is worse than it should have been, the detection of a fault involving at least one of the monitored safety elements (safety fuse and safety relay) might occur even if such a fault is non-existent. </t>
  </si>
  <si>
    <t xml:space="preserve">Considering that a decreased centroid variance indicates that the corresponding data probabilistic partition is better than it should have been, the detection of a fault involving at least one of the monitored safety elements (safety fuse and safety relay) might be improperly masked, thus preventing its detection. </t>
  </si>
  <si>
    <t>Use defensive programming techniques.</t>
  </si>
  <si>
    <t>Ensure that, for each test, only two test cases are taken into account (one for each binary state of the corresponding test control signal).</t>
  </si>
  <si>
    <t>Safety Requirement ID</t>
  </si>
  <si>
    <t>Safety Requirement Text</t>
  </si>
  <si>
    <t>1) Ensure that only performance metrics applicable by the clustering approaches used in the project are left on the source and binary codes;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</si>
  <si>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</si>
  <si>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</si>
  <si>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</si>
  <si>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Use defensive programming techniques.</t>
  </si>
  <si>
    <t>1)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2) Ensure that the performance metrics' thresholds for detecting faults with both the safety fuse and the safety relay are calculated in accordance with the selected scheme(s) and function(s) for calculating similarity / distance between clusters;
3)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</si>
  <si>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the performance metrics' thresholds for detecting faults with both the safety fuse and the safety relay are calculated in accordance with the selected scheme(s) and function(s) for calculating similarity / distance between clusters;
4) Use defensive programming techniques.</t>
  </si>
  <si>
    <t>1)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</si>
  <si>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</si>
  <si>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Use defensive programming techniques.</t>
  </si>
  <si>
    <t>1)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</si>
  <si>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
3)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5)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6) Ensure that the performance metrics' thresholds for detecting faults with both the safety fuse and the safety relay are calculated in accordance with the selected scheme(s) and function(s) for calculating similarity / distance between clusters;
7)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</si>
  <si>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Use defensive programming techniques.</t>
  </si>
  <si>
    <t>1)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2)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3)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4) Ensure that the performance metrics' thresholds for detecting faults with both the safety fuse and the safety relay are calculated in accordance with the selected scheme(s) and function(s) for calculating similarity / distance between clusters;
5) Use defensive programming techniques.</t>
  </si>
  <si>
    <t>1) 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
2) 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
4)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5) Ensure that the performance metrics' thresholds for detecting faults with both the safety fuse and the safety relay are calculated in accordance with the selected scheme(s) and function(s) for calculating similarity / distance between clusters;
6) Use defensive programming techniques.</t>
  </si>
  <si>
    <t>1)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2) Ensure that the thresholds for detecting faults with the clustering process have been properly specified, implemented, verified, validated, and deployed;
3) Use defensive programming techniques.</t>
  </si>
  <si>
    <t>1) Ensure that only performance metrics applicable by the clustering approaches used in the project are left on the source and binary codes;
2) 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
3) If more than a clustering algorithm is deemed necessary, ensure that only the applicable performance metrics can be used by them;
4) Use defensive programming techniques (e.g., mechanisms to detect the inadequacy of performance metrics to a specific type of algorihm, in case they are triggered by a hardware fault).</t>
  </si>
  <si>
    <t>1) Ensure that only performance metrics applicable by the clustering approaches used in the project are left on the source and binary codes;
2) 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
3) Specifically for density-based clustering, ensure that the labeling of data points as 'core', 'border', and 'noise' is performed in a proper way at each iteration of each test and that tie-related conflicts during the clustering process are properly solved;
4) If more than a clustering algorithm is deemed necessary, ensure that only the applicable performance metrics can be used by them;
5) Use defensive programming techniques (e.g., mechanisms to detect the inadequacy of performance metrics to a specific type of algorihm, in case they are triggered by a hardware fault).</t>
  </si>
  <si>
    <t>1) 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
2) Use defensive programming techniques.</t>
  </si>
  <si>
    <t>Ensure that the clustering method has been properly specified, implemented, verified, validated, and deployed.</t>
  </si>
  <si>
    <t>Ensure that dataset manipulation prior to clustering has been properly specified implemented, verified, validated, and deployed.</t>
  </si>
  <si>
    <t>Ensure that clustering performance metrics calculation has been properly specified implemented, verified, validated, and deployed.</t>
  </si>
  <si>
    <t>Ensure that the thresholds for detecting faults with the clustering process have been properly specified, implemented, verified, validated, and deployed.</t>
  </si>
  <si>
    <t>If more than a clustering algorithm is deemed necessary, implement a conflict resolution strategy to adjudicate diverging responses (e.g., majority voting) and ensure that its safe behavior has been properly specified, implemented, verified, validated, and deployed.</t>
  </si>
  <si>
    <t>Ensure that the processes that are needed to set up the tests of both the safety fuse and the safety relay are properly specified, implemented, verified, validated, and deployed.</t>
  </si>
  <si>
    <t>Ensure that the processes that are needed to read test results and add them to the clustering datasets are properly specified, implemented, verified, validated, and deployed.</t>
  </si>
  <si>
    <t>Ensure that only the clustering approaches that were deemed appropriate for the end application are left on the source and binary codes.</t>
  </si>
  <si>
    <t>If more than a clustering algorithm is deemed necessary, ensure that only the applicable performance metrics can be used by them.</t>
  </si>
  <si>
    <t>Ensure that only performance metrics applicable by the clustering approaches used in the project are left on the source and binary codes.</t>
  </si>
  <si>
    <t>For each applicable test (i.e., safety fuse and safety relay), ensure that the following control flow is specified, implemented, verified, validated, and deployed: (a) setting up the preconditions to test the corresponding component on one of its states (active or inactive), (b) read the diagnostic signal corresponding to a, (c) setting up the preconditions to test the state complementery to that of a, (d) read the diagnostic signal corresponding to c, (e) restore regular operational state if necessary, (f) update clustering input database with data read on b and d, (g) perform clustering, (h) update clustering performance metrics, (i) assess metrics to check the detection of a potential fault, and (j) trigger the needed mitigation actions if necessary.</t>
  </si>
  <si>
    <t>Specifically for density-based clustering, ensure that the labeling of data points as 'core', 'border', and 'noise' is performed in a proper way at each iteration of each test and that tie-related conflicts during the clustering process are properly solved.</t>
  </si>
  <si>
    <t>Ensure that, if the supervisor stops performing tests, there are means to lead the supervised system to a safe state.</t>
  </si>
  <si>
    <t>Ensure that the adequate scheme(s) to calculate similarity / distance between groups are properly specified, implemented, verified, validated, and deployed.</t>
  </si>
  <si>
    <t>Ensure that the performance metrics' thresholds for detecting faults with both the safety fuse and the safety relay are calculated in accordance with the selected scheme(s) and function(s) for calculating similarity / distance between clusters.</t>
  </si>
  <si>
    <t>Ensure that an adequate conflict resolution policy that leans towards enforcing a safe behavior is specified, implemented, verified, validated, and deployed (e.g., such a policy should check the impacts over performance metrics and assign the point to the cluster with the most negative impact to them).</t>
  </si>
  <si>
    <t>Ensure that the similarity / distance function(s) chosen to support the clustering process has (have) been properly specified, implemented, verified, validated, and deployed.</t>
  </si>
  <si>
    <t>Ensure that, if hierarchical clustering is used, the following three performance metrics are taken into account: (i.) the correlation between the cophenetic matrix and the similarity/distance matrix, (ii.) the balancing of points per cluster, and (iii.) the relative variation of error measurement with the number of clusters. The three performance metrics, and only they, shall be ensured as properly specified, implemented, verified, validated, and deployed.</t>
  </si>
  <si>
    <t>Ensure that, if hard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</si>
  <si>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soft partitioning clustering is used, the following four performance metrics are taken into account: (i.) the balancing of points per cluster, (ii.) the silhouette per cluster, (iii.) the overall silhouette for both clusters, and (iv.) the number of points within more than a single cluster. The four performance metrics, and only they, shall be ensured as properly specified, implemented, verified, validated, and deployed.</t>
  </si>
  <si>
    <t>Ensure that, if density-based partitioning clustering is used, the following three performance metrics are taken into account: (i.) the balancing of points per cluster, (ii.) the silhouette per cluster, and (iii.) the overall silhouette for both clusters. The three performance metrics, and only they, shall be ensured as properly specified, implemented, verified, validated, and deployed.</t>
  </si>
  <si>
    <t>Ensure that, if fuzzy partitioning clustering is used, the following four performance metrics are taken into account: (i.) fuzzy hyper volume, (ii.) average partition density, (iii.) fuzzy silhouette width, and (iv.) Xie-Beni index. The four performance metrics, and only they, shall be ensured as properly specified, implemented, verified, validated, and deployed.</t>
  </si>
  <si>
    <t>Ensure that, if probabilistic partitioning clustering is used, the following three performance metrics are taken into account: (i.) number of points per cluster, (ii.) a priori probability per cluster, and (iii.) variance of each cluster centroid. The three performance metrics, and only they, shall be ensured as properly specified, implemented, verified, validated, and deployed.</t>
  </si>
  <si>
    <t>All the RSRs applicable to the project shall be joinly satistied with SIL4.</t>
  </si>
  <si>
    <t>RSR3.1</t>
  </si>
  <si>
    <t>RSR3.2</t>
  </si>
  <si>
    <t>RSR3.3</t>
  </si>
  <si>
    <t>RSR3.4</t>
  </si>
  <si>
    <t>RSR3.5</t>
  </si>
  <si>
    <t>RSR3.6</t>
  </si>
  <si>
    <t>RSR3.7</t>
  </si>
  <si>
    <t>RSR3.8</t>
  </si>
  <si>
    <t>RSR3.9</t>
  </si>
  <si>
    <t>RSR3.10</t>
  </si>
  <si>
    <t>RSR3.11</t>
  </si>
  <si>
    <t>RSR3.12</t>
  </si>
  <si>
    <t>RSR3.13</t>
  </si>
  <si>
    <t>RSR3.14</t>
  </si>
  <si>
    <t>RSR3.15</t>
  </si>
  <si>
    <t>RSR3.16</t>
  </si>
  <si>
    <t>RSR3.17</t>
  </si>
  <si>
    <t>RSR3.18</t>
  </si>
  <si>
    <t>RSR3.19</t>
  </si>
  <si>
    <t>RSR3.20</t>
  </si>
  <si>
    <t>RSR3.21</t>
  </si>
  <si>
    <t>RSR3.22</t>
  </si>
  <si>
    <t>RSR3.23</t>
  </si>
  <si>
    <t>RSR3.24</t>
  </si>
  <si>
    <t>RSR3.25</t>
  </si>
  <si>
    <t>RSR3.26</t>
  </si>
  <si>
    <t>RSR3.27</t>
  </si>
  <si>
    <t>Fuse_Result Voltage Values (simulated on NI Multisim 11)</t>
  </si>
  <si>
    <t>Fuse_Result ADC Converter Output (12-bit converted, as per resolution of UC_Diag's NXP MPC5744P)</t>
  </si>
  <si>
    <t>|Mean-Min|Not Burn</t>
  </si>
  <si>
    <t>|Mean-Max|Not Burn</t>
  </si>
  <si>
    <t>|Mean-Max|Burn</t>
  </si>
  <si>
    <t>|Mean-Min|Burn</t>
  </si>
  <si>
    <t>Averages</t>
  </si>
  <si>
    <t xml:space="preserve">Modes </t>
  </si>
  <si>
    <t>Count</t>
  </si>
  <si>
    <t>Max_Std_Deviation</t>
  </si>
  <si>
    <t xml:space="preserve">If 'Maybe' Detectable or Not on Tests? </t>
  </si>
  <si>
    <t>λSD,OS</t>
  </si>
  <si>
    <t>λSD,F+S</t>
  </si>
  <si>
    <t>λSD,R</t>
  </si>
  <si>
    <t>λSD,F</t>
  </si>
  <si>
    <t>λSMD,F</t>
  </si>
  <si>
    <t>λSMND,F</t>
  </si>
  <si>
    <t>λSND,CM1</t>
  </si>
  <si>
    <t>λSND,CM2</t>
  </si>
  <si>
    <t>λUND,CM3</t>
  </si>
  <si>
    <t>Failure Rates Grand Totals -----&gt;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</si>
</sst>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0000E+00"/>
    <numFmt numFmtId="165" formatCode="0.0000E+00"/>
    <numFmt numFmtId="166" formatCode="0.00000"/>
    <numFmt numFmtId="167" formatCode="_-* #,##0.00\ [$€-1]_-;\-* #,##0.00\ [$€-1]_-;_-* &quot;-&quot;??\ [$€-1]_-"/>
    <numFmt numFmtId="168" formatCode="_([$€-2]* #,##0.00_);_([$€-2]* \(#,##0.00\);_([$€-2]* &quot;-&quot;??_)"/>
    <numFmt numFmtId="169" formatCode="0.000%"/>
  </numFmts>
  <fonts count="41">
    <font>
      <sz val="11"/>
      <color theme="1"/>
      <name val="Calibri"/>
      <family val="2"/>
      <scheme val="minor"/>
    </font>
    <font>
      <u/>
      <sz val="11"/>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0"/>
      <name val="MS Sans"/>
    </font>
    <font>
      <u/>
      <sz val="10"/>
      <color indexed="12"/>
      <name val="Arial"/>
      <family val="2"/>
    </font>
    <font>
      <sz val="11"/>
      <color theme="1"/>
      <name val="Arial"/>
      <family val="2"/>
    </font>
    <font>
      <sz val="11"/>
      <color indexed="8"/>
      <name val="Arial"/>
      <family val="2"/>
    </font>
    <font>
      <sz val="10"/>
      <color rgb="FF000000"/>
      <name val="Times New Roman"/>
      <family val="1"/>
    </font>
    <font>
      <sz val="8"/>
      <name val="Arial"/>
      <family val="2"/>
    </font>
    <font>
      <sz val="11"/>
      <color indexed="8"/>
      <name val="Calibri"/>
      <family val="2"/>
    </font>
    <font>
      <b/>
      <sz val="12"/>
      <name val="Arial"/>
      <family val="2"/>
    </font>
    <font>
      <b/>
      <sz val="10"/>
      <name val="Arial"/>
      <family val="2"/>
    </font>
    <font>
      <u/>
      <sz val="10"/>
      <name val="Arial"/>
      <family val="2"/>
    </font>
    <font>
      <b/>
      <i/>
      <sz val="14"/>
      <name val="Arial"/>
      <family val="2"/>
    </font>
    <font>
      <b/>
      <sz val="18"/>
      <color indexed="56"/>
      <name val="Cambria"/>
      <family val="2"/>
    </font>
    <font>
      <b/>
      <sz val="11"/>
      <color indexed="8"/>
      <name val="Calibri"/>
      <family val="2"/>
    </font>
    <font>
      <b/>
      <sz val="10"/>
      <color theme="1"/>
      <name val="Cambria"/>
      <family val="1"/>
      <scheme val="major"/>
    </font>
    <font>
      <sz val="10"/>
      <color theme="1"/>
      <name val="Cambria"/>
      <family val="1"/>
      <scheme val="major"/>
    </font>
    <font>
      <sz val="11"/>
      <color theme="1"/>
      <name val="Cambria"/>
      <family val="1"/>
      <scheme val="major"/>
    </font>
    <font>
      <b/>
      <sz val="11"/>
      <color theme="1"/>
      <name val="Cambria"/>
      <family val="1"/>
      <scheme val="major"/>
    </font>
    <font>
      <b/>
      <sz val="11"/>
      <color theme="1"/>
      <name val="Calibri"/>
      <family val="2"/>
      <scheme val="minor"/>
    </font>
    <font>
      <sz val="12"/>
      <color theme="1"/>
      <name val="Times New Roman"/>
      <family val="1"/>
    </font>
    <font>
      <b/>
      <sz val="12"/>
      <color theme="1"/>
      <name val="Times New Roman"/>
      <family val="1"/>
    </font>
    <font>
      <b/>
      <sz val="9"/>
      <color theme="1"/>
      <name val="Cambria"/>
      <family val="1"/>
      <scheme val="major"/>
    </font>
    <font>
      <sz val="9"/>
      <color theme="1"/>
      <name val="Cambria"/>
      <family val="1"/>
      <scheme val="major"/>
    </font>
  </fonts>
  <fills count="41">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10"/>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436">
    <xf numFmtId="0" fontId="0" fillId="0" borderId="0"/>
    <xf numFmtId="0" fontId="1" fillId="0" borderId="0" applyNumberFormat="0" applyFill="0" applyBorder="0" applyAlignment="0" applyProtection="0"/>
    <xf numFmtId="0" fontId="18" fillId="0" borderId="0"/>
    <xf numFmtId="0" fontId="18" fillId="0" borderId="0"/>
    <xf numFmtId="0" fontId="2" fillId="11" borderId="0" applyNumberFormat="0" applyBorder="0" applyAlignment="0" applyProtection="0"/>
    <xf numFmtId="0" fontId="2" fillId="11"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17" fillId="33"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8" fillId="4" borderId="0" applyNumberFormat="0" applyBorder="0" applyAlignment="0" applyProtection="0"/>
    <xf numFmtId="0" fontId="12" fillId="7" borderId="5" applyNumberFormat="0" applyAlignment="0" applyProtection="0"/>
    <xf numFmtId="0" fontId="14" fillId="8" borderId="8" applyNumberFormat="0" applyAlignment="0" applyProtection="0"/>
    <xf numFmtId="167" fontId="18" fillId="0" borderId="11"/>
    <xf numFmtId="0" fontId="18" fillId="0" borderId="1"/>
    <xf numFmtId="0" fontId="18" fillId="0" borderId="1"/>
    <xf numFmtId="0" fontId="18" fillId="0" borderId="1"/>
    <xf numFmtId="0" fontId="18" fillId="0" borderId="1"/>
    <xf numFmtId="0" fontId="18" fillId="0" borderId="1"/>
    <xf numFmtId="167" fontId="18" fillId="0" borderId="1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1"/>
    <xf numFmtId="0" fontId="18" fillId="0" borderId="11"/>
    <xf numFmtId="0" fontId="18" fillId="0" borderId="11"/>
    <xf numFmtId="0" fontId="18" fillId="0" borderId="1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0" applyNumberForma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0" fontId="18" fillId="0" borderId="0"/>
    <xf numFmtId="0" fontId="18" fillId="0" borderId="0"/>
    <xf numFmtId="0" fontId="16" fillId="0" borderId="0" applyNumberFormat="0" applyFill="0" applyBorder="0" applyAlignment="0" applyProtection="0"/>
    <xf numFmtId="0" fontId="7" fillId="3"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20" fillId="0" borderId="0" applyNumberFormat="0" applyFill="0" applyBorder="0" applyAlignment="0" applyProtection="0">
      <alignment vertical="top"/>
      <protection locked="0"/>
    </xf>
    <xf numFmtId="0" fontId="10" fillId="6" borderId="5" applyNumberFormat="0" applyAlignment="0" applyProtection="0"/>
    <xf numFmtId="0" fontId="13" fillId="0" borderId="7" applyNumberFormat="0" applyFill="0" applyAlignment="0" applyProtection="0"/>
    <xf numFmtId="43" fontId="21" fillId="0" borderId="0" applyFont="0" applyFill="0" applyBorder="0" applyAlignment="0" applyProtection="0"/>
    <xf numFmtId="43" fontId="22" fillId="0" borderId="0" applyFont="0" applyFill="0" applyBorder="0" applyAlignment="0" applyProtection="0"/>
    <xf numFmtId="0" fontId="9" fillId="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167" fontId="18" fillId="0" borderId="0"/>
    <xf numFmtId="0" fontId="18" fillId="0" borderId="0"/>
    <xf numFmtId="0" fontId="18" fillId="0" borderId="0"/>
    <xf numFmtId="0" fontId="23" fillId="0" borderId="0"/>
    <xf numFmtId="0" fontId="18" fillId="0" borderId="0"/>
    <xf numFmtId="0" fontId="18" fillId="0" borderId="0"/>
    <xf numFmtId="0" fontId="23" fillId="0" borderId="0"/>
    <xf numFmtId="167" fontId="18"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18" fillId="0" borderId="0"/>
    <xf numFmtId="0" fontId="2" fillId="0" borderId="0"/>
    <xf numFmtId="0" fontId="2" fillId="0" borderId="0"/>
    <xf numFmtId="0" fontId="2" fillId="0" borderId="0"/>
    <xf numFmtId="0" fontId="2" fillId="0" borderId="0"/>
    <xf numFmtId="167"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4" fillId="0" borderId="0"/>
    <xf numFmtId="0" fontId="2" fillId="9" borderId="9" applyNumberFormat="0" applyFont="0" applyAlignment="0" applyProtection="0"/>
    <xf numFmtId="0" fontId="25" fillId="9" borderId="9" applyNumberFormat="0" applyFont="0" applyAlignment="0" applyProtection="0"/>
    <xf numFmtId="0" fontId="11" fillId="7" borderId="6" applyNumberFormat="0" applyAlignment="0" applyProtection="0"/>
    <xf numFmtId="0" fontId="18" fillId="0" borderId="0"/>
    <xf numFmtId="0" fontId="18" fillId="0" borderId="0"/>
    <xf numFmtId="0" fontId="24" fillId="0" borderId="0">
      <alignment horizontal="center"/>
    </xf>
    <xf numFmtId="0" fontId="26" fillId="0" borderId="0">
      <alignment horizontal="center"/>
    </xf>
    <xf numFmtId="0" fontId="26" fillId="0" borderId="0"/>
    <xf numFmtId="0" fontId="27" fillId="0" borderId="0"/>
    <xf numFmtId="0" fontId="2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27" fillId="0" borderId="1"/>
    <xf numFmtId="0" fontId="27" fillId="0" borderId="1"/>
    <xf numFmtId="0" fontId="29" fillId="0" borderId="12"/>
    <xf numFmtId="0" fontId="3" fillId="0" borderId="0" applyNumberFormat="0" applyFill="0" applyBorder="0" applyAlignment="0" applyProtection="0"/>
    <xf numFmtId="0" fontId="30" fillId="0" borderId="0" applyNumberFormat="0" applyFill="0" applyBorder="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31" fillId="0" borderId="13" applyNumberFormat="0" applyFill="0" applyAlignment="0" applyProtection="0"/>
    <xf numFmtId="0" fontId="15" fillId="0" borderId="0" applyNumberFormat="0" applyFill="0" applyBorder="0" applyAlignment="0" applyProtection="0"/>
    <xf numFmtId="9" fontId="2" fillId="0" borderId="0" applyFont="0" applyFill="0" applyBorder="0" applyAlignment="0" applyProtection="0"/>
  </cellStyleXfs>
  <cellXfs count="136">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left" vertical="center" wrapText="1"/>
    </xf>
    <xf numFmtId="11" fontId="0" fillId="0" borderId="1" xfId="0" applyNumberFormat="1" applyFill="1" applyBorder="1" applyAlignment="1">
      <alignment horizontal="center" vertical="center"/>
    </xf>
    <xf numFmtId="11" fontId="0" fillId="0" borderId="1" xfId="0" applyNumberFormat="1" applyFill="1" applyBorder="1" applyAlignment="1">
      <alignment horizontal="center"/>
    </xf>
    <xf numFmtId="165" fontId="0" fillId="0" borderId="1" xfId="0" applyNumberFormat="1" applyFill="1" applyBorder="1" applyAlignment="1">
      <alignment horizontal="center"/>
    </xf>
    <xf numFmtId="0" fontId="0" fillId="0" borderId="0" xfId="0" applyFill="1" applyBorder="1" applyAlignment="1">
      <alignment horizontal="center" vertical="center"/>
    </xf>
    <xf numFmtId="164" fontId="0" fillId="0" borderId="1" xfId="0" applyNumberFormat="1" applyBorder="1" applyAlignment="1">
      <alignment horizontal="center"/>
    </xf>
    <xf numFmtId="164" fontId="0" fillId="0" borderId="1" xfId="0" applyNumberFormat="1" applyFill="1" applyBorder="1" applyAlignment="1">
      <alignment horizontal="center"/>
    </xf>
    <xf numFmtId="166"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1" xfId="0" applyNumberFormat="1" applyFill="1" applyBorder="1" applyAlignment="1">
      <alignment horizontal="center" vertical="center"/>
    </xf>
    <xf numFmtId="0" fontId="33" fillId="0" borderId="0" xfId="0" applyFont="1" applyAlignment="1">
      <alignment vertical="center" wrapText="1"/>
    </xf>
    <xf numFmtId="0" fontId="33" fillId="0" borderId="1" xfId="0" applyFont="1" applyBorder="1" applyAlignment="1">
      <alignment horizontal="center" vertical="center" wrapText="1"/>
    </xf>
    <xf numFmtId="0" fontId="33" fillId="0" borderId="1" xfId="0" applyFont="1" applyBorder="1" applyAlignment="1">
      <alignment vertical="center" wrapText="1"/>
    </xf>
    <xf numFmtId="164" fontId="33" fillId="0" borderId="1" xfId="0" applyNumberFormat="1" applyFont="1" applyBorder="1" applyAlignment="1">
      <alignment horizontal="center" vertical="center" wrapText="1"/>
    </xf>
    <xf numFmtId="166" fontId="33" fillId="0" borderId="1" xfId="0" applyNumberFormat="1" applyFont="1" applyBorder="1" applyAlignment="1">
      <alignment horizontal="center" vertical="center" wrapText="1"/>
    </xf>
    <xf numFmtId="0" fontId="33" fillId="0" borderId="1" xfId="0" applyFont="1" applyFill="1" applyBorder="1" applyAlignment="1">
      <alignment vertical="center" wrapText="1"/>
    </xf>
    <xf numFmtId="0" fontId="33" fillId="0" borderId="1" xfId="0" applyFont="1" applyFill="1" applyBorder="1" applyAlignment="1">
      <alignment horizontal="center" vertical="center" wrapText="1"/>
    </xf>
    <xf numFmtId="0" fontId="33" fillId="0" borderId="1" xfId="0" applyFont="1" applyBorder="1" applyAlignment="1">
      <alignment horizontal="left" vertical="center" wrapText="1"/>
    </xf>
    <xf numFmtId="0" fontId="34" fillId="0" borderId="0" xfId="0" applyFont="1"/>
    <xf numFmtId="0" fontId="34" fillId="0" borderId="0" xfId="0" applyFont="1" applyAlignment="1">
      <alignment horizontal="center"/>
    </xf>
    <xf numFmtId="0" fontId="34" fillId="0" borderId="0" xfId="0" applyFont="1" applyAlignment="1">
      <alignment horizontal="center" vertical="center" wrapText="1"/>
    </xf>
    <xf numFmtId="0" fontId="34" fillId="0" borderId="1" xfId="0" applyFont="1" applyBorder="1" applyAlignment="1">
      <alignment horizontal="center" vertical="center" wrapText="1"/>
    </xf>
    <xf numFmtId="0" fontId="34" fillId="0" borderId="1" xfId="0" applyFont="1" applyBorder="1" applyAlignment="1">
      <alignment horizontal="left" vertical="center" wrapText="1"/>
    </xf>
    <xf numFmtId="0" fontId="34" fillId="0" borderId="1" xfId="0" applyFont="1" applyBorder="1" applyAlignment="1">
      <alignment wrapText="1"/>
    </xf>
    <xf numFmtId="0" fontId="35" fillId="2"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1" fillId="0" borderId="1" xfId="1" applyBorder="1" applyAlignment="1">
      <alignment horizontal="center" vertical="center"/>
    </xf>
    <xf numFmtId="0" fontId="32" fillId="2" borderId="10" xfId="0" applyFont="1" applyFill="1" applyBorder="1" applyAlignment="1">
      <alignment horizontal="center" vertical="center" wrapText="1"/>
    </xf>
    <xf numFmtId="0" fontId="0" fillId="0" borderId="0" xfId="0" applyAlignment="1">
      <alignment horizontal="center" vertical="center" wrapText="1"/>
    </xf>
    <xf numFmtId="0" fontId="36" fillId="34" borderId="1" xfId="0" applyFont="1" applyFill="1" applyBorder="1" applyAlignment="1">
      <alignment horizontal="center" vertical="center" wrapText="1"/>
    </xf>
    <xf numFmtId="0" fontId="0" fillId="0" borderId="0" xfId="0" applyAlignment="1">
      <alignment horizontal="center"/>
    </xf>
    <xf numFmtId="0" fontId="36" fillId="2" borderId="1" xfId="0" applyFont="1" applyFill="1" applyBorder="1" applyAlignment="1">
      <alignment horizontal="center" vertical="center" wrapText="1"/>
    </xf>
    <xf numFmtId="0" fontId="36" fillId="34" borderId="1" xfId="0" quotePrefix="1" applyFont="1" applyFill="1" applyBorder="1" applyAlignment="1">
      <alignment horizontal="center" vertical="center"/>
    </xf>
    <xf numFmtId="0" fontId="36" fillId="36" borderId="1" xfId="0" applyFont="1" applyFill="1" applyBorder="1" applyAlignment="1">
      <alignment horizontal="center" vertical="center"/>
    </xf>
    <xf numFmtId="0" fontId="14" fillId="0" borderId="16" xfId="0" applyFont="1" applyFill="1" applyBorder="1" applyAlignment="1">
      <alignment horizontal="center" vertical="center"/>
    </xf>
    <xf numFmtId="0" fontId="14" fillId="0" borderId="0" xfId="0" applyFont="1" applyFill="1" applyBorder="1" applyAlignment="1">
      <alignment horizontal="center" vertical="center"/>
    </xf>
    <xf numFmtId="0" fontId="36" fillId="2" borderId="1" xfId="0" applyFont="1" applyFill="1" applyBorder="1" applyAlignment="1">
      <alignment horizontal="center" vertical="center"/>
    </xf>
    <xf numFmtId="0" fontId="0" fillId="0" borderId="1" xfId="0" applyBorder="1" applyAlignment="1">
      <alignment horizontal="center" vertical="center"/>
    </xf>
    <xf numFmtId="0" fontId="36" fillId="34" borderId="1" xfId="0" applyFont="1" applyFill="1" applyBorder="1" applyAlignment="1">
      <alignment horizontal="center" vertical="center"/>
    </xf>
    <xf numFmtId="0" fontId="36" fillId="0" borderId="1" xfId="0" applyFont="1" applyFill="1" applyBorder="1" applyAlignment="1">
      <alignment horizontal="center" vertical="center"/>
    </xf>
    <xf numFmtId="0" fontId="0" fillId="0" borderId="1" xfId="0" applyFont="1" applyBorder="1" applyAlignment="1">
      <alignment horizontal="center" vertical="center"/>
    </xf>
    <xf numFmtId="0" fontId="36" fillId="34" borderId="1" xfId="0" quotePrefix="1" applyFont="1" applyFill="1" applyBorder="1" applyAlignment="1">
      <alignment horizontal="center" vertical="center"/>
    </xf>
    <xf numFmtId="0" fontId="36" fillId="3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35" fillId="36" borderId="1" xfId="0" applyFont="1" applyFill="1" applyBorder="1" applyAlignment="1">
      <alignment horizontal="center" vertical="center"/>
    </xf>
    <xf numFmtId="0" fontId="35" fillId="36" borderId="1" xfId="0" applyFont="1" applyFill="1" applyBorder="1" applyAlignment="1">
      <alignment horizontal="left" vertical="center" wrapText="1"/>
    </xf>
    <xf numFmtId="0" fontId="34" fillId="0" borderId="1" xfId="0" applyFont="1" applyBorder="1" applyAlignment="1">
      <alignment horizontal="center" vertical="center"/>
    </xf>
    <xf numFmtId="0" fontId="34" fillId="0" borderId="0" xfId="0" applyFont="1" applyAlignment="1">
      <alignment horizontal="center" vertical="center"/>
    </xf>
    <xf numFmtId="0" fontId="34" fillId="0" borderId="0" xfId="0" applyFont="1" applyAlignment="1">
      <alignment horizontal="left" vertical="center"/>
    </xf>
    <xf numFmtId="0" fontId="34" fillId="0" borderId="0" xfId="0" applyFont="1" applyAlignment="1">
      <alignment horizontal="left" vertical="center" wrapText="1"/>
    </xf>
    <xf numFmtId="0" fontId="34" fillId="0" borderId="1" xfId="0" applyFont="1" applyFill="1" applyBorder="1" applyAlignment="1">
      <alignment horizontal="center" vertical="center"/>
    </xf>
    <xf numFmtId="0" fontId="34" fillId="0" borderId="1" xfId="0" applyFont="1" applyFill="1" applyBorder="1" applyAlignment="1">
      <alignment horizontal="left" vertical="center" wrapText="1"/>
    </xf>
    <xf numFmtId="0" fontId="34" fillId="0" borderId="1" xfId="0" quotePrefix="1" applyFont="1" applyFill="1" applyBorder="1" applyAlignment="1">
      <alignment horizontal="center" vertical="center" wrapText="1"/>
    </xf>
    <xf numFmtId="0" fontId="34" fillId="0" borderId="14" xfId="0" applyFont="1" applyBorder="1" applyAlignment="1">
      <alignment horizontal="center" vertical="center"/>
    </xf>
    <xf numFmtId="0" fontId="0" fillId="0" borderId="0" xfId="0" applyAlignment="1">
      <alignment horizontal="left" wrapText="1"/>
    </xf>
    <xf numFmtId="0" fontId="37" fillId="0" borderId="1" xfId="0" applyFont="1" applyBorder="1" applyAlignment="1">
      <alignment horizontal="center" vertical="center"/>
    </xf>
    <xf numFmtId="0" fontId="37" fillId="0" borderId="1" xfId="0" applyFont="1" applyBorder="1" applyAlignment="1">
      <alignment horizontal="left" vertical="center" wrapText="1"/>
    </xf>
    <xf numFmtId="0" fontId="38" fillId="2" borderId="1" xfId="0" applyFont="1" applyFill="1" applyBorder="1" applyAlignment="1">
      <alignment horizontal="center" vertical="center"/>
    </xf>
    <xf numFmtId="0" fontId="38" fillId="2" borderId="1" xfId="0" applyFont="1" applyFill="1" applyBorder="1" applyAlignment="1">
      <alignment horizontal="left" vertical="center" wrapText="1"/>
    </xf>
    <xf numFmtId="0" fontId="0" fillId="0" borderId="1" xfId="0" applyBorder="1" applyAlignment="1">
      <alignment horizontal="center" vertical="center"/>
    </xf>
    <xf numFmtId="0" fontId="36" fillId="34" borderId="24" xfId="0" applyFont="1" applyFill="1" applyBorder="1" applyAlignment="1">
      <alignment horizontal="center" vertical="center" wrapText="1"/>
    </xf>
    <xf numFmtId="0" fontId="36" fillId="34" borderId="25" xfId="0" applyFont="1" applyFill="1" applyBorder="1" applyAlignment="1">
      <alignment horizontal="center" vertical="center" wrapText="1"/>
    </xf>
    <xf numFmtId="0" fontId="0" fillId="0" borderId="27" xfId="0" applyBorder="1"/>
    <xf numFmtId="0" fontId="0" fillId="0" borderId="29" xfId="0" applyBorder="1"/>
    <xf numFmtId="0" fontId="0" fillId="0" borderId="31" xfId="0" applyBorder="1"/>
    <xf numFmtId="0" fontId="36" fillId="0" borderId="0" xfId="0" applyFont="1" applyAlignment="1">
      <alignment horizontal="center"/>
    </xf>
    <xf numFmtId="0" fontId="36" fillId="39" borderId="0" xfId="0" applyFont="1" applyFill="1" applyBorder="1" applyAlignment="1">
      <alignment horizontal="center" vertical="center"/>
    </xf>
    <xf numFmtId="0" fontId="36" fillId="39" borderId="0" xfId="0" applyFont="1" applyFill="1" applyBorder="1" applyAlignment="1">
      <alignment horizontal="center" vertical="center" wrapText="1"/>
    </xf>
    <xf numFmtId="0" fontId="0" fillId="39" borderId="0" xfId="0" applyFill="1" applyBorder="1"/>
    <xf numFmtId="169" fontId="0" fillId="0" borderId="29" xfId="1435" applyNumberFormat="1" applyFont="1" applyBorder="1" applyAlignment="1">
      <alignment vertical="center"/>
    </xf>
    <xf numFmtId="169" fontId="0" fillId="0" borderId="31" xfId="1435" applyNumberFormat="1" applyFont="1" applyBorder="1" applyAlignment="1">
      <alignment vertical="center"/>
    </xf>
    <xf numFmtId="0" fontId="36" fillId="0" borderId="26" xfId="0" applyFont="1" applyBorder="1" applyAlignment="1">
      <alignment horizontal="center" vertical="center"/>
    </xf>
    <xf numFmtId="0" fontId="36" fillId="0" borderId="27" xfId="0" applyFont="1" applyBorder="1" applyAlignment="1">
      <alignment vertical="center"/>
    </xf>
    <xf numFmtId="0" fontId="0" fillId="0" borderId="28" xfId="0" applyFont="1" applyBorder="1" applyAlignment="1">
      <alignment horizontal="center" vertical="center"/>
    </xf>
    <xf numFmtId="0" fontId="0" fillId="0" borderId="30" xfId="0" applyFont="1" applyBorder="1" applyAlignment="1">
      <alignment horizontal="center" vertical="center"/>
    </xf>
    <xf numFmtId="0" fontId="36" fillId="38" borderId="32" xfId="0" applyFont="1" applyFill="1" applyBorder="1" applyAlignment="1">
      <alignment horizontal="center" vertical="center"/>
    </xf>
    <xf numFmtId="0" fontId="36" fillId="38" borderId="22" xfId="0" applyFont="1" applyFill="1" applyBorder="1" applyAlignment="1">
      <alignment horizontal="center" vertical="center"/>
    </xf>
    <xf numFmtId="0" fontId="36" fillId="38" borderId="33" xfId="0" applyFont="1" applyFill="1" applyBorder="1" applyAlignment="1">
      <alignment horizontal="center" vertical="center"/>
    </xf>
    <xf numFmtId="0" fontId="36" fillId="34" borderId="34" xfId="0" applyFont="1" applyFill="1" applyBorder="1" applyAlignment="1">
      <alignment horizontal="center" vertical="center" wrapText="1"/>
    </xf>
    <xf numFmtId="0" fontId="36" fillId="40" borderId="35" xfId="0" applyFont="1" applyFill="1" applyBorder="1" applyAlignment="1">
      <alignment horizontal="center"/>
    </xf>
    <xf numFmtId="0" fontId="34" fillId="0" borderId="10" xfId="0" applyFont="1" applyBorder="1" applyAlignment="1">
      <alignment horizontal="center" vertical="center" wrapText="1"/>
    </xf>
    <xf numFmtId="0" fontId="34" fillId="0" borderId="15" xfId="0" applyFont="1" applyBorder="1" applyAlignment="1">
      <alignment horizontal="center" vertical="center" wrapText="1"/>
    </xf>
    <xf numFmtId="0" fontId="34" fillId="0" borderId="14" xfId="0" applyFont="1" applyBorder="1" applyAlignment="1">
      <alignment horizontal="center" vertical="center" wrapText="1"/>
    </xf>
    <xf numFmtId="0" fontId="34" fillId="0" borderId="1" xfId="0" applyFont="1" applyBorder="1" applyAlignment="1">
      <alignment horizontal="center" vertical="center" textRotation="255"/>
    </xf>
    <xf numFmtId="0" fontId="34" fillId="0" borderId="10" xfId="0" applyFont="1" applyBorder="1" applyAlignment="1">
      <alignment horizontal="center" vertical="center"/>
    </xf>
    <xf numFmtId="0" fontId="34" fillId="0" borderId="14" xfId="0" applyFont="1" applyBorder="1" applyAlignment="1">
      <alignment horizontal="center" vertical="center"/>
    </xf>
    <xf numFmtId="0" fontId="35" fillId="34" borderId="1" xfId="0" applyFont="1" applyFill="1" applyBorder="1" applyAlignment="1">
      <alignment horizontal="center" vertical="center"/>
    </xf>
    <xf numFmtId="0" fontId="35" fillId="36" borderId="22" xfId="0" applyFont="1" applyFill="1" applyBorder="1" applyAlignment="1">
      <alignment horizontal="center" vertical="center"/>
    </xf>
    <xf numFmtId="0" fontId="35" fillId="36" borderId="23" xfId="0" applyFont="1" applyFill="1" applyBorder="1" applyAlignment="1">
      <alignment horizontal="center" vertical="center"/>
    </xf>
    <xf numFmtId="0" fontId="34" fillId="0" borderId="10" xfId="0" applyFont="1" applyBorder="1" applyAlignment="1">
      <alignment horizontal="center" vertical="center" textRotation="255"/>
    </xf>
    <xf numFmtId="0" fontId="34" fillId="0" borderId="15" xfId="0" applyFont="1" applyBorder="1" applyAlignment="1">
      <alignment horizontal="center" vertical="center" textRotation="255"/>
    </xf>
    <xf numFmtId="0" fontId="34" fillId="0" borderId="10" xfId="0" applyFont="1" applyFill="1" applyBorder="1" applyAlignment="1">
      <alignment horizontal="center" vertical="center"/>
    </xf>
    <xf numFmtId="0" fontId="34" fillId="0" borderId="15" xfId="0" applyFont="1" applyFill="1" applyBorder="1" applyAlignment="1">
      <alignment horizontal="center" vertical="center"/>
    </xf>
    <xf numFmtId="0" fontId="34" fillId="0" borderId="14" xfId="0" applyFont="1" applyFill="1" applyBorder="1" applyAlignment="1">
      <alignment horizontal="center" vertical="center"/>
    </xf>
    <xf numFmtId="0" fontId="34" fillId="0" borderId="14" xfId="0" applyFont="1" applyBorder="1" applyAlignment="1">
      <alignment horizontal="center" vertical="center" textRotation="255"/>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0" fontId="34" fillId="0" borderId="16" xfId="0" applyFont="1" applyBorder="1" applyAlignment="1">
      <alignment horizontal="center" vertical="center" wrapText="1"/>
    </xf>
    <xf numFmtId="0" fontId="34" fillId="0" borderId="19" xfId="0" applyFont="1" applyBorder="1" applyAlignment="1">
      <alignment horizontal="center" vertical="center" wrapText="1"/>
    </xf>
    <xf numFmtId="0" fontId="34" fillId="0" borderId="20" xfId="0" applyFont="1" applyBorder="1" applyAlignment="1">
      <alignment horizontal="center" vertical="center" wrapText="1"/>
    </xf>
    <xf numFmtId="0" fontId="34" fillId="0" borderId="21" xfId="0" applyFont="1" applyBorder="1" applyAlignment="1">
      <alignment horizontal="center" vertical="center" wrapText="1"/>
    </xf>
    <xf numFmtId="0" fontId="1" fillId="0" borderId="1" xfId="1" applyBorder="1" applyAlignment="1">
      <alignment horizontal="left" vertical="center" wrapText="1"/>
    </xf>
    <xf numFmtId="0" fontId="32" fillId="2" borderId="10" xfId="0" applyFont="1" applyFill="1" applyBorder="1" applyAlignment="1">
      <alignment horizontal="center" vertical="center" wrapText="1"/>
    </xf>
    <xf numFmtId="0" fontId="32" fillId="2" borderId="14" xfId="0" applyFont="1" applyFill="1" applyBorder="1" applyAlignment="1">
      <alignment horizontal="center" vertical="center" wrapText="1"/>
    </xf>
    <xf numFmtId="0" fontId="32" fillId="34" borderId="1"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34" borderId="1" xfId="0" applyFont="1" applyFill="1" applyBorder="1" applyAlignment="1">
      <alignment horizontal="center" vertical="center"/>
    </xf>
    <xf numFmtId="0" fontId="0" fillId="0" borderId="1" xfId="0" applyBorder="1" applyAlignment="1">
      <alignment horizontal="center" vertical="center"/>
    </xf>
    <xf numFmtId="0" fontId="36" fillId="34" borderId="1" xfId="0" quotePrefix="1" applyFont="1" applyFill="1" applyBorder="1" applyAlignment="1">
      <alignment horizontal="center" vertical="center"/>
    </xf>
    <xf numFmtId="0" fontId="36" fillId="37" borderId="1" xfId="0" applyFont="1" applyFill="1" applyBorder="1" applyAlignment="1">
      <alignment horizontal="center" vertical="center"/>
    </xf>
    <xf numFmtId="0" fontId="14" fillId="35" borderId="16" xfId="0" applyFont="1" applyFill="1" applyBorder="1" applyAlignment="1">
      <alignment horizontal="center" vertical="center"/>
    </xf>
    <xf numFmtId="0" fontId="14" fillId="35" borderId="0" xfId="0" applyFont="1" applyFill="1" applyBorder="1" applyAlignment="1">
      <alignment horizontal="center" vertical="center"/>
    </xf>
    <xf numFmtId="0" fontId="36" fillId="34" borderId="10" xfId="0" quotePrefix="1" applyFont="1" applyFill="1" applyBorder="1" applyAlignment="1">
      <alignment horizontal="center" vertical="center"/>
    </xf>
    <xf numFmtId="0" fontId="36" fillId="34" borderId="15" xfId="0" quotePrefix="1" applyFont="1" applyFill="1" applyBorder="1" applyAlignment="1">
      <alignment horizontal="center" vertical="center"/>
    </xf>
    <xf numFmtId="0" fontId="36" fillId="34" borderId="14" xfId="0" quotePrefix="1" applyFont="1" applyFill="1" applyBorder="1" applyAlignment="1">
      <alignment horizontal="center" vertical="center"/>
    </xf>
    <xf numFmtId="0" fontId="36" fillId="34" borderId="26" xfId="0" applyFont="1" applyFill="1" applyBorder="1" applyAlignment="1">
      <alignment horizontal="center" vertical="center"/>
    </xf>
    <xf numFmtId="0" fontId="36" fillId="34" borderId="28" xfId="0" applyFont="1" applyFill="1" applyBorder="1" applyAlignment="1">
      <alignment horizontal="center" vertical="center"/>
    </xf>
    <xf numFmtId="0" fontId="36" fillId="34" borderId="30" xfId="0" applyFont="1" applyFill="1" applyBorder="1" applyAlignment="1">
      <alignment horizontal="center" vertical="center"/>
    </xf>
    <xf numFmtId="0" fontId="39" fillId="34" borderId="1" xfId="0" applyFont="1" applyFill="1" applyBorder="1" applyAlignment="1">
      <alignment horizontal="center" vertical="center" wrapText="1"/>
    </xf>
    <xf numFmtId="0" fontId="40" fillId="0" borderId="0" xfId="0" applyFont="1"/>
    <xf numFmtId="0" fontId="40" fillId="0" borderId="1" xfId="0" applyFont="1" applyBorder="1" applyAlignment="1">
      <alignment horizontal="center" vertical="center" wrapText="1"/>
    </xf>
    <xf numFmtId="0" fontId="40" fillId="0" borderId="1" xfId="0" applyFont="1" applyBorder="1" applyAlignment="1">
      <alignment horizontal="center" vertical="center"/>
    </xf>
    <xf numFmtId="165" fontId="40" fillId="0" borderId="1" xfId="0" applyNumberFormat="1" applyFont="1" applyBorder="1" applyAlignment="1">
      <alignment horizontal="center" vertical="center" wrapText="1"/>
    </xf>
    <xf numFmtId="0" fontId="39" fillId="34" borderId="1" xfId="0" applyFont="1" applyFill="1" applyBorder="1" applyAlignment="1">
      <alignment horizontal="right"/>
    </xf>
  </cellXfs>
  <cellStyles count="1436">
    <cellStyle name="_Relatórios" xfId="2"/>
    <cellStyle name="_Relatórios 2" xfId="3"/>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2" xfId="29"/>
    <cellStyle name="60% - Accent3" xfId="30"/>
    <cellStyle name="60% - Accent4" xfId="31"/>
    <cellStyle name="60% - Accent5" xfId="32"/>
    <cellStyle name="60% - Accent6" xfId="33"/>
    <cellStyle name="Accent1" xfId="34"/>
    <cellStyle name="Accent2" xfId="35"/>
    <cellStyle name="Accent3" xfId="36"/>
    <cellStyle name="Accent4" xfId="37"/>
    <cellStyle name="Accent5" xfId="38"/>
    <cellStyle name="Accent6" xfId="39"/>
    <cellStyle name="Bad" xfId="40"/>
    <cellStyle name="Calculation" xfId="41"/>
    <cellStyle name="Check Cell" xfId="42"/>
    <cellStyle name="entry" xfId="43"/>
    <cellStyle name="entry 10" xfId="44"/>
    <cellStyle name="entry 10 2" xfId="45"/>
    <cellStyle name="entry 11" xfId="46"/>
    <cellStyle name="entry 11 2" xfId="47"/>
    <cellStyle name="entry 12" xfId="48"/>
    <cellStyle name="entry 13" xfId="49"/>
    <cellStyle name="entry 2" xfId="50"/>
    <cellStyle name="entry 2 2" xfId="51"/>
    <cellStyle name="entry 2 2 2" xfId="52"/>
    <cellStyle name="entry 2 2 2 2" xfId="53"/>
    <cellStyle name="entry 2 2 3" xfId="54"/>
    <cellStyle name="entry 2 2 3 2" xfId="55"/>
    <cellStyle name="entry 2 2 4" xfId="56"/>
    <cellStyle name="entry 2 2 4 2" xfId="57"/>
    <cellStyle name="entry 2 3" xfId="58"/>
    <cellStyle name="entry 2 3 2" xfId="59"/>
    <cellStyle name="entry 2 3 2 2" xfId="60"/>
    <cellStyle name="entry 2 3 3" xfId="61"/>
    <cellStyle name="entry 2 3 3 2" xfId="62"/>
    <cellStyle name="entry 2 4" xfId="63"/>
    <cellStyle name="entry 2 4 2" xfId="64"/>
    <cellStyle name="entry 2 4 2 2" xfId="65"/>
    <cellStyle name="entry 2 4 3" xfId="66"/>
    <cellStyle name="entry 2 4 3 2" xfId="67"/>
    <cellStyle name="entry 2 5" xfId="68"/>
    <cellStyle name="entry 2 5 2" xfId="69"/>
    <cellStyle name="entry 2 6" xfId="70"/>
    <cellStyle name="entry 2 6 2" xfId="71"/>
    <cellStyle name="entry 2 7" xfId="72"/>
    <cellStyle name="entry 2 7 2" xfId="73"/>
    <cellStyle name="entry 3" xfId="74"/>
    <cellStyle name="entry 3 2" xfId="75"/>
    <cellStyle name="entry 3 2 2" xfId="76"/>
    <cellStyle name="entry 3 3" xfId="77"/>
    <cellStyle name="entry 4" xfId="78"/>
    <cellStyle name="entry 4 2" xfId="79"/>
    <cellStyle name="entry 4 2 2" xfId="80"/>
    <cellStyle name="entry 4 3" xfId="81"/>
    <cellStyle name="entry 4 3 2" xfId="82"/>
    <cellStyle name="entry 4 4" xfId="83"/>
    <cellStyle name="entry 5" xfId="84"/>
    <cellStyle name="entry 5 2" xfId="85"/>
    <cellStyle name="entry 6" xfId="86"/>
    <cellStyle name="entry 6 2" xfId="87"/>
    <cellStyle name="entry 7" xfId="88"/>
    <cellStyle name="entry 7 2" xfId="89"/>
    <cellStyle name="entry 8" xfId="90"/>
    <cellStyle name="entry 8 2" xfId="91"/>
    <cellStyle name="entry 9" xfId="92"/>
    <cellStyle name="entry 9 2" xfId="93"/>
    <cellStyle name="Estilo 1" xfId="94"/>
    <cellStyle name="Euro" xfId="95"/>
    <cellStyle name="Euro 2" xfId="96"/>
    <cellStyle name="Excel Built-in Normal" xfId="97"/>
    <cellStyle name="Excel Built-in Normal 2" xfId="98"/>
    <cellStyle name="Explanatory Text" xfId="99"/>
    <cellStyle name="Good" xfId="100"/>
    <cellStyle name="Heading 1" xfId="101"/>
    <cellStyle name="Heading 2" xfId="102"/>
    <cellStyle name="Heading 3" xfId="103"/>
    <cellStyle name="Heading 4" xfId="104"/>
    <cellStyle name="Hiperlink" xfId="1" builtinId="8"/>
    <cellStyle name="Hipervínculo_SL10_ALS_RAMS_0014_A_AppendixA" xfId="105"/>
    <cellStyle name="Input" xfId="106"/>
    <cellStyle name="Linked Cell" xfId="107"/>
    <cellStyle name="Milliers 2" xfId="108"/>
    <cellStyle name="Milliers 2 2" xfId="109"/>
    <cellStyle name="Neutral" xfId="110"/>
    <cellStyle name="Normal" xfId="0" builtinId="0"/>
    <cellStyle name="Normal 10" xfId="111"/>
    <cellStyle name="Normal 10 2" xfId="112"/>
    <cellStyle name="Normal 10 2 2" xfId="113"/>
    <cellStyle name="Normal 10 3" xfId="114"/>
    <cellStyle name="Normal 10 4" xfId="115"/>
    <cellStyle name="Normal 11" xfId="116"/>
    <cellStyle name="Normal 11 2" xfId="117"/>
    <cellStyle name="Normal 11 2 2" xfId="118"/>
    <cellStyle name="Normal 11 2 2 2" xfId="119"/>
    <cellStyle name="Normal 11 2 3" xfId="120"/>
    <cellStyle name="Normal 11 2 3 2" xfId="121"/>
    <cellStyle name="Normal 11 2 4" xfId="122"/>
    <cellStyle name="Normal 11 2 4 2" xfId="123"/>
    <cellStyle name="Normal 11 2 5" xfId="124"/>
    <cellStyle name="Normal 11 2 5 2" xfId="125"/>
    <cellStyle name="Normal 11 2 6" xfId="126"/>
    <cellStyle name="Normal 11 3" xfId="127"/>
    <cellStyle name="Normal 11 3 2" xfId="128"/>
    <cellStyle name="Normal 11 3 2 2" xfId="129"/>
    <cellStyle name="Normal 11 3 3" xfId="130"/>
    <cellStyle name="Normal 11 3 3 2" xfId="131"/>
    <cellStyle name="Normal 11 3 4" xfId="132"/>
    <cellStyle name="Normal 11 3 4 2" xfId="133"/>
    <cellStyle name="Normal 11 3 5" xfId="134"/>
    <cellStyle name="Normal 11 3 5 2" xfId="135"/>
    <cellStyle name="Normal 11 3 6" xfId="136"/>
    <cellStyle name="Normal 11 4" xfId="137"/>
    <cellStyle name="Normal 11 4 2" xfId="138"/>
    <cellStyle name="Normal 11 5" xfId="139"/>
    <cellStyle name="Normal 11 5 2" xfId="140"/>
    <cellStyle name="Normal 11 6" xfId="141"/>
    <cellStyle name="Normal 11 6 2" xfId="142"/>
    <cellStyle name="Normal 11 7" xfId="143"/>
    <cellStyle name="Normal 11 7 2" xfId="144"/>
    <cellStyle name="Normal 11 8" xfId="145"/>
    <cellStyle name="Normal 11 9" xfId="146"/>
    <cellStyle name="Normal 12" xfId="147"/>
    <cellStyle name="Normal 12 2" xfId="148"/>
    <cellStyle name="Normal 12 2 2" xfId="149"/>
    <cellStyle name="Normal 12 3" xfId="150"/>
    <cellStyle name="Normal 12 3 2" xfId="151"/>
    <cellStyle name="Normal 12 4" xfId="152"/>
    <cellStyle name="Normal 12 4 2" xfId="153"/>
    <cellStyle name="Normal 12 5" xfId="154"/>
    <cellStyle name="Normal 12 5 2" xfId="155"/>
    <cellStyle name="Normal 12 6" xfId="156"/>
    <cellStyle name="Normal 13" xfId="157"/>
    <cellStyle name="Normal 13 2" xfId="158"/>
    <cellStyle name="Normal 13 2 2" xfId="159"/>
    <cellStyle name="Normal 13 3" xfId="160"/>
    <cellStyle name="Normal 13 3 2" xfId="161"/>
    <cellStyle name="Normal 13 4" xfId="162"/>
    <cellStyle name="Normal 13 4 2" xfId="163"/>
    <cellStyle name="Normal 13 5" xfId="164"/>
    <cellStyle name="Normal 13 5 2" xfId="165"/>
    <cellStyle name="Normal 13 6" xfId="166"/>
    <cellStyle name="Normal 14" xfId="167"/>
    <cellStyle name="Normal 14 2" xfId="168"/>
    <cellStyle name="Normal 15" xfId="169"/>
    <cellStyle name="Normal 15 2" xfId="170"/>
    <cellStyle name="Normal 16" xfId="171"/>
    <cellStyle name="Normal 16 2" xfId="172"/>
    <cellStyle name="Normal 17" xfId="173"/>
    <cellStyle name="Normal 17 2" xfId="174"/>
    <cellStyle name="Normal 18" xfId="175"/>
    <cellStyle name="Normal 2" xfId="176"/>
    <cellStyle name="Normal 2 12 2" xfId="177"/>
    <cellStyle name="Normal 2 12 2 2" xfId="178"/>
    <cellStyle name="Normal 2 2" xfId="179"/>
    <cellStyle name="Normal 2 2 2" xfId="180"/>
    <cellStyle name="Normal 2 2 2 2" xfId="181"/>
    <cellStyle name="Normal 2 2 3" xfId="182"/>
    <cellStyle name="Normal 2 2 4" xfId="183"/>
    <cellStyle name="Normal 2 2 4 2" xfId="184"/>
    <cellStyle name="Normal 2 2 5" xfId="185"/>
    <cellStyle name="Normal 2 2 6" xfId="186"/>
    <cellStyle name="Normal 2 3" xfId="187"/>
    <cellStyle name="Normal 2 3 2" xfId="188"/>
    <cellStyle name="Normal 2 3 2 2" xfId="189"/>
    <cellStyle name="Normal 2 3 3" xfId="190"/>
    <cellStyle name="Normal 2 4" xfId="191"/>
    <cellStyle name="Normal 2 5" xfId="192"/>
    <cellStyle name="Normal 2_Plan1" xfId="193"/>
    <cellStyle name="Normal 3" xfId="194"/>
    <cellStyle name="Normal 3 10" xfId="195"/>
    <cellStyle name="Normal 3 10 2" xfId="196"/>
    <cellStyle name="Normal 3 10 2 2" xfId="197"/>
    <cellStyle name="Normal 3 10 3" xfId="198"/>
    <cellStyle name="Normal 3 10 3 2" xfId="199"/>
    <cellStyle name="Normal 3 10 4" xfId="200"/>
    <cellStyle name="Normal 3 10 4 2" xfId="201"/>
    <cellStyle name="Normal 3 10 5" xfId="202"/>
    <cellStyle name="Normal 3 10 5 2" xfId="203"/>
    <cellStyle name="Normal 3 10 6" xfId="204"/>
    <cellStyle name="Normal 3 11" xfId="205"/>
    <cellStyle name="Normal 3 11 2" xfId="206"/>
    <cellStyle name="Normal 3 11 2 2" xfId="207"/>
    <cellStyle name="Normal 3 11 3" xfId="208"/>
    <cellStyle name="Normal 3 11 3 2" xfId="209"/>
    <cellStyle name="Normal 3 11 4" xfId="210"/>
    <cellStyle name="Normal 3 11 4 2" xfId="211"/>
    <cellStyle name="Normal 3 11 5" xfId="212"/>
    <cellStyle name="Normal 3 11 5 2" xfId="213"/>
    <cellStyle name="Normal 3 11 6" xfId="214"/>
    <cellStyle name="Normal 3 12" xfId="215"/>
    <cellStyle name="Normal 3 12 2" xfId="216"/>
    <cellStyle name="Normal 3 13" xfId="217"/>
    <cellStyle name="Normal 3 13 2" xfId="218"/>
    <cellStyle name="Normal 3 14" xfId="219"/>
    <cellStyle name="Normal 3 14 2" xfId="220"/>
    <cellStyle name="Normal 3 14 2 2" xfId="221"/>
    <cellStyle name="Normal 3 14 3" xfId="222"/>
    <cellStyle name="Normal 3 14 3 2" xfId="223"/>
    <cellStyle name="Normal 3 14 4" xfId="224"/>
    <cellStyle name="Normal 3 15" xfId="225"/>
    <cellStyle name="Normal 3 15 2" xfId="226"/>
    <cellStyle name="Normal 3 16" xfId="227"/>
    <cellStyle name="Normal 3 16 2" xfId="228"/>
    <cellStyle name="Normal 3 2" xfId="229"/>
    <cellStyle name="Normal 3 2 10" xfId="230"/>
    <cellStyle name="Normal 3 2 10 2" xfId="231"/>
    <cellStyle name="Normal 3 2 10 2 2" xfId="232"/>
    <cellStyle name="Normal 3 2 10 3" xfId="233"/>
    <cellStyle name="Normal 3 2 10 3 2" xfId="234"/>
    <cellStyle name="Normal 3 2 10 4" xfId="235"/>
    <cellStyle name="Normal 3 2 10 4 2" xfId="236"/>
    <cellStyle name="Normal 3 2 10 5" xfId="237"/>
    <cellStyle name="Normal 3 2 10 5 2" xfId="238"/>
    <cellStyle name="Normal 3 2 10 6" xfId="239"/>
    <cellStyle name="Normal 3 2 11" xfId="240"/>
    <cellStyle name="Normal 3 2 11 2" xfId="241"/>
    <cellStyle name="Normal 3 2 12" xfId="242"/>
    <cellStyle name="Normal 3 2 12 2" xfId="243"/>
    <cellStyle name="Normal 3 2 13" xfId="244"/>
    <cellStyle name="Normal 3 2 13 2" xfId="245"/>
    <cellStyle name="Normal 3 2 14" xfId="246"/>
    <cellStyle name="Normal 3 2 14 2" xfId="247"/>
    <cellStyle name="Normal 3 2 15" xfId="248"/>
    <cellStyle name="Normal 3 2 2" xfId="249"/>
    <cellStyle name="Normal 3 2 2 10" xfId="250"/>
    <cellStyle name="Normal 3 2 2 2" xfId="251"/>
    <cellStyle name="Normal 3 2 2 2 2" xfId="252"/>
    <cellStyle name="Normal 3 2 2 2 2 2" xfId="253"/>
    <cellStyle name="Normal 3 2 2 2 2 2 2" xfId="254"/>
    <cellStyle name="Normal 3 2 2 2 2 3" xfId="255"/>
    <cellStyle name="Normal 3 2 2 2 2 3 2" xfId="256"/>
    <cellStyle name="Normal 3 2 2 2 2 4" xfId="257"/>
    <cellStyle name="Normal 3 2 2 2 2 4 2" xfId="258"/>
    <cellStyle name="Normal 3 2 2 2 2 5" xfId="259"/>
    <cellStyle name="Normal 3 2 2 2 2 5 2" xfId="260"/>
    <cellStyle name="Normal 3 2 2 2 2 6" xfId="261"/>
    <cellStyle name="Normal 3 2 2 2 3" xfId="262"/>
    <cellStyle name="Normal 3 2 2 2 3 2" xfId="263"/>
    <cellStyle name="Normal 3 2 2 2 3 2 2" xfId="264"/>
    <cellStyle name="Normal 3 2 2 2 3 3" xfId="265"/>
    <cellStyle name="Normal 3 2 2 2 3 3 2" xfId="266"/>
    <cellStyle name="Normal 3 2 2 2 3 4" xfId="267"/>
    <cellStyle name="Normal 3 2 2 2 3 4 2" xfId="268"/>
    <cellStyle name="Normal 3 2 2 2 3 5" xfId="269"/>
    <cellStyle name="Normal 3 2 2 2 3 5 2" xfId="270"/>
    <cellStyle name="Normal 3 2 2 2 3 6" xfId="271"/>
    <cellStyle name="Normal 3 2 2 2 4" xfId="272"/>
    <cellStyle name="Normal 3 2 2 2 4 2" xfId="273"/>
    <cellStyle name="Normal 3 2 2 2 5" xfId="274"/>
    <cellStyle name="Normal 3 2 2 2 5 2" xfId="275"/>
    <cellStyle name="Normal 3 2 2 2 6" xfId="276"/>
    <cellStyle name="Normal 3 2 2 2 6 2" xfId="277"/>
    <cellStyle name="Normal 3 2 2 2 7" xfId="278"/>
    <cellStyle name="Normal 3 2 2 2 7 2" xfId="279"/>
    <cellStyle name="Normal 3 2 2 2 8" xfId="280"/>
    <cellStyle name="Normal 3 2 2 3" xfId="281"/>
    <cellStyle name="Normal 3 2 2 3 2" xfId="282"/>
    <cellStyle name="Normal 3 2 2 3 2 2" xfId="283"/>
    <cellStyle name="Normal 3 2 2 3 2 2 2" xfId="284"/>
    <cellStyle name="Normal 3 2 2 3 2 3" xfId="285"/>
    <cellStyle name="Normal 3 2 2 3 2 3 2" xfId="286"/>
    <cellStyle name="Normal 3 2 2 3 2 4" xfId="287"/>
    <cellStyle name="Normal 3 2 2 3 2 4 2" xfId="288"/>
    <cellStyle name="Normal 3 2 2 3 2 5" xfId="289"/>
    <cellStyle name="Normal 3 2 2 3 2 5 2" xfId="290"/>
    <cellStyle name="Normal 3 2 2 3 2 6" xfId="291"/>
    <cellStyle name="Normal 3 2 2 3 3" xfId="292"/>
    <cellStyle name="Normal 3 2 2 3 3 2" xfId="293"/>
    <cellStyle name="Normal 3 2 2 3 3 2 2" xfId="294"/>
    <cellStyle name="Normal 3 2 2 3 3 3" xfId="295"/>
    <cellStyle name="Normal 3 2 2 3 3 3 2" xfId="296"/>
    <cellStyle name="Normal 3 2 2 3 3 4" xfId="297"/>
    <cellStyle name="Normal 3 2 2 3 3 4 2" xfId="298"/>
    <cellStyle name="Normal 3 2 2 3 3 5" xfId="299"/>
    <cellStyle name="Normal 3 2 2 3 3 5 2" xfId="300"/>
    <cellStyle name="Normal 3 2 2 3 3 6" xfId="301"/>
    <cellStyle name="Normal 3 2 2 3 4" xfId="302"/>
    <cellStyle name="Normal 3 2 2 3 4 2" xfId="303"/>
    <cellStyle name="Normal 3 2 2 3 5" xfId="304"/>
    <cellStyle name="Normal 3 2 2 3 5 2" xfId="305"/>
    <cellStyle name="Normal 3 2 2 3 6" xfId="306"/>
    <cellStyle name="Normal 3 2 2 3 6 2" xfId="307"/>
    <cellStyle name="Normal 3 2 2 3 7" xfId="308"/>
    <cellStyle name="Normal 3 2 2 3 7 2" xfId="309"/>
    <cellStyle name="Normal 3 2 2 3 8" xfId="310"/>
    <cellStyle name="Normal 3 2 2 4" xfId="311"/>
    <cellStyle name="Normal 3 2 2 4 2" xfId="312"/>
    <cellStyle name="Normal 3 2 2 4 2 2" xfId="313"/>
    <cellStyle name="Normal 3 2 2 4 3" xfId="314"/>
    <cellStyle name="Normal 3 2 2 4 3 2" xfId="315"/>
    <cellStyle name="Normal 3 2 2 4 4" xfId="316"/>
    <cellStyle name="Normal 3 2 2 4 4 2" xfId="317"/>
    <cellStyle name="Normal 3 2 2 4 5" xfId="318"/>
    <cellStyle name="Normal 3 2 2 4 5 2" xfId="319"/>
    <cellStyle name="Normal 3 2 2 4 6" xfId="320"/>
    <cellStyle name="Normal 3 2 2 5" xfId="321"/>
    <cellStyle name="Normal 3 2 2 5 2" xfId="322"/>
    <cellStyle name="Normal 3 2 2 5 2 2" xfId="323"/>
    <cellStyle name="Normal 3 2 2 5 3" xfId="324"/>
    <cellStyle name="Normal 3 2 2 5 3 2" xfId="325"/>
    <cellStyle name="Normal 3 2 2 5 4" xfId="326"/>
    <cellStyle name="Normal 3 2 2 5 4 2" xfId="327"/>
    <cellStyle name="Normal 3 2 2 5 5" xfId="328"/>
    <cellStyle name="Normal 3 2 2 5 5 2" xfId="329"/>
    <cellStyle name="Normal 3 2 2 5 6" xfId="330"/>
    <cellStyle name="Normal 3 2 2 6" xfId="331"/>
    <cellStyle name="Normal 3 2 2 6 2" xfId="332"/>
    <cellStyle name="Normal 3 2 2 7" xfId="333"/>
    <cellStyle name="Normal 3 2 2 7 2" xfId="334"/>
    <cellStyle name="Normal 3 2 2 8" xfId="335"/>
    <cellStyle name="Normal 3 2 2 8 2" xfId="336"/>
    <cellStyle name="Normal 3 2 2 9" xfId="337"/>
    <cellStyle name="Normal 3 2 2 9 2" xfId="338"/>
    <cellStyle name="Normal 3 2 3" xfId="339"/>
    <cellStyle name="Normal 3 2 3 2" xfId="340"/>
    <cellStyle name="Normal 3 2 3 2 2" xfId="341"/>
    <cellStyle name="Normal 3 2 3 2 2 2" xfId="342"/>
    <cellStyle name="Normal 3 2 3 2 3" xfId="343"/>
    <cellStyle name="Normal 3 2 3 2 3 2" xfId="344"/>
    <cellStyle name="Normal 3 2 3 2 4" xfId="345"/>
    <cellStyle name="Normal 3 2 3 2 4 2" xfId="346"/>
    <cellStyle name="Normal 3 2 3 2 5" xfId="347"/>
    <cellStyle name="Normal 3 2 3 2 5 2" xfId="348"/>
    <cellStyle name="Normal 3 2 3 2 6" xfId="349"/>
    <cellStyle name="Normal 3 2 3 3" xfId="350"/>
    <cellStyle name="Normal 3 2 3 3 2" xfId="351"/>
    <cellStyle name="Normal 3 2 3 3 2 2" xfId="352"/>
    <cellStyle name="Normal 3 2 3 3 3" xfId="353"/>
    <cellStyle name="Normal 3 2 3 3 3 2" xfId="354"/>
    <cellStyle name="Normal 3 2 3 3 4" xfId="355"/>
    <cellStyle name="Normal 3 2 3 3 4 2" xfId="356"/>
    <cellStyle name="Normal 3 2 3 3 5" xfId="357"/>
    <cellStyle name="Normal 3 2 3 3 5 2" xfId="358"/>
    <cellStyle name="Normal 3 2 3 3 6" xfId="359"/>
    <cellStyle name="Normal 3 2 3 4" xfId="360"/>
    <cellStyle name="Normal 3 2 3 4 2" xfId="361"/>
    <cellStyle name="Normal 3 2 3 5" xfId="362"/>
    <cellStyle name="Normal 3 2 3 5 2" xfId="363"/>
    <cellStyle name="Normal 3 2 3 6" xfId="364"/>
    <cellStyle name="Normal 3 2 3 6 2" xfId="365"/>
    <cellStyle name="Normal 3 2 3 7" xfId="366"/>
    <cellStyle name="Normal 3 2 3 7 2" xfId="367"/>
    <cellStyle name="Normal 3 2 3 8" xfId="368"/>
    <cellStyle name="Normal 3 2 4" xfId="369"/>
    <cellStyle name="Normal 3 2 4 2" xfId="370"/>
    <cellStyle name="Normal 3 2 4 2 2" xfId="371"/>
    <cellStyle name="Normal 3 2 4 2 2 2" xfId="372"/>
    <cellStyle name="Normal 3 2 4 2 3" xfId="373"/>
    <cellStyle name="Normal 3 2 4 2 3 2" xfId="374"/>
    <cellStyle name="Normal 3 2 4 2 4" xfId="375"/>
    <cellStyle name="Normal 3 2 4 2 4 2" xfId="376"/>
    <cellStyle name="Normal 3 2 4 2 5" xfId="377"/>
    <cellStyle name="Normal 3 2 4 2 5 2" xfId="378"/>
    <cellStyle name="Normal 3 2 4 2 6" xfId="379"/>
    <cellStyle name="Normal 3 2 4 3" xfId="380"/>
    <cellStyle name="Normal 3 2 4 3 2" xfId="381"/>
    <cellStyle name="Normal 3 2 4 3 2 2" xfId="382"/>
    <cellStyle name="Normal 3 2 4 3 3" xfId="383"/>
    <cellStyle name="Normal 3 2 4 3 3 2" xfId="384"/>
    <cellStyle name="Normal 3 2 4 3 4" xfId="385"/>
    <cellStyle name="Normal 3 2 4 3 4 2" xfId="386"/>
    <cellStyle name="Normal 3 2 4 3 5" xfId="387"/>
    <cellStyle name="Normal 3 2 4 3 5 2" xfId="388"/>
    <cellStyle name="Normal 3 2 4 3 6" xfId="389"/>
    <cellStyle name="Normal 3 2 4 4" xfId="390"/>
    <cellStyle name="Normal 3 2 4 4 2" xfId="391"/>
    <cellStyle name="Normal 3 2 4 5" xfId="392"/>
    <cellStyle name="Normal 3 2 4 5 2" xfId="393"/>
    <cellStyle name="Normal 3 2 4 6" xfId="394"/>
    <cellStyle name="Normal 3 2 4 6 2" xfId="395"/>
    <cellStyle name="Normal 3 2 4 7" xfId="396"/>
    <cellStyle name="Normal 3 2 4 7 2" xfId="397"/>
    <cellStyle name="Normal 3 2 4 8" xfId="398"/>
    <cellStyle name="Normal 3 2 5" xfId="399"/>
    <cellStyle name="Normal 3 2 5 2" xfId="400"/>
    <cellStyle name="Normal 3 2 5 2 2" xfId="401"/>
    <cellStyle name="Normal 3 2 5 2 2 2" xfId="402"/>
    <cellStyle name="Normal 3 2 5 2 3" xfId="403"/>
    <cellStyle name="Normal 3 2 5 2 3 2" xfId="404"/>
    <cellStyle name="Normal 3 2 5 2 4" xfId="405"/>
    <cellStyle name="Normal 3 2 5 2 4 2" xfId="406"/>
    <cellStyle name="Normal 3 2 5 2 5" xfId="407"/>
    <cellStyle name="Normal 3 2 5 2 5 2" xfId="408"/>
    <cellStyle name="Normal 3 2 5 2 6" xfId="409"/>
    <cellStyle name="Normal 3 2 5 3" xfId="410"/>
    <cellStyle name="Normal 3 2 5 3 2" xfId="411"/>
    <cellStyle name="Normal 3 2 5 3 2 2" xfId="412"/>
    <cellStyle name="Normal 3 2 5 3 3" xfId="413"/>
    <cellStyle name="Normal 3 2 5 3 3 2" xfId="414"/>
    <cellStyle name="Normal 3 2 5 3 4" xfId="415"/>
    <cellStyle name="Normal 3 2 5 3 4 2" xfId="416"/>
    <cellStyle name="Normal 3 2 5 3 5" xfId="417"/>
    <cellStyle name="Normal 3 2 5 3 5 2" xfId="418"/>
    <cellStyle name="Normal 3 2 5 3 6" xfId="419"/>
    <cellStyle name="Normal 3 2 5 4" xfId="420"/>
    <cellStyle name="Normal 3 2 5 4 2" xfId="421"/>
    <cellStyle name="Normal 3 2 5 5" xfId="422"/>
    <cellStyle name="Normal 3 2 5 5 2" xfId="423"/>
    <cellStyle name="Normal 3 2 5 6" xfId="424"/>
    <cellStyle name="Normal 3 2 5 6 2" xfId="425"/>
    <cellStyle name="Normal 3 2 5 7" xfId="426"/>
    <cellStyle name="Normal 3 2 5 7 2" xfId="427"/>
    <cellStyle name="Normal 3 2 5 8" xfId="428"/>
    <cellStyle name="Normal 3 2 6" xfId="429"/>
    <cellStyle name="Normal 3 2 6 2" xfId="430"/>
    <cellStyle name="Normal 3 2 6 2 2" xfId="431"/>
    <cellStyle name="Normal 3 2 6 2 2 2" xfId="432"/>
    <cellStyle name="Normal 3 2 6 2 3" xfId="433"/>
    <cellStyle name="Normal 3 2 6 2 3 2" xfId="434"/>
    <cellStyle name="Normal 3 2 6 2 4" xfId="435"/>
    <cellStyle name="Normal 3 2 6 2 4 2" xfId="436"/>
    <cellStyle name="Normal 3 2 6 2 5" xfId="437"/>
    <cellStyle name="Normal 3 2 6 2 5 2" xfId="438"/>
    <cellStyle name="Normal 3 2 6 2 6" xfId="439"/>
    <cellStyle name="Normal 3 2 6 3" xfId="440"/>
    <cellStyle name="Normal 3 2 6 3 2" xfId="441"/>
    <cellStyle name="Normal 3 2 6 3 2 2" xfId="442"/>
    <cellStyle name="Normal 3 2 6 3 3" xfId="443"/>
    <cellStyle name="Normal 3 2 6 3 3 2" xfId="444"/>
    <cellStyle name="Normal 3 2 6 3 4" xfId="445"/>
    <cellStyle name="Normal 3 2 6 3 4 2" xfId="446"/>
    <cellStyle name="Normal 3 2 6 3 5" xfId="447"/>
    <cellStyle name="Normal 3 2 6 3 5 2" xfId="448"/>
    <cellStyle name="Normal 3 2 6 3 6" xfId="449"/>
    <cellStyle name="Normal 3 2 6 4" xfId="450"/>
    <cellStyle name="Normal 3 2 6 4 2" xfId="451"/>
    <cellStyle name="Normal 3 2 6 5" xfId="452"/>
    <cellStyle name="Normal 3 2 6 5 2" xfId="453"/>
    <cellStyle name="Normal 3 2 6 6" xfId="454"/>
    <cellStyle name="Normal 3 2 6 6 2" xfId="455"/>
    <cellStyle name="Normal 3 2 6 7" xfId="456"/>
    <cellStyle name="Normal 3 2 6 7 2" xfId="457"/>
    <cellStyle name="Normal 3 2 6 8" xfId="458"/>
    <cellStyle name="Normal 3 2 7" xfId="459"/>
    <cellStyle name="Normal 3 2 7 2" xfId="460"/>
    <cellStyle name="Normal 3 2 7 2 2" xfId="461"/>
    <cellStyle name="Normal 3 2 7 2 2 2" xfId="462"/>
    <cellStyle name="Normal 3 2 7 2 3" xfId="463"/>
    <cellStyle name="Normal 3 2 7 2 3 2" xfId="464"/>
    <cellStyle name="Normal 3 2 7 2 4" xfId="465"/>
    <cellStyle name="Normal 3 2 7 2 4 2" xfId="466"/>
    <cellStyle name="Normal 3 2 7 2 5" xfId="467"/>
    <cellStyle name="Normal 3 2 7 2 5 2" xfId="468"/>
    <cellStyle name="Normal 3 2 7 2 6" xfId="469"/>
    <cellStyle name="Normal 3 2 7 3" xfId="470"/>
    <cellStyle name="Normal 3 2 7 3 2" xfId="471"/>
    <cellStyle name="Normal 3 2 7 3 2 2" xfId="472"/>
    <cellStyle name="Normal 3 2 7 3 3" xfId="473"/>
    <cellStyle name="Normal 3 2 7 3 3 2" xfId="474"/>
    <cellStyle name="Normal 3 2 7 3 4" xfId="475"/>
    <cellStyle name="Normal 3 2 7 3 4 2" xfId="476"/>
    <cellStyle name="Normal 3 2 7 3 5" xfId="477"/>
    <cellStyle name="Normal 3 2 7 3 5 2" xfId="478"/>
    <cellStyle name="Normal 3 2 7 3 6" xfId="479"/>
    <cellStyle name="Normal 3 2 7 4" xfId="480"/>
    <cellStyle name="Normal 3 2 7 4 2" xfId="481"/>
    <cellStyle name="Normal 3 2 7 5" xfId="482"/>
    <cellStyle name="Normal 3 2 7 5 2" xfId="483"/>
    <cellStyle name="Normal 3 2 7 6" xfId="484"/>
    <cellStyle name="Normal 3 2 7 6 2" xfId="485"/>
    <cellStyle name="Normal 3 2 7 7" xfId="486"/>
    <cellStyle name="Normal 3 2 7 7 2" xfId="487"/>
    <cellStyle name="Normal 3 2 7 8" xfId="488"/>
    <cellStyle name="Normal 3 2 8" xfId="489"/>
    <cellStyle name="Normal 3 2 8 2" xfId="490"/>
    <cellStyle name="Normal 3 2 8 2 2" xfId="491"/>
    <cellStyle name="Normal 3 2 8 2 2 2" xfId="492"/>
    <cellStyle name="Normal 3 2 8 2 3" xfId="493"/>
    <cellStyle name="Normal 3 2 8 2 3 2" xfId="494"/>
    <cellStyle name="Normal 3 2 8 2 4" xfId="495"/>
    <cellStyle name="Normal 3 2 8 2 4 2" xfId="496"/>
    <cellStyle name="Normal 3 2 8 2 5" xfId="497"/>
    <cellStyle name="Normal 3 2 8 2 5 2" xfId="498"/>
    <cellStyle name="Normal 3 2 8 2 6" xfId="499"/>
    <cellStyle name="Normal 3 2 8 3" xfId="500"/>
    <cellStyle name="Normal 3 2 8 3 2" xfId="501"/>
    <cellStyle name="Normal 3 2 8 3 2 2" xfId="502"/>
    <cellStyle name="Normal 3 2 8 3 3" xfId="503"/>
    <cellStyle name="Normal 3 2 8 3 3 2" xfId="504"/>
    <cellStyle name="Normal 3 2 8 3 4" xfId="505"/>
    <cellStyle name="Normal 3 2 8 3 4 2" xfId="506"/>
    <cellStyle name="Normal 3 2 8 3 5" xfId="507"/>
    <cellStyle name="Normal 3 2 8 3 5 2" xfId="508"/>
    <cellStyle name="Normal 3 2 8 3 6" xfId="509"/>
    <cellStyle name="Normal 3 2 8 4" xfId="510"/>
    <cellStyle name="Normal 3 2 8 4 2" xfId="511"/>
    <cellStyle name="Normal 3 2 8 5" xfId="512"/>
    <cellStyle name="Normal 3 2 8 5 2" xfId="513"/>
    <cellStyle name="Normal 3 2 8 6" xfId="514"/>
    <cellStyle name="Normal 3 2 8 6 2" xfId="515"/>
    <cellStyle name="Normal 3 2 8 7" xfId="516"/>
    <cellStyle name="Normal 3 2 8 7 2" xfId="517"/>
    <cellStyle name="Normal 3 2 8 8" xfId="518"/>
    <cellStyle name="Normal 3 2 9" xfId="519"/>
    <cellStyle name="Normal 3 2 9 2" xfId="520"/>
    <cellStyle name="Normal 3 2 9 2 2" xfId="521"/>
    <cellStyle name="Normal 3 2 9 3" xfId="522"/>
    <cellStyle name="Normal 3 2 9 3 2" xfId="523"/>
    <cellStyle name="Normal 3 2 9 4" xfId="524"/>
    <cellStyle name="Normal 3 2 9 4 2" xfId="525"/>
    <cellStyle name="Normal 3 2 9 5" xfId="526"/>
    <cellStyle name="Normal 3 2 9 5 2" xfId="527"/>
    <cellStyle name="Normal 3 2 9 6" xfId="528"/>
    <cellStyle name="Normal 3 3" xfId="529"/>
    <cellStyle name="Normal 3 3 10" xfId="530"/>
    <cellStyle name="Normal 3 3 2" xfId="531"/>
    <cellStyle name="Normal 3 3 2 2" xfId="532"/>
    <cellStyle name="Normal 3 3 2 2 2" xfId="533"/>
    <cellStyle name="Normal 3 3 2 2 2 2" xfId="534"/>
    <cellStyle name="Normal 3 3 2 2 3" xfId="535"/>
    <cellStyle name="Normal 3 3 2 2 3 2" xfId="536"/>
    <cellStyle name="Normal 3 3 2 2 4" xfId="537"/>
    <cellStyle name="Normal 3 3 2 2 4 2" xfId="538"/>
    <cellStyle name="Normal 3 3 2 2 5" xfId="539"/>
    <cellStyle name="Normal 3 3 2 2 5 2" xfId="540"/>
    <cellStyle name="Normal 3 3 2 2 6" xfId="541"/>
    <cellStyle name="Normal 3 3 2 2 7" xfId="542"/>
    <cellStyle name="Normal 3 3 2 3" xfId="543"/>
    <cellStyle name="Normal 3 3 2 3 2" xfId="544"/>
    <cellStyle name="Normal 3 3 2 3 2 2" xfId="545"/>
    <cellStyle name="Normal 3 3 2 3 3" xfId="546"/>
    <cellStyle name="Normal 3 3 2 3 3 2" xfId="547"/>
    <cellStyle name="Normal 3 3 2 3 4" xfId="548"/>
    <cellStyle name="Normal 3 3 2 3 4 2" xfId="549"/>
    <cellStyle name="Normal 3 3 2 3 5" xfId="550"/>
    <cellStyle name="Normal 3 3 2 3 5 2" xfId="551"/>
    <cellStyle name="Normal 3 3 2 3 6" xfId="552"/>
    <cellStyle name="Normal 3 3 2 4" xfId="553"/>
    <cellStyle name="Normal 3 3 2 4 2" xfId="554"/>
    <cellStyle name="Normal 3 3 2 5" xfId="555"/>
    <cellStyle name="Normal 3 3 2 5 2" xfId="556"/>
    <cellStyle name="Normal 3 3 2 6" xfId="557"/>
    <cellStyle name="Normal 3 3 2 6 2" xfId="558"/>
    <cellStyle name="Normal 3 3 2 7" xfId="559"/>
    <cellStyle name="Normal 3 3 2 7 2" xfId="560"/>
    <cellStyle name="Normal 3 3 2 8" xfId="561"/>
    <cellStyle name="Normal 3 3 2 9" xfId="562"/>
    <cellStyle name="Normal 3 3 3" xfId="563"/>
    <cellStyle name="Normal 3 3 3 2" xfId="564"/>
    <cellStyle name="Normal 3 3 3 2 2" xfId="565"/>
    <cellStyle name="Normal 3 3 3 2 2 2" xfId="566"/>
    <cellStyle name="Normal 3 3 3 2 3" xfId="567"/>
    <cellStyle name="Normal 3 3 3 2 3 2" xfId="568"/>
    <cellStyle name="Normal 3 3 3 2 4" xfId="569"/>
    <cellStyle name="Normal 3 3 3 2 4 2" xfId="570"/>
    <cellStyle name="Normal 3 3 3 2 5" xfId="571"/>
    <cellStyle name="Normal 3 3 3 2 5 2" xfId="572"/>
    <cellStyle name="Normal 3 3 3 2 6" xfId="573"/>
    <cellStyle name="Normal 3 3 3 3" xfId="574"/>
    <cellStyle name="Normal 3 3 3 3 2" xfId="575"/>
    <cellStyle name="Normal 3 3 3 3 2 2" xfId="576"/>
    <cellStyle name="Normal 3 3 3 3 3" xfId="577"/>
    <cellStyle name="Normal 3 3 3 3 3 2" xfId="578"/>
    <cellStyle name="Normal 3 3 3 3 4" xfId="579"/>
    <cellStyle name="Normal 3 3 3 3 4 2" xfId="580"/>
    <cellStyle name="Normal 3 3 3 3 5" xfId="581"/>
    <cellStyle name="Normal 3 3 3 3 5 2" xfId="582"/>
    <cellStyle name="Normal 3 3 3 3 6" xfId="583"/>
    <cellStyle name="Normal 3 3 3 4" xfId="584"/>
    <cellStyle name="Normal 3 3 3 4 2" xfId="585"/>
    <cellStyle name="Normal 3 3 3 5" xfId="586"/>
    <cellStyle name="Normal 3 3 3 5 2" xfId="587"/>
    <cellStyle name="Normal 3 3 3 6" xfId="588"/>
    <cellStyle name="Normal 3 3 3 6 2" xfId="589"/>
    <cellStyle name="Normal 3 3 3 7" xfId="590"/>
    <cellStyle name="Normal 3 3 3 7 2" xfId="591"/>
    <cellStyle name="Normal 3 3 3 8" xfId="592"/>
    <cellStyle name="Normal 3 3 4" xfId="593"/>
    <cellStyle name="Normal 3 3 4 2" xfId="594"/>
    <cellStyle name="Normal 3 3 4 2 2" xfId="595"/>
    <cellStyle name="Normal 3 3 4 3" xfId="596"/>
    <cellStyle name="Normal 3 3 4 3 2" xfId="597"/>
    <cellStyle name="Normal 3 3 4 4" xfId="598"/>
    <cellStyle name="Normal 3 3 4 4 2" xfId="599"/>
    <cellStyle name="Normal 3 3 4 5" xfId="600"/>
    <cellStyle name="Normal 3 3 4 5 2" xfId="601"/>
    <cellStyle name="Normal 3 3 4 6" xfId="602"/>
    <cellStyle name="Normal 3 3 5" xfId="603"/>
    <cellStyle name="Normal 3 3 5 2" xfId="604"/>
    <cellStyle name="Normal 3 3 5 2 2" xfId="605"/>
    <cellStyle name="Normal 3 3 5 3" xfId="606"/>
    <cellStyle name="Normal 3 3 5 3 2" xfId="607"/>
    <cellStyle name="Normal 3 3 5 4" xfId="608"/>
    <cellStyle name="Normal 3 3 5 4 2" xfId="609"/>
    <cellStyle name="Normal 3 3 5 5" xfId="610"/>
    <cellStyle name="Normal 3 3 5 5 2" xfId="611"/>
    <cellStyle name="Normal 3 3 5 6" xfId="612"/>
    <cellStyle name="Normal 3 3 6" xfId="613"/>
    <cellStyle name="Normal 3 3 6 2" xfId="614"/>
    <cellStyle name="Normal 3 3 7" xfId="615"/>
    <cellStyle name="Normal 3 3 7 2" xfId="616"/>
    <cellStyle name="Normal 3 3 8" xfId="617"/>
    <cellStyle name="Normal 3 3 8 2" xfId="618"/>
    <cellStyle name="Normal 3 3 9" xfId="619"/>
    <cellStyle name="Normal 3 3 9 2" xfId="620"/>
    <cellStyle name="Normal 3 4" xfId="621"/>
    <cellStyle name="Normal 3 4 2" xfId="622"/>
    <cellStyle name="Normal 3 4 2 2" xfId="623"/>
    <cellStyle name="Normal 3 4 2 2 2" xfId="624"/>
    <cellStyle name="Normal 3 4 2 3" xfId="625"/>
    <cellStyle name="Normal 3 4 2 3 2" xfId="626"/>
    <cellStyle name="Normal 3 4 2 4" xfId="627"/>
    <cellStyle name="Normal 3 4 2 4 2" xfId="628"/>
    <cellStyle name="Normal 3 4 2 5" xfId="629"/>
    <cellStyle name="Normal 3 4 2 5 2" xfId="630"/>
    <cellStyle name="Normal 3 4 2 6" xfId="631"/>
    <cellStyle name="Normal 3 4 3" xfId="632"/>
    <cellStyle name="Normal 3 4 3 2" xfId="633"/>
    <cellStyle name="Normal 3 4 3 2 2" xfId="634"/>
    <cellStyle name="Normal 3 4 3 3" xfId="635"/>
    <cellStyle name="Normal 3 4 3 3 2" xfId="636"/>
    <cellStyle name="Normal 3 4 3 4" xfId="637"/>
    <cellStyle name="Normal 3 4 3 4 2" xfId="638"/>
    <cellStyle name="Normal 3 4 3 5" xfId="639"/>
    <cellStyle name="Normal 3 4 3 5 2" xfId="640"/>
    <cellStyle name="Normal 3 4 3 6" xfId="641"/>
    <cellStyle name="Normal 3 4 4" xfId="642"/>
    <cellStyle name="Normal 3 4 4 2" xfId="643"/>
    <cellStyle name="Normal 3 4 5" xfId="644"/>
    <cellStyle name="Normal 3 4 5 2" xfId="645"/>
    <cellStyle name="Normal 3 4 6" xfId="646"/>
    <cellStyle name="Normal 3 4 6 2" xfId="647"/>
    <cellStyle name="Normal 3 4 7" xfId="648"/>
    <cellStyle name="Normal 3 4 7 2" xfId="649"/>
    <cellStyle name="Normal 3 4 8" xfId="650"/>
    <cellStyle name="Normal 3 5" xfId="651"/>
    <cellStyle name="Normal 3 5 2" xfId="652"/>
    <cellStyle name="Normal 3 5 2 2" xfId="653"/>
    <cellStyle name="Normal 3 5 2 2 2" xfId="654"/>
    <cellStyle name="Normal 3 5 2 3" xfId="655"/>
    <cellStyle name="Normal 3 5 2 3 2" xfId="656"/>
    <cellStyle name="Normal 3 5 2 4" xfId="657"/>
    <cellStyle name="Normal 3 5 2 4 2" xfId="658"/>
    <cellStyle name="Normal 3 5 2 5" xfId="659"/>
    <cellStyle name="Normal 3 5 2 5 2" xfId="660"/>
    <cellStyle name="Normal 3 5 2 6" xfId="661"/>
    <cellStyle name="Normal 3 5 3" xfId="662"/>
    <cellStyle name="Normal 3 5 3 2" xfId="663"/>
    <cellStyle name="Normal 3 5 3 2 2" xfId="664"/>
    <cellStyle name="Normal 3 5 3 3" xfId="665"/>
    <cellStyle name="Normal 3 5 3 3 2" xfId="666"/>
    <cellStyle name="Normal 3 5 3 4" xfId="667"/>
    <cellStyle name="Normal 3 5 3 4 2" xfId="668"/>
    <cellStyle name="Normal 3 5 3 5" xfId="669"/>
    <cellStyle name="Normal 3 5 3 5 2" xfId="670"/>
    <cellStyle name="Normal 3 5 3 6" xfId="671"/>
    <cellStyle name="Normal 3 5 4" xfId="672"/>
    <cellStyle name="Normal 3 5 4 2" xfId="673"/>
    <cellStyle name="Normal 3 5 5" xfId="674"/>
    <cellStyle name="Normal 3 5 5 2" xfId="675"/>
    <cellStyle name="Normal 3 5 6" xfId="676"/>
    <cellStyle name="Normal 3 5 6 2" xfId="677"/>
    <cellStyle name="Normal 3 5 7" xfId="678"/>
    <cellStyle name="Normal 3 5 7 2" xfId="679"/>
    <cellStyle name="Normal 3 5 8" xfId="680"/>
    <cellStyle name="Normal 3 6" xfId="681"/>
    <cellStyle name="Normal 3 6 2" xfId="682"/>
    <cellStyle name="Normal 3 6 2 2" xfId="683"/>
    <cellStyle name="Normal 3 6 2 2 2" xfId="684"/>
    <cellStyle name="Normal 3 6 2 3" xfId="685"/>
    <cellStyle name="Normal 3 6 2 3 2" xfId="686"/>
    <cellStyle name="Normal 3 6 2 4" xfId="687"/>
    <cellStyle name="Normal 3 6 2 4 2" xfId="688"/>
    <cellStyle name="Normal 3 6 2 5" xfId="689"/>
    <cellStyle name="Normal 3 6 2 5 2" xfId="690"/>
    <cellStyle name="Normal 3 6 2 6" xfId="691"/>
    <cellStyle name="Normal 3 6 3" xfId="692"/>
    <cellStyle name="Normal 3 6 3 2" xfId="693"/>
    <cellStyle name="Normal 3 6 3 2 2" xfId="694"/>
    <cellStyle name="Normal 3 6 3 3" xfId="695"/>
    <cellStyle name="Normal 3 6 3 3 2" xfId="696"/>
    <cellStyle name="Normal 3 6 3 4" xfId="697"/>
    <cellStyle name="Normal 3 6 3 4 2" xfId="698"/>
    <cellStyle name="Normal 3 6 3 5" xfId="699"/>
    <cellStyle name="Normal 3 6 3 5 2" xfId="700"/>
    <cellStyle name="Normal 3 6 3 6" xfId="701"/>
    <cellStyle name="Normal 3 6 4" xfId="702"/>
    <cellStyle name="Normal 3 6 4 2" xfId="703"/>
    <cellStyle name="Normal 3 6 5" xfId="704"/>
    <cellStyle name="Normal 3 6 5 2" xfId="705"/>
    <cellStyle name="Normal 3 6 6" xfId="706"/>
    <cellStyle name="Normal 3 6 6 2" xfId="707"/>
    <cellStyle name="Normal 3 6 7" xfId="708"/>
    <cellStyle name="Normal 3 6 7 2" xfId="709"/>
    <cellStyle name="Normal 3 6 8" xfId="710"/>
    <cellStyle name="Normal 3 7" xfId="711"/>
    <cellStyle name="Normal 3 7 2" xfId="712"/>
    <cellStyle name="Normal 3 7 2 2" xfId="713"/>
    <cellStyle name="Normal 3 7 2 2 2" xfId="714"/>
    <cellStyle name="Normal 3 7 2 3" xfId="715"/>
    <cellStyle name="Normal 3 7 2 3 2" xfId="716"/>
    <cellStyle name="Normal 3 7 2 4" xfId="717"/>
    <cellStyle name="Normal 3 7 2 4 2" xfId="718"/>
    <cellStyle name="Normal 3 7 2 5" xfId="719"/>
    <cellStyle name="Normal 3 7 2 5 2" xfId="720"/>
    <cellStyle name="Normal 3 7 2 6" xfId="721"/>
    <cellStyle name="Normal 3 7 3" xfId="722"/>
    <cellStyle name="Normal 3 7 3 2" xfId="723"/>
    <cellStyle name="Normal 3 7 3 2 2" xfId="724"/>
    <cellStyle name="Normal 3 7 3 3" xfId="725"/>
    <cellStyle name="Normal 3 7 3 3 2" xfId="726"/>
    <cellStyle name="Normal 3 7 3 4" xfId="727"/>
    <cellStyle name="Normal 3 7 3 4 2" xfId="728"/>
    <cellStyle name="Normal 3 7 3 5" xfId="729"/>
    <cellStyle name="Normal 3 7 3 5 2" xfId="730"/>
    <cellStyle name="Normal 3 7 3 6" xfId="731"/>
    <cellStyle name="Normal 3 7 4" xfId="732"/>
    <cellStyle name="Normal 3 7 4 2" xfId="733"/>
    <cellStyle name="Normal 3 7 5" xfId="734"/>
    <cellStyle name="Normal 3 7 5 2" xfId="735"/>
    <cellStyle name="Normal 3 7 6" xfId="736"/>
    <cellStyle name="Normal 3 7 6 2" xfId="737"/>
    <cellStyle name="Normal 3 7 7" xfId="738"/>
    <cellStyle name="Normal 3 7 7 2" xfId="739"/>
    <cellStyle name="Normal 3 7 8" xfId="740"/>
    <cellStyle name="Normal 3 8" xfId="741"/>
    <cellStyle name="Normal 3 8 2" xfId="742"/>
    <cellStyle name="Normal 3 8 2 2" xfId="743"/>
    <cellStyle name="Normal 3 8 2 2 2" xfId="744"/>
    <cellStyle name="Normal 3 8 2 3" xfId="745"/>
    <cellStyle name="Normal 3 8 2 3 2" xfId="746"/>
    <cellStyle name="Normal 3 8 2 4" xfId="747"/>
    <cellStyle name="Normal 3 8 2 4 2" xfId="748"/>
    <cellStyle name="Normal 3 8 2 5" xfId="749"/>
    <cellStyle name="Normal 3 8 2 5 2" xfId="750"/>
    <cellStyle name="Normal 3 8 2 6" xfId="751"/>
    <cellStyle name="Normal 3 8 3" xfId="752"/>
    <cellStyle name="Normal 3 8 3 2" xfId="753"/>
    <cellStyle name="Normal 3 8 3 2 2" xfId="754"/>
    <cellStyle name="Normal 3 8 3 3" xfId="755"/>
    <cellStyle name="Normal 3 8 3 3 2" xfId="756"/>
    <cellStyle name="Normal 3 8 3 4" xfId="757"/>
    <cellStyle name="Normal 3 8 3 4 2" xfId="758"/>
    <cellStyle name="Normal 3 8 3 5" xfId="759"/>
    <cellStyle name="Normal 3 8 3 5 2" xfId="760"/>
    <cellStyle name="Normal 3 8 3 6" xfId="761"/>
    <cellStyle name="Normal 3 8 4" xfId="762"/>
    <cellStyle name="Normal 3 8 4 2" xfId="763"/>
    <cellStyle name="Normal 3 8 5" xfId="764"/>
    <cellStyle name="Normal 3 8 5 2" xfId="765"/>
    <cellStyle name="Normal 3 8 6" xfId="766"/>
    <cellStyle name="Normal 3 8 6 2" xfId="767"/>
    <cellStyle name="Normal 3 8 7" xfId="768"/>
    <cellStyle name="Normal 3 8 7 2" xfId="769"/>
    <cellStyle name="Normal 3 8 8" xfId="770"/>
    <cellStyle name="Normal 3 9" xfId="771"/>
    <cellStyle name="Normal 3 9 2" xfId="772"/>
    <cellStyle name="Normal 3 9 2 2" xfId="773"/>
    <cellStyle name="Normal 3 9 2 2 2" xfId="774"/>
    <cellStyle name="Normal 3 9 2 3" xfId="775"/>
    <cellStyle name="Normal 3 9 2 3 2" xfId="776"/>
    <cellStyle name="Normal 3 9 2 4" xfId="777"/>
    <cellStyle name="Normal 3 9 2 4 2" xfId="778"/>
    <cellStyle name="Normal 3 9 2 5" xfId="779"/>
    <cellStyle name="Normal 3 9 2 5 2" xfId="780"/>
    <cellStyle name="Normal 3 9 2 6" xfId="781"/>
    <cellStyle name="Normal 3 9 3" xfId="782"/>
    <cellStyle name="Normal 3 9 3 2" xfId="783"/>
    <cellStyle name="Normal 3 9 3 2 2" xfId="784"/>
    <cellStyle name="Normal 3 9 3 3" xfId="785"/>
    <cellStyle name="Normal 3 9 3 3 2" xfId="786"/>
    <cellStyle name="Normal 3 9 3 4" xfId="787"/>
    <cellStyle name="Normal 3 9 3 4 2" xfId="788"/>
    <cellStyle name="Normal 3 9 3 5" xfId="789"/>
    <cellStyle name="Normal 3 9 3 5 2" xfId="790"/>
    <cellStyle name="Normal 3 9 3 6" xfId="791"/>
    <cellStyle name="Normal 3 9 4" xfId="792"/>
    <cellStyle name="Normal 3 9 4 2" xfId="793"/>
    <cellStyle name="Normal 3 9 5" xfId="794"/>
    <cellStyle name="Normal 3 9 5 2" xfId="795"/>
    <cellStyle name="Normal 3 9 6" xfId="796"/>
    <cellStyle name="Normal 3 9 6 2" xfId="797"/>
    <cellStyle name="Normal 3 9 7" xfId="798"/>
    <cellStyle name="Normal 3 9 7 2" xfId="799"/>
    <cellStyle name="Normal 3 9 8" xfId="800"/>
    <cellStyle name="Normal 4" xfId="801"/>
    <cellStyle name="Normal 4 10" xfId="802"/>
    <cellStyle name="Normal 4 10 2" xfId="803"/>
    <cellStyle name="Normal 4 11" xfId="804"/>
    <cellStyle name="Normal 4 11 2" xfId="805"/>
    <cellStyle name="Normal 4 12" xfId="806"/>
    <cellStyle name="Normal 4 2" xfId="807"/>
    <cellStyle name="Normal 4 2 2" xfId="808"/>
    <cellStyle name="Normal 4 2 2 2" xfId="809"/>
    <cellStyle name="Normal 4 2 2 2 2" xfId="810"/>
    <cellStyle name="Normal 4 2 2 3" xfId="811"/>
    <cellStyle name="Normal 4 2 2 3 2" xfId="812"/>
    <cellStyle name="Normal 4 2 2 4" xfId="813"/>
    <cellStyle name="Normal 4 2 2 4 2" xfId="814"/>
    <cellStyle name="Normal 4 2 2 5" xfId="815"/>
    <cellStyle name="Normal 4 2 2 5 2" xfId="816"/>
    <cellStyle name="Normal 4 2 2 6" xfId="817"/>
    <cellStyle name="Normal 4 2 3" xfId="818"/>
    <cellStyle name="Normal 4 2 3 2" xfId="819"/>
    <cellStyle name="Normal 4 2 3 2 2" xfId="820"/>
    <cellStyle name="Normal 4 2 3 3" xfId="821"/>
    <cellStyle name="Normal 4 2 3 3 2" xfId="822"/>
    <cellStyle name="Normal 4 2 3 4" xfId="823"/>
    <cellStyle name="Normal 4 2 3 4 2" xfId="824"/>
    <cellStyle name="Normal 4 2 3 5" xfId="825"/>
    <cellStyle name="Normal 4 2 3 5 2" xfId="826"/>
    <cellStyle name="Normal 4 2 3 6" xfId="827"/>
    <cellStyle name="Normal 4 2 4" xfId="828"/>
    <cellStyle name="Normal 4 2 4 2" xfId="829"/>
    <cellStyle name="Normal 4 2 5" xfId="830"/>
    <cellStyle name="Normal 4 2 5 2" xfId="831"/>
    <cellStyle name="Normal 4 2 6" xfId="832"/>
    <cellStyle name="Normal 4 2 6 2" xfId="833"/>
    <cellStyle name="Normal 4 2 7" xfId="834"/>
    <cellStyle name="Normal 4 2 7 2" xfId="835"/>
    <cellStyle name="Normal 4 2 8" xfId="836"/>
    <cellStyle name="Normal 4 3" xfId="837"/>
    <cellStyle name="Normal 4 3 2" xfId="838"/>
    <cellStyle name="Normal 4 3 2 2" xfId="839"/>
    <cellStyle name="Normal 4 3 2 2 2" xfId="840"/>
    <cellStyle name="Normal 4 3 2 3" xfId="841"/>
    <cellStyle name="Normal 4 3 2 3 2" xfId="842"/>
    <cellStyle name="Normal 4 3 2 4" xfId="843"/>
    <cellStyle name="Normal 4 3 2 4 2" xfId="844"/>
    <cellStyle name="Normal 4 3 2 5" xfId="845"/>
    <cellStyle name="Normal 4 3 2 5 2" xfId="846"/>
    <cellStyle name="Normal 4 3 2 6" xfId="847"/>
    <cellStyle name="Normal 4 3 3" xfId="848"/>
    <cellStyle name="Normal 4 3 3 2" xfId="849"/>
    <cellStyle name="Normal 4 3 3 2 2" xfId="850"/>
    <cellStyle name="Normal 4 3 3 3" xfId="851"/>
    <cellStyle name="Normal 4 3 3 3 2" xfId="852"/>
    <cellStyle name="Normal 4 3 3 4" xfId="853"/>
    <cellStyle name="Normal 4 3 3 4 2" xfId="854"/>
    <cellStyle name="Normal 4 3 3 5" xfId="855"/>
    <cellStyle name="Normal 4 3 3 5 2" xfId="856"/>
    <cellStyle name="Normal 4 3 3 6" xfId="857"/>
    <cellStyle name="Normal 4 3 4" xfId="858"/>
    <cellStyle name="Normal 4 3 4 2" xfId="859"/>
    <cellStyle name="Normal 4 3 5" xfId="860"/>
    <cellStyle name="Normal 4 3 5 2" xfId="861"/>
    <cellStyle name="Normal 4 3 6" xfId="862"/>
    <cellStyle name="Normal 4 3 6 2" xfId="863"/>
    <cellStyle name="Normal 4 3 7" xfId="864"/>
    <cellStyle name="Normal 4 3 7 2" xfId="865"/>
    <cellStyle name="Normal 4 3 8" xfId="866"/>
    <cellStyle name="Normal 4 4" xfId="867"/>
    <cellStyle name="Normal 4 4 2" xfId="868"/>
    <cellStyle name="Normal 4 5" xfId="869"/>
    <cellStyle name="Normal 4 5 2" xfId="870"/>
    <cellStyle name="Normal 4 5 2 2" xfId="871"/>
    <cellStyle name="Normal 4 5 3" xfId="872"/>
    <cellStyle name="Normal 4 5 3 2" xfId="873"/>
    <cellStyle name="Normal 4 5 4" xfId="874"/>
    <cellStyle name="Normal 4 5 4 2" xfId="875"/>
    <cellStyle name="Normal 4 5 5" xfId="876"/>
    <cellStyle name="Normal 4 5 5 2" xfId="877"/>
    <cellStyle name="Normal 4 5 6" xfId="878"/>
    <cellStyle name="Normal 4 6" xfId="879"/>
    <cellStyle name="Normal 4 6 2" xfId="880"/>
    <cellStyle name="Normal 4 6 2 2" xfId="881"/>
    <cellStyle name="Normal 4 6 3" xfId="882"/>
    <cellStyle name="Normal 4 6 3 2" xfId="883"/>
    <cellStyle name="Normal 4 6 4" xfId="884"/>
    <cellStyle name="Normal 4 6 4 2" xfId="885"/>
    <cellStyle name="Normal 4 6 5" xfId="886"/>
    <cellStyle name="Normal 4 6 5 2" xfId="887"/>
    <cellStyle name="Normal 4 6 6" xfId="888"/>
    <cellStyle name="Normal 4 7" xfId="889"/>
    <cellStyle name="Normal 4 7 2" xfId="890"/>
    <cellStyle name="Normal 4 8" xfId="891"/>
    <cellStyle name="Normal 4 8 2" xfId="892"/>
    <cellStyle name="Normal 4 9" xfId="893"/>
    <cellStyle name="Normal 4 9 2" xfId="894"/>
    <cellStyle name="Normal 5" xfId="895"/>
    <cellStyle name="Normal 5 10" xfId="896"/>
    <cellStyle name="Normal 5 2" xfId="897"/>
    <cellStyle name="Normal 5 2 2" xfId="898"/>
    <cellStyle name="Normal 5 2 2 2" xfId="899"/>
    <cellStyle name="Normal 5 2 2 2 2" xfId="900"/>
    <cellStyle name="Normal 5 2 2 2 2 2" xfId="901"/>
    <cellStyle name="Normal 5 2 2 2 3" xfId="902"/>
    <cellStyle name="Normal 5 2 2 2 3 2" xfId="903"/>
    <cellStyle name="Normal 5 2 2 2 4" xfId="904"/>
    <cellStyle name="Normal 5 2 2 2 4 2" xfId="905"/>
    <cellStyle name="Normal 5 2 2 2 5" xfId="906"/>
    <cellStyle name="Normal 5 2 2 2 5 2" xfId="907"/>
    <cellStyle name="Normal 5 2 2 2 6" xfId="908"/>
    <cellStyle name="Normal 5 2 2 3" xfId="909"/>
    <cellStyle name="Normal 5 2 2 3 2" xfId="910"/>
    <cellStyle name="Normal 5 2 2 3 2 2" xfId="911"/>
    <cellStyle name="Normal 5 2 2 3 3" xfId="912"/>
    <cellStyle name="Normal 5 2 2 3 3 2" xfId="913"/>
    <cellStyle name="Normal 5 2 2 3 4" xfId="914"/>
    <cellStyle name="Normal 5 2 2 3 4 2" xfId="915"/>
    <cellStyle name="Normal 5 2 2 3 5" xfId="916"/>
    <cellStyle name="Normal 5 2 2 3 5 2" xfId="917"/>
    <cellStyle name="Normal 5 2 2 3 6" xfId="918"/>
    <cellStyle name="Normal 5 2 2 4" xfId="919"/>
    <cellStyle name="Normal 5 2 2 4 2" xfId="920"/>
    <cellStyle name="Normal 5 2 2 5" xfId="921"/>
    <cellStyle name="Normal 5 2 2 5 2" xfId="922"/>
    <cellStyle name="Normal 5 2 2 6" xfId="923"/>
    <cellStyle name="Normal 5 2 2 6 2" xfId="924"/>
    <cellStyle name="Normal 5 2 2 7" xfId="925"/>
    <cellStyle name="Normal 5 2 2 7 2" xfId="926"/>
    <cellStyle name="Normal 5 2 2 8" xfId="927"/>
    <cellStyle name="Normal 5 2 3" xfId="928"/>
    <cellStyle name="Normal 5 2 3 2" xfId="929"/>
    <cellStyle name="Normal 5 2 3 2 2" xfId="930"/>
    <cellStyle name="Normal 5 2 3 3" xfId="931"/>
    <cellStyle name="Normal 5 2 3 3 2" xfId="932"/>
    <cellStyle name="Normal 5 2 3 4" xfId="933"/>
    <cellStyle name="Normal 5 2 3 4 2" xfId="934"/>
    <cellStyle name="Normal 5 2 3 5" xfId="935"/>
    <cellStyle name="Normal 5 2 3 5 2" xfId="936"/>
    <cellStyle name="Normal 5 2 3 6" xfId="937"/>
    <cellStyle name="Normal 5 2 4" xfId="938"/>
    <cellStyle name="Normal 5 2 4 2" xfId="939"/>
    <cellStyle name="Normal 5 2 4 2 2" xfId="940"/>
    <cellStyle name="Normal 5 2 4 3" xfId="941"/>
    <cellStyle name="Normal 5 2 4 3 2" xfId="942"/>
    <cellStyle name="Normal 5 2 4 4" xfId="943"/>
    <cellStyle name="Normal 5 2 4 4 2" xfId="944"/>
    <cellStyle name="Normal 5 2 4 5" xfId="945"/>
    <cellStyle name="Normal 5 2 4 5 2" xfId="946"/>
    <cellStyle name="Normal 5 2 4 6" xfId="947"/>
    <cellStyle name="Normal 5 2 5" xfId="948"/>
    <cellStyle name="Normal 5 2 5 2" xfId="949"/>
    <cellStyle name="Normal 5 2 6" xfId="950"/>
    <cellStyle name="Normal 5 2 6 2" xfId="951"/>
    <cellStyle name="Normal 5 2 7" xfId="952"/>
    <cellStyle name="Normal 5 2 7 2" xfId="953"/>
    <cellStyle name="Normal 5 2 8" xfId="954"/>
    <cellStyle name="Normal 5 2 8 2" xfId="955"/>
    <cellStyle name="Normal 5 2 9" xfId="956"/>
    <cellStyle name="Normal 5 3" xfId="957"/>
    <cellStyle name="Normal 5 3 2" xfId="958"/>
    <cellStyle name="Normal 5 3 2 2" xfId="959"/>
    <cellStyle name="Normal 5 3 2 2 2" xfId="960"/>
    <cellStyle name="Normal 5 3 2 3" xfId="961"/>
    <cellStyle name="Normal 5 3 2 3 2" xfId="962"/>
    <cellStyle name="Normal 5 3 2 4" xfId="963"/>
    <cellStyle name="Normal 5 3 2 4 2" xfId="964"/>
    <cellStyle name="Normal 5 3 2 5" xfId="965"/>
    <cellStyle name="Normal 5 3 2 5 2" xfId="966"/>
    <cellStyle name="Normal 5 3 2 6" xfId="967"/>
    <cellStyle name="Normal 5 3 3" xfId="968"/>
    <cellStyle name="Normal 5 3 3 2" xfId="969"/>
    <cellStyle name="Normal 5 3 3 2 2" xfId="970"/>
    <cellStyle name="Normal 5 3 3 3" xfId="971"/>
    <cellStyle name="Normal 5 3 3 3 2" xfId="972"/>
    <cellStyle name="Normal 5 3 3 4" xfId="973"/>
    <cellStyle name="Normal 5 3 3 4 2" xfId="974"/>
    <cellStyle name="Normal 5 3 3 5" xfId="975"/>
    <cellStyle name="Normal 5 3 3 5 2" xfId="976"/>
    <cellStyle name="Normal 5 3 3 6" xfId="977"/>
    <cellStyle name="Normal 5 3 4" xfId="978"/>
    <cellStyle name="Normal 5 3 4 2" xfId="979"/>
    <cellStyle name="Normal 5 3 5" xfId="980"/>
    <cellStyle name="Normal 5 3 5 2" xfId="981"/>
    <cellStyle name="Normal 5 3 6" xfId="982"/>
    <cellStyle name="Normal 5 3 6 2" xfId="983"/>
    <cellStyle name="Normal 5 3 7" xfId="984"/>
    <cellStyle name="Normal 5 3 7 2" xfId="985"/>
    <cellStyle name="Normal 5 3 8" xfId="986"/>
    <cellStyle name="Normal 5 4" xfId="987"/>
    <cellStyle name="Normal 5 4 2" xfId="988"/>
    <cellStyle name="Normal 5 4 2 2" xfId="989"/>
    <cellStyle name="Normal 5 4 3" xfId="990"/>
    <cellStyle name="Normal 5 4 3 2" xfId="991"/>
    <cellStyle name="Normal 5 4 4" xfId="992"/>
    <cellStyle name="Normal 5 4 4 2" xfId="993"/>
    <cellStyle name="Normal 5 4 5" xfId="994"/>
    <cellStyle name="Normal 5 4 5 2" xfId="995"/>
    <cellStyle name="Normal 5 4 6" xfId="996"/>
    <cellStyle name="Normal 5 5" xfId="997"/>
    <cellStyle name="Normal 5 5 2" xfId="998"/>
    <cellStyle name="Normal 5 5 2 2" xfId="999"/>
    <cellStyle name="Normal 5 5 3" xfId="1000"/>
    <cellStyle name="Normal 5 5 3 2" xfId="1001"/>
    <cellStyle name="Normal 5 5 4" xfId="1002"/>
    <cellStyle name="Normal 5 5 4 2" xfId="1003"/>
    <cellStyle name="Normal 5 5 5" xfId="1004"/>
    <cellStyle name="Normal 5 5 5 2" xfId="1005"/>
    <cellStyle name="Normal 5 5 6" xfId="1006"/>
    <cellStyle name="Normal 5 6" xfId="1007"/>
    <cellStyle name="Normal 5 6 2" xfId="1008"/>
    <cellStyle name="Normal 5 7" xfId="1009"/>
    <cellStyle name="Normal 5 7 2" xfId="1010"/>
    <cellStyle name="Normal 5 8" xfId="1011"/>
    <cellStyle name="Normal 5 8 2" xfId="1012"/>
    <cellStyle name="Normal 5 9" xfId="1013"/>
    <cellStyle name="Normal 5 9 2" xfId="1014"/>
    <cellStyle name="Normal 6" xfId="1015"/>
    <cellStyle name="Normal 6 2" xfId="1016"/>
    <cellStyle name="Normal 7" xfId="1017"/>
    <cellStyle name="Normal 7 2" xfId="1018"/>
    <cellStyle name="Normal 7 2 2" xfId="1019"/>
    <cellStyle name="Normal 7 2 2 2" xfId="1020"/>
    <cellStyle name="Normal 7 2 2 2 2" xfId="1021"/>
    <cellStyle name="Normal 7 2 2 3" xfId="1022"/>
    <cellStyle name="Normal 7 2 2 3 2" xfId="1023"/>
    <cellStyle name="Normal 7 2 2 4" xfId="1024"/>
    <cellStyle name="Normal 7 2 2 4 2" xfId="1025"/>
    <cellStyle name="Normal 7 2 2 5" xfId="1026"/>
    <cellStyle name="Normal 7 2 2 5 2" xfId="1027"/>
    <cellStyle name="Normal 7 2 2 6" xfId="1028"/>
    <cellStyle name="Normal 7 2 3" xfId="1029"/>
    <cellStyle name="Normal 7 2 3 2" xfId="1030"/>
    <cellStyle name="Normal 7 2 3 2 2" xfId="1031"/>
    <cellStyle name="Normal 7 2 3 3" xfId="1032"/>
    <cellStyle name="Normal 7 2 3 3 2" xfId="1033"/>
    <cellStyle name="Normal 7 2 3 4" xfId="1034"/>
    <cellStyle name="Normal 7 2 3 4 2" xfId="1035"/>
    <cellStyle name="Normal 7 2 3 5" xfId="1036"/>
    <cellStyle name="Normal 7 2 3 5 2" xfId="1037"/>
    <cellStyle name="Normal 7 2 3 6" xfId="1038"/>
    <cellStyle name="Normal 7 2 4" xfId="1039"/>
    <cellStyle name="Normal 7 2 4 2" xfId="1040"/>
    <cellStyle name="Normal 7 2 5" xfId="1041"/>
    <cellStyle name="Normal 7 2 5 2" xfId="1042"/>
    <cellStyle name="Normal 7 2 6" xfId="1043"/>
    <cellStyle name="Normal 7 2 6 2" xfId="1044"/>
    <cellStyle name="Normal 7 2 7" xfId="1045"/>
    <cellStyle name="Normal 7 2 7 2" xfId="1046"/>
    <cellStyle name="Normal 7 2 8" xfId="1047"/>
    <cellStyle name="Normal 7 3" xfId="1048"/>
    <cellStyle name="Normal 7 3 2" xfId="1049"/>
    <cellStyle name="Normal 7 3 2 2" xfId="1050"/>
    <cellStyle name="Normal 7 3 3" xfId="1051"/>
    <cellStyle name="Normal 7 3 3 2" xfId="1052"/>
    <cellStyle name="Normal 7 3 4" xfId="1053"/>
    <cellStyle name="Normal 7 3 4 2" xfId="1054"/>
    <cellStyle name="Normal 7 3 5" xfId="1055"/>
    <cellStyle name="Normal 7 3 5 2" xfId="1056"/>
    <cellStyle name="Normal 7 3 6" xfId="1057"/>
    <cellStyle name="Normal 7 4" xfId="1058"/>
    <cellStyle name="Normal 7 4 2" xfId="1059"/>
    <cellStyle name="Normal 7 4 2 2" xfId="1060"/>
    <cellStyle name="Normal 7 4 3" xfId="1061"/>
    <cellStyle name="Normal 7 4 3 2" xfId="1062"/>
    <cellStyle name="Normal 7 4 4" xfId="1063"/>
    <cellStyle name="Normal 7 4 4 2" xfId="1064"/>
    <cellStyle name="Normal 7 4 5" xfId="1065"/>
    <cellStyle name="Normal 7 4 5 2" xfId="1066"/>
    <cellStyle name="Normal 7 4 6" xfId="1067"/>
    <cellStyle name="Normal 7 5" xfId="1068"/>
    <cellStyle name="Normal 7 5 2" xfId="1069"/>
    <cellStyle name="Normal 7 6" xfId="1070"/>
    <cellStyle name="Normal 7 6 2" xfId="1071"/>
    <cellStyle name="Normal 7 7" xfId="1072"/>
    <cellStyle name="Normal 7 7 2" xfId="1073"/>
    <cellStyle name="Normal 7 8" xfId="1074"/>
    <cellStyle name="Normal 7 8 2" xfId="1075"/>
    <cellStyle name="Normal 7 9" xfId="1076"/>
    <cellStyle name="Normal 8" xfId="1077"/>
    <cellStyle name="Normal 8 2" xfId="1078"/>
    <cellStyle name="Normal 8 2 2" xfId="1079"/>
    <cellStyle name="Normal 8 3" xfId="1080"/>
    <cellStyle name="Normal 9" xfId="1081"/>
    <cellStyle name="Normal 9 2" xfId="1082"/>
    <cellStyle name="Normal 9 2 2" xfId="1083"/>
    <cellStyle name="Normal 9 3" xfId="1084"/>
    <cellStyle name="Normale_PAQ-A426441-22-090707" xfId="1085"/>
    <cellStyle name="Nota 2" xfId="1086"/>
    <cellStyle name="Note" xfId="1087"/>
    <cellStyle name="Output" xfId="1088"/>
    <cellStyle name="para" xfId="1089"/>
    <cellStyle name="para 2" xfId="1090"/>
    <cellStyle name="pec." xfId="1091"/>
    <cellStyle name="Porcentagem" xfId="1435" builtinId="5"/>
    <cellStyle name="sect" xfId="1092"/>
    <cellStyle name="sect1" xfId="1093"/>
    <cellStyle name="sect2" xfId="1094"/>
    <cellStyle name="sect3" xfId="1095"/>
    <cellStyle name="sect4" xfId="1096"/>
    <cellStyle name="sect4 2" xfId="1097"/>
    <cellStyle name="sect5" xfId="1098"/>
    <cellStyle name="sect5 2" xfId="1099"/>
    <cellStyle name="sect6" xfId="1100"/>
    <cellStyle name="sect6 2" xfId="1101"/>
    <cellStyle name="sect7" xfId="1102"/>
    <cellStyle name="sect7 2" xfId="1103"/>
    <cellStyle name="sect8" xfId="1104"/>
    <cellStyle name="sect8 2" xfId="1105"/>
    <cellStyle name="sect9" xfId="1106"/>
    <cellStyle name="sect9 2" xfId="1107"/>
    <cellStyle name="tableTitle" xfId="1108"/>
    <cellStyle name="tableTitle 2" xfId="1109"/>
    <cellStyle name="title" xfId="1110"/>
    <cellStyle name="Title 2" xfId="1111"/>
    <cellStyle name="Titre" xfId="1112"/>
    <cellStyle name="Total 2" xfId="1113"/>
    <cellStyle name="Total 2 2" xfId="1114"/>
    <cellStyle name="Total 2 2 2" xfId="1115"/>
    <cellStyle name="Total 2 2 2 2" xfId="1116"/>
    <cellStyle name="Total 2 2 2 2 2" xfId="1117"/>
    <cellStyle name="Total 2 2 2 3" xfId="1118"/>
    <cellStyle name="Total 2 2 2 3 2" xfId="1119"/>
    <cellStyle name="Total 2 2 2 4" xfId="1120"/>
    <cellStyle name="Total 2 2 2 4 2" xfId="1121"/>
    <cellStyle name="Total 2 2 2 5" xfId="1122"/>
    <cellStyle name="Total 2 2 3" xfId="1123"/>
    <cellStyle name="Total 2 2 3 2" xfId="1124"/>
    <cellStyle name="Total 2 2 3 2 2" xfId="1125"/>
    <cellStyle name="Total 2 2 3 3" xfId="1126"/>
    <cellStyle name="Total 2 2 3 3 2" xfId="1127"/>
    <cellStyle name="Total 2 2 3 4" xfId="1128"/>
    <cellStyle name="Total 2 2 3 4 2" xfId="1129"/>
    <cellStyle name="Total 2 2 3 5" xfId="1130"/>
    <cellStyle name="Total 2 2 4" xfId="1131"/>
    <cellStyle name="Total 2 2 4 2" xfId="1132"/>
    <cellStyle name="Total 2 2 4 2 2" xfId="1133"/>
    <cellStyle name="Total 2 2 4 3" xfId="1134"/>
    <cellStyle name="Total 2 2 4 3 2" xfId="1135"/>
    <cellStyle name="Total 2 2 4 4" xfId="1136"/>
    <cellStyle name="Total 2 2 4 4 2" xfId="1137"/>
    <cellStyle name="Total 2 2 4 5" xfId="1138"/>
    <cellStyle name="Total 2 2 5" xfId="1139"/>
    <cellStyle name="Total 2 2 5 2" xfId="1140"/>
    <cellStyle name="Total 2 2 6" xfId="1141"/>
    <cellStyle name="Total 2 2 6 2" xfId="1142"/>
    <cellStyle name="Total 2 2 7" xfId="1143"/>
    <cellStyle name="Total 2 2 7 2" xfId="1144"/>
    <cellStyle name="Total 2 2 8" xfId="1145"/>
    <cellStyle name="Total 2 3" xfId="1146"/>
    <cellStyle name="Total 2 3 2" xfId="1147"/>
    <cellStyle name="Total 2 3 2 2" xfId="1148"/>
    <cellStyle name="Total 2 3 3" xfId="1149"/>
    <cellStyle name="Total 2 3 3 2" xfId="1150"/>
    <cellStyle name="Total 2 3 4" xfId="1151"/>
    <cellStyle name="Total 2 3 4 2" xfId="1152"/>
    <cellStyle name="Total 2 3 5" xfId="1153"/>
    <cellStyle name="Total 2 4" xfId="1154"/>
    <cellStyle name="Total 2 4 2" xfId="1155"/>
    <cellStyle name="Total 2 4 2 2" xfId="1156"/>
    <cellStyle name="Total 2 4 3" xfId="1157"/>
    <cellStyle name="Total 2 4 3 2" xfId="1158"/>
    <cellStyle name="Total 2 4 4" xfId="1159"/>
    <cellStyle name="Total 2 4 4 2" xfId="1160"/>
    <cellStyle name="Total 2 4 5" xfId="1161"/>
    <cellStyle name="Total 2 5" xfId="1162"/>
    <cellStyle name="Total 2 5 2" xfId="1163"/>
    <cellStyle name="Total 2 5 2 2" xfId="1164"/>
    <cellStyle name="Total 2 5 3" xfId="1165"/>
    <cellStyle name="Total 2 5 3 2" xfId="1166"/>
    <cellStyle name="Total 2 5 4" xfId="1167"/>
    <cellStyle name="Total 2 5 4 2" xfId="1168"/>
    <cellStyle name="Total 2 5 5" xfId="1169"/>
    <cellStyle name="Total 2 6" xfId="1170"/>
    <cellStyle name="Total 2 6 2" xfId="1171"/>
    <cellStyle name="Total 2 7" xfId="1172"/>
    <cellStyle name="Total 2 7 2" xfId="1173"/>
    <cellStyle name="Total 2 8" xfId="1174"/>
    <cellStyle name="Total 2 8 2" xfId="1175"/>
    <cellStyle name="Total 2 9" xfId="1176"/>
    <cellStyle name="Total 3" xfId="1177"/>
    <cellStyle name="Total 3 2" xfId="1178"/>
    <cellStyle name="Total 3 2 2" xfId="1179"/>
    <cellStyle name="Total 3 2 2 2" xfId="1180"/>
    <cellStyle name="Total 3 2 2 2 2" xfId="1181"/>
    <cellStyle name="Total 3 2 2 3" xfId="1182"/>
    <cellStyle name="Total 3 2 2 3 2" xfId="1183"/>
    <cellStyle name="Total 3 2 2 4" xfId="1184"/>
    <cellStyle name="Total 3 2 2 4 2" xfId="1185"/>
    <cellStyle name="Total 3 2 2 5" xfId="1186"/>
    <cellStyle name="Total 3 2 3" xfId="1187"/>
    <cellStyle name="Total 3 2 3 2" xfId="1188"/>
    <cellStyle name="Total 3 2 3 2 2" xfId="1189"/>
    <cellStyle name="Total 3 2 3 3" xfId="1190"/>
    <cellStyle name="Total 3 2 3 3 2" xfId="1191"/>
    <cellStyle name="Total 3 2 3 4" xfId="1192"/>
    <cellStyle name="Total 3 2 3 4 2" xfId="1193"/>
    <cellStyle name="Total 3 2 3 5" xfId="1194"/>
    <cellStyle name="Total 3 2 4" xfId="1195"/>
    <cellStyle name="Total 3 2 4 2" xfId="1196"/>
    <cellStyle name="Total 3 2 4 2 2" xfId="1197"/>
    <cellStyle name="Total 3 2 4 3" xfId="1198"/>
    <cellStyle name="Total 3 2 4 3 2" xfId="1199"/>
    <cellStyle name="Total 3 2 4 4" xfId="1200"/>
    <cellStyle name="Total 3 2 4 4 2" xfId="1201"/>
    <cellStyle name="Total 3 2 4 5" xfId="1202"/>
    <cellStyle name="Total 3 2 5" xfId="1203"/>
    <cellStyle name="Total 3 2 5 2" xfId="1204"/>
    <cellStyle name="Total 3 2 6" xfId="1205"/>
    <cellStyle name="Total 3 2 6 2" xfId="1206"/>
    <cellStyle name="Total 3 2 7" xfId="1207"/>
    <cellStyle name="Total 3 2 7 2" xfId="1208"/>
    <cellStyle name="Total 3 2 8" xfId="1209"/>
    <cellStyle name="Total 3 3" xfId="1210"/>
    <cellStyle name="Total 3 3 2" xfId="1211"/>
    <cellStyle name="Total 3 3 2 2" xfId="1212"/>
    <cellStyle name="Total 3 3 3" xfId="1213"/>
    <cellStyle name="Total 3 3 3 2" xfId="1214"/>
    <cellStyle name="Total 3 3 4" xfId="1215"/>
    <cellStyle name="Total 3 3 4 2" xfId="1216"/>
    <cellStyle name="Total 3 3 5" xfId="1217"/>
    <cellStyle name="Total 3 4" xfId="1218"/>
    <cellStyle name="Total 3 4 2" xfId="1219"/>
    <cellStyle name="Total 3 4 2 2" xfId="1220"/>
    <cellStyle name="Total 3 4 3" xfId="1221"/>
    <cellStyle name="Total 3 4 3 2" xfId="1222"/>
    <cellStyle name="Total 3 4 4" xfId="1223"/>
    <cellStyle name="Total 3 4 4 2" xfId="1224"/>
    <cellStyle name="Total 3 4 5" xfId="1225"/>
    <cellStyle name="Total 3 5" xfId="1226"/>
    <cellStyle name="Total 3 5 2" xfId="1227"/>
    <cellStyle name="Total 3 5 2 2" xfId="1228"/>
    <cellStyle name="Total 3 5 3" xfId="1229"/>
    <cellStyle name="Total 3 5 3 2" xfId="1230"/>
    <cellStyle name="Total 3 5 4" xfId="1231"/>
    <cellStyle name="Total 3 5 4 2" xfId="1232"/>
    <cellStyle name="Total 3 5 5" xfId="1233"/>
    <cellStyle name="Total 3 6" xfId="1234"/>
    <cellStyle name="Total 3 6 2" xfId="1235"/>
    <cellStyle name="Total 3 7" xfId="1236"/>
    <cellStyle name="Total 3 7 2" xfId="1237"/>
    <cellStyle name="Total 3 8" xfId="1238"/>
    <cellStyle name="Total 3 8 2" xfId="1239"/>
    <cellStyle name="Total 3 9" xfId="1240"/>
    <cellStyle name="Total 4" xfId="1241"/>
    <cellStyle name="Total 4 2" xfId="1242"/>
    <cellStyle name="Total 4 2 2" xfId="1243"/>
    <cellStyle name="Total 4 2 2 2" xfId="1244"/>
    <cellStyle name="Total 4 2 2 2 2" xfId="1245"/>
    <cellStyle name="Total 4 2 2 3" xfId="1246"/>
    <cellStyle name="Total 4 2 2 3 2" xfId="1247"/>
    <cellStyle name="Total 4 2 2 4" xfId="1248"/>
    <cellStyle name="Total 4 2 2 4 2" xfId="1249"/>
    <cellStyle name="Total 4 2 2 5" xfId="1250"/>
    <cellStyle name="Total 4 2 3" xfId="1251"/>
    <cellStyle name="Total 4 2 3 2" xfId="1252"/>
    <cellStyle name="Total 4 2 3 2 2" xfId="1253"/>
    <cellStyle name="Total 4 2 3 3" xfId="1254"/>
    <cellStyle name="Total 4 2 3 3 2" xfId="1255"/>
    <cellStyle name="Total 4 2 3 4" xfId="1256"/>
    <cellStyle name="Total 4 2 3 4 2" xfId="1257"/>
    <cellStyle name="Total 4 2 3 5" xfId="1258"/>
    <cellStyle name="Total 4 2 4" xfId="1259"/>
    <cellStyle name="Total 4 2 4 2" xfId="1260"/>
    <cellStyle name="Total 4 2 4 2 2" xfId="1261"/>
    <cellStyle name="Total 4 2 4 3" xfId="1262"/>
    <cellStyle name="Total 4 2 4 3 2" xfId="1263"/>
    <cellStyle name="Total 4 2 4 4" xfId="1264"/>
    <cellStyle name="Total 4 2 4 4 2" xfId="1265"/>
    <cellStyle name="Total 4 2 4 5" xfId="1266"/>
    <cellStyle name="Total 4 2 5" xfId="1267"/>
    <cellStyle name="Total 4 2 5 2" xfId="1268"/>
    <cellStyle name="Total 4 2 6" xfId="1269"/>
    <cellStyle name="Total 4 2 6 2" xfId="1270"/>
    <cellStyle name="Total 4 2 7" xfId="1271"/>
    <cellStyle name="Total 4 2 7 2" xfId="1272"/>
    <cellStyle name="Total 4 2 8" xfId="1273"/>
    <cellStyle name="Total 4 3" xfId="1274"/>
    <cellStyle name="Total 4 3 2" xfId="1275"/>
    <cellStyle name="Total 4 3 2 2" xfId="1276"/>
    <cellStyle name="Total 4 3 3" xfId="1277"/>
    <cellStyle name="Total 4 3 3 2" xfId="1278"/>
    <cellStyle name="Total 4 3 4" xfId="1279"/>
    <cellStyle name="Total 4 3 4 2" xfId="1280"/>
    <cellStyle name="Total 4 3 5" xfId="1281"/>
    <cellStyle name="Total 4 4" xfId="1282"/>
    <cellStyle name="Total 4 4 2" xfId="1283"/>
    <cellStyle name="Total 4 4 2 2" xfId="1284"/>
    <cellStyle name="Total 4 4 3" xfId="1285"/>
    <cellStyle name="Total 4 4 3 2" xfId="1286"/>
    <cellStyle name="Total 4 4 4" xfId="1287"/>
    <cellStyle name="Total 4 4 4 2" xfId="1288"/>
    <cellStyle name="Total 4 4 5" xfId="1289"/>
    <cellStyle name="Total 4 5" xfId="1290"/>
    <cellStyle name="Total 4 5 2" xfId="1291"/>
    <cellStyle name="Total 4 5 2 2" xfId="1292"/>
    <cellStyle name="Total 4 5 3" xfId="1293"/>
    <cellStyle name="Total 4 5 3 2" xfId="1294"/>
    <cellStyle name="Total 4 5 4" xfId="1295"/>
    <cellStyle name="Total 4 5 4 2" xfId="1296"/>
    <cellStyle name="Total 4 5 5" xfId="1297"/>
    <cellStyle name="Total 4 6" xfId="1298"/>
    <cellStyle name="Total 4 6 2" xfId="1299"/>
    <cellStyle name="Total 4 7" xfId="1300"/>
    <cellStyle name="Total 4 7 2" xfId="1301"/>
    <cellStyle name="Total 4 8" xfId="1302"/>
    <cellStyle name="Total 4 8 2" xfId="1303"/>
    <cellStyle name="Total 4 9" xfId="1304"/>
    <cellStyle name="Total 5" xfId="1305"/>
    <cellStyle name="Total 5 2" xfId="1306"/>
    <cellStyle name="Total 5 2 2" xfId="1307"/>
    <cellStyle name="Total 5 2 2 2" xfId="1308"/>
    <cellStyle name="Total 5 2 2 2 2" xfId="1309"/>
    <cellStyle name="Total 5 2 2 3" xfId="1310"/>
    <cellStyle name="Total 5 2 2 3 2" xfId="1311"/>
    <cellStyle name="Total 5 2 2 4" xfId="1312"/>
    <cellStyle name="Total 5 2 2 4 2" xfId="1313"/>
    <cellStyle name="Total 5 2 2 5" xfId="1314"/>
    <cellStyle name="Total 5 2 3" xfId="1315"/>
    <cellStyle name="Total 5 2 3 2" xfId="1316"/>
    <cellStyle name="Total 5 2 3 2 2" xfId="1317"/>
    <cellStyle name="Total 5 2 3 3" xfId="1318"/>
    <cellStyle name="Total 5 2 3 3 2" xfId="1319"/>
    <cellStyle name="Total 5 2 3 4" xfId="1320"/>
    <cellStyle name="Total 5 2 3 4 2" xfId="1321"/>
    <cellStyle name="Total 5 2 3 5" xfId="1322"/>
    <cellStyle name="Total 5 2 4" xfId="1323"/>
    <cellStyle name="Total 5 2 4 2" xfId="1324"/>
    <cellStyle name="Total 5 2 4 2 2" xfId="1325"/>
    <cellStyle name="Total 5 2 4 3" xfId="1326"/>
    <cellStyle name="Total 5 2 4 3 2" xfId="1327"/>
    <cellStyle name="Total 5 2 4 4" xfId="1328"/>
    <cellStyle name="Total 5 2 4 4 2" xfId="1329"/>
    <cellStyle name="Total 5 2 4 5" xfId="1330"/>
    <cellStyle name="Total 5 2 5" xfId="1331"/>
    <cellStyle name="Total 5 2 5 2" xfId="1332"/>
    <cellStyle name="Total 5 2 6" xfId="1333"/>
    <cellStyle name="Total 5 2 6 2" xfId="1334"/>
    <cellStyle name="Total 5 2 7" xfId="1335"/>
    <cellStyle name="Total 5 2 7 2" xfId="1336"/>
    <cellStyle name="Total 5 2 8" xfId="1337"/>
    <cellStyle name="Total 5 3" xfId="1338"/>
    <cellStyle name="Total 5 3 2" xfId="1339"/>
    <cellStyle name="Total 5 3 2 2" xfId="1340"/>
    <cellStyle name="Total 5 3 3" xfId="1341"/>
    <cellStyle name="Total 5 3 3 2" xfId="1342"/>
    <cellStyle name="Total 5 3 4" xfId="1343"/>
    <cellStyle name="Total 5 3 4 2" xfId="1344"/>
    <cellStyle name="Total 5 3 5" xfId="1345"/>
    <cellStyle name="Total 5 4" xfId="1346"/>
    <cellStyle name="Total 5 4 2" xfId="1347"/>
    <cellStyle name="Total 5 4 2 2" xfId="1348"/>
    <cellStyle name="Total 5 4 3" xfId="1349"/>
    <cellStyle name="Total 5 4 3 2" xfId="1350"/>
    <cellStyle name="Total 5 4 4" xfId="1351"/>
    <cellStyle name="Total 5 4 4 2" xfId="1352"/>
    <cellStyle name="Total 5 4 5" xfId="1353"/>
    <cellStyle name="Total 5 5" xfId="1354"/>
    <cellStyle name="Total 5 5 2" xfId="1355"/>
    <cellStyle name="Total 5 5 2 2" xfId="1356"/>
    <cellStyle name="Total 5 5 3" xfId="1357"/>
    <cellStyle name="Total 5 5 3 2" xfId="1358"/>
    <cellStyle name="Total 5 5 4" xfId="1359"/>
    <cellStyle name="Total 5 5 4 2" xfId="1360"/>
    <cellStyle name="Total 5 5 5" xfId="1361"/>
    <cellStyle name="Total 5 6" xfId="1362"/>
    <cellStyle name="Total 5 6 2" xfId="1363"/>
    <cellStyle name="Total 5 7" xfId="1364"/>
    <cellStyle name="Total 5 7 2" xfId="1365"/>
    <cellStyle name="Total 5 8" xfId="1366"/>
    <cellStyle name="Total 5 8 2" xfId="1367"/>
    <cellStyle name="Total 5 9" xfId="1368"/>
    <cellStyle name="Total 6" xfId="1369"/>
    <cellStyle name="Total 6 2" xfId="1370"/>
    <cellStyle name="Total 6 2 2" xfId="1371"/>
    <cellStyle name="Total 6 2 2 2" xfId="1372"/>
    <cellStyle name="Total 6 2 3" xfId="1373"/>
    <cellStyle name="Total 6 2 3 2" xfId="1374"/>
    <cellStyle name="Total 6 2 4" xfId="1375"/>
    <cellStyle name="Total 6 2 4 2" xfId="1376"/>
    <cellStyle name="Total 6 2 5" xfId="1377"/>
    <cellStyle name="Total 6 3" xfId="1378"/>
    <cellStyle name="Total 6 3 2" xfId="1379"/>
    <cellStyle name="Total 6 3 2 2" xfId="1380"/>
    <cellStyle name="Total 6 3 3" xfId="1381"/>
    <cellStyle name="Total 6 3 3 2" xfId="1382"/>
    <cellStyle name="Total 6 3 4" xfId="1383"/>
    <cellStyle name="Total 6 3 4 2" xfId="1384"/>
    <cellStyle name="Total 6 3 5" xfId="1385"/>
    <cellStyle name="Total 6 4" xfId="1386"/>
    <cellStyle name="Total 6 4 2" xfId="1387"/>
    <cellStyle name="Total 6 4 2 2" xfId="1388"/>
    <cellStyle name="Total 6 4 3" xfId="1389"/>
    <cellStyle name="Total 6 4 3 2" xfId="1390"/>
    <cellStyle name="Total 6 4 4" xfId="1391"/>
    <cellStyle name="Total 6 4 4 2" xfId="1392"/>
    <cellStyle name="Total 6 4 5" xfId="1393"/>
    <cellStyle name="Total 6 5" xfId="1394"/>
    <cellStyle name="Total 6 5 2" xfId="1395"/>
    <cellStyle name="Total 6 6" xfId="1396"/>
    <cellStyle name="Total 6 6 2" xfId="1397"/>
    <cellStyle name="Total 6 7" xfId="1398"/>
    <cellStyle name="Total 6 7 2" xfId="1399"/>
    <cellStyle name="Total 6 8" xfId="1400"/>
    <cellStyle name="Total 7" xfId="1401"/>
    <cellStyle name="Total 7 2" xfId="1402"/>
    <cellStyle name="Total 7 2 2" xfId="1403"/>
    <cellStyle name="Total 7 2 2 2" xfId="1404"/>
    <cellStyle name="Total 7 2 3" xfId="1405"/>
    <cellStyle name="Total 7 2 3 2" xfId="1406"/>
    <cellStyle name="Total 7 2 4" xfId="1407"/>
    <cellStyle name="Total 7 2 4 2" xfId="1408"/>
    <cellStyle name="Total 7 2 5" xfId="1409"/>
    <cellStyle name="Total 7 3" xfId="1410"/>
    <cellStyle name="Total 7 3 2" xfId="1411"/>
    <cellStyle name="Total 7 3 2 2" xfId="1412"/>
    <cellStyle name="Total 7 3 3" xfId="1413"/>
    <cellStyle name="Total 7 3 3 2" xfId="1414"/>
    <cellStyle name="Total 7 3 4" xfId="1415"/>
    <cellStyle name="Total 7 3 4 2" xfId="1416"/>
    <cellStyle name="Total 7 3 5" xfId="1417"/>
    <cellStyle name="Total 7 4" xfId="1418"/>
    <cellStyle name="Total 7 4 2" xfId="1419"/>
    <cellStyle name="Total 7 4 2 2" xfId="1420"/>
    <cellStyle name="Total 7 4 3" xfId="1421"/>
    <cellStyle name="Total 7 4 3 2" xfId="1422"/>
    <cellStyle name="Total 7 4 4" xfId="1423"/>
    <cellStyle name="Total 7 4 4 2" xfId="1424"/>
    <cellStyle name="Total 7 4 5" xfId="1425"/>
    <cellStyle name="Total 7 5" xfId="1426"/>
    <cellStyle name="Total 7 5 2" xfId="1427"/>
    <cellStyle name="Total 7 6" xfId="1428"/>
    <cellStyle name="Total 7 6 2" xfId="1429"/>
    <cellStyle name="Total 7 7" xfId="1430"/>
    <cellStyle name="Total 7 7 2" xfId="1431"/>
    <cellStyle name="Total 7 8" xfId="1432"/>
    <cellStyle name="Total 8" xfId="1433"/>
    <cellStyle name="Warning Text" xfId="14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itus\SYSKRSH\ALSTOM\Data%20population\One%20Page%20Reports\Delivery%2009-09-02\MET\LCC%201PR%20BCN%20L5%20100%25%20Alstom%20(std%20pro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Form"/>
      <sheetName val="OnePageReport"/>
      <sheetName val="Feuil2"/>
      <sheetName val="Feuil3"/>
      <sheetName val="WP H110001 RS project"/>
      <sheetName val="Introduction"/>
      <sheetName val="Presentation"/>
      <sheetName val="Table of contents"/>
      <sheetName val="Profit Center Hierarchy"/>
      <sheetName val="Cost Center Hierarchy"/>
      <sheetName val="CC Hierarchy by function"/>
      <sheetName val="Internal Order"/>
      <sheetName val="Project profile Customizing"/>
      <sheetName val="Costing sheets Customizing"/>
      <sheetName val="Costing Sheet screens"/>
      <sheetName val="Result Analysis Customizing"/>
      <sheetName val="Product Cost controlling"/>
      <sheetName val="Maintenance and Service Process"/>
      <sheetName val="OKTZ"/>
      <sheetName val="Work Centers"/>
      <sheetName val="Activity Types"/>
      <sheetName val="Matrix Act-Work centre-WBS"/>
      <sheetName val="Default Account Assignment"/>
      <sheetName val="Project Cash Management"/>
      <sheetName val="Complementary"/>
      <sheetName val="Transport"/>
      <sheetName val="Material Costing"/>
      <sheetName val="OKKN"/>
      <sheetName val="OKK4"/>
      <sheetName val="OKK6"/>
      <sheetName val="OKK5"/>
      <sheetName val="OKKM"/>
      <sheetName val="OKYC"/>
      <sheetName val="Front page 01"/>
      <sheetName val="Ref + Control"/>
      <sheetName val="Registratieformulier"/>
      <sheetName val="Voorbeeld registratieformulier"/>
      <sheetName val="Data Info"/>
    </sheetNames>
    <sheetDataSet>
      <sheetData sheetId="0">
        <row r="2">
          <cell r="C2" t="str">
            <v>Barcelona Mº L5 100% Alstom Standard profile</v>
          </cell>
        </row>
        <row r="6">
          <cell r="J6" t="b">
            <v>0</v>
          </cell>
        </row>
        <row r="7">
          <cell r="C7" t="str">
            <v>Ferrocarril Metropolita de Barcelona</v>
          </cell>
          <cell r="H7" t="str">
            <v>AfterMarket</v>
          </cell>
        </row>
        <row r="8">
          <cell r="C8" t="str">
            <v>Metropolis Std B</v>
          </cell>
          <cell r="H8" t="str">
            <v>Without Margin</v>
          </cell>
        </row>
        <row r="9">
          <cell r="C9" t="str">
            <v>D : Urban rolling stock Metro</v>
          </cell>
          <cell r="E9" t="str">
            <v>100 000</v>
          </cell>
          <cell r="H9" t="str">
            <v>Fleet = 33 trains</v>
          </cell>
        </row>
        <row r="10">
          <cell r="C10">
            <v>5</v>
          </cell>
        </row>
        <row r="11">
          <cell r="C11" t="str">
            <v>Mc-M-T-M-Mc</v>
          </cell>
        </row>
        <row r="12">
          <cell r="C12" t="str">
            <v>1 500 V</v>
          </cell>
        </row>
        <row r="13">
          <cell r="C13" t="str">
            <v>H. Reynaud - Barcelona</v>
          </cell>
          <cell r="H13" t="str">
            <v>Suppliers</v>
          </cell>
        </row>
        <row r="14">
          <cell r="C14">
            <v>37498</v>
          </cell>
        </row>
        <row r="15">
          <cell r="C15" t="str">
            <v>Mº BCN (100% Alstom) 18 std profil</v>
          </cell>
        </row>
        <row r="16">
          <cell r="C16" t="str">
            <v>June 2002</v>
          </cell>
          <cell r="H16" t="str">
            <v>Suppliers</v>
          </cell>
        </row>
        <row r="17">
          <cell r="C17" t="str">
            <v>Technical LCC</v>
          </cell>
        </row>
        <row r="19">
          <cell r="D19" t="b">
            <v>1</v>
          </cell>
        </row>
        <row r="20">
          <cell r="D20" t="str">
            <v>20 years</v>
          </cell>
          <cell r="H20" t="str">
            <v>Compressor</v>
          </cell>
        </row>
        <row r="21">
          <cell r="D21" t="str">
            <v>at 10 years, first overhaul</v>
          </cell>
        </row>
        <row r="25">
          <cell r="B25" t="str">
            <v>Energy consumption: 5,58 kWh/km/train</v>
          </cell>
        </row>
        <row r="26">
          <cell r="B26" t="str">
            <v>Disposal: 342 000 Euro for 33 trains</v>
          </cell>
        </row>
        <row r="39">
          <cell r="A39">
            <v>10</v>
          </cell>
          <cell r="D39">
            <v>8.8179999999999994E-2</v>
          </cell>
          <cell r="E39">
            <v>0.36654999999999999</v>
          </cell>
          <cell r="F39">
            <v>6.2E-4</v>
          </cell>
          <cell r="G39">
            <v>6.6899999999999998E-3</v>
          </cell>
          <cell r="I39">
            <v>6.78</v>
          </cell>
          <cell r="J39" t="str">
            <v>.10-6 KM</v>
          </cell>
        </row>
        <row r="42">
          <cell r="A42">
            <v>4</v>
          </cell>
          <cell r="D42">
            <v>3.44E-2</v>
          </cell>
          <cell r="E42">
            <v>3.5209999999999998E-2</v>
          </cell>
          <cell r="F42">
            <v>5.5000000000000003E-4</v>
          </cell>
          <cell r="G42">
            <v>0.1123</v>
          </cell>
          <cell r="I42">
            <v>13.04</v>
          </cell>
          <cell r="J42" t="str">
            <v>.10-6 KM</v>
          </cell>
        </row>
        <row r="45">
          <cell r="A45">
            <v>40</v>
          </cell>
          <cell r="D45">
            <v>1.7919999999999998E-2</v>
          </cell>
          <cell r="E45">
            <v>1.0460000000000001E-2</v>
          </cell>
          <cell r="F45">
            <v>5.1999999999999995E-4</v>
          </cell>
          <cell r="G45">
            <v>3.0699999999999998E-3</v>
          </cell>
          <cell r="I45">
            <v>14.4</v>
          </cell>
          <cell r="J45" t="str">
            <v>.10-6 KM</v>
          </cell>
        </row>
        <row r="48">
          <cell r="A48">
            <v>5</v>
          </cell>
          <cell r="D48">
            <v>6.3710000000000003E-2</v>
          </cell>
          <cell r="E48">
            <v>8.9499999999999996E-3</v>
          </cell>
          <cell r="F48">
            <v>3.47E-3</v>
          </cell>
          <cell r="G48">
            <v>2.0100000000000001E-3</v>
          </cell>
          <cell r="H48" t="str">
            <v>Saloon + cabin</v>
          </cell>
          <cell r="I48">
            <v>27.849999999999998</v>
          </cell>
          <cell r="J48" t="str">
            <v>.10-6 KM</v>
          </cell>
        </row>
        <row r="51">
          <cell r="A51">
            <v>2</v>
          </cell>
          <cell r="D51">
            <v>1.4E-3</v>
          </cell>
          <cell r="E51">
            <v>1.73E-3</v>
          </cell>
          <cell r="F51">
            <v>7.2000000000000005E-4</v>
          </cell>
          <cell r="G51">
            <v>3.7100000000000002E-3</v>
          </cell>
          <cell r="I51">
            <v>6.95</v>
          </cell>
          <cell r="J51" t="str">
            <v>.10-6 KM</v>
          </cell>
        </row>
        <row r="54">
          <cell r="A54">
            <v>1</v>
          </cell>
          <cell r="B54" t="str">
            <v>Air (produc+distirb)</v>
          </cell>
          <cell r="D54">
            <v>1.941E-2</v>
          </cell>
          <cell r="E54">
            <v>4.0960000000000003E-2</v>
          </cell>
          <cell r="F54">
            <v>2.9E-4</v>
          </cell>
          <cell r="G54">
            <v>4.4000000000000002E-4</v>
          </cell>
          <cell r="H54" t="str">
            <v>Without compressor</v>
          </cell>
          <cell r="I54">
            <v>4.08</v>
          </cell>
          <cell r="J54" t="str">
            <v>.10-6 KM</v>
          </cell>
        </row>
        <row r="57">
          <cell r="D57">
            <v>2.0300000000000012E-2</v>
          </cell>
          <cell r="E57">
            <v>3.5209999999999964E-2</v>
          </cell>
          <cell r="F57">
            <v>1.6299999999999991E-3</v>
          </cell>
          <cell r="G57">
            <v>6.7540000000000003E-2</v>
          </cell>
          <cell r="I57">
            <v>77.900000000000006</v>
          </cell>
          <cell r="J57" t="str">
            <v>.10-6 KM</v>
          </cell>
        </row>
        <row r="60">
          <cell r="I60">
            <v>151</v>
          </cell>
          <cell r="J60" t="str">
            <v>.10-6 KM</v>
          </cell>
        </row>
        <row r="63">
          <cell r="I63">
            <v>0.84</v>
          </cell>
        </row>
        <row r="64">
          <cell r="I64">
            <v>0.62</v>
          </cell>
        </row>
        <row r="91">
          <cell r="E91" t="str">
            <v>3 M; 6 M</v>
          </cell>
          <cell r="G91">
            <v>1.0659999999999999E-2</v>
          </cell>
        </row>
        <row r="92">
          <cell r="E92" t="str">
            <v>1 000 000 km</v>
          </cell>
          <cell r="F92" t="str">
            <v>1 200 Euro</v>
          </cell>
          <cell r="G92">
            <v>2.5919999999999999E-2</v>
          </cell>
        </row>
        <row r="93">
          <cell r="E93" t="str">
            <v>1 Y</v>
          </cell>
          <cell r="F93" t="str">
            <v>52 Euro</v>
          </cell>
          <cell r="G93">
            <v>1.2789999999999999E-2</v>
          </cell>
        </row>
        <row r="94">
          <cell r="E94" t="str">
            <v>1 000 000 km</v>
          </cell>
          <cell r="F94" t="str">
            <v>1 300 Euro</v>
          </cell>
          <cell r="G94">
            <v>1.41E-2</v>
          </cell>
        </row>
        <row r="95">
          <cell r="C95" t="str">
            <v>Gearbox</v>
          </cell>
          <cell r="D95" t="str">
            <v>Overhaul</v>
          </cell>
          <cell r="E95" t="str">
            <v>1 000 000 km</v>
          </cell>
          <cell r="F95" t="str">
            <v>7 500 Euro</v>
          </cell>
          <cell r="G95">
            <v>8.5120000000000001E-2</v>
          </cell>
        </row>
        <row r="96">
          <cell r="C96" t="str">
            <v>Wheel flange</v>
          </cell>
          <cell r="D96" t="str">
            <v>Replacement</v>
          </cell>
          <cell r="E96" t="str">
            <v>1 M</v>
          </cell>
          <cell r="F96" t="str">
            <v>72,2 Eur/bogie</v>
          </cell>
          <cell r="G96">
            <v>0.12803999999999999</v>
          </cell>
        </row>
        <row r="97">
          <cell r="C97" t="str">
            <v>Secondary suspension</v>
          </cell>
          <cell r="D97" t="str">
            <v>Air bag replacement</v>
          </cell>
          <cell r="E97" t="str">
            <v>10 Y</v>
          </cell>
          <cell r="G97">
            <v>2.7150000000000001E-2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littelfuse.com/~/media/electronics/datasheets/fuses/littelfuse_fuse_272_273_274_278_279_datasheet.pdf.pdf"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morssmitt.com/uploads/files/catalog/products/datasheet-d-bw-relays-ind-v1-4.pdf"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vishay.com/docs/88503/1n4001.pdf"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vishay.com/docs/85816/1n4728a.pdf"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vicorpower.com/documents/datasheets/ds_vi-j00.pdf"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tdk-electronics.tdk.com/inf/20/30/db/aec/B41456_B4145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nxp.com/docs/en/data-sheet/MPC5744P.pdf"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nxp.com/docs/en/data-sheet/MPC5744P.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ndrich.com/fm/2/GD5F4GQ4UAYIG.pd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vishay.com/docs/49252/_sg2189-2102-smd_resistors-draloric_beyschlag.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vishay.com/docs/83725/4n25.pdf"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ssets.nexperia.com/documents/application-note/AN11009.pdf" TargetMode="External"/><Relationship Id="rId1" Type="http://schemas.openxmlformats.org/officeDocument/2006/relationships/hyperlink" Target="https://assets.nexperia.com/documents/data-sheet/74LVC1G332.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infineon.com/dgdl/Infineon-IRL3803-DataSheet-v02_01-EN.pdf?fileId=5546d462533600a40153565f801725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7"/>
  <sheetViews>
    <sheetView topLeftCell="B1" zoomScale="90" zoomScaleNormal="90" workbookViewId="0">
      <pane ySplit="2" topLeftCell="A278" activePane="bottomLeft" state="frozen"/>
      <selection pane="bottomLeft" activeCell="K282" sqref="K282"/>
    </sheetView>
  </sheetViews>
  <sheetFormatPr defaultRowHeight="14.25"/>
  <cols>
    <col min="1" max="1" width="9.140625" style="59"/>
    <col min="2" max="2" width="4.140625" style="59" customWidth="1"/>
    <col min="3" max="3" width="25.7109375" style="60" customWidth="1"/>
    <col min="4" max="4" width="20.7109375" style="59" customWidth="1"/>
    <col min="5" max="5" width="24.140625" style="61" customWidth="1"/>
    <col min="6" max="10" width="30.7109375" style="61" customWidth="1"/>
    <col min="11" max="11" width="37.5703125" style="61" customWidth="1"/>
    <col min="12" max="12" width="30.7109375" style="61" customWidth="1"/>
    <col min="13" max="16384" width="9.140625" style="27"/>
  </cols>
  <sheetData>
    <row r="1" spans="1:12">
      <c r="A1" s="98" t="s">
        <v>742</v>
      </c>
      <c r="B1" s="98"/>
      <c r="C1" s="98"/>
      <c r="D1" s="98"/>
      <c r="E1" s="98"/>
      <c r="F1" s="98"/>
      <c r="G1" s="98"/>
      <c r="H1" s="98"/>
      <c r="I1" s="98"/>
      <c r="J1" s="98"/>
      <c r="K1" s="98"/>
      <c r="L1" s="98"/>
    </row>
    <row r="2" spans="1:12" ht="15" customHeight="1">
      <c r="A2" s="56" t="s">
        <v>743</v>
      </c>
      <c r="B2" s="99" t="s">
        <v>744</v>
      </c>
      <c r="C2" s="100"/>
      <c r="D2" s="56" t="s">
        <v>745</v>
      </c>
      <c r="E2" s="57" t="s">
        <v>746</v>
      </c>
      <c r="F2" s="57" t="s">
        <v>747</v>
      </c>
      <c r="G2" s="57" t="s">
        <v>748</v>
      </c>
      <c r="H2" s="57" t="s">
        <v>749</v>
      </c>
      <c r="I2" s="57" t="s">
        <v>750</v>
      </c>
      <c r="J2" s="57" t="s">
        <v>751</v>
      </c>
      <c r="K2" s="57" t="s">
        <v>827</v>
      </c>
      <c r="L2" s="57" t="s">
        <v>752</v>
      </c>
    </row>
    <row r="3" spans="1:12" ht="99.75">
      <c r="A3" s="58">
        <v>1</v>
      </c>
      <c r="B3" s="101" t="s">
        <v>784</v>
      </c>
      <c r="C3" s="92" t="s">
        <v>774</v>
      </c>
      <c r="D3" s="62" t="s">
        <v>753</v>
      </c>
      <c r="E3" s="64" t="s">
        <v>46</v>
      </c>
      <c r="F3" s="63" t="s">
        <v>776</v>
      </c>
      <c r="G3" s="31" t="s">
        <v>993</v>
      </c>
      <c r="H3" s="31" t="s">
        <v>814</v>
      </c>
      <c r="I3" s="31" t="s">
        <v>821</v>
      </c>
      <c r="J3" s="31" t="s">
        <v>815</v>
      </c>
      <c r="K3" s="31" t="s">
        <v>859</v>
      </c>
      <c r="L3" s="31" t="s">
        <v>816</v>
      </c>
    </row>
    <row r="4" spans="1:12" ht="71.25">
      <c r="A4" s="58">
        <v>2</v>
      </c>
      <c r="B4" s="102"/>
      <c r="C4" s="93"/>
      <c r="D4" s="103" t="s">
        <v>754</v>
      </c>
      <c r="E4" s="63" t="s">
        <v>778</v>
      </c>
      <c r="F4" s="63" t="s">
        <v>777</v>
      </c>
      <c r="G4" s="31" t="s">
        <v>818</v>
      </c>
      <c r="H4" s="31" t="s">
        <v>817</v>
      </c>
      <c r="I4" s="31" t="s">
        <v>1145</v>
      </c>
      <c r="J4" s="31" t="s">
        <v>819</v>
      </c>
      <c r="K4" s="31" t="s">
        <v>828</v>
      </c>
      <c r="L4" s="31" t="s">
        <v>816</v>
      </c>
    </row>
    <row r="5" spans="1:12" ht="99.75">
      <c r="A5" s="58">
        <v>3</v>
      </c>
      <c r="B5" s="102"/>
      <c r="C5" s="93"/>
      <c r="D5" s="104"/>
      <c r="E5" s="63" t="s">
        <v>871</v>
      </c>
      <c r="F5" s="63" t="s">
        <v>781</v>
      </c>
      <c r="G5" s="31" t="s">
        <v>820</v>
      </c>
      <c r="H5" s="31" t="s">
        <v>822</v>
      </c>
      <c r="I5" s="31" t="s">
        <v>821</v>
      </c>
      <c r="J5" s="31" t="s">
        <v>815</v>
      </c>
      <c r="K5" s="31" t="s">
        <v>860</v>
      </c>
      <c r="L5" s="31" t="s">
        <v>816</v>
      </c>
    </row>
    <row r="6" spans="1:12" ht="85.5">
      <c r="A6" s="58">
        <v>4</v>
      </c>
      <c r="B6" s="102"/>
      <c r="C6" s="93"/>
      <c r="D6" s="104"/>
      <c r="E6" s="63" t="s">
        <v>768</v>
      </c>
      <c r="F6" s="63" t="s">
        <v>783</v>
      </c>
      <c r="G6" s="31" t="s">
        <v>824</v>
      </c>
      <c r="H6" s="31" t="s">
        <v>823</v>
      </c>
      <c r="I6" s="31" t="s">
        <v>825</v>
      </c>
      <c r="J6" s="31" t="s">
        <v>819</v>
      </c>
      <c r="K6" s="31" t="s">
        <v>828</v>
      </c>
      <c r="L6" s="31" t="s">
        <v>839</v>
      </c>
    </row>
    <row r="7" spans="1:12" ht="156.75">
      <c r="A7" s="58">
        <v>5</v>
      </c>
      <c r="B7" s="102"/>
      <c r="C7" s="93"/>
      <c r="D7" s="105"/>
      <c r="E7" s="63" t="s">
        <v>780</v>
      </c>
      <c r="F7" s="63" t="s">
        <v>782</v>
      </c>
      <c r="G7" s="31" t="s">
        <v>826</v>
      </c>
      <c r="H7" s="31" t="s">
        <v>1146</v>
      </c>
      <c r="I7" s="31" t="s">
        <v>821</v>
      </c>
      <c r="J7" s="31" t="s">
        <v>815</v>
      </c>
      <c r="K7" s="31" t="s">
        <v>858</v>
      </c>
      <c r="L7" s="31" t="s">
        <v>816</v>
      </c>
    </row>
    <row r="8" spans="1:12" ht="85.5">
      <c r="A8" s="58">
        <v>6</v>
      </c>
      <c r="B8" s="102"/>
      <c r="C8" s="93"/>
      <c r="D8" s="103" t="s">
        <v>755</v>
      </c>
      <c r="E8" s="63" t="s">
        <v>778</v>
      </c>
      <c r="F8" s="63" t="s">
        <v>829</v>
      </c>
      <c r="G8" s="31" t="s">
        <v>830</v>
      </c>
      <c r="H8" s="31" t="s">
        <v>831</v>
      </c>
      <c r="I8" s="31" t="s">
        <v>977</v>
      </c>
      <c r="J8" s="31" t="s">
        <v>815</v>
      </c>
      <c r="K8" s="31" t="s">
        <v>832</v>
      </c>
      <c r="L8" s="31" t="s">
        <v>816</v>
      </c>
    </row>
    <row r="9" spans="1:12" ht="128.25">
      <c r="A9" s="58">
        <v>7</v>
      </c>
      <c r="B9" s="102"/>
      <c r="C9" s="93"/>
      <c r="D9" s="104"/>
      <c r="E9" s="63" t="s">
        <v>871</v>
      </c>
      <c r="F9" s="63" t="s">
        <v>833</v>
      </c>
      <c r="G9" s="31" t="s">
        <v>834</v>
      </c>
      <c r="H9" s="31" t="s">
        <v>835</v>
      </c>
      <c r="I9" s="31" t="s">
        <v>825</v>
      </c>
      <c r="J9" s="31" t="s">
        <v>819</v>
      </c>
      <c r="K9" s="31" t="s">
        <v>828</v>
      </c>
      <c r="L9" s="31" t="s">
        <v>816</v>
      </c>
    </row>
    <row r="10" spans="1:12" ht="99.75">
      <c r="A10" s="58">
        <v>8</v>
      </c>
      <c r="B10" s="102"/>
      <c r="C10" s="93"/>
      <c r="D10" s="104"/>
      <c r="E10" s="63" t="s">
        <v>768</v>
      </c>
      <c r="F10" s="63" t="s">
        <v>836</v>
      </c>
      <c r="G10" s="31" t="s">
        <v>837</v>
      </c>
      <c r="H10" s="31" t="s">
        <v>823</v>
      </c>
      <c r="I10" s="31" t="s">
        <v>825</v>
      </c>
      <c r="J10" s="31" t="s">
        <v>819</v>
      </c>
      <c r="K10" s="31" t="s">
        <v>828</v>
      </c>
      <c r="L10" s="31" t="s">
        <v>838</v>
      </c>
    </row>
    <row r="11" spans="1:12" ht="85.5">
      <c r="A11" s="58">
        <v>9</v>
      </c>
      <c r="B11" s="102"/>
      <c r="C11" s="93"/>
      <c r="D11" s="105"/>
      <c r="E11" s="63" t="s">
        <v>780</v>
      </c>
      <c r="F11" s="63" t="s">
        <v>840</v>
      </c>
      <c r="G11" s="31" t="s">
        <v>845</v>
      </c>
      <c r="H11" s="31" t="s">
        <v>1146</v>
      </c>
      <c r="I11" s="31" t="s">
        <v>825</v>
      </c>
      <c r="J11" s="31" t="s">
        <v>819</v>
      </c>
      <c r="K11" s="31" t="s">
        <v>828</v>
      </c>
      <c r="L11" s="31" t="s">
        <v>816</v>
      </c>
    </row>
    <row r="12" spans="1:12" ht="228">
      <c r="A12" s="58">
        <v>10</v>
      </c>
      <c r="B12" s="102"/>
      <c r="C12" s="93"/>
      <c r="D12" s="62" t="s">
        <v>756</v>
      </c>
      <c r="E12" s="63" t="s">
        <v>786</v>
      </c>
      <c r="F12" s="63" t="s">
        <v>841</v>
      </c>
      <c r="G12" s="31" t="s">
        <v>846</v>
      </c>
      <c r="H12" s="31" t="s">
        <v>842</v>
      </c>
      <c r="I12" s="31" t="s">
        <v>843</v>
      </c>
      <c r="J12" s="31" t="s">
        <v>815</v>
      </c>
      <c r="K12" s="31" t="s">
        <v>861</v>
      </c>
      <c r="L12" s="31" t="s">
        <v>816</v>
      </c>
    </row>
    <row r="13" spans="1:12" ht="85.5">
      <c r="A13" s="58">
        <v>11</v>
      </c>
      <c r="B13" s="102"/>
      <c r="C13" s="93"/>
      <c r="D13" s="103" t="s">
        <v>757</v>
      </c>
      <c r="E13" s="63" t="s">
        <v>790</v>
      </c>
      <c r="F13" s="63" t="s">
        <v>844</v>
      </c>
      <c r="G13" s="31" t="s">
        <v>847</v>
      </c>
      <c r="H13" s="31" t="s">
        <v>851</v>
      </c>
      <c r="I13" s="31" t="s">
        <v>843</v>
      </c>
      <c r="J13" s="31" t="s">
        <v>815</v>
      </c>
      <c r="K13" s="31" t="s">
        <v>859</v>
      </c>
      <c r="L13" s="31" t="s">
        <v>816</v>
      </c>
    </row>
    <row r="14" spans="1:12" ht="99.75">
      <c r="A14" s="58">
        <v>12</v>
      </c>
      <c r="B14" s="102"/>
      <c r="C14" s="93"/>
      <c r="D14" s="104"/>
      <c r="E14" s="63" t="s">
        <v>789</v>
      </c>
      <c r="F14" s="63" t="s">
        <v>848</v>
      </c>
      <c r="G14" s="31" t="s">
        <v>847</v>
      </c>
      <c r="H14" s="31" t="s">
        <v>852</v>
      </c>
      <c r="I14" s="31" t="s">
        <v>843</v>
      </c>
      <c r="J14" s="31" t="s">
        <v>815</v>
      </c>
      <c r="K14" s="31" t="s">
        <v>849</v>
      </c>
      <c r="L14" s="31" t="s">
        <v>816</v>
      </c>
    </row>
    <row r="15" spans="1:12" ht="114">
      <c r="A15" s="58">
        <v>13</v>
      </c>
      <c r="B15" s="102"/>
      <c r="C15" s="93"/>
      <c r="D15" s="104"/>
      <c r="E15" s="63" t="s">
        <v>872</v>
      </c>
      <c r="F15" s="63" t="s">
        <v>850</v>
      </c>
      <c r="G15" s="31" t="s">
        <v>847</v>
      </c>
      <c r="H15" s="31" t="s">
        <v>853</v>
      </c>
      <c r="I15" s="31" t="s">
        <v>843</v>
      </c>
      <c r="J15" s="31" t="s">
        <v>815</v>
      </c>
      <c r="K15" s="31" t="s">
        <v>854</v>
      </c>
      <c r="L15" s="31" t="s">
        <v>816</v>
      </c>
    </row>
    <row r="16" spans="1:12" ht="85.5">
      <c r="A16" s="58">
        <v>14</v>
      </c>
      <c r="B16" s="102"/>
      <c r="C16" s="93"/>
      <c r="D16" s="105"/>
      <c r="E16" s="63" t="s">
        <v>780</v>
      </c>
      <c r="F16" s="63" t="s">
        <v>855</v>
      </c>
      <c r="G16" s="31" t="s">
        <v>847</v>
      </c>
      <c r="H16" s="31" t="s">
        <v>856</v>
      </c>
      <c r="I16" s="31" t="s">
        <v>843</v>
      </c>
      <c r="J16" s="31" t="s">
        <v>815</v>
      </c>
      <c r="K16" s="31" t="s">
        <v>857</v>
      </c>
      <c r="L16" s="31" t="s">
        <v>816</v>
      </c>
    </row>
    <row r="17" spans="1:12" ht="71.25">
      <c r="A17" s="58">
        <v>15</v>
      </c>
      <c r="B17" s="102"/>
      <c r="C17" s="93"/>
      <c r="D17" s="103" t="s">
        <v>758</v>
      </c>
      <c r="E17" s="63" t="s">
        <v>791</v>
      </c>
      <c r="F17" s="63" t="s">
        <v>862</v>
      </c>
      <c r="G17" s="31" t="s">
        <v>863</v>
      </c>
      <c r="H17" s="31" t="s">
        <v>866</v>
      </c>
      <c r="I17" s="31" t="s">
        <v>864</v>
      </c>
      <c r="J17" s="31" t="s">
        <v>819</v>
      </c>
      <c r="K17" s="31" t="s">
        <v>828</v>
      </c>
      <c r="L17" s="31" t="s">
        <v>816</v>
      </c>
    </row>
    <row r="18" spans="1:12" ht="270.75">
      <c r="A18" s="58">
        <v>16</v>
      </c>
      <c r="B18" s="102"/>
      <c r="C18" s="93"/>
      <c r="D18" s="104"/>
      <c r="E18" s="63" t="s">
        <v>792</v>
      </c>
      <c r="F18" s="63" t="s">
        <v>865</v>
      </c>
      <c r="G18" s="31" t="s">
        <v>869</v>
      </c>
      <c r="H18" s="31" t="s">
        <v>867</v>
      </c>
      <c r="I18" s="31" t="s">
        <v>868</v>
      </c>
      <c r="J18" s="31" t="s">
        <v>815</v>
      </c>
      <c r="K18" s="31" t="s">
        <v>870</v>
      </c>
      <c r="L18" s="31" t="s">
        <v>816</v>
      </c>
    </row>
    <row r="19" spans="1:12" ht="99.75">
      <c r="A19" s="58">
        <v>17</v>
      </c>
      <c r="B19" s="102"/>
      <c r="C19" s="93"/>
      <c r="D19" s="104"/>
      <c r="E19" s="63" t="s">
        <v>871</v>
      </c>
      <c r="F19" s="63" t="s">
        <v>875</v>
      </c>
      <c r="G19" s="31" t="s">
        <v>876</v>
      </c>
      <c r="H19" s="31" t="s">
        <v>867</v>
      </c>
      <c r="I19" s="31" t="s">
        <v>843</v>
      </c>
      <c r="J19" s="31" t="s">
        <v>815</v>
      </c>
      <c r="K19" s="31" t="s">
        <v>854</v>
      </c>
      <c r="L19" s="31" t="s">
        <v>816</v>
      </c>
    </row>
    <row r="20" spans="1:12" ht="85.5">
      <c r="A20" s="58">
        <v>18</v>
      </c>
      <c r="B20" s="102"/>
      <c r="C20" s="93"/>
      <c r="D20" s="105"/>
      <c r="E20" s="63" t="s">
        <v>790</v>
      </c>
      <c r="F20" s="63" t="s">
        <v>877</v>
      </c>
      <c r="G20" s="31" t="s">
        <v>878</v>
      </c>
      <c r="H20" s="31" t="s">
        <v>867</v>
      </c>
      <c r="I20" s="31" t="s">
        <v>843</v>
      </c>
      <c r="J20" s="31" t="s">
        <v>815</v>
      </c>
      <c r="K20" s="31" t="s">
        <v>859</v>
      </c>
      <c r="L20" s="31" t="s">
        <v>816</v>
      </c>
    </row>
    <row r="21" spans="1:12" ht="242.25">
      <c r="A21" s="58">
        <v>19</v>
      </c>
      <c r="B21" s="102"/>
      <c r="C21" s="93"/>
      <c r="D21" s="103" t="s">
        <v>759</v>
      </c>
      <c r="E21" s="63" t="s">
        <v>786</v>
      </c>
      <c r="F21" s="63" t="s">
        <v>879</v>
      </c>
      <c r="G21" s="31" t="s">
        <v>880</v>
      </c>
      <c r="H21" s="31" t="s">
        <v>881</v>
      </c>
      <c r="I21" s="31" t="s">
        <v>882</v>
      </c>
      <c r="J21" s="31" t="s">
        <v>815</v>
      </c>
      <c r="K21" s="31" t="s">
        <v>893</v>
      </c>
      <c r="L21" s="31" t="s">
        <v>816</v>
      </c>
    </row>
    <row r="22" spans="1:12" ht="171">
      <c r="A22" s="58">
        <v>20</v>
      </c>
      <c r="B22" s="102"/>
      <c r="C22" s="93"/>
      <c r="D22" s="104"/>
      <c r="E22" s="63" t="s">
        <v>789</v>
      </c>
      <c r="F22" s="63" t="s">
        <v>883</v>
      </c>
      <c r="G22" s="31" t="s">
        <v>884</v>
      </c>
      <c r="H22" s="31" t="s">
        <v>885</v>
      </c>
      <c r="I22" s="31" t="s">
        <v>868</v>
      </c>
      <c r="J22" s="31" t="s">
        <v>815</v>
      </c>
      <c r="K22" s="31" t="s">
        <v>849</v>
      </c>
      <c r="L22" s="31" t="s">
        <v>816</v>
      </c>
    </row>
    <row r="23" spans="1:12" ht="171">
      <c r="A23" s="58">
        <v>21</v>
      </c>
      <c r="B23" s="102"/>
      <c r="C23" s="93"/>
      <c r="D23" s="104"/>
      <c r="E23" s="63" t="s">
        <v>872</v>
      </c>
      <c r="F23" s="63" t="s">
        <v>886</v>
      </c>
      <c r="G23" s="31" t="s">
        <v>884</v>
      </c>
      <c r="H23" s="31" t="s">
        <v>887</v>
      </c>
      <c r="I23" s="31" t="s">
        <v>888</v>
      </c>
      <c r="J23" s="31" t="s">
        <v>815</v>
      </c>
      <c r="K23" s="31" t="s">
        <v>854</v>
      </c>
      <c r="L23" s="31" t="s">
        <v>816</v>
      </c>
    </row>
    <row r="24" spans="1:12" ht="71.25">
      <c r="A24" s="58">
        <v>22</v>
      </c>
      <c r="B24" s="102"/>
      <c r="C24" s="93"/>
      <c r="D24" s="104"/>
      <c r="E24" s="63" t="s">
        <v>778</v>
      </c>
      <c r="F24" s="63" t="s">
        <v>889</v>
      </c>
      <c r="G24" s="63" t="s">
        <v>889</v>
      </c>
      <c r="H24" s="63" t="s">
        <v>889</v>
      </c>
      <c r="I24" s="63" t="s">
        <v>889</v>
      </c>
      <c r="J24" s="63" t="s">
        <v>889</v>
      </c>
      <c r="K24" s="63" t="s">
        <v>889</v>
      </c>
      <c r="L24" s="31" t="s">
        <v>816</v>
      </c>
    </row>
    <row r="25" spans="1:12" ht="71.25">
      <c r="A25" s="58">
        <v>23</v>
      </c>
      <c r="B25" s="102"/>
      <c r="C25" s="93"/>
      <c r="D25" s="104"/>
      <c r="E25" s="63" t="s">
        <v>768</v>
      </c>
      <c r="F25" s="63" t="s">
        <v>890</v>
      </c>
      <c r="G25" s="63" t="s">
        <v>890</v>
      </c>
      <c r="H25" s="63" t="s">
        <v>890</v>
      </c>
      <c r="I25" s="63" t="s">
        <v>890</v>
      </c>
      <c r="J25" s="63" t="s">
        <v>890</v>
      </c>
      <c r="K25" s="63" t="s">
        <v>890</v>
      </c>
      <c r="L25" s="31" t="s">
        <v>816</v>
      </c>
    </row>
    <row r="26" spans="1:12" ht="370.5">
      <c r="A26" s="58">
        <v>24</v>
      </c>
      <c r="B26" s="102"/>
      <c r="C26" s="93"/>
      <c r="D26" s="105"/>
      <c r="E26" s="63" t="s">
        <v>780</v>
      </c>
      <c r="F26" s="63" t="s">
        <v>891</v>
      </c>
      <c r="G26" s="31" t="s">
        <v>892</v>
      </c>
      <c r="H26" s="31" t="s">
        <v>1147</v>
      </c>
      <c r="I26" s="31" t="s">
        <v>882</v>
      </c>
      <c r="J26" s="31" t="s">
        <v>815</v>
      </c>
      <c r="K26" s="31" t="s">
        <v>1246</v>
      </c>
      <c r="L26" s="31" t="s">
        <v>816</v>
      </c>
    </row>
    <row r="27" spans="1:12" ht="384.75">
      <c r="A27" s="58">
        <v>25</v>
      </c>
      <c r="B27" s="102"/>
      <c r="C27" s="93"/>
      <c r="D27" s="103" t="s">
        <v>760</v>
      </c>
      <c r="E27" s="63" t="s">
        <v>789</v>
      </c>
      <c r="F27" s="63" t="s">
        <v>894</v>
      </c>
      <c r="G27" s="31" t="s">
        <v>884</v>
      </c>
      <c r="H27" s="31" t="s">
        <v>885</v>
      </c>
      <c r="I27" s="31" t="s">
        <v>868</v>
      </c>
      <c r="J27" s="31" t="s">
        <v>815</v>
      </c>
      <c r="K27" s="31" t="s">
        <v>895</v>
      </c>
      <c r="L27" s="31" t="s">
        <v>816</v>
      </c>
    </row>
    <row r="28" spans="1:12" ht="313.5">
      <c r="A28" s="58">
        <v>26</v>
      </c>
      <c r="B28" s="102"/>
      <c r="C28" s="93"/>
      <c r="D28" s="104"/>
      <c r="E28" s="63" t="s">
        <v>872</v>
      </c>
      <c r="F28" s="63" t="s">
        <v>896</v>
      </c>
      <c r="G28" s="31" t="s">
        <v>897</v>
      </c>
      <c r="H28" s="31" t="s">
        <v>853</v>
      </c>
      <c r="I28" s="31" t="s">
        <v>977</v>
      </c>
      <c r="J28" s="31" t="s">
        <v>815</v>
      </c>
      <c r="K28" s="31" t="s">
        <v>898</v>
      </c>
      <c r="L28" s="31" t="s">
        <v>816</v>
      </c>
    </row>
    <row r="29" spans="1:12" ht="71.25">
      <c r="A29" s="58">
        <v>27</v>
      </c>
      <c r="B29" s="102"/>
      <c r="C29" s="93"/>
      <c r="D29" s="104"/>
      <c r="E29" s="63" t="s">
        <v>787</v>
      </c>
      <c r="F29" s="63" t="s">
        <v>862</v>
      </c>
      <c r="G29" s="31" t="s">
        <v>863</v>
      </c>
      <c r="H29" s="31" t="s">
        <v>866</v>
      </c>
      <c r="I29" s="31" t="s">
        <v>864</v>
      </c>
      <c r="J29" s="31" t="s">
        <v>819</v>
      </c>
      <c r="K29" s="31" t="s">
        <v>828</v>
      </c>
      <c r="L29" s="31" t="s">
        <v>816</v>
      </c>
    </row>
    <row r="30" spans="1:12" ht="71.25">
      <c r="A30" s="58">
        <v>28</v>
      </c>
      <c r="B30" s="102"/>
      <c r="C30" s="93"/>
      <c r="D30" s="105"/>
      <c r="E30" s="63" t="s">
        <v>788</v>
      </c>
      <c r="F30" s="63" t="s">
        <v>862</v>
      </c>
      <c r="G30" s="31" t="s">
        <v>863</v>
      </c>
      <c r="H30" s="31" t="s">
        <v>866</v>
      </c>
      <c r="I30" s="31" t="s">
        <v>864</v>
      </c>
      <c r="J30" s="31" t="s">
        <v>819</v>
      </c>
      <c r="K30" s="31" t="s">
        <v>828</v>
      </c>
      <c r="L30" s="31" t="s">
        <v>816</v>
      </c>
    </row>
    <row r="31" spans="1:12" ht="57">
      <c r="A31" s="58">
        <v>29</v>
      </c>
      <c r="B31" s="102"/>
      <c r="C31" s="93"/>
      <c r="D31" s="103" t="s">
        <v>761</v>
      </c>
      <c r="E31" s="63" t="s">
        <v>789</v>
      </c>
      <c r="F31" s="63" t="s">
        <v>899</v>
      </c>
      <c r="G31" s="31" t="s">
        <v>900</v>
      </c>
      <c r="H31" s="31" t="s">
        <v>900</v>
      </c>
      <c r="I31" s="31" t="s">
        <v>901</v>
      </c>
      <c r="J31" s="31" t="s">
        <v>819</v>
      </c>
      <c r="K31" s="31" t="s">
        <v>828</v>
      </c>
      <c r="L31" s="31" t="s">
        <v>816</v>
      </c>
    </row>
    <row r="32" spans="1:12" ht="57">
      <c r="A32" s="58">
        <v>30</v>
      </c>
      <c r="B32" s="102"/>
      <c r="C32" s="93"/>
      <c r="D32" s="104"/>
      <c r="E32" s="63" t="s">
        <v>872</v>
      </c>
      <c r="F32" s="63" t="s">
        <v>899</v>
      </c>
      <c r="G32" s="31" t="s">
        <v>900</v>
      </c>
      <c r="H32" s="31" t="s">
        <v>900</v>
      </c>
      <c r="I32" s="31" t="s">
        <v>901</v>
      </c>
      <c r="J32" s="31" t="s">
        <v>819</v>
      </c>
      <c r="K32" s="31" t="s">
        <v>828</v>
      </c>
      <c r="L32" s="31" t="s">
        <v>816</v>
      </c>
    </row>
    <row r="33" spans="1:12" ht="71.25">
      <c r="A33" s="58">
        <v>31</v>
      </c>
      <c r="B33" s="102"/>
      <c r="C33" s="93"/>
      <c r="D33" s="104"/>
      <c r="E33" s="63" t="s">
        <v>787</v>
      </c>
      <c r="F33" s="63" t="s">
        <v>862</v>
      </c>
      <c r="G33" s="31" t="s">
        <v>863</v>
      </c>
      <c r="H33" s="31" t="s">
        <v>866</v>
      </c>
      <c r="I33" s="31" t="s">
        <v>864</v>
      </c>
      <c r="J33" s="31" t="s">
        <v>819</v>
      </c>
      <c r="K33" s="31" t="s">
        <v>828</v>
      </c>
      <c r="L33" s="31" t="s">
        <v>816</v>
      </c>
    </row>
    <row r="34" spans="1:12" ht="71.25">
      <c r="A34" s="58">
        <v>32</v>
      </c>
      <c r="B34" s="102"/>
      <c r="C34" s="93"/>
      <c r="D34" s="105"/>
      <c r="E34" s="63" t="s">
        <v>788</v>
      </c>
      <c r="F34" s="63" t="s">
        <v>862</v>
      </c>
      <c r="G34" s="31" t="s">
        <v>863</v>
      </c>
      <c r="H34" s="31" t="s">
        <v>866</v>
      </c>
      <c r="I34" s="31" t="s">
        <v>864</v>
      </c>
      <c r="J34" s="31" t="s">
        <v>819</v>
      </c>
      <c r="K34" s="31" t="s">
        <v>828</v>
      </c>
      <c r="L34" s="31" t="s">
        <v>816</v>
      </c>
    </row>
    <row r="35" spans="1:12" ht="142.5">
      <c r="A35" s="58">
        <v>33</v>
      </c>
      <c r="B35" s="102"/>
      <c r="C35" s="93"/>
      <c r="D35" s="62" t="s">
        <v>762</v>
      </c>
      <c r="E35" s="64" t="s">
        <v>46</v>
      </c>
      <c r="F35" s="63" t="s">
        <v>1073</v>
      </c>
      <c r="G35" s="63" t="s">
        <v>1073</v>
      </c>
      <c r="H35" s="63" t="s">
        <v>1073</v>
      </c>
      <c r="I35" s="63" t="s">
        <v>1073</v>
      </c>
      <c r="J35" s="63" t="s">
        <v>1073</v>
      </c>
      <c r="K35" s="63" t="s">
        <v>1073</v>
      </c>
      <c r="L35" s="31" t="s">
        <v>816</v>
      </c>
    </row>
    <row r="36" spans="1:12" ht="313.5">
      <c r="A36" s="58">
        <v>34</v>
      </c>
      <c r="B36" s="102"/>
      <c r="C36" s="94"/>
      <c r="D36" s="62" t="s">
        <v>763</v>
      </c>
      <c r="E36" s="64" t="s">
        <v>46</v>
      </c>
      <c r="F36" s="63" t="s">
        <v>850</v>
      </c>
      <c r="G36" s="31" t="s">
        <v>897</v>
      </c>
      <c r="H36" s="31" t="s">
        <v>853</v>
      </c>
      <c r="I36" s="31" t="s">
        <v>977</v>
      </c>
      <c r="J36" s="31" t="s">
        <v>815</v>
      </c>
      <c r="K36" s="31" t="s">
        <v>898</v>
      </c>
      <c r="L36" s="31" t="s">
        <v>816</v>
      </c>
    </row>
    <row r="37" spans="1:12" ht="99.75">
      <c r="A37" s="58">
        <v>35</v>
      </c>
      <c r="B37" s="102"/>
      <c r="C37" s="92" t="s">
        <v>764</v>
      </c>
      <c r="D37" s="62" t="s">
        <v>753</v>
      </c>
      <c r="E37" s="64" t="s">
        <v>46</v>
      </c>
      <c r="F37" s="63" t="s">
        <v>902</v>
      </c>
      <c r="G37" s="31" t="s">
        <v>994</v>
      </c>
      <c r="H37" s="31" t="s">
        <v>915</v>
      </c>
      <c r="I37" s="31" t="s">
        <v>821</v>
      </c>
      <c r="J37" s="31" t="s">
        <v>815</v>
      </c>
      <c r="K37" s="31" t="s">
        <v>859</v>
      </c>
      <c r="L37" s="31" t="s">
        <v>816</v>
      </c>
    </row>
    <row r="38" spans="1:12" ht="71.25">
      <c r="A38" s="58">
        <v>36</v>
      </c>
      <c r="B38" s="102"/>
      <c r="C38" s="93"/>
      <c r="D38" s="103" t="s">
        <v>754</v>
      </c>
      <c r="E38" s="63" t="s">
        <v>778</v>
      </c>
      <c r="F38" s="63" t="s">
        <v>907</v>
      </c>
      <c r="G38" s="31" t="s">
        <v>818</v>
      </c>
      <c r="H38" s="31" t="s">
        <v>817</v>
      </c>
      <c r="I38" s="31" t="s">
        <v>1145</v>
      </c>
      <c r="J38" s="31" t="s">
        <v>819</v>
      </c>
      <c r="K38" s="31" t="s">
        <v>828</v>
      </c>
      <c r="L38" s="31" t="s">
        <v>816</v>
      </c>
    </row>
    <row r="39" spans="1:12" ht="99.75">
      <c r="A39" s="58">
        <v>37</v>
      </c>
      <c r="B39" s="102"/>
      <c r="C39" s="93"/>
      <c r="D39" s="104"/>
      <c r="E39" s="63" t="s">
        <v>871</v>
      </c>
      <c r="F39" s="63" t="s">
        <v>908</v>
      </c>
      <c r="G39" s="31" t="s">
        <v>820</v>
      </c>
      <c r="H39" s="31" t="s">
        <v>822</v>
      </c>
      <c r="I39" s="31" t="s">
        <v>821</v>
      </c>
      <c r="J39" s="31" t="s">
        <v>815</v>
      </c>
      <c r="K39" s="31" t="s">
        <v>860</v>
      </c>
      <c r="L39" s="31" t="s">
        <v>816</v>
      </c>
    </row>
    <row r="40" spans="1:12" ht="85.5">
      <c r="A40" s="58">
        <v>38</v>
      </c>
      <c r="B40" s="102"/>
      <c r="C40" s="93"/>
      <c r="D40" s="104"/>
      <c r="E40" s="63" t="s">
        <v>768</v>
      </c>
      <c r="F40" s="63" t="s">
        <v>909</v>
      </c>
      <c r="G40" s="31" t="s">
        <v>824</v>
      </c>
      <c r="H40" s="31" t="s">
        <v>823</v>
      </c>
      <c r="I40" s="31" t="s">
        <v>825</v>
      </c>
      <c r="J40" s="31" t="s">
        <v>819</v>
      </c>
      <c r="K40" s="31" t="s">
        <v>828</v>
      </c>
      <c r="L40" s="31" t="s">
        <v>839</v>
      </c>
    </row>
    <row r="41" spans="1:12" ht="156.75">
      <c r="A41" s="58">
        <v>39</v>
      </c>
      <c r="B41" s="102"/>
      <c r="C41" s="93"/>
      <c r="D41" s="105"/>
      <c r="E41" s="63" t="s">
        <v>780</v>
      </c>
      <c r="F41" s="63" t="s">
        <v>910</v>
      </c>
      <c r="G41" s="31" t="s">
        <v>826</v>
      </c>
      <c r="H41" s="31" t="s">
        <v>1146</v>
      </c>
      <c r="I41" s="31" t="s">
        <v>821</v>
      </c>
      <c r="J41" s="31" t="s">
        <v>815</v>
      </c>
      <c r="K41" s="31" t="s">
        <v>858</v>
      </c>
      <c r="L41" s="31" t="s">
        <v>816</v>
      </c>
    </row>
    <row r="42" spans="1:12" ht="85.5">
      <c r="A42" s="58">
        <v>40</v>
      </c>
      <c r="B42" s="102"/>
      <c r="C42" s="93"/>
      <c r="D42" s="103" t="s">
        <v>755</v>
      </c>
      <c r="E42" s="63" t="s">
        <v>778</v>
      </c>
      <c r="F42" s="63" t="s">
        <v>911</v>
      </c>
      <c r="G42" s="31" t="s">
        <v>830</v>
      </c>
      <c r="H42" s="31" t="s">
        <v>831</v>
      </c>
      <c r="I42" s="31" t="s">
        <v>977</v>
      </c>
      <c r="J42" s="31" t="s">
        <v>815</v>
      </c>
      <c r="K42" s="31" t="s">
        <v>832</v>
      </c>
      <c r="L42" s="31" t="s">
        <v>816</v>
      </c>
    </row>
    <row r="43" spans="1:12" ht="128.25">
      <c r="A43" s="58">
        <v>41</v>
      </c>
      <c r="B43" s="102"/>
      <c r="C43" s="93"/>
      <c r="D43" s="104"/>
      <c r="E43" s="63" t="s">
        <v>871</v>
      </c>
      <c r="F43" s="63" t="s">
        <v>912</v>
      </c>
      <c r="G43" s="31" t="s">
        <v>834</v>
      </c>
      <c r="H43" s="31" t="s">
        <v>835</v>
      </c>
      <c r="I43" s="31" t="s">
        <v>825</v>
      </c>
      <c r="J43" s="31" t="s">
        <v>819</v>
      </c>
      <c r="K43" s="31" t="s">
        <v>828</v>
      </c>
      <c r="L43" s="31" t="s">
        <v>816</v>
      </c>
    </row>
    <row r="44" spans="1:12" ht="99.75">
      <c r="A44" s="58">
        <v>42</v>
      </c>
      <c r="B44" s="102"/>
      <c r="C44" s="93"/>
      <c r="D44" s="104"/>
      <c r="E44" s="63" t="s">
        <v>768</v>
      </c>
      <c r="F44" s="63" t="s">
        <v>913</v>
      </c>
      <c r="G44" s="31" t="s">
        <v>837</v>
      </c>
      <c r="H44" s="31" t="s">
        <v>823</v>
      </c>
      <c r="I44" s="31" t="s">
        <v>825</v>
      </c>
      <c r="J44" s="31" t="s">
        <v>819</v>
      </c>
      <c r="K44" s="31" t="s">
        <v>828</v>
      </c>
      <c r="L44" s="31" t="s">
        <v>838</v>
      </c>
    </row>
    <row r="45" spans="1:12" ht="85.5">
      <c r="A45" s="58">
        <v>43</v>
      </c>
      <c r="B45" s="102"/>
      <c r="C45" s="93"/>
      <c r="D45" s="105"/>
      <c r="E45" s="63" t="s">
        <v>780</v>
      </c>
      <c r="F45" s="63" t="s">
        <v>914</v>
      </c>
      <c r="G45" s="31" t="s">
        <v>845</v>
      </c>
      <c r="H45" s="31" t="s">
        <v>1146</v>
      </c>
      <c r="I45" s="31" t="s">
        <v>825</v>
      </c>
      <c r="J45" s="31" t="s">
        <v>819</v>
      </c>
      <c r="K45" s="31" t="s">
        <v>828</v>
      </c>
      <c r="L45" s="31" t="s">
        <v>816</v>
      </c>
    </row>
    <row r="46" spans="1:12" ht="228">
      <c r="A46" s="58">
        <v>44</v>
      </c>
      <c r="B46" s="102"/>
      <c r="C46" s="93"/>
      <c r="D46" s="62" t="s">
        <v>756</v>
      </c>
      <c r="E46" s="63" t="s">
        <v>786</v>
      </c>
      <c r="F46" s="63" t="s">
        <v>841</v>
      </c>
      <c r="G46" s="31" t="s">
        <v>846</v>
      </c>
      <c r="H46" s="31" t="s">
        <v>842</v>
      </c>
      <c r="I46" s="31" t="s">
        <v>843</v>
      </c>
      <c r="J46" s="31" t="s">
        <v>815</v>
      </c>
      <c r="K46" s="31" t="s">
        <v>861</v>
      </c>
      <c r="L46" s="31" t="s">
        <v>816</v>
      </c>
    </row>
    <row r="47" spans="1:12" ht="85.5">
      <c r="A47" s="58">
        <v>45</v>
      </c>
      <c r="B47" s="102"/>
      <c r="C47" s="93"/>
      <c r="D47" s="103" t="s">
        <v>757</v>
      </c>
      <c r="E47" s="63" t="s">
        <v>790</v>
      </c>
      <c r="F47" s="63" t="s">
        <v>844</v>
      </c>
      <c r="G47" s="31" t="s">
        <v>847</v>
      </c>
      <c r="H47" s="31" t="s">
        <v>851</v>
      </c>
      <c r="I47" s="31" t="s">
        <v>843</v>
      </c>
      <c r="J47" s="31" t="s">
        <v>815</v>
      </c>
      <c r="K47" s="31" t="s">
        <v>859</v>
      </c>
      <c r="L47" s="31" t="s">
        <v>816</v>
      </c>
    </row>
    <row r="48" spans="1:12" ht="99.75">
      <c r="A48" s="58">
        <v>46</v>
      </c>
      <c r="B48" s="102"/>
      <c r="C48" s="93"/>
      <c r="D48" s="104"/>
      <c r="E48" s="63" t="s">
        <v>789</v>
      </c>
      <c r="F48" s="63" t="s">
        <v>848</v>
      </c>
      <c r="G48" s="31" t="s">
        <v>847</v>
      </c>
      <c r="H48" s="31" t="s">
        <v>852</v>
      </c>
      <c r="I48" s="31" t="s">
        <v>843</v>
      </c>
      <c r="J48" s="31" t="s">
        <v>815</v>
      </c>
      <c r="K48" s="31" t="s">
        <v>849</v>
      </c>
      <c r="L48" s="31" t="s">
        <v>816</v>
      </c>
    </row>
    <row r="49" spans="1:12" ht="114">
      <c r="A49" s="58">
        <v>47</v>
      </c>
      <c r="B49" s="102"/>
      <c r="C49" s="93"/>
      <c r="D49" s="104"/>
      <c r="E49" s="63" t="s">
        <v>872</v>
      </c>
      <c r="F49" s="63" t="s">
        <v>850</v>
      </c>
      <c r="G49" s="31" t="s">
        <v>847</v>
      </c>
      <c r="H49" s="31" t="s">
        <v>853</v>
      </c>
      <c r="I49" s="31" t="s">
        <v>843</v>
      </c>
      <c r="J49" s="31" t="s">
        <v>815</v>
      </c>
      <c r="K49" s="31" t="s">
        <v>854</v>
      </c>
      <c r="L49" s="31" t="s">
        <v>816</v>
      </c>
    </row>
    <row r="50" spans="1:12" ht="85.5">
      <c r="A50" s="58">
        <v>48</v>
      </c>
      <c r="B50" s="102"/>
      <c r="C50" s="93"/>
      <c r="D50" s="105"/>
      <c r="E50" s="63" t="s">
        <v>780</v>
      </c>
      <c r="F50" s="63" t="s">
        <v>855</v>
      </c>
      <c r="G50" s="31" t="s">
        <v>847</v>
      </c>
      <c r="H50" s="31" t="s">
        <v>856</v>
      </c>
      <c r="I50" s="31" t="s">
        <v>843</v>
      </c>
      <c r="J50" s="31" t="s">
        <v>815</v>
      </c>
      <c r="K50" s="31" t="s">
        <v>857</v>
      </c>
      <c r="L50" s="31" t="s">
        <v>816</v>
      </c>
    </row>
    <row r="51" spans="1:12" ht="71.25">
      <c r="A51" s="58">
        <v>49</v>
      </c>
      <c r="B51" s="102"/>
      <c r="C51" s="93"/>
      <c r="D51" s="103" t="s">
        <v>758</v>
      </c>
      <c r="E51" s="63" t="s">
        <v>791</v>
      </c>
      <c r="F51" s="63" t="s">
        <v>862</v>
      </c>
      <c r="G51" s="31" t="s">
        <v>863</v>
      </c>
      <c r="H51" s="31" t="s">
        <v>866</v>
      </c>
      <c r="I51" s="31" t="s">
        <v>864</v>
      </c>
      <c r="J51" s="31" t="s">
        <v>819</v>
      </c>
      <c r="K51" s="31" t="s">
        <v>828</v>
      </c>
      <c r="L51" s="31" t="s">
        <v>816</v>
      </c>
    </row>
    <row r="52" spans="1:12" ht="270.75">
      <c r="A52" s="58">
        <v>50</v>
      </c>
      <c r="B52" s="102"/>
      <c r="C52" s="93"/>
      <c r="D52" s="104"/>
      <c r="E52" s="63" t="s">
        <v>792</v>
      </c>
      <c r="F52" s="63" t="s">
        <v>865</v>
      </c>
      <c r="G52" s="31" t="s">
        <v>869</v>
      </c>
      <c r="H52" s="31" t="s">
        <v>867</v>
      </c>
      <c r="I52" s="31" t="s">
        <v>868</v>
      </c>
      <c r="J52" s="31" t="s">
        <v>815</v>
      </c>
      <c r="K52" s="31" t="s">
        <v>870</v>
      </c>
      <c r="L52" s="31" t="s">
        <v>816</v>
      </c>
    </row>
    <row r="53" spans="1:12" ht="99.75">
      <c r="A53" s="58">
        <v>51</v>
      </c>
      <c r="B53" s="102"/>
      <c r="C53" s="93"/>
      <c r="D53" s="104"/>
      <c r="E53" s="63" t="s">
        <v>871</v>
      </c>
      <c r="F53" s="63" t="s">
        <v>875</v>
      </c>
      <c r="G53" s="31" t="s">
        <v>876</v>
      </c>
      <c r="H53" s="31" t="s">
        <v>867</v>
      </c>
      <c r="I53" s="31" t="s">
        <v>843</v>
      </c>
      <c r="J53" s="31" t="s">
        <v>815</v>
      </c>
      <c r="K53" s="31" t="s">
        <v>854</v>
      </c>
      <c r="L53" s="31" t="s">
        <v>816</v>
      </c>
    </row>
    <row r="54" spans="1:12" ht="85.5">
      <c r="A54" s="58">
        <v>52</v>
      </c>
      <c r="B54" s="102"/>
      <c r="C54" s="93"/>
      <c r="D54" s="105"/>
      <c r="E54" s="63" t="s">
        <v>790</v>
      </c>
      <c r="F54" s="63" t="s">
        <v>877</v>
      </c>
      <c r="G54" s="31" t="s">
        <v>878</v>
      </c>
      <c r="H54" s="31" t="s">
        <v>867</v>
      </c>
      <c r="I54" s="31" t="s">
        <v>843</v>
      </c>
      <c r="J54" s="31" t="s">
        <v>815</v>
      </c>
      <c r="K54" s="31" t="s">
        <v>859</v>
      </c>
      <c r="L54" s="31" t="s">
        <v>816</v>
      </c>
    </row>
    <row r="55" spans="1:12" ht="242.25">
      <c r="A55" s="58">
        <v>53</v>
      </c>
      <c r="B55" s="102"/>
      <c r="C55" s="93"/>
      <c r="D55" s="103" t="s">
        <v>759</v>
      </c>
      <c r="E55" s="63" t="s">
        <v>786</v>
      </c>
      <c r="F55" s="63" t="s">
        <v>903</v>
      </c>
      <c r="G55" s="31" t="s">
        <v>904</v>
      </c>
      <c r="H55" s="31" t="s">
        <v>881</v>
      </c>
      <c r="I55" s="31" t="s">
        <v>882</v>
      </c>
      <c r="J55" s="31" t="s">
        <v>815</v>
      </c>
      <c r="K55" s="31" t="s">
        <v>893</v>
      </c>
      <c r="L55" s="31" t="s">
        <v>816</v>
      </c>
    </row>
    <row r="56" spans="1:12" ht="171">
      <c r="A56" s="58">
        <v>54</v>
      </c>
      <c r="B56" s="102"/>
      <c r="C56" s="93"/>
      <c r="D56" s="104"/>
      <c r="E56" s="63" t="s">
        <v>789</v>
      </c>
      <c r="F56" s="63" t="s">
        <v>883</v>
      </c>
      <c r="G56" s="31" t="s">
        <v>884</v>
      </c>
      <c r="H56" s="31" t="s">
        <v>885</v>
      </c>
      <c r="I56" s="31" t="s">
        <v>868</v>
      </c>
      <c r="J56" s="31" t="s">
        <v>815</v>
      </c>
      <c r="K56" s="31" t="s">
        <v>849</v>
      </c>
      <c r="L56" s="31" t="s">
        <v>816</v>
      </c>
    </row>
    <row r="57" spans="1:12" ht="171">
      <c r="A57" s="58">
        <v>55</v>
      </c>
      <c r="B57" s="102"/>
      <c r="C57" s="93"/>
      <c r="D57" s="104"/>
      <c r="E57" s="63" t="s">
        <v>872</v>
      </c>
      <c r="F57" s="63" t="s">
        <v>886</v>
      </c>
      <c r="G57" s="31" t="s">
        <v>884</v>
      </c>
      <c r="H57" s="31" t="s">
        <v>887</v>
      </c>
      <c r="I57" s="31" t="s">
        <v>888</v>
      </c>
      <c r="J57" s="31" t="s">
        <v>815</v>
      </c>
      <c r="K57" s="31" t="s">
        <v>854</v>
      </c>
      <c r="L57" s="31" t="s">
        <v>816</v>
      </c>
    </row>
    <row r="58" spans="1:12" ht="71.25">
      <c r="A58" s="58">
        <v>56</v>
      </c>
      <c r="B58" s="102"/>
      <c r="C58" s="93"/>
      <c r="D58" s="104"/>
      <c r="E58" s="63" t="s">
        <v>778</v>
      </c>
      <c r="F58" s="63" t="s">
        <v>889</v>
      </c>
      <c r="G58" s="63" t="s">
        <v>889</v>
      </c>
      <c r="H58" s="63" t="s">
        <v>889</v>
      </c>
      <c r="I58" s="63" t="s">
        <v>889</v>
      </c>
      <c r="J58" s="63" t="s">
        <v>889</v>
      </c>
      <c r="K58" s="63" t="s">
        <v>889</v>
      </c>
      <c r="L58" s="31" t="s">
        <v>816</v>
      </c>
    </row>
    <row r="59" spans="1:12" ht="71.25">
      <c r="A59" s="58">
        <v>57</v>
      </c>
      <c r="B59" s="102"/>
      <c r="C59" s="93"/>
      <c r="D59" s="104"/>
      <c r="E59" s="63" t="s">
        <v>768</v>
      </c>
      <c r="F59" s="63" t="s">
        <v>890</v>
      </c>
      <c r="G59" s="63" t="s">
        <v>890</v>
      </c>
      <c r="H59" s="63" t="s">
        <v>890</v>
      </c>
      <c r="I59" s="63" t="s">
        <v>890</v>
      </c>
      <c r="J59" s="63" t="s">
        <v>890</v>
      </c>
      <c r="K59" s="63" t="s">
        <v>890</v>
      </c>
      <c r="L59" s="31" t="s">
        <v>816</v>
      </c>
    </row>
    <row r="60" spans="1:12" ht="327.75">
      <c r="A60" s="58">
        <v>58</v>
      </c>
      <c r="B60" s="102"/>
      <c r="C60" s="93"/>
      <c r="D60" s="105"/>
      <c r="E60" s="63" t="s">
        <v>780</v>
      </c>
      <c r="F60" s="63" t="s">
        <v>905</v>
      </c>
      <c r="G60" s="31" t="s">
        <v>892</v>
      </c>
      <c r="H60" s="31" t="s">
        <v>1147</v>
      </c>
      <c r="I60" s="31" t="s">
        <v>882</v>
      </c>
      <c r="J60" s="31" t="s">
        <v>815</v>
      </c>
      <c r="K60" s="31" t="s">
        <v>1247</v>
      </c>
      <c r="L60" s="31" t="s">
        <v>816</v>
      </c>
    </row>
    <row r="61" spans="1:12" ht="384.75">
      <c r="A61" s="58">
        <v>59</v>
      </c>
      <c r="B61" s="102"/>
      <c r="C61" s="93"/>
      <c r="D61" s="103" t="s">
        <v>760</v>
      </c>
      <c r="E61" s="63" t="s">
        <v>789</v>
      </c>
      <c r="F61" s="63" t="s">
        <v>906</v>
      </c>
      <c r="G61" s="31" t="s">
        <v>884</v>
      </c>
      <c r="H61" s="31" t="s">
        <v>885</v>
      </c>
      <c r="I61" s="31" t="s">
        <v>868</v>
      </c>
      <c r="J61" s="31" t="s">
        <v>815</v>
      </c>
      <c r="K61" s="31" t="s">
        <v>895</v>
      </c>
      <c r="L61" s="31" t="s">
        <v>816</v>
      </c>
    </row>
    <row r="62" spans="1:12" ht="313.5">
      <c r="A62" s="58">
        <v>60</v>
      </c>
      <c r="B62" s="102"/>
      <c r="C62" s="93"/>
      <c r="D62" s="104"/>
      <c r="E62" s="63" t="s">
        <v>872</v>
      </c>
      <c r="F62" s="63" t="s">
        <v>896</v>
      </c>
      <c r="G62" s="31" t="s">
        <v>897</v>
      </c>
      <c r="H62" s="31" t="s">
        <v>853</v>
      </c>
      <c r="I62" s="31" t="s">
        <v>977</v>
      </c>
      <c r="J62" s="31" t="s">
        <v>815</v>
      </c>
      <c r="K62" s="31" t="s">
        <v>898</v>
      </c>
      <c r="L62" s="31" t="s">
        <v>816</v>
      </c>
    </row>
    <row r="63" spans="1:12" ht="71.25">
      <c r="A63" s="58">
        <v>61</v>
      </c>
      <c r="B63" s="102"/>
      <c r="C63" s="93"/>
      <c r="D63" s="104"/>
      <c r="E63" s="63" t="s">
        <v>787</v>
      </c>
      <c r="F63" s="63" t="s">
        <v>862</v>
      </c>
      <c r="G63" s="31" t="s">
        <v>863</v>
      </c>
      <c r="H63" s="31" t="s">
        <v>866</v>
      </c>
      <c r="I63" s="31" t="s">
        <v>864</v>
      </c>
      <c r="J63" s="31" t="s">
        <v>819</v>
      </c>
      <c r="K63" s="31" t="s">
        <v>828</v>
      </c>
      <c r="L63" s="31" t="s">
        <v>816</v>
      </c>
    </row>
    <row r="64" spans="1:12" ht="71.25">
      <c r="A64" s="58">
        <v>62</v>
      </c>
      <c r="B64" s="102"/>
      <c r="C64" s="93"/>
      <c r="D64" s="105"/>
      <c r="E64" s="63" t="s">
        <v>788</v>
      </c>
      <c r="F64" s="63" t="s">
        <v>862</v>
      </c>
      <c r="G64" s="31" t="s">
        <v>863</v>
      </c>
      <c r="H64" s="31" t="s">
        <v>866</v>
      </c>
      <c r="I64" s="31" t="s">
        <v>864</v>
      </c>
      <c r="J64" s="31" t="s">
        <v>819</v>
      </c>
      <c r="K64" s="31" t="s">
        <v>828</v>
      </c>
      <c r="L64" s="31" t="s">
        <v>816</v>
      </c>
    </row>
    <row r="65" spans="1:12" ht="57">
      <c r="A65" s="58">
        <v>63</v>
      </c>
      <c r="B65" s="102"/>
      <c r="C65" s="93"/>
      <c r="D65" s="103" t="s">
        <v>761</v>
      </c>
      <c r="E65" s="63" t="s">
        <v>789</v>
      </c>
      <c r="F65" s="63" t="s">
        <v>899</v>
      </c>
      <c r="G65" s="31" t="s">
        <v>900</v>
      </c>
      <c r="H65" s="31" t="s">
        <v>900</v>
      </c>
      <c r="I65" s="31" t="s">
        <v>901</v>
      </c>
      <c r="J65" s="31" t="s">
        <v>819</v>
      </c>
      <c r="K65" s="31" t="s">
        <v>828</v>
      </c>
      <c r="L65" s="31" t="s">
        <v>816</v>
      </c>
    </row>
    <row r="66" spans="1:12" ht="57">
      <c r="A66" s="58">
        <v>64</v>
      </c>
      <c r="B66" s="102"/>
      <c r="C66" s="93"/>
      <c r="D66" s="104"/>
      <c r="E66" s="63" t="s">
        <v>872</v>
      </c>
      <c r="F66" s="63" t="s">
        <v>899</v>
      </c>
      <c r="G66" s="31" t="s">
        <v>900</v>
      </c>
      <c r="H66" s="31" t="s">
        <v>900</v>
      </c>
      <c r="I66" s="31" t="s">
        <v>901</v>
      </c>
      <c r="J66" s="31" t="s">
        <v>819</v>
      </c>
      <c r="K66" s="31" t="s">
        <v>828</v>
      </c>
      <c r="L66" s="31" t="s">
        <v>816</v>
      </c>
    </row>
    <row r="67" spans="1:12" ht="71.25">
      <c r="A67" s="58">
        <v>65</v>
      </c>
      <c r="B67" s="102"/>
      <c r="C67" s="93"/>
      <c r="D67" s="104"/>
      <c r="E67" s="63" t="s">
        <v>787</v>
      </c>
      <c r="F67" s="63" t="s">
        <v>862</v>
      </c>
      <c r="G67" s="31" t="s">
        <v>863</v>
      </c>
      <c r="H67" s="31" t="s">
        <v>866</v>
      </c>
      <c r="I67" s="31" t="s">
        <v>864</v>
      </c>
      <c r="J67" s="31" t="s">
        <v>819</v>
      </c>
      <c r="K67" s="31" t="s">
        <v>828</v>
      </c>
      <c r="L67" s="31" t="s">
        <v>816</v>
      </c>
    </row>
    <row r="68" spans="1:12" ht="71.25">
      <c r="A68" s="58">
        <v>66</v>
      </c>
      <c r="B68" s="102"/>
      <c r="C68" s="93"/>
      <c r="D68" s="105"/>
      <c r="E68" s="63" t="s">
        <v>788</v>
      </c>
      <c r="F68" s="63" t="s">
        <v>862</v>
      </c>
      <c r="G68" s="31" t="s">
        <v>863</v>
      </c>
      <c r="H68" s="31" t="s">
        <v>866</v>
      </c>
      <c r="I68" s="31" t="s">
        <v>864</v>
      </c>
      <c r="J68" s="31" t="s">
        <v>819</v>
      </c>
      <c r="K68" s="31" t="s">
        <v>828</v>
      </c>
      <c r="L68" s="31" t="s">
        <v>816</v>
      </c>
    </row>
    <row r="69" spans="1:12" ht="142.5">
      <c r="A69" s="58">
        <v>67</v>
      </c>
      <c r="B69" s="102"/>
      <c r="C69" s="93"/>
      <c r="D69" s="62" t="s">
        <v>762</v>
      </c>
      <c r="E69" s="64" t="s">
        <v>46</v>
      </c>
      <c r="F69" s="63" t="s">
        <v>1073</v>
      </c>
      <c r="G69" s="63" t="s">
        <v>1073</v>
      </c>
      <c r="H69" s="63" t="s">
        <v>1073</v>
      </c>
      <c r="I69" s="63" t="s">
        <v>1073</v>
      </c>
      <c r="J69" s="63" t="s">
        <v>1073</v>
      </c>
      <c r="K69" s="63" t="s">
        <v>1073</v>
      </c>
      <c r="L69" s="31" t="s">
        <v>816</v>
      </c>
    </row>
    <row r="70" spans="1:12" ht="313.5">
      <c r="A70" s="58">
        <v>68</v>
      </c>
      <c r="B70" s="102"/>
      <c r="C70" s="94"/>
      <c r="D70" s="62" t="s">
        <v>763</v>
      </c>
      <c r="E70" s="64" t="s">
        <v>46</v>
      </c>
      <c r="F70" s="63" t="s">
        <v>850</v>
      </c>
      <c r="G70" s="31" t="s">
        <v>897</v>
      </c>
      <c r="H70" s="31" t="s">
        <v>853</v>
      </c>
      <c r="I70" s="31" t="s">
        <v>977</v>
      </c>
      <c r="J70" s="31" t="s">
        <v>815</v>
      </c>
      <c r="K70" s="31" t="s">
        <v>898</v>
      </c>
      <c r="L70" s="31" t="s">
        <v>816</v>
      </c>
    </row>
    <row r="71" spans="1:12" ht="99.75">
      <c r="A71" s="58">
        <v>69</v>
      </c>
      <c r="B71" s="102"/>
      <c r="C71" s="92" t="s">
        <v>765</v>
      </c>
      <c r="D71" s="62" t="s">
        <v>753</v>
      </c>
      <c r="E71" s="64" t="s">
        <v>46</v>
      </c>
      <c r="F71" s="63" t="s">
        <v>924</v>
      </c>
      <c r="G71" s="31" t="s">
        <v>995</v>
      </c>
      <c r="H71" s="31" t="s">
        <v>925</v>
      </c>
      <c r="I71" s="31" t="s">
        <v>821</v>
      </c>
      <c r="J71" s="31" t="s">
        <v>815</v>
      </c>
      <c r="K71" s="31" t="s">
        <v>859</v>
      </c>
      <c r="L71" s="31" t="s">
        <v>816</v>
      </c>
    </row>
    <row r="72" spans="1:12" ht="71.25">
      <c r="A72" s="58">
        <v>70</v>
      </c>
      <c r="B72" s="102"/>
      <c r="C72" s="93"/>
      <c r="D72" s="103" t="s">
        <v>754</v>
      </c>
      <c r="E72" s="63" t="s">
        <v>778</v>
      </c>
      <c r="F72" s="63" t="s">
        <v>916</v>
      </c>
      <c r="G72" s="31" t="s">
        <v>818</v>
      </c>
      <c r="H72" s="31" t="s">
        <v>817</v>
      </c>
      <c r="I72" s="31" t="s">
        <v>1145</v>
      </c>
      <c r="J72" s="31" t="s">
        <v>819</v>
      </c>
      <c r="K72" s="31" t="s">
        <v>828</v>
      </c>
      <c r="L72" s="31" t="s">
        <v>816</v>
      </c>
    </row>
    <row r="73" spans="1:12" ht="99.75">
      <c r="A73" s="58">
        <v>71</v>
      </c>
      <c r="B73" s="102"/>
      <c r="C73" s="93"/>
      <c r="D73" s="104"/>
      <c r="E73" s="63" t="s">
        <v>871</v>
      </c>
      <c r="F73" s="63" t="s">
        <v>917</v>
      </c>
      <c r="G73" s="31" t="s">
        <v>820</v>
      </c>
      <c r="H73" s="31" t="s">
        <v>822</v>
      </c>
      <c r="I73" s="31" t="s">
        <v>821</v>
      </c>
      <c r="J73" s="31" t="s">
        <v>815</v>
      </c>
      <c r="K73" s="31" t="s">
        <v>860</v>
      </c>
      <c r="L73" s="31" t="s">
        <v>816</v>
      </c>
    </row>
    <row r="74" spans="1:12" ht="270.75">
      <c r="A74" s="58">
        <v>72</v>
      </c>
      <c r="B74" s="102"/>
      <c r="C74" s="93"/>
      <c r="D74" s="104"/>
      <c r="E74" s="63" t="s">
        <v>768</v>
      </c>
      <c r="F74" s="63" t="s">
        <v>918</v>
      </c>
      <c r="G74" s="31" t="s">
        <v>930</v>
      </c>
      <c r="H74" s="31" t="s">
        <v>823</v>
      </c>
      <c r="I74" s="31" t="s">
        <v>821</v>
      </c>
      <c r="J74" s="31" t="s">
        <v>815</v>
      </c>
      <c r="K74" s="63" t="s">
        <v>1248</v>
      </c>
      <c r="L74" s="31" t="s">
        <v>816</v>
      </c>
    </row>
    <row r="75" spans="1:12" ht="156.75">
      <c r="A75" s="58">
        <v>73</v>
      </c>
      <c r="B75" s="102"/>
      <c r="C75" s="93"/>
      <c r="D75" s="105"/>
      <c r="E75" s="63" t="s">
        <v>780</v>
      </c>
      <c r="F75" s="63" t="s">
        <v>919</v>
      </c>
      <c r="G75" s="31" t="s">
        <v>826</v>
      </c>
      <c r="H75" s="31" t="s">
        <v>1146</v>
      </c>
      <c r="I75" s="31" t="s">
        <v>821</v>
      </c>
      <c r="J75" s="31" t="s">
        <v>815</v>
      </c>
      <c r="K75" s="31" t="s">
        <v>858</v>
      </c>
      <c r="L75" s="31" t="s">
        <v>816</v>
      </c>
    </row>
    <row r="76" spans="1:12" ht="85.5">
      <c r="A76" s="58">
        <v>74</v>
      </c>
      <c r="B76" s="102"/>
      <c r="C76" s="93"/>
      <c r="D76" s="103" t="s">
        <v>755</v>
      </c>
      <c r="E76" s="63" t="s">
        <v>778</v>
      </c>
      <c r="F76" s="63" t="s">
        <v>920</v>
      </c>
      <c r="G76" s="31" t="s">
        <v>830</v>
      </c>
      <c r="H76" s="31" t="s">
        <v>831</v>
      </c>
      <c r="I76" s="31" t="s">
        <v>977</v>
      </c>
      <c r="J76" s="31" t="s">
        <v>815</v>
      </c>
      <c r="K76" s="31" t="s">
        <v>832</v>
      </c>
      <c r="L76" s="31" t="s">
        <v>816</v>
      </c>
    </row>
    <row r="77" spans="1:12" ht="128.25">
      <c r="A77" s="58">
        <v>75</v>
      </c>
      <c r="B77" s="102"/>
      <c r="C77" s="93"/>
      <c r="D77" s="104"/>
      <c r="E77" s="63" t="s">
        <v>871</v>
      </c>
      <c r="F77" s="63" t="s">
        <v>921</v>
      </c>
      <c r="G77" s="31" t="s">
        <v>834</v>
      </c>
      <c r="H77" s="31" t="s">
        <v>835</v>
      </c>
      <c r="I77" s="31" t="s">
        <v>825</v>
      </c>
      <c r="J77" s="31" t="s">
        <v>819</v>
      </c>
      <c r="K77" s="31" t="s">
        <v>828</v>
      </c>
      <c r="L77" s="31" t="s">
        <v>816</v>
      </c>
    </row>
    <row r="78" spans="1:12" ht="270.75">
      <c r="A78" s="58">
        <v>76</v>
      </c>
      <c r="B78" s="102"/>
      <c r="C78" s="93"/>
      <c r="D78" s="104"/>
      <c r="E78" s="63" t="s">
        <v>768</v>
      </c>
      <c r="F78" s="63" t="s">
        <v>922</v>
      </c>
      <c r="G78" s="31" t="s">
        <v>930</v>
      </c>
      <c r="H78" s="31" t="s">
        <v>823</v>
      </c>
      <c r="I78" s="31" t="s">
        <v>821</v>
      </c>
      <c r="J78" s="31" t="s">
        <v>815</v>
      </c>
      <c r="K78" s="63" t="s">
        <v>1248</v>
      </c>
      <c r="L78" s="31" t="s">
        <v>816</v>
      </c>
    </row>
    <row r="79" spans="1:12" ht="85.5">
      <c r="A79" s="58">
        <v>77</v>
      </c>
      <c r="B79" s="102"/>
      <c r="C79" s="93"/>
      <c r="D79" s="105"/>
      <c r="E79" s="63" t="s">
        <v>780</v>
      </c>
      <c r="F79" s="63" t="s">
        <v>923</v>
      </c>
      <c r="G79" s="31" t="s">
        <v>845</v>
      </c>
      <c r="H79" s="31" t="s">
        <v>1146</v>
      </c>
      <c r="I79" s="31" t="s">
        <v>825</v>
      </c>
      <c r="J79" s="31" t="s">
        <v>819</v>
      </c>
      <c r="K79" s="31" t="s">
        <v>828</v>
      </c>
      <c r="L79" s="31" t="s">
        <v>816</v>
      </c>
    </row>
    <row r="80" spans="1:12" ht="228">
      <c r="A80" s="58">
        <v>78</v>
      </c>
      <c r="B80" s="102"/>
      <c r="C80" s="93"/>
      <c r="D80" s="62" t="s">
        <v>756</v>
      </c>
      <c r="E80" s="63" t="s">
        <v>786</v>
      </c>
      <c r="F80" s="63" t="s">
        <v>841</v>
      </c>
      <c r="G80" s="31" t="s">
        <v>846</v>
      </c>
      <c r="H80" s="31" t="s">
        <v>842</v>
      </c>
      <c r="I80" s="31" t="s">
        <v>843</v>
      </c>
      <c r="J80" s="31" t="s">
        <v>815</v>
      </c>
      <c r="K80" s="31" t="s">
        <v>861</v>
      </c>
      <c r="L80" s="31" t="s">
        <v>816</v>
      </c>
    </row>
    <row r="81" spans="1:12" ht="85.5">
      <c r="A81" s="58">
        <v>79</v>
      </c>
      <c r="B81" s="102"/>
      <c r="C81" s="93"/>
      <c r="D81" s="103" t="s">
        <v>757</v>
      </c>
      <c r="E81" s="63" t="s">
        <v>790</v>
      </c>
      <c r="F81" s="63" t="s">
        <v>844</v>
      </c>
      <c r="G81" s="31" t="s">
        <v>847</v>
      </c>
      <c r="H81" s="31" t="s">
        <v>851</v>
      </c>
      <c r="I81" s="31" t="s">
        <v>843</v>
      </c>
      <c r="J81" s="31" t="s">
        <v>815</v>
      </c>
      <c r="K81" s="31" t="s">
        <v>859</v>
      </c>
      <c r="L81" s="31" t="s">
        <v>816</v>
      </c>
    </row>
    <row r="82" spans="1:12" ht="99.75">
      <c r="A82" s="58">
        <v>80</v>
      </c>
      <c r="B82" s="102"/>
      <c r="C82" s="93"/>
      <c r="D82" s="104"/>
      <c r="E82" s="63" t="s">
        <v>789</v>
      </c>
      <c r="F82" s="63" t="s">
        <v>848</v>
      </c>
      <c r="G82" s="31" t="s">
        <v>847</v>
      </c>
      <c r="H82" s="31" t="s">
        <v>852</v>
      </c>
      <c r="I82" s="31" t="s">
        <v>843</v>
      </c>
      <c r="J82" s="31" t="s">
        <v>815</v>
      </c>
      <c r="K82" s="31" t="s">
        <v>849</v>
      </c>
      <c r="L82" s="31" t="s">
        <v>816</v>
      </c>
    </row>
    <row r="83" spans="1:12" ht="114">
      <c r="A83" s="58">
        <v>81</v>
      </c>
      <c r="B83" s="102"/>
      <c r="C83" s="93"/>
      <c r="D83" s="104"/>
      <c r="E83" s="63" t="s">
        <v>872</v>
      </c>
      <c r="F83" s="63" t="s">
        <v>850</v>
      </c>
      <c r="G83" s="31" t="s">
        <v>847</v>
      </c>
      <c r="H83" s="31" t="s">
        <v>853</v>
      </c>
      <c r="I83" s="31" t="s">
        <v>843</v>
      </c>
      <c r="J83" s="31" t="s">
        <v>815</v>
      </c>
      <c r="K83" s="31" t="s">
        <v>854</v>
      </c>
      <c r="L83" s="31" t="s">
        <v>816</v>
      </c>
    </row>
    <row r="84" spans="1:12" ht="85.5">
      <c r="A84" s="58">
        <v>82</v>
      </c>
      <c r="B84" s="102"/>
      <c r="C84" s="93"/>
      <c r="D84" s="105"/>
      <c r="E84" s="63" t="s">
        <v>780</v>
      </c>
      <c r="F84" s="63" t="s">
        <v>855</v>
      </c>
      <c r="G84" s="31" t="s">
        <v>847</v>
      </c>
      <c r="H84" s="31" t="s">
        <v>856</v>
      </c>
      <c r="I84" s="31" t="s">
        <v>843</v>
      </c>
      <c r="J84" s="31" t="s">
        <v>815</v>
      </c>
      <c r="K84" s="31" t="s">
        <v>857</v>
      </c>
      <c r="L84" s="31" t="s">
        <v>816</v>
      </c>
    </row>
    <row r="85" spans="1:12" ht="71.25">
      <c r="A85" s="58">
        <v>83</v>
      </c>
      <c r="B85" s="102"/>
      <c r="C85" s="93"/>
      <c r="D85" s="103" t="s">
        <v>758</v>
      </c>
      <c r="E85" s="63" t="s">
        <v>791</v>
      </c>
      <c r="F85" s="63" t="s">
        <v>862</v>
      </c>
      <c r="G85" s="31" t="s">
        <v>863</v>
      </c>
      <c r="H85" s="31" t="s">
        <v>866</v>
      </c>
      <c r="I85" s="31" t="s">
        <v>864</v>
      </c>
      <c r="J85" s="31" t="s">
        <v>819</v>
      </c>
      <c r="K85" s="31" t="s">
        <v>828</v>
      </c>
      <c r="L85" s="31" t="s">
        <v>816</v>
      </c>
    </row>
    <row r="86" spans="1:12" ht="270.75">
      <c r="A86" s="58">
        <v>84</v>
      </c>
      <c r="B86" s="102"/>
      <c r="C86" s="93"/>
      <c r="D86" s="104"/>
      <c r="E86" s="63" t="s">
        <v>792</v>
      </c>
      <c r="F86" s="63" t="s">
        <v>865</v>
      </c>
      <c r="G86" s="31" t="s">
        <v>869</v>
      </c>
      <c r="H86" s="31" t="s">
        <v>867</v>
      </c>
      <c r="I86" s="31" t="s">
        <v>868</v>
      </c>
      <c r="J86" s="31" t="s">
        <v>815</v>
      </c>
      <c r="K86" s="31" t="s">
        <v>870</v>
      </c>
      <c r="L86" s="31" t="s">
        <v>816</v>
      </c>
    </row>
    <row r="87" spans="1:12" ht="99.75">
      <c r="A87" s="58">
        <v>85</v>
      </c>
      <c r="B87" s="102"/>
      <c r="C87" s="93"/>
      <c r="D87" s="104"/>
      <c r="E87" s="63" t="s">
        <v>871</v>
      </c>
      <c r="F87" s="63" t="s">
        <v>875</v>
      </c>
      <c r="G87" s="31" t="s">
        <v>876</v>
      </c>
      <c r="H87" s="31" t="s">
        <v>867</v>
      </c>
      <c r="I87" s="31" t="s">
        <v>843</v>
      </c>
      <c r="J87" s="31" t="s">
        <v>815</v>
      </c>
      <c r="K87" s="31" t="s">
        <v>854</v>
      </c>
      <c r="L87" s="31" t="s">
        <v>816</v>
      </c>
    </row>
    <row r="88" spans="1:12" ht="85.5">
      <c r="A88" s="58">
        <v>86</v>
      </c>
      <c r="B88" s="102"/>
      <c r="C88" s="93"/>
      <c r="D88" s="105"/>
      <c r="E88" s="63" t="s">
        <v>790</v>
      </c>
      <c r="F88" s="63" t="s">
        <v>877</v>
      </c>
      <c r="G88" s="31" t="s">
        <v>878</v>
      </c>
      <c r="H88" s="31" t="s">
        <v>867</v>
      </c>
      <c r="I88" s="31" t="s">
        <v>843</v>
      </c>
      <c r="J88" s="31" t="s">
        <v>815</v>
      </c>
      <c r="K88" s="31" t="s">
        <v>859</v>
      </c>
      <c r="L88" s="31" t="s">
        <v>816</v>
      </c>
    </row>
    <row r="89" spans="1:12" ht="242.25">
      <c r="A89" s="58">
        <v>87</v>
      </c>
      <c r="B89" s="102"/>
      <c r="C89" s="93"/>
      <c r="D89" s="103" t="s">
        <v>759</v>
      </c>
      <c r="E89" s="63" t="s">
        <v>786</v>
      </c>
      <c r="F89" s="63" t="s">
        <v>926</v>
      </c>
      <c r="G89" s="31" t="s">
        <v>927</v>
      </c>
      <c r="H89" s="31" t="s">
        <v>881</v>
      </c>
      <c r="I89" s="31" t="s">
        <v>882</v>
      </c>
      <c r="J89" s="31" t="s">
        <v>815</v>
      </c>
      <c r="K89" s="31" t="s">
        <v>893</v>
      </c>
      <c r="L89" s="31" t="s">
        <v>816</v>
      </c>
    </row>
    <row r="90" spans="1:12" ht="171">
      <c r="A90" s="58">
        <v>88</v>
      </c>
      <c r="B90" s="102"/>
      <c r="C90" s="93"/>
      <c r="D90" s="104"/>
      <c r="E90" s="63" t="s">
        <v>789</v>
      </c>
      <c r="F90" s="63" t="s">
        <v>883</v>
      </c>
      <c r="G90" s="31" t="s">
        <v>884</v>
      </c>
      <c r="H90" s="31" t="s">
        <v>885</v>
      </c>
      <c r="I90" s="31" t="s">
        <v>868</v>
      </c>
      <c r="J90" s="31" t="s">
        <v>815</v>
      </c>
      <c r="K90" s="31" t="s">
        <v>849</v>
      </c>
      <c r="L90" s="31" t="s">
        <v>816</v>
      </c>
    </row>
    <row r="91" spans="1:12" ht="171">
      <c r="A91" s="58">
        <v>89</v>
      </c>
      <c r="B91" s="102"/>
      <c r="C91" s="93"/>
      <c r="D91" s="104"/>
      <c r="E91" s="63" t="s">
        <v>872</v>
      </c>
      <c r="F91" s="63" t="s">
        <v>886</v>
      </c>
      <c r="G91" s="31" t="s">
        <v>884</v>
      </c>
      <c r="H91" s="31" t="s">
        <v>887</v>
      </c>
      <c r="I91" s="31" t="s">
        <v>888</v>
      </c>
      <c r="J91" s="31" t="s">
        <v>815</v>
      </c>
      <c r="K91" s="31" t="s">
        <v>854</v>
      </c>
      <c r="L91" s="31" t="s">
        <v>816</v>
      </c>
    </row>
    <row r="92" spans="1:12" ht="71.25">
      <c r="A92" s="58">
        <v>90</v>
      </c>
      <c r="B92" s="102"/>
      <c r="C92" s="93"/>
      <c r="D92" s="104"/>
      <c r="E92" s="63" t="s">
        <v>778</v>
      </c>
      <c r="F92" s="63" t="s">
        <v>889</v>
      </c>
      <c r="G92" s="63" t="s">
        <v>889</v>
      </c>
      <c r="H92" s="63" t="s">
        <v>889</v>
      </c>
      <c r="I92" s="63" t="s">
        <v>889</v>
      </c>
      <c r="J92" s="63" t="s">
        <v>889</v>
      </c>
      <c r="K92" s="63" t="s">
        <v>889</v>
      </c>
      <c r="L92" s="31" t="s">
        <v>816</v>
      </c>
    </row>
    <row r="93" spans="1:12" ht="71.25">
      <c r="A93" s="58">
        <v>91</v>
      </c>
      <c r="B93" s="102"/>
      <c r="C93" s="93"/>
      <c r="D93" s="104"/>
      <c r="E93" s="63" t="s">
        <v>768</v>
      </c>
      <c r="F93" s="63" t="s">
        <v>890</v>
      </c>
      <c r="G93" s="63" t="s">
        <v>890</v>
      </c>
      <c r="H93" s="63" t="s">
        <v>890</v>
      </c>
      <c r="I93" s="63" t="s">
        <v>890</v>
      </c>
      <c r="J93" s="63" t="s">
        <v>890</v>
      </c>
      <c r="K93" s="63" t="s">
        <v>890</v>
      </c>
      <c r="L93" s="31" t="s">
        <v>816</v>
      </c>
    </row>
    <row r="94" spans="1:12" ht="356.25">
      <c r="A94" s="58">
        <v>92</v>
      </c>
      <c r="B94" s="102"/>
      <c r="C94" s="93"/>
      <c r="D94" s="105"/>
      <c r="E94" s="63" t="s">
        <v>780</v>
      </c>
      <c r="F94" s="63" t="s">
        <v>928</v>
      </c>
      <c r="G94" s="31" t="s">
        <v>892</v>
      </c>
      <c r="H94" s="31" t="s">
        <v>1147</v>
      </c>
      <c r="I94" s="31" t="s">
        <v>882</v>
      </c>
      <c r="J94" s="31" t="s">
        <v>815</v>
      </c>
      <c r="K94" s="63" t="s">
        <v>1249</v>
      </c>
      <c r="L94" s="31" t="s">
        <v>816</v>
      </c>
    </row>
    <row r="95" spans="1:12" ht="384.75">
      <c r="A95" s="58">
        <v>93</v>
      </c>
      <c r="B95" s="102"/>
      <c r="C95" s="93"/>
      <c r="D95" s="103" t="s">
        <v>760</v>
      </c>
      <c r="E95" s="63" t="s">
        <v>789</v>
      </c>
      <c r="F95" s="63" t="s">
        <v>929</v>
      </c>
      <c r="G95" s="31" t="s">
        <v>884</v>
      </c>
      <c r="H95" s="31" t="s">
        <v>885</v>
      </c>
      <c r="I95" s="31" t="s">
        <v>868</v>
      </c>
      <c r="J95" s="31" t="s">
        <v>815</v>
      </c>
      <c r="K95" s="31" t="s">
        <v>895</v>
      </c>
      <c r="L95" s="31" t="s">
        <v>816</v>
      </c>
    </row>
    <row r="96" spans="1:12" ht="313.5">
      <c r="A96" s="58">
        <v>94</v>
      </c>
      <c r="B96" s="102"/>
      <c r="C96" s="93"/>
      <c r="D96" s="104"/>
      <c r="E96" s="63" t="s">
        <v>872</v>
      </c>
      <c r="F96" s="63" t="s">
        <v>896</v>
      </c>
      <c r="G96" s="31" t="s">
        <v>897</v>
      </c>
      <c r="H96" s="31" t="s">
        <v>853</v>
      </c>
      <c r="I96" s="31" t="s">
        <v>977</v>
      </c>
      <c r="J96" s="31" t="s">
        <v>815</v>
      </c>
      <c r="K96" s="31" t="s">
        <v>898</v>
      </c>
      <c r="L96" s="31" t="s">
        <v>816</v>
      </c>
    </row>
    <row r="97" spans="1:12" ht="71.25">
      <c r="A97" s="58">
        <v>95</v>
      </c>
      <c r="B97" s="102"/>
      <c r="C97" s="93"/>
      <c r="D97" s="104"/>
      <c r="E97" s="63" t="s">
        <v>787</v>
      </c>
      <c r="F97" s="63" t="s">
        <v>862</v>
      </c>
      <c r="G97" s="31" t="s">
        <v>863</v>
      </c>
      <c r="H97" s="31" t="s">
        <v>866</v>
      </c>
      <c r="I97" s="31" t="s">
        <v>864</v>
      </c>
      <c r="J97" s="31" t="s">
        <v>819</v>
      </c>
      <c r="K97" s="31" t="s">
        <v>828</v>
      </c>
      <c r="L97" s="31" t="s">
        <v>816</v>
      </c>
    </row>
    <row r="98" spans="1:12" ht="71.25">
      <c r="A98" s="58">
        <v>96</v>
      </c>
      <c r="B98" s="102"/>
      <c r="C98" s="93"/>
      <c r="D98" s="105"/>
      <c r="E98" s="63" t="s">
        <v>788</v>
      </c>
      <c r="F98" s="63" t="s">
        <v>862</v>
      </c>
      <c r="G98" s="31" t="s">
        <v>863</v>
      </c>
      <c r="H98" s="31" t="s">
        <v>866</v>
      </c>
      <c r="I98" s="31" t="s">
        <v>864</v>
      </c>
      <c r="J98" s="31" t="s">
        <v>819</v>
      </c>
      <c r="K98" s="31" t="s">
        <v>828</v>
      </c>
      <c r="L98" s="31" t="s">
        <v>816</v>
      </c>
    </row>
    <row r="99" spans="1:12" ht="57">
      <c r="A99" s="58">
        <v>97</v>
      </c>
      <c r="B99" s="102"/>
      <c r="C99" s="93"/>
      <c r="D99" s="103" t="s">
        <v>761</v>
      </c>
      <c r="E99" s="63" t="s">
        <v>789</v>
      </c>
      <c r="F99" s="63" t="s">
        <v>899</v>
      </c>
      <c r="G99" s="31" t="s">
        <v>900</v>
      </c>
      <c r="H99" s="31" t="s">
        <v>900</v>
      </c>
      <c r="I99" s="31" t="s">
        <v>901</v>
      </c>
      <c r="J99" s="31" t="s">
        <v>819</v>
      </c>
      <c r="K99" s="31" t="s">
        <v>828</v>
      </c>
      <c r="L99" s="31" t="s">
        <v>816</v>
      </c>
    </row>
    <row r="100" spans="1:12" ht="57">
      <c r="A100" s="58">
        <v>98</v>
      </c>
      <c r="B100" s="102"/>
      <c r="C100" s="93"/>
      <c r="D100" s="104"/>
      <c r="E100" s="63" t="s">
        <v>872</v>
      </c>
      <c r="F100" s="63" t="s">
        <v>899</v>
      </c>
      <c r="G100" s="31" t="s">
        <v>900</v>
      </c>
      <c r="H100" s="31" t="s">
        <v>900</v>
      </c>
      <c r="I100" s="31" t="s">
        <v>901</v>
      </c>
      <c r="J100" s="31" t="s">
        <v>819</v>
      </c>
      <c r="K100" s="31" t="s">
        <v>828</v>
      </c>
      <c r="L100" s="31" t="s">
        <v>816</v>
      </c>
    </row>
    <row r="101" spans="1:12" ht="71.25">
      <c r="A101" s="58">
        <v>99</v>
      </c>
      <c r="B101" s="102"/>
      <c r="C101" s="93"/>
      <c r="D101" s="104"/>
      <c r="E101" s="63" t="s">
        <v>787</v>
      </c>
      <c r="F101" s="63" t="s">
        <v>862</v>
      </c>
      <c r="G101" s="31" t="s">
        <v>863</v>
      </c>
      <c r="H101" s="31" t="s">
        <v>866</v>
      </c>
      <c r="I101" s="31" t="s">
        <v>864</v>
      </c>
      <c r="J101" s="31" t="s">
        <v>819</v>
      </c>
      <c r="K101" s="31" t="s">
        <v>828</v>
      </c>
      <c r="L101" s="31" t="s">
        <v>816</v>
      </c>
    </row>
    <row r="102" spans="1:12" ht="71.25">
      <c r="A102" s="58">
        <v>100</v>
      </c>
      <c r="B102" s="102"/>
      <c r="C102" s="93"/>
      <c r="D102" s="105"/>
      <c r="E102" s="63" t="s">
        <v>788</v>
      </c>
      <c r="F102" s="63" t="s">
        <v>862</v>
      </c>
      <c r="G102" s="31" t="s">
        <v>863</v>
      </c>
      <c r="H102" s="31" t="s">
        <v>866</v>
      </c>
      <c r="I102" s="31" t="s">
        <v>864</v>
      </c>
      <c r="J102" s="31" t="s">
        <v>819</v>
      </c>
      <c r="K102" s="31" t="s">
        <v>828</v>
      </c>
      <c r="L102" s="31" t="s">
        <v>816</v>
      </c>
    </row>
    <row r="103" spans="1:12" ht="142.5">
      <c r="A103" s="58">
        <v>101</v>
      </c>
      <c r="B103" s="102"/>
      <c r="C103" s="93"/>
      <c r="D103" s="62" t="s">
        <v>762</v>
      </c>
      <c r="E103" s="64" t="s">
        <v>46</v>
      </c>
      <c r="F103" s="63" t="s">
        <v>1073</v>
      </c>
      <c r="G103" s="63" t="s">
        <v>1073</v>
      </c>
      <c r="H103" s="63" t="s">
        <v>1073</v>
      </c>
      <c r="I103" s="63" t="s">
        <v>1073</v>
      </c>
      <c r="J103" s="63" t="s">
        <v>1073</v>
      </c>
      <c r="K103" s="63" t="s">
        <v>1073</v>
      </c>
      <c r="L103" s="31" t="s">
        <v>816</v>
      </c>
    </row>
    <row r="104" spans="1:12" ht="313.5">
      <c r="A104" s="58">
        <v>102</v>
      </c>
      <c r="B104" s="102"/>
      <c r="C104" s="94"/>
      <c r="D104" s="62" t="s">
        <v>763</v>
      </c>
      <c r="E104" s="64" t="s">
        <v>46</v>
      </c>
      <c r="F104" s="63" t="s">
        <v>850</v>
      </c>
      <c r="G104" s="31" t="s">
        <v>897</v>
      </c>
      <c r="H104" s="31" t="s">
        <v>853</v>
      </c>
      <c r="I104" s="31" t="s">
        <v>977</v>
      </c>
      <c r="J104" s="31" t="s">
        <v>815</v>
      </c>
      <c r="K104" s="31" t="s">
        <v>898</v>
      </c>
      <c r="L104" s="31" t="s">
        <v>816</v>
      </c>
    </row>
    <row r="105" spans="1:12" ht="99.75">
      <c r="A105" s="58">
        <v>103</v>
      </c>
      <c r="B105" s="102"/>
      <c r="C105" s="92" t="s">
        <v>766</v>
      </c>
      <c r="D105" s="62" t="s">
        <v>753</v>
      </c>
      <c r="E105" s="64" t="s">
        <v>46</v>
      </c>
      <c r="F105" s="63" t="s">
        <v>939</v>
      </c>
      <c r="G105" s="31" t="s">
        <v>996</v>
      </c>
      <c r="H105" s="31" t="s">
        <v>940</v>
      </c>
      <c r="I105" s="31" t="s">
        <v>821</v>
      </c>
      <c r="J105" s="31" t="s">
        <v>815</v>
      </c>
      <c r="K105" s="31" t="s">
        <v>859</v>
      </c>
      <c r="L105" s="31" t="s">
        <v>816</v>
      </c>
    </row>
    <row r="106" spans="1:12" ht="71.25">
      <c r="A106" s="58">
        <v>104</v>
      </c>
      <c r="B106" s="102"/>
      <c r="C106" s="93"/>
      <c r="D106" s="103" t="s">
        <v>754</v>
      </c>
      <c r="E106" s="63" t="s">
        <v>778</v>
      </c>
      <c r="F106" s="63" t="s">
        <v>931</v>
      </c>
      <c r="G106" s="31" t="s">
        <v>818</v>
      </c>
      <c r="H106" s="31" t="s">
        <v>817</v>
      </c>
      <c r="I106" s="31" t="s">
        <v>1145</v>
      </c>
      <c r="J106" s="31" t="s">
        <v>819</v>
      </c>
      <c r="K106" s="31" t="s">
        <v>828</v>
      </c>
      <c r="L106" s="31" t="s">
        <v>816</v>
      </c>
    </row>
    <row r="107" spans="1:12" ht="99.75">
      <c r="A107" s="58">
        <v>105</v>
      </c>
      <c r="B107" s="102"/>
      <c r="C107" s="93"/>
      <c r="D107" s="104"/>
      <c r="E107" s="63" t="s">
        <v>871</v>
      </c>
      <c r="F107" s="63" t="s">
        <v>932</v>
      </c>
      <c r="G107" s="31" t="s">
        <v>820</v>
      </c>
      <c r="H107" s="31" t="s">
        <v>822</v>
      </c>
      <c r="I107" s="31" t="s">
        <v>821</v>
      </c>
      <c r="J107" s="31" t="s">
        <v>815</v>
      </c>
      <c r="K107" s="31" t="s">
        <v>860</v>
      </c>
      <c r="L107" s="31" t="s">
        <v>816</v>
      </c>
    </row>
    <row r="108" spans="1:12" ht="242.25">
      <c r="A108" s="58">
        <v>106</v>
      </c>
      <c r="B108" s="102"/>
      <c r="C108" s="93"/>
      <c r="D108" s="104"/>
      <c r="E108" s="63" t="s">
        <v>768</v>
      </c>
      <c r="F108" s="63" t="s">
        <v>933</v>
      </c>
      <c r="G108" s="31" t="s">
        <v>1148</v>
      </c>
      <c r="H108" s="31" t="s">
        <v>823</v>
      </c>
      <c r="I108" s="31" t="s">
        <v>821</v>
      </c>
      <c r="J108" s="31" t="s">
        <v>815</v>
      </c>
      <c r="K108" s="63" t="s">
        <v>1253</v>
      </c>
      <c r="L108" s="31" t="s">
        <v>816</v>
      </c>
    </row>
    <row r="109" spans="1:12" ht="156.75">
      <c r="A109" s="58">
        <v>107</v>
      </c>
      <c r="B109" s="102"/>
      <c r="C109" s="93"/>
      <c r="D109" s="105"/>
      <c r="E109" s="63" t="s">
        <v>780</v>
      </c>
      <c r="F109" s="63" t="s">
        <v>934</v>
      </c>
      <c r="G109" s="31" t="s">
        <v>826</v>
      </c>
      <c r="H109" s="31" t="s">
        <v>1146</v>
      </c>
      <c r="I109" s="31" t="s">
        <v>821</v>
      </c>
      <c r="J109" s="31" t="s">
        <v>815</v>
      </c>
      <c r="K109" s="31" t="s">
        <v>858</v>
      </c>
      <c r="L109" s="31" t="s">
        <v>816</v>
      </c>
    </row>
    <row r="110" spans="1:12" ht="85.5">
      <c r="A110" s="58">
        <v>108</v>
      </c>
      <c r="B110" s="102"/>
      <c r="C110" s="93"/>
      <c r="D110" s="103" t="s">
        <v>755</v>
      </c>
      <c r="E110" s="63" t="s">
        <v>778</v>
      </c>
      <c r="F110" s="63" t="s">
        <v>935</v>
      </c>
      <c r="G110" s="31" t="s">
        <v>830</v>
      </c>
      <c r="H110" s="31" t="s">
        <v>831</v>
      </c>
      <c r="I110" s="31" t="s">
        <v>977</v>
      </c>
      <c r="J110" s="31" t="s">
        <v>815</v>
      </c>
      <c r="K110" s="31" t="s">
        <v>832</v>
      </c>
      <c r="L110" s="31" t="s">
        <v>816</v>
      </c>
    </row>
    <row r="111" spans="1:12" ht="128.25">
      <c r="A111" s="58">
        <v>109</v>
      </c>
      <c r="B111" s="102"/>
      <c r="C111" s="93"/>
      <c r="D111" s="104"/>
      <c r="E111" s="63" t="s">
        <v>871</v>
      </c>
      <c r="F111" s="63" t="s">
        <v>936</v>
      </c>
      <c r="G111" s="31" t="s">
        <v>834</v>
      </c>
      <c r="H111" s="31" t="s">
        <v>835</v>
      </c>
      <c r="I111" s="31" t="s">
        <v>825</v>
      </c>
      <c r="J111" s="31" t="s">
        <v>819</v>
      </c>
      <c r="K111" s="31" t="s">
        <v>828</v>
      </c>
      <c r="L111" s="31" t="s">
        <v>816</v>
      </c>
    </row>
    <row r="112" spans="1:12" ht="242.25">
      <c r="A112" s="58">
        <v>110</v>
      </c>
      <c r="B112" s="102"/>
      <c r="C112" s="93"/>
      <c r="D112" s="104"/>
      <c r="E112" s="63" t="s">
        <v>768</v>
      </c>
      <c r="F112" s="63" t="s">
        <v>937</v>
      </c>
      <c r="G112" s="31" t="s">
        <v>1148</v>
      </c>
      <c r="H112" s="31" t="s">
        <v>823</v>
      </c>
      <c r="I112" s="31" t="s">
        <v>821</v>
      </c>
      <c r="J112" s="31" t="s">
        <v>815</v>
      </c>
      <c r="K112" s="63" t="s">
        <v>1253</v>
      </c>
      <c r="L112" s="31" t="s">
        <v>816</v>
      </c>
    </row>
    <row r="113" spans="1:12" ht="85.5">
      <c r="A113" s="58">
        <v>111</v>
      </c>
      <c r="B113" s="102"/>
      <c r="C113" s="93"/>
      <c r="D113" s="105"/>
      <c r="E113" s="63" t="s">
        <v>780</v>
      </c>
      <c r="F113" s="63" t="s">
        <v>938</v>
      </c>
      <c r="G113" s="31" t="s">
        <v>845</v>
      </c>
      <c r="H113" s="31" t="s">
        <v>1146</v>
      </c>
      <c r="I113" s="31" t="s">
        <v>825</v>
      </c>
      <c r="J113" s="31" t="s">
        <v>819</v>
      </c>
      <c r="K113" s="31" t="s">
        <v>828</v>
      </c>
      <c r="L113" s="31" t="s">
        <v>816</v>
      </c>
    </row>
    <row r="114" spans="1:12" ht="228">
      <c r="A114" s="58">
        <v>112</v>
      </c>
      <c r="B114" s="102"/>
      <c r="C114" s="93"/>
      <c r="D114" s="62" t="s">
        <v>756</v>
      </c>
      <c r="E114" s="63" t="s">
        <v>786</v>
      </c>
      <c r="F114" s="63" t="s">
        <v>841</v>
      </c>
      <c r="G114" s="31" t="s">
        <v>846</v>
      </c>
      <c r="H114" s="31" t="s">
        <v>842</v>
      </c>
      <c r="I114" s="31" t="s">
        <v>843</v>
      </c>
      <c r="J114" s="31" t="s">
        <v>815</v>
      </c>
      <c r="K114" s="31" t="s">
        <v>861</v>
      </c>
      <c r="L114" s="31" t="s">
        <v>816</v>
      </c>
    </row>
    <row r="115" spans="1:12" ht="85.5">
      <c r="A115" s="58">
        <v>113</v>
      </c>
      <c r="B115" s="102"/>
      <c r="C115" s="93"/>
      <c r="D115" s="103" t="s">
        <v>757</v>
      </c>
      <c r="E115" s="63" t="s">
        <v>790</v>
      </c>
      <c r="F115" s="63" t="s">
        <v>844</v>
      </c>
      <c r="G115" s="31" t="s">
        <v>847</v>
      </c>
      <c r="H115" s="31" t="s">
        <v>851</v>
      </c>
      <c r="I115" s="31" t="s">
        <v>843</v>
      </c>
      <c r="J115" s="31" t="s">
        <v>815</v>
      </c>
      <c r="K115" s="31" t="s">
        <v>859</v>
      </c>
      <c r="L115" s="31" t="s">
        <v>816</v>
      </c>
    </row>
    <row r="116" spans="1:12" ht="99.75">
      <c r="A116" s="58">
        <v>114</v>
      </c>
      <c r="B116" s="102"/>
      <c r="C116" s="93"/>
      <c r="D116" s="104"/>
      <c r="E116" s="63" t="s">
        <v>789</v>
      </c>
      <c r="F116" s="63" t="s">
        <v>848</v>
      </c>
      <c r="G116" s="31" t="s">
        <v>847</v>
      </c>
      <c r="H116" s="31" t="s">
        <v>852</v>
      </c>
      <c r="I116" s="31" t="s">
        <v>843</v>
      </c>
      <c r="J116" s="31" t="s">
        <v>815</v>
      </c>
      <c r="K116" s="31" t="s">
        <v>849</v>
      </c>
      <c r="L116" s="31" t="s">
        <v>816</v>
      </c>
    </row>
    <row r="117" spans="1:12" ht="114">
      <c r="A117" s="58">
        <v>115</v>
      </c>
      <c r="B117" s="102"/>
      <c r="C117" s="93"/>
      <c r="D117" s="104"/>
      <c r="E117" s="63" t="s">
        <v>872</v>
      </c>
      <c r="F117" s="63" t="s">
        <v>850</v>
      </c>
      <c r="G117" s="31" t="s">
        <v>847</v>
      </c>
      <c r="H117" s="31" t="s">
        <v>853</v>
      </c>
      <c r="I117" s="31" t="s">
        <v>843</v>
      </c>
      <c r="J117" s="31" t="s">
        <v>815</v>
      </c>
      <c r="K117" s="31" t="s">
        <v>854</v>
      </c>
      <c r="L117" s="31" t="s">
        <v>816</v>
      </c>
    </row>
    <row r="118" spans="1:12" ht="85.5">
      <c r="A118" s="58">
        <v>116</v>
      </c>
      <c r="B118" s="102"/>
      <c r="C118" s="93"/>
      <c r="D118" s="105"/>
      <c r="E118" s="63" t="s">
        <v>780</v>
      </c>
      <c r="F118" s="63" t="s">
        <v>855</v>
      </c>
      <c r="G118" s="31" t="s">
        <v>847</v>
      </c>
      <c r="H118" s="31" t="s">
        <v>856</v>
      </c>
      <c r="I118" s="31" t="s">
        <v>843</v>
      </c>
      <c r="J118" s="31" t="s">
        <v>815</v>
      </c>
      <c r="K118" s="31" t="s">
        <v>857</v>
      </c>
      <c r="L118" s="31" t="s">
        <v>816</v>
      </c>
    </row>
    <row r="119" spans="1:12" ht="71.25">
      <c r="A119" s="58">
        <v>117</v>
      </c>
      <c r="B119" s="102"/>
      <c r="C119" s="93"/>
      <c r="D119" s="103" t="s">
        <v>758</v>
      </c>
      <c r="E119" s="63" t="s">
        <v>791</v>
      </c>
      <c r="F119" s="63" t="s">
        <v>862</v>
      </c>
      <c r="G119" s="31" t="s">
        <v>863</v>
      </c>
      <c r="H119" s="31" t="s">
        <v>866</v>
      </c>
      <c r="I119" s="31" t="s">
        <v>864</v>
      </c>
      <c r="J119" s="31" t="s">
        <v>819</v>
      </c>
      <c r="K119" s="31" t="s">
        <v>828</v>
      </c>
      <c r="L119" s="31" t="s">
        <v>816</v>
      </c>
    </row>
    <row r="120" spans="1:12" ht="270.75">
      <c r="A120" s="58">
        <v>118</v>
      </c>
      <c r="B120" s="102"/>
      <c r="C120" s="93"/>
      <c r="D120" s="104"/>
      <c r="E120" s="63" t="s">
        <v>792</v>
      </c>
      <c r="F120" s="63" t="s">
        <v>865</v>
      </c>
      <c r="G120" s="31" t="s">
        <v>869</v>
      </c>
      <c r="H120" s="31" t="s">
        <v>867</v>
      </c>
      <c r="I120" s="31" t="s">
        <v>868</v>
      </c>
      <c r="J120" s="31" t="s">
        <v>815</v>
      </c>
      <c r="K120" s="31" t="s">
        <v>870</v>
      </c>
      <c r="L120" s="31" t="s">
        <v>816</v>
      </c>
    </row>
    <row r="121" spans="1:12" ht="99.75">
      <c r="A121" s="58">
        <v>119</v>
      </c>
      <c r="B121" s="102"/>
      <c r="C121" s="93"/>
      <c r="D121" s="104"/>
      <c r="E121" s="63" t="s">
        <v>871</v>
      </c>
      <c r="F121" s="63" t="s">
        <v>875</v>
      </c>
      <c r="G121" s="31" t="s">
        <v>876</v>
      </c>
      <c r="H121" s="31" t="s">
        <v>867</v>
      </c>
      <c r="I121" s="31" t="s">
        <v>843</v>
      </c>
      <c r="J121" s="31" t="s">
        <v>815</v>
      </c>
      <c r="K121" s="31" t="s">
        <v>854</v>
      </c>
      <c r="L121" s="31" t="s">
        <v>816</v>
      </c>
    </row>
    <row r="122" spans="1:12" ht="85.5">
      <c r="A122" s="58">
        <v>120</v>
      </c>
      <c r="B122" s="102"/>
      <c r="C122" s="93"/>
      <c r="D122" s="105"/>
      <c r="E122" s="63" t="s">
        <v>790</v>
      </c>
      <c r="F122" s="63" t="s">
        <v>877</v>
      </c>
      <c r="G122" s="31" t="s">
        <v>878</v>
      </c>
      <c r="H122" s="31" t="s">
        <v>867</v>
      </c>
      <c r="I122" s="31" t="s">
        <v>843</v>
      </c>
      <c r="J122" s="31" t="s">
        <v>815</v>
      </c>
      <c r="K122" s="31" t="s">
        <v>859</v>
      </c>
      <c r="L122" s="31" t="s">
        <v>816</v>
      </c>
    </row>
    <row r="123" spans="1:12" ht="242.25">
      <c r="A123" s="58">
        <v>121</v>
      </c>
      <c r="B123" s="102"/>
      <c r="C123" s="93"/>
      <c r="D123" s="103" t="s">
        <v>759</v>
      </c>
      <c r="E123" s="63" t="s">
        <v>786</v>
      </c>
      <c r="F123" s="63" t="s">
        <v>941</v>
      </c>
      <c r="G123" s="31" t="s">
        <v>942</v>
      </c>
      <c r="H123" s="31" t="s">
        <v>881</v>
      </c>
      <c r="I123" s="31" t="s">
        <v>882</v>
      </c>
      <c r="J123" s="31" t="s">
        <v>815</v>
      </c>
      <c r="K123" s="31" t="s">
        <v>893</v>
      </c>
      <c r="L123" s="31" t="s">
        <v>816</v>
      </c>
    </row>
    <row r="124" spans="1:12" ht="171">
      <c r="A124" s="58">
        <v>122</v>
      </c>
      <c r="B124" s="102"/>
      <c r="C124" s="93"/>
      <c r="D124" s="104"/>
      <c r="E124" s="63" t="s">
        <v>789</v>
      </c>
      <c r="F124" s="63" t="s">
        <v>883</v>
      </c>
      <c r="G124" s="31" t="s">
        <v>884</v>
      </c>
      <c r="H124" s="31" t="s">
        <v>885</v>
      </c>
      <c r="I124" s="31" t="s">
        <v>868</v>
      </c>
      <c r="J124" s="31" t="s">
        <v>815</v>
      </c>
      <c r="K124" s="31" t="s">
        <v>849</v>
      </c>
      <c r="L124" s="31" t="s">
        <v>816</v>
      </c>
    </row>
    <row r="125" spans="1:12" ht="171">
      <c r="A125" s="58">
        <v>123</v>
      </c>
      <c r="B125" s="102"/>
      <c r="C125" s="93"/>
      <c r="D125" s="104"/>
      <c r="E125" s="63" t="s">
        <v>872</v>
      </c>
      <c r="F125" s="63" t="s">
        <v>886</v>
      </c>
      <c r="G125" s="31" t="s">
        <v>884</v>
      </c>
      <c r="H125" s="31" t="s">
        <v>887</v>
      </c>
      <c r="I125" s="31" t="s">
        <v>888</v>
      </c>
      <c r="J125" s="31" t="s">
        <v>815</v>
      </c>
      <c r="K125" s="31" t="s">
        <v>854</v>
      </c>
      <c r="L125" s="31" t="s">
        <v>816</v>
      </c>
    </row>
    <row r="126" spans="1:12" ht="71.25">
      <c r="A126" s="58">
        <v>124</v>
      </c>
      <c r="B126" s="102"/>
      <c r="C126" s="93"/>
      <c r="D126" s="104"/>
      <c r="E126" s="63" t="s">
        <v>778</v>
      </c>
      <c r="F126" s="63" t="s">
        <v>889</v>
      </c>
      <c r="G126" s="63" t="s">
        <v>889</v>
      </c>
      <c r="H126" s="63" t="s">
        <v>889</v>
      </c>
      <c r="I126" s="63" t="s">
        <v>889</v>
      </c>
      <c r="J126" s="63" t="s">
        <v>889</v>
      </c>
      <c r="K126" s="63" t="s">
        <v>889</v>
      </c>
      <c r="L126" s="31" t="s">
        <v>816</v>
      </c>
    </row>
    <row r="127" spans="1:12" ht="71.25">
      <c r="A127" s="58">
        <v>125</v>
      </c>
      <c r="B127" s="102"/>
      <c r="C127" s="93"/>
      <c r="D127" s="104"/>
      <c r="E127" s="63" t="s">
        <v>768</v>
      </c>
      <c r="F127" s="63" t="s">
        <v>890</v>
      </c>
      <c r="G127" s="63" t="s">
        <v>890</v>
      </c>
      <c r="H127" s="63" t="s">
        <v>890</v>
      </c>
      <c r="I127" s="63" t="s">
        <v>890</v>
      </c>
      <c r="J127" s="63" t="s">
        <v>890</v>
      </c>
      <c r="K127" s="63" t="s">
        <v>890</v>
      </c>
      <c r="L127" s="31" t="s">
        <v>816</v>
      </c>
    </row>
    <row r="128" spans="1:12" ht="327.75">
      <c r="A128" s="58">
        <v>126</v>
      </c>
      <c r="B128" s="102"/>
      <c r="C128" s="93"/>
      <c r="D128" s="105"/>
      <c r="E128" s="63" t="s">
        <v>780</v>
      </c>
      <c r="F128" s="63" t="s">
        <v>943</v>
      </c>
      <c r="G128" s="31" t="s">
        <v>892</v>
      </c>
      <c r="H128" s="31" t="s">
        <v>1147</v>
      </c>
      <c r="I128" s="31" t="s">
        <v>882</v>
      </c>
      <c r="J128" s="31" t="s">
        <v>815</v>
      </c>
      <c r="K128" s="63" t="s">
        <v>1254</v>
      </c>
      <c r="L128" s="31" t="s">
        <v>816</v>
      </c>
    </row>
    <row r="129" spans="1:12" ht="384.75">
      <c r="A129" s="58">
        <v>127</v>
      </c>
      <c r="B129" s="102"/>
      <c r="C129" s="93"/>
      <c r="D129" s="103" t="s">
        <v>760</v>
      </c>
      <c r="E129" s="63" t="s">
        <v>789</v>
      </c>
      <c r="F129" s="63" t="s">
        <v>944</v>
      </c>
      <c r="G129" s="31" t="s">
        <v>884</v>
      </c>
      <c r="H129" s="31" t="s">
        <v>885</v>
      </c>
      <c r="I129" s="31" t="s">
        <v>868</v>
      </c>
      <c r="J129" s="31" t="s">
        <v>815</v>
      </c>
      <c r="K129" s="31" t="s">
        <v>895</v>
      </c>
      <c r="L129" s="31" t="s">
        <v>816</v>
      </c>
    </row>
    <row r="130" spans="1:12" ht="313.5">
      <c r="A130" s="58">
        <v>128</v>
      </c>
      <c r="B130" s="102"/>
      <c r="C130" s="93"/>
      <c r="D130" s="104"/>
      <c r="E130" s="63" t="s">
        <v>872</v>
      </c>
      <c r="F130" s="63" t="s">
        <v>896</v>
      </c>
      <c r="G130" s="31" t="s">
        <v>897</v>
      </c>
      <c r="H130" s="31" t="s">
        <v>853</v>
      </c>
      <c r="I130" s="31" t="s">
        <v>977</v>
      </c>
      <c r="J130" s="31" t="s">
        <v>815</v>
      </c>
      <c r="K130" s="31" t="s">
        <v>898</v>
      </c>
      <c r="L130" s="31" t="s">
        <v>816</v>
      </c>
    </row>
    <row r="131" spans="1:12" ht="71.25">
      <c r="A131" s="58">
        <v>129</v>
      </c>
      <c r="B131" s="102"/>
      <c r="C131" s="93"/>
      <c r="D131" s="104"/>
      <c r="E131" s="63" t="s">
        <v>787</v>
      </c>
      <c r="F131" s="63" t="s">
        <v>862</v>
      </c>
      <c r="G131" s="31" t="s">
        <v>863</v>
      </c>
      <c r="H131" s="31" t="s">
        <v>866</v>
      </c>
      <c r="I131" s="31" t="s">
        <v>864</v>
      </c>
      <c r="J131" s="31" t="s">
        <v>819</v>
      </c>
      <c r="K131" s="31" t="s">
        <v>828</v>
      </c>
      <c r="L131" s="31" t="s">
        <v>816</v>
      </c>
    </row>
    <row r="132" spans="1:12" ht="71.25">
      <c r="A132" s="58">
        <v>130</v>
      </c>
      <c r="B132" s="102"/>
      <c r="C132" s="93"/>
      <c r="D132" s="105"/>
      <c r="E132" s="63" t="s">
        <v>788</v>
      </c>
      <c r="F132" s="63" t="s">
        <v>862</v>
      </c>
      <c r="G132" s="31" t="s">
        <v>863</v>
      </c>
      <c r="H132" s="31" t="s">
        <v>866</v>
      </c>
      <c r="I132" s="31" t="s">
        <v>864</v>
      </c>
      <c r="J132" s="31" t="s">
        <v>819</v>
      </c>
      <c r="K132" s="31" t="s">
        <v>828</v>
      </c>
      <c r="L132" s="31" t="s">
        <v>816</v>
      </c>
    </row>
    <row r="133" spans="1:12" ht="57">
      <c r="A133" s="58">
        <v>131</v>
      </c>
      <c r="B133" s="102"/>
      <c r="C133" s="93"/>
      <c r="D133" s="103" t="s">
        <v>761</v>
      </c>
      <c r="E133" s="63" t="s">
        <v>789</v>
      </c>
      <c r="F133" s="63" t="s">
        <v>899</v>
      </c>
      <c r="G133" s="31" t="s">
        <v>900</v>
      </c>
      <c r="H133" s="31" t="s">
        <v>900</v>
      </c>
      <c r="I133" s="31" t="s">
        <v>901</v>
      </c>
      <c r="J133" s="31" t="s">
        <v>819</v>
      </c>
      <c r="K133" s="31" t="s">
        <v>828</v>
      </c>
      <c r="L133" s="31" t="s">
        <v>816</v>
      </c>
    </row>
    <row r="134" spans="1:12" ht="57">
      <c r="A134" s="58">
        <v>132</v>
      </c>
      <c r="B134" s="102"/>
      <c r="C134" s="93"/>
      <c r="D134" s="104"/>
      <c r="E134" s="63" t="s">
        <v>872</v>
      </c>
      <c r="F134" s="63" t="s">
        <v>899</v>
      </c>
      <c r="G134" s="31" t="s">
        <v>900</v>
      </c>
      <c r="H134" s="31" t="s">
        <v>900</v>
      </c>
      <c r="I134" s="31" t="s">
        <v>901</v>
      </c>
      <c r="J134" s="31" t="s">
        <v>819</v>
      </c>
      <c r="K134" s="31" t="s">
        <v>828</v>
      </c>
      <c r="L134" s="31" t="s">
        <v>816</v>
      </c>
    </row>
    <row r="135" spans="1:12" ht="71.25">
      <c r="A135" s="58">
        <v>133</v>
      </c>
      <c r="B135" s="102"/>
      <c r="C135" s="93"/>
      <c r="D135" s="104"/>
      <c r="E135" s="63" t="s">
        <v>787</v>
      </c>
      <c r="F135" s="63" t="s">
        <v>862</v>
      </c>
      <c r="G135" s="31" t="s">
        <v>863</v>
      </c>
      <c r="H135" s="31" t="s">
        <v>866</v>
      </c>
      <c r="I135" s="31" t="s">
        <v>864</v>
      </c>
      <c r="J135" s="31" t="s">
        <v>819</v>
      </c>
      <c r="K135" s="31" t="s">
        <v>828</v>
      </c>
      <c r="L135" s="31" t="s">
        <v>816</v>
      </c>
    </row>
    <row r="136" spans="1:12" ht="71.25">
      <c r="A136" s="58">
        <v>134</v>
      </c>
      <c r="B136" s="102"/>
      <c r="C136" s="93"/>
      <c r="D136" s="105"/>
      <c r="E136" s="63" t="s">
        <v>788</v>
      </c>
      <c r="F136" s="63" t="s">
        <v>862</v>
      </c>
      <c r="G136" s="31" t="s">
        <v>863</v>
      </c>
      <c r="H136" s="31" t="s">
        <v>866</v>
      </c>
      <c r="I136" s="31" t="s">
        <v>864</v>
      </c>
      <c r="J136" s="31" t="s">
        <v>819</v>
      </c>
      <c r="K136" s="31" t="s">
        <v>828</v>
      </c>
      <c r="L136" s="31" t="s">
        <v>816</v>
      </c>
    </row>
    <row r="137" spans="1:12" ht="142.5">
      <c r="A137" s="58">
        <v>135</v>
      </c>
      <c r="B137" s="102"/>
      <c r="C137" s="93"/>
      <c r="D137" s="62" t="s">
        <v>762</v>
      </c>
      <c r="E137" s="64" t="s">
        <v>46</v>
      </c>
      <c r="F137" s="63" t="s">
        <v>1073</v>
      </c>
      <c r="G137" s="63" t="s">
        <v>1073</v>
      </c>
      <c r="H137" s="63" t="s">
        <v>1073</v>
      </c>
      <c r="I137" s="63" t="s">
        <v>1073</v>
      </c>
      <c r="J137" s="63" t="s">
        <v>1073</v>
      </c>
      <c r="K137" s="63" t="s">
        <v>1073</v>
      </c>
      <c r="L137" s="31" t="s">
        <v>816</v>
      </c>
    </row>
    <row r="138" spans="1:12" ht="313.5">
      <c r="A138" s="58">
        <v>136</v>
      </c>
      <c r="B138" s="102"/>
      <c r="C138" s="94"/>
      <c r="D138" s="62" t="s">
        <v>763</v>
      </c>
      <c r="E138" s="64" t="s">
        <v>46</v>
      </c>
      <c r="F138" s="63" t="s">
        <v>850</v>
      </c>
      <c r="G138" s="31" t="s">
        <v>897</v>
      </c>
      <c r="H138" s="31" t="s">
        <v>853</v>
      </c>
      <c r="I138" s="31" t="s">
        <v>977</v>
      </c>
      <c r="J138" s="31" t="s">
        <v>815</v>
      </c>
      <c r="K138" s="31" t="s">
        <v>898</v>
      </c>
      <c r="L138" s="31" t="s">
        <v>816</v>
      </c>
    </row>
    <row r="139" spans="1:12" ht="114">
      <c r="A139" s="58">
        <v>137</v>
      </c>
      <c r="B139" s="102"/>
      <c r="C139" s="92" t="s">
        <v>767</v>
      </c>
      <c r="D139" s="62" t="s">
        <v>753</v>
      </c>
      <c r="E139" s="64" t="s">
        <v>46</v>
      </c>
      <c r="F139" s="63" t="s">
        <v>958</v>
      </c>
      <c r="G139" s="31" t="s">
        <v>997</v>
      </c>
      <c r="H139" s="31" t="s">
        <v>953</v>
      </c>
      <c r="I139" s="31" t="s">
        <v>821</v>
      </c>
      <c r="J139" s="31" t="s">
        <v>815</v>
      </c>
      <c r="K139" s="31" t="s">
        <v>859</v>
      </c>
      <c r="L139" s="31" t="s">
        <v>816</v>
      </c>
    </row>
    <row r="140" spans="1:12" ht="71.25">
      <c r="A140" s="58">
        <v>138</v>
      </c>
      <c r="B140" s="102"/>
      <c r="C140" s="93"/>
      <c r="D140" s="103" t="s">
        <v>754</v>
      </c>
      <c r="E140" s="63" t="s">
        <v>778</v>
      </c>
      <c r="F140" s="63" t="s">
        <v>945</v>
      </c>
      <c r="G140" s="31" t="s">
        <v>818</v>
      </c>
      <c r="H140" s="31" t="s">
        <v>817</v>
      </c>
      <c r="I140" s="31" t="s">
        <v>1145</v>
      </c>
      <c r="J140" s="31" t="s">
        <v>819</v>
      </c>
      <c r="K140" s="31" t="s">
        <v>828</v>
      </c>
      <c r="L140" s="31" t="s">
        <v>816</v>
      </c>
    </row>
    <row r="141" spans="1:12" ht="99.75">
      <c r="A141" s="58">
        <v>139</v>
      </c>
      <c r="B141" s="102"/>
      <c r="C141" s="93"/>
      <c r="D141" s="104"/>
      <c r="E141" s="63" t="s">
        <v>871</v>
      </c>
      <c r="F141" s="63" t="s">
        <v>946</v>
      </c>
      <c r="G141" s="31" t="s">
        <v>820</v>
      </c>
      <c r="H141" s="31" t="s">
        <v>822</v>
      </c>
      <c r="I141" s="31" t="s">
        <v>821</v>
      </c>
      <c r="J141" s="31" t="s">
        <v>815</v>
      </c>
      <c r="K141" s="31" t="s">
        <v>860</v>
      </c>
      <c r="L141" s="31" t="s">
        <v>816</v>
      </c>
    </row>
    <row r="142" spans="1:12" ht="256.5">
      <c r="A142" s="58">
        <v>140</v>
      </c>
      <c r="B142" s="102"/>
      <c r="C142" s="93"/>
      <c r="D142" s="104"/>
      <c r="E142" s="63" t="s">
        <v>768</v>
      </c>
      <c r="F142" s="63" t="s">
        <v>947</v>
      </c>
      <c r="G142" s="31" t="s">
        <v>959</v>
      </c>
      <c r="H142" s="31" t="s">
        <v>823</v>
      </c>
      <c r="I142" s="31" t="s">
        <v>821</v>
      </c>
      <c r="J142" s="31" t="s">
        <v>815</v>
      </c>
      <c r="K142" s="63" t="s">
        <v>1261</v>
      </c>
      <c r="L142" s="31" t="s">
        <v>816</v>
      </c>
    </row>
    <row r="143" spans="1:12" ht="156.75">
      <c r="A143" s="58">
        <v>141</v>
      </c>
      <c r="B143" s="102"/>
      <c r="C143" s="93"/>
      <c r="D143" s="105"/>
      <c r="E143" s="63" t="s">
        <v>780</v>
      </c>
      <c r="F143" s="63" t="s">
        <v>948</v>
      </c>
      <c r="G143" s="31" t="s">
        <v>826</v>
      </c>
      <c r="H143" s="31" t="s">
        <v>1146</v>
      </c>
      <c r="I143" s="31" t="s">
        <v>821</v>
      </c>
      <c r="J143" s="31" t="s">
        <v>815</v>
      </c>
      <c r="K143" s="31" t="s">
        <v>858</v>
      </c>
      <c r="L143" s="31" t="s">
        <v>816</v>
      </c>
    </row>
    <row r="144" spans="1:12" ht="85.5">
      <c r="A144" s="58">
        <v>142</v>
      </c>
      <c r="B144" s="102"/>
      <c r="C144" s="93"/>
      <c r="D144" s="103" t="s">
        <v>755</v>
      </c>
      <c r="E144" s="63" t="s">
        <v>778</v>
      </c>
      <c r="F144" s="63" t="s">
        <v>949</v>
      </c>
      <c r="G144" s="31" t="s">
        <v>830</v>
      </c>
      <c r="H144" s="31" t="s">
        <v>831</v>
      </c>
      <c r="I144" s="31" t="s">
        <v>977</v>
      </c>
      <c r="J144" s="31" t="s">
        <v>815</v>
      </c>
      <c r="K144" s="31" t="s">
        <v>832</v>
      </c>
      <c r="L144" s="31" t="s">
        <v>816</v>
      </c>
    </row>
    <row r="145" spans="1:12" ht="128.25">
      <c r="A145" s="58">
        <v>143</v>
      </c>
      <c r="B145" s="102"/>
      <c r="C145" s="93"/>
      <c r="D145" s="104"/>
      <c r="E145" s="63" t="s">
        <v>871</v>
      </c>
      <c r="F145" s="63" t="s">
        <v>950</v>
      </c>
      <c r="G145" s="31" t="s">
        <v>834</v>
      </c>
      <c r="H145" s="31" t="s">
        <v>835</v>
      </c>
      <c r="I145" s="31" t="s">
        <v>825</v>
      </c>
      <c r="J145" s="31" t="s">
        <v>819</v>
      </c>
      <c r="K145" s="31" t="s">
        <v>828</v>
      </c>
      <c r="L145" s="31" t="s">
        <v>816</v>
      </c>
    </row>
    <row r="146" spans="1:12" ht="256.5">
      <c r="A146" s="58">
        <v>144</v>
      </c>
      <c r="B146" s="102"/>
      <c r="C146" s="93"/>
      <c r="D146" s="104"/>
      <c r="E146" s="63" t="s">
        <v>768</v>
      </c>
      <c r="F146" s="63" t="s">
        <v>951</v>
      </c>
      <c r="G146" s="31" t="s">
        <v>959</v>
      </c>
      <c r="H146" s="31" t="s">
        <v>823</v>
      </c>
      <c r="I146" s="31" t="s">
        <v>821</v>
      </c>
      <c r="J146" s="31" t="s">
        <v>815</v>
      </c>
      <c r="K146" s="63" t="s">
        <v>1261</v>
      </c>
      <c r="L146" s="31" t="s">
        <v>816</v>
      </c>
    </row>
    <row r="147" spans="1:12" ht="85.5">
      <c r="A147" s="58">
        <v>145</v>
      </c>
      <c r="B147" s="102"/>
      <c r="C147" s="93"/>
      <c r="D147" s="105"/>
      <c r="E147" s="63" t="s">
        <v>780</v>
      </c>
      <c r="F147" s="63" t="s">
        <v>952</v>
      </c>
      <c r="G147" s="31" t="s">
        <v>845</v>
      </c>
      <c r="H147" s="31" t="s">
        <v>1146</v>
      </c>
      <c r="I147" s="31" t="s">
        <v>825</v>
      </c>
      <c r="J147" s="31" t="s">
        <v>819</v>
      </c>
      <c r="K147" s="31" t="s">
        <v>828</v>
      </c>
      <c r="L147" s="31" t="s">
        <v>816</v>
      </c>
    </row>
    <row r="148" spans="1:12" ht="228">
      <c r="A148" s="58">
        <v>146</v>
      </c>
      <c r="B148" s="102"/>
      <c r="C148" s="93"/>
      <c r="D148" s="62" t="s">
        <v>756</v>
      </c>
      <c r="E148" s="63" t="s">
        <v>786</v>
      </c>
      <c r="F148" s="63" t="s">
        <v>841</v>
      </c>
      <c r="G148" s="31" t="s">
        <v>846</v>
      </c>
      <c r="H148" s="31" t="s">
        <v>842</v>
      </c>
      <c r="I148" s="31" t="s">
        <v>843</v>
      </c>
      <c r="J148" s="31" t="s">
        <v>815</v>
      </c>
      <c r="K148" s="31" t="s">
        <v>861</v>
      </c>
      <c r="L148" s="31" t="s">
        <v>816</v>
      </c>
    </row>
    <row r="149" spans="1:12" ht="85.5">
      <c r="A149" s="58">
        <v>147</v>
      </c>
      <c r="B149" s="102"/>
      <c r="C149" s="93"/>
      <c r="D149" s="103" t="s">
        <v>757</v>
      </c>
      <c r="E149" s="63" t="s">
        <v>790</v>
      </c>
      <c r="F149" s="63" t="s">
        <v>844</v>
      </c>
      <c r="G149" s="31" t="s">
        <v>847</v>
      </c>
      <c r="H149" s="31" t="s">
        <v>851</v>
      </c>
      <c r="I149" s="31" t="s">
        <v>843</v>
      </c>
      <c r="J149" s="31" t="s">
        <v>815</v>
      </c>
      <c r="K149" s="31" t="s">
        <v>859</v>
      </c>
      <c r="L149" s="31" t="s">
        <v>816</v>
      </c>
    </row>
    <row r="150" spans="1:12" ht="99.75">
      <c r="A150" s="58">
        <v>148</v>
      </c>
      <c r="B150" s="102"/>
      <c r="C150" s="93"/>
      <c r="D150" s="104"/>
      <c r="E150" s="63" t="s">
        <v>789</v>
      </c>
      <c r="F150" s="63" t="s">
        <v>848</v>
      </c>
      <c r="G150" s="31" t="s">
        <v>847</v>
      </c>
      <c r="H150" s="31" t="s">
        <v>852</v>
      </c>
      <c r="I150" s="31" t="s">
        <v>843</v>
      </c>
      <c r="J150" s="31" t="s">
        <v>815</v>
      </c>
      <c r="K150" s="31" t="s">
        <v>849</v>
      </c>
      <c r="L150" s="31" t="s">
        <v>816</v>
      </c>
    </row>
    <row r="151" spans="1:12" ht="114">
      <c r="A151" s="58">
        <v>149</v>
      </c>
      <c r="B151" s="102"/>
      <c r="C151" s="93"/>
      <c r="D151" s="104"/>
      <c r="E151" s="63" t="s">
        <v>872</v>
      </c>
      <c r="F151" s="63" t="s">
        <v>850</v>
      </c>
      <c r="G151" s="31" t="s">
        <v>847</v>
      </c>
      <c r="H151" s="31" t="s">
        <v>853</v>
      </c>
      <c r="I151" s="31" t="s">
        <v>843</v>
      </c>
      <c r="J151" s="31" t="s">
        <v>815</v>
      </c>
      <c r="K151" s="31" t="s">
        <v>854</v>
      </c>
      <c r="L151" s="31" t="s">
        <v>816</v>
      </c>
    </row>
    <row r="152" spans="1:12" ht="85.5">
      <c r="A152" s="58">
        <v>150</v>
      </c>
      <c r="B152" s="102"/>
      <c r="C152" s="93"/>
      <c r="D152" s="105"/>
      <c r="E152" s="63" t="s">
        <v>780</v>
      </c>
      <c r="F152" s="63" t="s">
        <v>855</v>
      </c>
      <c r="G152" s="31" t="s">
        <v>847</v>
      </c>
      <c r="H152" s="31" t="s">
        <v>856</v>
      </c>
      <c r="I152" s="31" t="s">
        <v>843</v>
      </c>
      <c r="J152" s="31" t="s">
        <v>815</v>
      </c>
      <c r="K152" s="31" t="s">
        <v>857</v>
      </c>
      <c r="L152" s="31" t="s">
        <v>816</v>
      </c>
    </row>
    <row r="153" spans="1:12" ht="71.25">
      <c r="A153" s="58">
        <v>151</v>
      </c>
      <c r="B153" s="102"/>
      <c r="C153" s="93"/>
      <c r="D153" s="103" t="s">
        <v>758</v>
      </c>
      <c r="E153" s="63" t="s">
        <v>791</v>
      </c>
      <c r="F153" s="63" t="s">
        <v>862</v>
      </c>
      <c r="G153" s="31" t="s">
        <v>863</v>
      </c>
      <c r="H153" s="31" t="s">
        <v>866</v>
      </c>
      <c r="I153" s="31" t="s">
        <v>864</v>
      </c>
      <c r="J153" s="31" t="s">
        <v>819</v>
      </c>
      <c r="K153" s="31" t="s">
        <v>828</v>
      </c>
      <c r="L153" s="31" t="s">
        <v>816</v>
      </c>
    </row>
    <row r="154" spans="1:12" ht="270.75">
      <c r="A154" s="58">
        <v>152</v>
      </c>
      <c r="B154" s="102"/>
      <c r="C154" s="93"/>
      <c r="D154" s="104"/>
      <c r="E154" s="63" t="s">
        <v>792</v>
      </c>
      <c r="F154" s="63" t="s">
        <v>865</v>
      </c>
      <c r="G154" s="31" t="s">
        <v>869</v>
      </c>
      <c r="H154" s="31" t="s">
        <v>867</v>
      </c>
      <c r="I154" s="31" t="s">
        <v>868</v>
      </c>
      <c r="J154" s="31" t="s">
        <v>815</v>
      </c>
      <c r="K154" s="31" t="s">
        <v>870</v>
      </c>
      <c r="L154" s="31" t="s">
        <v>816</v>
      </c>
    </row>
    <row r="155" spans="1:12" ht="99.75">
      <c r="A155" s="58">
        <v>153</v>
      </c>
      <c r="B155" s="102"/>
      <c r="C155" s="93"/>
      <c r="D155" s="104"/>
      <c r="E155" s="63" t="s">
        <v>871</v>
      </c>
      <c r="F155" s="63" t="s">
        <v>875</v>
      </c>
      <c r="G155" s="31" t="s">
        <v>876</v>
      </c>
      <c r="H155" s="31" t="s">
        <v>867</v>
      </c>
      <c r="I155" s="31" t="s">
        <v>843</v>
      </c>
      <c r="J155" s="31" t="s">
        <v>815</v>
      </c>
      <c r="K155" s="31" t="s">
        <v>854</v>
      </c>
      <c r="L155" s="31" t="s">
        <v>816</v>
      </c>
    </row>
    <row r="156" spans="1:12" ht="85.5">
      <c r="A156" s="58">
        <v>154</v>
      </c>
      <c r="B156" s="102"/>
      <c r="C156" s="93"/>
      <c r="D156" s="105"/>
      <c r="E156" s="63" t="s">
        <v>790</v>
      </c>
      <c r="F156" s="63" t="s">
        <v>877</v>
      </c>
      <c r="G156" s="31" t="s">
        <v>878</v>
      </c>
      <c r="H156" s="31" t="s">
        <v>867</v>
      </c>
      <c r="I156" s="31" t="s">
        <v>843</v>
      </c>
      <c r="J156" s="31" t="s">
        <v>815</v>
      </c>
      <c r="K156" s="31" t="s">
        <v>859</v>
      </c>
      <c r="L156" s="31" t="s">
        <v>816</v>
      </c>
    </row>
    <row r="157" spans="1:12" ht="242.25">
      <c r="A157" s="58">
        <v>155</v>
      </c>
      <c r="B157" s="102"/>
      <c r="C157" s="93"/>
      <c r="D157" s="103" t="s">
        <v>759</v>
      </c>
      <c r="E157" s="63" t="s">
        <v>786</v>
      </c>
      <c r="F157" s="63" t="s">
        <v>954</v>
      </c>
      <c r="G157" s="31" t="s">
        <v>955</v>
      </c>
      <c r="H157" s="31" t="s">
        <v>881</v>
      </c>
      <c r="I157" s="31" t="s">
        <v>882</v>
      </c>
      <c r="J157" s="31" t="s">
        <v>815</v>
      </c>
      <c r="K157" s="31" t="s">
        <v>893</v>
      </c>
      <c r="L157" s="31" t="s">
        <v>816</v>
      </c>
    </row>
    <row r="158" spans="1:12" ht="171">
      <c r="A158" s="58">
        <v>156</v>
      </c>
      <c r="B158" s="102"/>
      <c r="C158" s="93"/>
      <c r="D158" s="104"/>
      <c r="E158" s="63" t="s">
        <v>789</v>
      </c>
      <c r="F158" s="63" t="s">
        <v>883</v>
      </c>
      <c r="G158" s="31" t="s">
        <v>884</v>
      </c>
      <c r="H158" s="31" t="s">
        <v>885</v>
      </c>
      <c r="I158" s="31" t="s">
        <v>868</v>
      </c>
      <c r="J158" s="31" t="s">
        <v>815</v>
      </c>
      <c r="K158" s="31" t="s">
        <v>849</v>
      </c>
      <c r="L158" s="31" t="s">
        <v>816</v>
      </c>
    </row>
    <row r="159" spans="1:12" ht="171">
      <c r="A159" s="58">
        <v>157</v>
      </c>
      <c r="B159" s="102"/>
      <c r="C159" s="93"/>
      <c r="D159" s="104"/>
      <c r="E159" s="63" t="s">
        <v>872</v>
      </c>
      <c r="F159" s="63" t="s">
        <v>886</v>
      </c>
      <c r="G159" s="31" t="s">
        <v>884</v>
      </c>
      <c r="H159" s="31" t="s">
        <v>887</v>
      </c>
      <c r="I159" s="31" t="s">
        <v>888</v>
      </c>
      <c r="J159" s="31" t="s">
        <v>815</v>
      </c>
      <c r="K159" s="31" t="s">
        <v>854</v>
      </c>
      <c r="L159" s="31" t="s">
        <v>816</v>
      </c>
    </row>
    <row r="160" spans="1:12" ht="71.25">
      <c r="A160" s="58">
        <v>158</v>
      </c>
      <c r="B160" s="102"/>
      <c r="C160" s="93"/>
      <c r="D160" s="104"/>
      <c r="E160" s="63" t="s">
        <v>778</v>
      </c>
      <c r="F160" s="63" t="s">
        <v>889</v>
      </c>
      <c r="G160" s="63" t="s">
        <v>889</v>
      </c>
      <c r="H160" s="63" t="s">
        <v>889</v>
      </c>
      <c r="I160" s="63" t="s">
        <v>889</v>
      </c>
      <c r="J160" s="63" t="s">
        <v>889</v>
      </c>
      <c r="K160" s="63" t="s">
        <v>889</v>
      </c>
      <c r="L160" s="31" t="s">
        <v>816</v>
      </c>
    </row>
    <row r="161" spans="1:12" ht="71.25">
      <c r="A161" s="58">
        <v>159</v>
      </c>
      <c r="B161" s="102"/>
      <c r="C161" s="93"/>
      <c r="D161" s="104"/>
      <c r="E161" s="63" t="s">
        <v>768</v>
      </c>
      <c r="F161" s="63" t="s">
        <v>890</v>
      </c>
      <c r="G161" s="63" t="s">
        <v>890</v>
      </c>
      <c r="H161" s="63" t="s">
        <v>890</v>
      </c>
      <c r="I161" s="63" t="s">
        <v>890</v>
      </c>
      <c r="J161" s="63" t="s">
        <v>890</v>
      </c>
      <c r="K161" s="63" t="s">
        <v>890</v>
      </c>
      <c r="L161" s="31" t="s">
        <v>816</v>
      </c>
    </row>
    <row r="162" spans="1:12" ht="342">
      <c r="A162" s="58">
        <v>160</v>
      </c>
      <c r="B162" s="102"/>
      <c r="C162" s="93"/>
      <c r="D162" s="105"/>
      <c r="E162" s="63" t="s">
        <v>780</v>
      </c>
      <c r="F162" s="63" t="s">
        <v>956</v>
      </c>
      <c r="G162" s="31" t="s">
        <v>892</v>
      </c>
      <c r="H162" s="31" t="s">
        <v>1147</v>
      </c>
      <c r="I162" s="31" t="s">
        <v>882</v>
      </c>
      <c r="J162" s="31" t="s">
        <v>815</v>
      </c>
      <c r="K162" s="63" t="s">
        <v>1262</v>
      </c>
      <c r="L162" s="31" t="s">
        <v>816</v>
      </c>
    </row>
    <row r="163" spans="1:12" ht="384.75">
      <c r="A163" s="58">
        <v>161</v>
      </c>
      <c r="B163" s="102"/>
      <c r="C163" s="93"/>
      <c r="D163" s="103" t="s">
        <v>760</v>
      </c>
      <c r="E163" s="63" t="s">
        <v>789</v>
      </c>
      <c r="F163" s="63" t="s">
        <v>957</v>
      </c>
      <c r="G163" s="31" t="s">
        <v>884</v>
      </c>
      <c r="H163" s="31" t="s">
        <v>885</v>
      </c>
      <c r="I163" s="31" t="s">
        <v>868</v>
      </c>
      <c r="J163" s="31" t="s">
        <v>815</v>
      </c>
      <c r="K163" s="31" t="s">
        <v>895</v>
      </c>
      <c r="L163" s="31" t="s">
        <v>816</v>
      </c>
    </row>
    <row r="164" spans="1:12" ht="313.5">
      <c r="A164" s="58">
        <v>162</v>
      </c>
      <c r="B164" s="102"/>
      <c r="C164" s="93"/>
      <c r="D164" s="104"/>
      <c r="E164" s="63" t="s">
        <v>872</v>
      </c>
      <c r="F164" s="63" t="s">
        <v>896</v>
      </c>
      <c r="G164" s="31" t="s">
        <v>897</v>
      </c>
      <c r="H164" s="31" t="s">
        <v>853</v>
      </c>
      <c r="I164" s="31" t="s">
        <v>977</v>
      </c>
      <c r="J164" s="31" t="s">
        <v>815</v>
      </c>
      <c r="K164" s="31" t="s">
        <v>898</v>
      </c>
      <c r="L164" s="31" t="s">
        <v>816</v>
      </c>
    </row>
    <row r="165" spans="1:12" ht="71.25">
      <c r="A165" s="58">
        <v>163</v>
      </c>
      <c r="B165" s="102"/>
      <c r="C165" s="93"/>
      <c r="D165" s="104"/>
      <c r="E165" s="63" t="s">
        <v>787</v>
      </c>
      <c r="F165" s="63" t="s">
        <v>862</v>
      </c>
      <c r="G165" s="31" t="s">
        <v>863</v>
      </c>
      <c r="H165" s="31" t="s">
        <v>866</v>
      </c>
      <c r="I165" s="31" t="s">
        <v>864</v>
      </c>
      <c r="J165" s="31" t="s">
        <v>819</v>
      </c>
      <c r="K165" s="31" t="s">
        <v>828</v>
      </c>
      <c r="L165" s="31" t="s">
        <v>816</v>
      </c>
    </row>
    <row r="166" spans="1:12" ht="71.25">
      <c r="A166" s="58">
        <v>164</v>
      </c>
      <c r="B166" s="102"/>
      <c r="C166" s="93"/>
      <c r="D166" s="105"/>
      <c r="E166" s="63" t="s">
        <v>788</v>
      </c>
      <c r="F166" s="63" t="s">
        <v>862</v>
      </c>
      <c r="G166" s="31" t="s">
        <v>863</v>
      </c>
      <c r="H166" s="31" t="s">
        <v>866</v>
      </c>
      <c r="I166" s="31" t="s">
        <v>864</v>
      </c>
      <c r="J166" s="31" t="s">
        <v>819</v>
      </c>
      <c r="K166" s="31" t="s">
        <v>828</v>
      </c>
      <c r="L166" s="31" t="s">
        <v>816</v>
      </c>
    </row>
    <row r="167" spans="1:12" ht="57">
      <c r="A167" s="58">
        <v>165</v>
      </c>
      <c r="B167" s="102"/>
      <c r="C167" s="93"/>
      <c r="D167" s="103" t="s">
        <v>761</v>
      </c>
      <c r="E167" s="63" t="s">
        <v>789</v>
      </c>
      <c r="F167" s="63" t="s">
        <v>899</v>
      </c>
      <c r="G167" s="31" t="s">
        <v>900</v>
      </c>
      <c r="H167" s="31" t="s">
        <v>900</v>
      </c>
      <c r="I167" s="31" t="s">
        <v>901</v>
      </c>
      <c r="J167" s="31" t="s">
        <v>819</v>
      </c>
      <c r="K167" s="31" t="s">
        <v>828</v>
      </c>
      <c r="L167" s="31" t="s">
        <v>816</v>
      </c>
    </row>
    <row r="168" spans="1:12" ht="57">
      <c r="A168" s="58">
        <v>166</v>
      </c>
      <c r="B168" s="102"/>
      <c r="C168" s="93"/>
      <c r="D168" s="104"/>
      <c r="E168" s="63" t="s">
        <v>872</v>
      </c>
      <c r="F168" s="63" t="s">
        <v>899</v>
      </c>
      <c r="G168" s="31" t="s">
        <v>900</v>
      </c>
      <c r="H168" s="31" t="s">
        <v>900</v>
      </c>
      <c r="I168" s="31" t="s">
        <v>901</v>
      </c>
      <c r="J168" s="31" t="s">
        <v>819</v>
      </c>
      <c r="K168" s="31" t="s">
        <v>828</v>
      </c>
      <c r="L168" s="31" t="s">
        <v>816</v>
      </c>
    </row>
    <row r="169" spans="1:12" ht="71.25">
      <c r="A169" s="58">
        <v>167</v>
      </c>
      <c r="B169" s="102"/>
      <c r="C169" s="93"/>
      <c r="D169" s="104"/>
      <c r="E169" s="63" t="s">
        <v>787</v>
      </c>
      <c r="F169" s="63" t="s">
        <v>862</v>
      </c>
      <c r="G169" s="31" t="s">
        <v>863</v>
      </c>
      <c r="H169" s="31" t="s">
        <v>866</v>
      </c>
      <c r="I169" s="31" t="s">
        <v>864</v>
      </c>
      <c r="J169" s="31" t="s">
        <v>819</v>
      </c>
      <c r="K169" s="31" t="s">
        <v>828</v>
      </c>
      <c r="L169" s="31" t="s">
        <v>816</v>
      </c>
    </row>
    <row r="170" spans="1:12" ht="71.25">
      <c r="A170" s="58">
        <v>168</v>
      </c>
      <c r="B170" s="102"/>
      <c r="C170" s="93"/>
      <c r="D170" s="105"/>
      <c r="E170" s="63" t="s">
        <v>788</v>
      </c>
      <c r="F170" s="63" t="s">
        <v>862</v>
      </c>
      <c r="G170" s="31" t="s">
        <v>863</v>
      </c>
      <c r="H170" s="31" t="s">
        <v>866</v>
      </c>
      <c r="I170" s="31" t="s">
        <v>864</v>
      </c>
      <c r="J170" s="31" t="s">
        <v>819</v>
      </c>
      <c r="K170" s="31" t="s">
        <v>828</v>
      </c>
      <c r="L170" s="31" t="s">
        <v>816</v>
      </c>
    </row>
    <row r="171" spans="1:12" ht="142.5">
      <c r="A171" s="58">
        <v>169</v>
      </c>
      <c r="B171" s="102"/>
      <c r="C171" s="93"/>
      <c r="D171" s="62" t="s">
        <v>762</v>
      </c>
      <c r="E171" s="64" t="s">
        <v>46</v>
      </c>
      <c r="F171" s="63" t="s">
        <v>1073</v>
      </c>
      <c r="G171" s="63" t="s">
        <v>1073</v>
      </c>
      <c r="H171" s="63" t="s">
        <v>1073</v>
      </c>
      <c r="I171" s="63" t="s">
        <v>1073</v>
      </c>
      <c r="J171" s="63" t="s">
        <v>1073</v>
      </c>
      <c r="K171" s="63" t="s">
        <v>1073</v>
      </c>
      <c r="L171" s="31" t="s">
        <v>816</v>
      </c>
    </row>
    <row r="172" spans="1:12" ht="313.5">
      <c r="A172" s="58">
        <v>170</v>
      </c>
      <c r="B172" s="102"/>
      <c r="C172" s="94"/>
      <c r="D172" s="62" t="s">
        <v>763</v>
      </c>
      <c r="E172" s="64" t="s">
        <v>46</v>
      </c>
      <c r="F172" s="63" t="s">
        <v>850</v>
      </c>
      <c r="G172" s="31" t="s">
        <v>897</v>
      </c>
      <c r="H172" s="31" t="s">
        <v>853</v>
      </c>
      <c r="I172" s="31" t="s">
        <v>977</v>
      </c>
      <c r="J172" s="31" t="s">
        <v>815</v>
      </c>
      <c r="K172" s="31" t="s">
        <v>898</v>
      </c>
      <c r="L172" s="31" t="s">
        <v>816</v>
      </c>
    </row>
    <row r="173" spans="1:12" ht="99.75">
      <c r="A173" s="58">
        <v>171</v>
      </c>
      <c r="B173" s="102"/>
      <c r="C173" s="92" t="s">
        <v>793</v>
      </c>
      <c r="D173" s="62" t="s">
        <v>753</v>
      </c>
      <c r="E173" s="64" t="s">
        <v>46</v>
      </c>
      <c r="F173" s="63" t="s">
        <v>972</v>
      </c>
      <c r="G173" s="31" t="s">
        <v>998</v>
      </c>
      <c r="H173" s="31" t="s">
        <v>973</v>
      </c>
      <c r="I173" s="31" t="s">
        <v>821</v>
      </c>
      <c r="J173" s="31" t="s">
        <v>815</v>
      </c>
      <c r="K173" s="31" t="s">
        <v>859</v>
      </c>
      <c r="L173" s="31" t="s">
        <v>816</v>
      </c>
    </row>
    <row r="174" spans="1:12" ht="71.25">
      <c r="A174" s="58">
        <v>172</v>
      </c>
      <c r="B174" s="102"/>
      <c r="C174" s="93"/>
      <c r="D174" s="103" t="s">
        <v>754</v>
      </c>
      <c r="E174" s="63" t="s">
        <v>778</v>
      </c>
      <c r="F174" s="63" t="s">
        <v>960</v>
      </c>
      <c r="G174" s="31" t="s">
        <v>818</v>
      </c>
      <c r="H174" s="31" t="s">
        <v>817</v>
      </c>
      <c r="I174" s="31" t="s">
        <v>1145</v>
      </c>
      <c r="J174" s="31" t="s">
        <v>819</v>
      </c>
      <c r="K174" s="31" t="s">
        <v>828</v>
      </c>
      <c r="L174" s="31" t="s">
        <v>816</v>
      </c>
    </row>
    <row r="175" spans="1:12" ht="99.75">
      <c r="A175" s="58">
        <v>173</v>
      </c>
      <c r="B175" s="102"/>
      <c r="C175" s="93"/>
      <c r="D175" s="104"/>
      <c r="E175" s="63" t="s">
        <v>871</v>
      </c>
      <c r="F175" s="63" t="s">
        <v>961</v>
      </c>
      <c r="G175" s="31" t="s">
        <v>820</v>
      </c>
      <c r="H175" s="31" t="s">
        <v>822</v>
      </c>
      <c r="I175" s="31" t="s">
        <v>821</v>
      </c>
      <c r="J175" s="31" t="s">
        <v>815</v>
      </c>
      <c r="K175" s="31" t="s">
        <v>860</v>
      </c>
      <c r="L175" s="31" t="s">
        <v>816</v>
      </c>
    </row>
    <row r="176" spans="1:12" ht="85.5">
      <c r="A176" s="58">
        <v>174</v>
      </c>
      <c r="B176" s="102"/>
      <c r="C176" s="93"/>
      <c r="D176" s="104"/>
      <c r="E176" s="63" t="s">
        <v>768</v>
      </c>
      <c r="F176" s="63" t="s">
        <v>962</v>
      </c>
      <c r="G176" s="31" t="s">
        <v>824</v>
      </c>
      <c r="H176" s="31" t="s">
        <v>823</v>
      </c>
      <c r="I176" s="31" t="s">
        <v>825</v>
      </c>
      <c r="J176" s="31" t="s">
        <v>819</v>
      </c>
      <c r="K176" s="31" t="s">
        <v>828</v>
      </c>
      <c r="L176" s="31" t="s">
        <v>839</v>
      </c>
    </row>
    <row r="177" spans="1:12" ht="156.75">
      <c r="A177" s="58">
        <v>175</v>
      </c>
      <c r="B177" s="102"/>
      <c r="C177" s="93"/>
      <c r="D177" s="105"/>
      <c r="E177" s="63" t="s">
        <v>780</v>
      </c>
      <c r="F177" s="63" t="s">
        <v>963</v>
      </c>
      <c r="G177" s="31" t="s">
        <v>826</v>
      </c>
      <c r="H177" s="31" t="s">
        <v>1146</v>
      </c>
      <c r="I177" s="31" t="s">
        <v>821</v>
      </c>
      <c r="J177" s="31" t="s">
        <v>815</v>
      </c>
      <c r="K177" s="31" t="s">
        <v>858</v>
      </c>
      <c r="L177" s="31" t="s">
        <v>816</v>
      </c>
    </row>
    <row r="178" spans="1:12" ht="85.5">
      <c r="A178" s="58">
        <v>176</v>
      </c>
      <c r="B178" s="102"/>
      <c r="C178" s="93"/>
      <c r="D178" s="103" t="s">
        <v>755</v>
      </c>
      <c r="E178" s="63" t="s">
        <v>778</v>
      </c>
      <c r="F178" s="63" t="s">
        <v>964</v>
      </c>
      <c r="G178" s="31" t="s">
        <v>830</v>
      </c>
      <c r="H178" s="31" t="s">
        <v>831</v>
      </c>
      <c r="I178" s="31" t="s">
        <v>977</v>
      </c>
      <c r="J178" s="31" t="s">
        <v>815</v>
      </c>
      <c r="K178" s="31" t="s">
        <v>832</v>
      </c>
      <c r="L178" s="31" t="s">
        <v>816</v>
      </c>
    </row>
    <row r="179" spans="1:12" ht="128.25">
      <c r="A179" s="58">
        <v>177</v>
      </c>
      <c r="B179" s="102"/>
      <c r="C179" s="93"/>
      <c r="D179" s="104"/>
      <c r="E179" s="63" t="s">
        <v>871</v>
      </c>
      <c r="F179" s="63" t="s">
        <v>965</v>
      </c>
      <c r="G179" s="31" t="s">
        <v>834</v>
      </c>
      <c r="H179" s="31" t="s">
        <v>835</v>
      </c>
      <c r="I179" s="31" t="s">
        <v>825</v>
      </c>
      <c r="J179" s="31" t="s">
        <v>819</v>
      </c>
      <c r="K179" s="31" t="s">
        <v>828</v>
      </c>
      <c r="L179" s="31" t="s">
        <v>816</v>
      </c>
    </row>
    <row r="180" spans="1:12" ht="99.75">
      <c r="A180" s="58">
        <v>178</v>
      </c>
      <c r="B180" s="102"/>
      <c r="C180" s="93"/>
      <c r="D180" s="104"/>
      <c r="E180" s="63" t="s">
        <v>768</v>
      </c>
      <c r="F180" s="63" t="s">
        <v>966</v>
      </c>
      <c r="G180" s="31" t="s">
        <v>837</v>
      </c>
      <c r="H180" s="31" t="s">
        <v>823</v>
      </c>
      <c r="I180" s="31" t="s">
        <v>825</v>
      </c>
      <c r="J180" s="31" t="s">
        <v>819</v>
      </c>
      <c r="K180" s="31" t="s">
        <v>828</v>
      </c>
      <c r="L180" s="31" t="s">
        <v>838</v>
      </c>
    </row>
    <row r="181" spans="1:12" ht="85.5">
      <c r="A181" s="58">
        <v>179</v>
      </c>
      <c r="B181" s="102"/>
      <c r="C181" s="93"/>
      <c r="D181" s="105"/>
      <c r="E181" s="63" t="s">
        <v>780</v>
      </c>
      <c r="F181" s="63" t="s">
        <v>967</v>
      </c>
      <c r="G181" s="31" t="s">
        <v>845</v>
      </c>
      <c r="H181" s="31" t="s">
        <v>1146</v>
      </c>
      <c r="I181" s="31" t="s">
        <v>825</v>
      </c>
      <c r="J181" s="31" t="s">
        <v>819</v>
      </c>
      <c r="K181" s="31" t="s">
        <v>828</v>
      </c>
      <c r="L181" s="31" t="s">
        <v>816</v>
      </c>
    </row>
    <row r="182" spans="1:12" ht="228">
      <c r="A182" s="58">
        <v>180</v>
      </c>
      <c r="B182" s="102"/>
      <c r="C182" s="93"/>
      <c r="D182" s="62" t="s">
        <v>756</v>
      </c>
      <c r="E182" s="63" t="s">
        <v>786</v>
      </c>
      <c r="F182" s="63" t="s">
        <v>841</v>
      </c>
      <c r="G182" s="31" t="s">
        <v>846</v>
      </c>
      <c r="H182" s="31" t="s">
        <v>842</v>
      </c>
      <c r="I182" s="31" t="s">
        <v>843</v>
      </c>
      <c r="J182" s="31" t="s">
        <v>815</v>
      </c>
      <c r="K182" s="31" t="s">
        <v>861</v>
      </c>
      <c r="L182" s="31" t="s">
        <v>816</v>
      </c>
    </row>
    <row r="183" spans="1:12" ht="85.5">
      <c r="A183" s="58">
        <v>181</v>
      </c>
      <c r="B183" s="102"/>
      <c r="C183" s="93"/>
      <c r="D183" s="103" t="s">
        <v>757</v>
      </c>
      <c r="E183" s="63" t="s">
        <v>790</v>
      </c>
      <c r="F183" s="63" t="s">
        <v>844</v>
      </c>
      <c r="G183" s="31" t="s">
        <v>847</v>
      </c>
      <c r="H183" s="31" t="s">
        <v>851</v>
      </c>
      <c r="I183" s="31" t="s">
        <v>843</v>
      </c>
      <c r="J183" s="31" t="s">
        <v>815</v>
      </c>
      <c r="K183" s="31" t="s">
        <v>859</v>
      </c>
      <c r="L183" s="31" t="s">
        <v>816</v>
      </c>
    </row>
    <row r="184" spans="1:12" ht="99.75">
      <c r="A184" s="58">
        <v>182</v>
      </c>
      <c r="B184" s="102"/>
      <c r="C184" s="93"/>
      <c r="D184" s="104"/>
      <c r="E184" s="63" t="s">
        <v>789</v>
      </c>
      <c r="F184" s="63" t="s">
        <v>848</v>
      </c>
      <c r="G184" s="31" t="s">
        <v>847</v>
      </c>
      <c r="H184" s="31" t="s">
        <v>852</v>
      </c>
      <c r="I184" s="31" t="s">
        <v>843</v>
      </c>
      <c r="J184" s="31" t="s">
        <v>815</v>
      </c>
      <c r="K184" s="31" t="s">
        <v>849</v>
      </c>
      <c r="L184" s="31" t="s">
        <v>816</v>
      </c>
    </row>
    <row r="185" spans="1:12" ht="114">
      <c r="A185" s="58">
        <v>183</v>
      </c>
      <c r="B185" s="102"/>
      <c r="C185" s="93"/>
      <c r="D185" s="104"/>
      <c r="E185" s="63" t="s">
        <v>872</v>
      </c>
      <c r="F185" s="63" t="s">
        <v>850</v>
      </c>
      <c r="G185" s="31" t="s">
        <v>847</v>
      </c>
      <c r="H185" s="31" t="s">
        <v>853</v>
      </c>
      <c r="I185" s="31" t="s">
        <v>843</v>
      </c>
      <c r="J185" s="31" t="s">
        <v>815</v>
      </c>
      <c r="K185" s="31" t="s">
        <v>854</v>
      </c>
      <c r="L185" s="31" t="s">
        <v>816</v>
      </c>
    </row>
    <row r="186" spans="1:12" ht="85.5">
      <c r="A186" s="58">
        <v>184</v>
      </c>
      <c r="B186" s="102"/>
      <c r="C186" s="93"/>
      <c r="D186" s="105"/>
      <c r="E186" s="63" t="s">
        <v>780</v>
      </c>
      <c r="F186" s="63" t="s">
        <v>855</v>
      </c>
      <c r="G186" s="31" t="s">
        <v>847</v>
      </c>
      <c r="H186" s="31" t="s">
        <v>856</v>
      </c>
      <c r="I186" s="31" t="s">
        <v>843</v>
      </c>
      <c r="J186" s="31" t="s">
        <v>815</v>
      </c>
      <c r="K186" s="31" t="s">
        <v>857</v>
      </c>
      <c r="L186" s="31" t="s">
        <v>816</v>
      </c>
    </row>
    <row r="187" spans="1:12" ht="71.25">
      <c r="A187" s="58">
        <v>185</v>
      </c>
      <c r="B187" s="102"/>
      <c r="C187" s="93"/>
      <c r="D187" s="103" t="s">
        <v>758</v>
      </c>
      <c r="E187" s="63" t="s">
        <v>791</v>
      </c>
      <c r="F187" s="63" t="s">
        <v>862</v>
      </c>
      <c r="G187" s="31" t="s">
        <v>863</v>
      </c>
      <c r="H187" s="31" t="s">
        <v>866</v>
      </c>
      <c r="I187" s="31" t="s">
        <v>864</v>
      </c>
      <c r="J187" s="31" t="s">
        <v>819</v>
      </c>
      <c r="K187" s="31" t="s">
        <v>828</v>
      </c>
      <c r="L187" s="31" t="s">
        <v>816</v>
      </c>
    </row>
    <row r="188" spans="1:12" ht="270.75">
      <c r="A188" s="58">
        <v>186</v>
      </c>
      <c r="B188" s="102"/>
      <c r="C188" s="93"/>
      <c r="D188" s="104"/>
      <c r="E188" s="63" t="s">
        <v>792</v>
      </c>
      <c r="F188" s="63" t="s">
        <v>865</v>
      </c>
      <c r="G188" s="31" t="s">
        <v>869</v>
      </c>
      <c r="H188" s="31" t="s">
        <v>867</v>
      </c>
      <c r="I188" s="31" t="s">
        <v>868</v>
      </c>
      <c r="J188" s="31" t="s">
        <v>815</v>
      </c>
      <c r="K188" s="31" t="s">
        <v>870</v>
      </c>
      <c r="L188" s="31" t="s">
        <v>816</v>
      </c>
    </row>
    <row r="189" spans="1:12" ht="99.75">
      <c r="A189" s="58">
        <v>187</v>
      </c>
      <c r="B189" s="102"/>
      <c r="C189" s="93"/>
      <c r="D189" s="104"/>
      <c r="E189" s="63" t="s">
        <v>871</v>
      </c>
      <c r="F189" s="63" t="s">
        <v>875</v>
      </c>
      <c r="G189" s="31" t="s">
        <v>876</v>
      </c>
      <c r="H189" s="31" t="s">
        <v>867</v>
      </c>
      <c r="I189" s="31" t="s">
        <v>843</v>
      </c>
      <c r="J189" s="31" t="s">
        <v>815</v>
      </c>
      <c r="K189" s="31" t="s">
        <v>854</v>
      </c>
      <c r="L189" s="31" t="s">
        <v>816</v>
      </c>
    </row>
    <row r="190" spans="1:12" ht="85.5">
      <c r="A190" s="58">
        <v>188</v>
      </c>
      <c r="B190" s="102"/>
      <c r="C190" s="93"/>
      <c r="D190" s="105"/>
      <c r="E190" s="63" t="s">
        <v>790</v>
      </c>
      <c r="F190" s="63" t="s">
        <v>877</v>
      </c>
      <c r="G190" s="31" t="s">
        <v>878</v>
      </c>
      <c r="H190" s="31" t="s">
        <v>867</v>
      </c>
      <c r="I190" s="31" t="s">
        <v>843</v>
      </c>
      <c r="J190" s="31" t="s">
        <v>815</v>
      </c>
      <c r="K190" s="31" t="s">
        <v>859</v>
      </c>
      <c r="L190" s="31" t="s">
        <v>816</v>
      </c>
    </row>
    <row r="191" spans="1:12" ht="242.25">
      <c r="A191" s="58">
        <v>189</v>
      </c>
      <c r="B191" s="102"/>
      <c r="C191" s="93"/>
      <c r="D191" s="103" t="s">
        <v>759</v>
      </c>
      <c r="E191" s="63" t="s">
        <v>786</v>
      </c>
      <c r="F191" s="63" t="s">
        <v>968</v>
      </c>
      <c r="G191" s="31" t="s">
        <v>969</v>
      </c>
      <c r="H191" s="31" t="s">
        <v>881</v>
      </c>
      <c r="I191" s="31" t="s">
        <v>882</v>
      </c>
      <c r="J191" s="31" t="s">
        <v>815</v>
      </c>
      <c r="K191" s="31" t="s">
        <v>893</v>
      </c>
      <c r="L191" s="31" t="s">
        <v>816</v>
      </c>
    </row>
    <row r="192" spans="1:12" ht="171">
      <c r="A192" s="58">
        <v>190</v>
      </c>
      <c r="B192" s="102"/>
      <c r="C192" s="93"/>
      <c r="D192" s="104"/>
      <c r="E192" s="63" t="s">
        <v>789</v>
      </c>
      <c r="F192" s="63" t="s">
        <v>883</v>
      </c>
      <c r="G192" s="31" t="s">
        <v>884</v>
      </c>
      <c r="H192" s="31" t="s">
        <v>885</v>
      </c>
      <c r="I192" s="31" t="s">
        <v>868</v>
      </c>
      <c r="J192" s="31" t="s">
        <v>815</v>
      </c>
      <c r="K192" s="31" t="s">
        <v>849</v>
      </c>
      <c r="L192" s="31" t="s">
        <v>816</v>
      </c>
    </row>
    <row r="193" spans="1:12" ht="171">
      <c r="A193" s="58">
        <v>191</v>
      </c>
      <c r="B193" s="102"/>
      <c r="C193" s="93"/>
      <c r="D193" s="104"/>
      <c r="E193" s="63" t="s">
        <v>872</v>
      </c>
      <c r="F193" s="63" t="s">
        <v>886</v>
      </c>
      <c r="G193" s="31" t="s">
        <v>884</v>
      </c>
      <c r="H193" s="31" t="s">
        <v>887</v>
      </c>
      <c r="I193" s="31" t="s">
        <v>888</v>
      </c>
      <c r="J193" s="31" t="s">
        <v>815</v>
      </c>
      <c r="K193" s="31" t="s">
        <v>854</v>
      </c>
      <c r="L193" s="31" t="s">
        <v>816</v>
      </c>
    </row>
    <row r="194" spans="1:12" ht="71.25">
      <c r="A194" s="58">
        <v>192</v>
      </c>
      <c r="B194" s="102"/>
      <c r="C194" s="93"/>
      <c r="D194" s="104"/>
      <c r="E194" s="63" t="s">
        <v>778</v>
      </c>
      <c r="F194" s="63" t="s">
        <v>889</v>
      </c>
      <c r="G194" s="63" t="s">
        <v>889</v>
      </c>
      <c r="H194" s="63" t="s">
        <v>889</v>
      </c>
      <c r="I194" s="63" t="s">
        <v>889</v>
      </c>
      <c r="J194" s="63" t="s">
        <v>889</v>
      </c>
      <c r="K194" s="63" t="s">
        <v>889</v>
      </c>
      <c r="L194" s="31" t="s">
        <v>816</v>
      </c>
    </row>
    <row r="195" spans="1:12" ht="71.25">
      <c r="A195" s="58">
        <v>193</v>
      </c>
      <c r="B195" s="102"/>
      <c r="C195" s="93"/>
      <c r="D195" s="104"/>
      <c r="E195" s="63" t="s">
        <v>768</v>
      </c>
      <c r="F195" s="63" t="s">
        <v>890</v>
      </c>
      <c r="G195" s="63" t="s">
        <v>890</v>
      </c>
      <c r="H195" s="63" t="s">
        <v>890</v>
      </c>
      <c r="I195" s="63" t="s">
        <v>890</v>
      </c>
      <c r="J195" s="63" t="s">
        <v>890</v>
      </c>
      <c r="K195" s="63" t="s">
        <v>890</v>
      </c>
      <c r="L195" s="31" t="s">
        <v>816</v>
      </c>
    </row>
    <row r="196" spans="1:12" ht="409.5">
      <c r="A196" s="58">
        <v>194</v>
      </c>
      <c r="B196" s="102"/>
      <c r="C196" s="93"/>
      <c r="D196" s="105"/>
      <c r="E196" s="63" t="s">
        <v>780</v>
      </c>
      <c r="F196" s="63" t="s">
        <v>970</v>
      </c>
      <c r="G196" s="31" t="s">
        <v>892</v>
      </c>
      <c r="H196" s="31" t="s">
        <v>1147</v>
      </c>
      <c r="I196" s="31" t="s">
        <v>882</v>
      </c>
      <c r="J196" s="31" t="s">
        <v>815</v>
      </c>
      <c r="K196" s="63" t="s">
        <v>1263</v>
      </c>
      <c r="L196" s="31" t="s">
        <v>816</v>
      </c>
    </row>
    <row r="197" spans="1:12" ht="384.75">
      <c r="A197" s="58">
        <v>195</v>
      </c>
      <c r="B197" s="102"/>
      <c r="C197" s="93"/>
      <c r="D197" s="103" t="s">
        <v>760</v>
      </c>
      <c r="E197" s="63" t="s">
        <v>789</v>
      </c>
      <c r="F197" s="63" t="s">
        <v>971</v>
      </c>
      <c r="G197" s="31" t="s">
        <v>884</v>
      </c>
      <c r="H197" s="31" t="s">
        <v>885</v>
      </c>
      <c r="I197" s="31" t="s">
        <v>868</v>
      </c>
      <c r="J197" s="31" t="s">
        <v>815</v>
      </c>
      <c r="K197" s="31" t="s">
        <v>895</v>
      </c>
      <c r="L197" s="31" t="s">
        <v>816</v>
      </c>
    </row>
    <row r="198" spans="1:12" ht="313.5">
      <c r="A198" s="58">
        <v>196</v>
      </c>
      <c r="B198" s="102"/>
      <c r="C198" s="93"/>
      <c r="D198" s="104"/>
      <c r="E198" s="63" t="s">
        <v>872</v>
      </c>
      <c r="F198" s="63" t="s">
        <v>896</v>
      </c>
      <c r="G198" s="31" t="s">
        <v>897</v>
      </c>
      <c r="H198" s="31" t="s">
        <v>853</v>
      </c>
      <c r="I198" s="31" t="s">
        <v>977</v>
      </c>
      <c r="J198" s="31" t="s">
        <v>815</v>
      </c>
      <c r="K198" s="31" t="s">
        <v>898</v>
      </c>
      <c r="L198" s="31" t="s">
        <v>816</v>
      </c>
    </row>
    <row r="199" spans="1:12" ht="71.25">
      <c r="A199" s="58">
        <v>197</v>
      </c>
      <c r="B199" s="102"/>
      <c r="C199" s="93"/>
      <c r="D199" s="104"/>
      <c r="E199" s="63" t="s">
        <v>787</v>
      </c>
      <c r="F199" s="63" t="s">
        <v>862</v>
      </c>
      <c r="G199" s="31" t="s">
        <v>863</v>
      </c>
      <c r="H199" s="31" t="s">
        <v>866</v>
      </c>
      <c r="I199" s="31" t="s">
        <v>864</v>
      </c>
      <c r="J199" s="31" t="s">
        <v>819</v>
      </c>
      <c r="K199" s="31" t="s">
        <v>828</v>
      </c>
      <c r="L199" s="31" t="s">
        <v>816</v>
      </c>
    </row>
    <row r="200" spans="1:12" ht="71.25">
      <c r="A200" s="58">
        <v>198</v>
      </c>
      <c r="B200" s="102"/>
      <c r="C200" s="93"/>
      <c r="D200" s="105"/>
      <c r="E200" s="63" t="s">
        <v>788</v>
      </c>
      <c r="F200" s="63" t="s">
        <v>862</v>
      </c>
      <c r="G200" s="31" t="s">
        <v>863</v>
      </c>
      <c r="H200" s="31" t="s">
        <v>866</v>
      </c>
      <c r="I200" s="31" t="s">
        <v>864</v>
      </c>
      <c r="J200" s="31" t="s">
        <v>819</v>
      </c>
      <c r="K200" s="31" t="s">
        <v>828</v>
      </c>
      <c r="L200" s="31" t="s">
        <v>816</v>
      </c>
    </row>
    <row r="201" spans="1:12" ht="57">
      <c r="A201" s="58">
        <v>199</v>
      </c>
      <c r="B201" s="102"/>
      <c r="C201" s="93"/>
      <c r="D201" s="103" t="s">
        <v>761</v>
      </c>
      <c r="E201" s="63" t="s">
        <v>789</v>
      </c>
      <c r="F201" s="63" t="s">
        <v>899</v>
      </c>
      <c r="G201" s="31" t="s">
        <v>900</v>
      </c>
      <c r="H201" s="31" t="s">
        <v>900</v>
      </c>
      <c r="I201" s="31" t="s">
        <v>901</v>
      </c>
      <c r="J201" s="31" t="s">
        <v>819</v>
      </c>
      <c r="K201" s="31" t="s">
        <v>828</v>
      </c>
      <c r="L201" s="31" t="s">
        <v>816</v>
      </c>
    </row>
    <row r="202" spans="1:12" ht="57">
      <c r="A202" s="58">
        <v>200</v>
      </c>
      <c r="B202" s="102"/>
      <c r="C202" s="93"/>
      <c r="D202" s="104"/>
      <c r="E202" s="63" t="s">
        <v>872</v>
      </c>
      <c r="F202" s="63" t="s">
        <v>899</v>
      </c>
      <c r="G202" s="31" t="s">
        <v>900</v>
      </c>
      <c r="H202" s="31" t="s">
        <v>900</v>
      </c>
      <c r="I202" s="31" t="s">
        <v>901</v>
      </c>
      <c r="J202" s="31" t="s">
        <v>819</v>
      </c>
      <c r="K202" s="31" t="s">
        <v>828</v>
      </c>
      <c r="L202" s="31" t="s">
        <v>816</v>
      </c>
    </row>
    <row r="203" spans="1:12" ht="71.25">
      <c r="A203" s="58">
        <v>201</v>
      </c>
      <c r="B203" s="102"/>
      <c r="C203" s="93"/>
      <c r="D203" s="104"/>
      <c r="E203" s="63" t="s">
        <v>787</v>
      </c>
      <c r="F203" s="63" t="s">
        <v>862</v>
      </c>
      <c r="G203" s="31" t="s">
        <v>863</v>
      </c>
      <c r="H203" s="31" t="s">
        <v>866</v>
      </c>
      <c r="I203" s="31" t="s">
        <v>864</v>
      </c>
      <c r="J203" s="31" t="s">
        <v>819</v>
      </c>
      <c r="K203" s="31" t="s">
        <v>828</v>
      </c>
      <c r="L203" s="31" t="s">
        <v>816</v>
      </c>
    </row>
    <row r="204" spans="1:12" ht="71.25">
      <c r="A204" s="58">
        <v>202</v>
      </c>
      <c r="B204" s="102"/>
      <c r="C204" s="93"/>
      <c r="D204" s="105"/>
      <c r="E204" s="63" t="s">
        <v>788</v>
      </c>
      <c r="F204" s="63" t="s">
        <v>862</v>
      </c>
      <c r="G204" s="31" t="s">
        <v>863</v>
      </c>
      <c r="H204" s="31" t="s">
        <v>866</v>
      </c>
      <c r="I204" s="31" t="s">
        <v>864</v>
      </c>
      <c r="J204" s="31" t="s">
        <v>819</v>
      </c>
      <c r="K204" s="31" t="s">
        <v>828</v>
      </c>
      <c r="L204" s="31" t="s">
        <v>816</v>
      </c>
    </row>
    <row r="205" spans="1:12" ht="142.5">
      <c r="A205" s="58">
        <v>203</v>
      </c>
      <c r="B205" s="102"/>
      <c r="C205" s="93"/>
      <c r="D205" s="62" t="s">
        <v>762</v>
      </c>
      <c r="E205" s="64" t="s">
        <v>46</v>
      </c>
      <c r="F205" s="63" t="s">
        <v>1073</v>
      </c>
      <c r="G205" s="63" t="s">
        <v>1073</v>
      </c>
      <c r="H205" s="63" t="s">
        <v>1073</v>
      </c>
      <c r="I205" s="63" t="s">
        <v>1073</v>
      </c>
      <c r="J205" s="63" t="s">
        <v>1073</v>
      </c>
      <c r="K205" s="63" t="s">
        <v>1073</v>
      </c>
      <c r="L205" s="31" t="s">
        <v>816</v>
      </c>
    </row>
    <row r="206" spans="1:12" ht="313.5">
      <c r="A206" s="58">
        <v>204</v>
      </c>
      <c r="B206" s="102"/>
      <c r="C206" s="94"/>
      <c r="D206" s="62" t="s">
        <v>763</v>
      </c>
      <c r="E206" s="64" t="s">
        <v>46</v>
      </c>
      <c r="F206" s="63" t="s">
        <v>850</v>
      </c>
      <c r="G206" s="31" t="s">
        <v>897</v>
      </c>
      <c r="H206" s="31" t="s">
        <v>853</v>
      </c>
      <c r="I206" s="31" t="s">
        <v>977</v>
      </c>
      <c r="J206" s="31" t="s">
        <v>815</v>
      </c>
      <c r="K206" s="31" t="s">
        <v>898</v>
      </c>
      <c r="L206" s="31" t="s">
        <v>816</v>
      </c>
    </row>
    <row r="207" spans="1:12" ht="409.5">
      <c r="A207" s="58">
        <v>205</v>
      </c>
      <c r="B207" s="101" t="s">
        <v>779</v>
      </c>
      <c r="C207" s="92" t="s">
        <v>873</v>
      </c>
      <c r="D207" s="58" t="s">
        <v>753</v>
      </c>
      <c r="E207" s="64" t="s">
        <v>46</v>
      </c>
      <c r="F207" s="31" t="s">
        <v>974</v>
      </c>
      <c r="G207" s="31" t="s">
        <v>975</v>
      </c>
      <c r="H207" s="31" t="s">
        <v>976</v>
      </c>
      <c r="I207" s="31" t="s">
        <v>978</v>
      </c>
      <c r="J207" s="31" t="s">
        <v>815</v>
      </c>
      <c r="K207" s="31" t="s">
        <v>980</v>
      </c>
      <c r="L207" s="31" t="s">
        <v>816</v>
      </c>
    </row>
    <row r="208" spans="1:12" ht="409.5">
      <c r="A208" s="58">
        <v>206</v>
      </c>
      <c r="B208" s="102"/>
      <c r="C208" s="93"/>
      <c r="D208" s="58" t="s">
        <v>754</v>
      </c>
      <c r="E208" s="64" t="s">
        <v>46</v>
      </c>
      <c r="F208" s="31" t="s">
        <v>795</v>
      </c>
      <c r="G208" s="31" t="s">
        <v>979</v>
      </c>
      <c r="H208" s="31" t="s">
        <v>976</v>
      </c>
      <c r="I208" s="31" t="s">
        <v>821</v>
      </c>
      <c r="J208" s="31" t="s">
        <v>815</v>
      </c>
      <c r="K208" s="31" t="s">
        <v>980</v>
      </c>
      <c r="L208" s="31" t="s">
        <v>816</v>
      </c>
    </row>
    <row r="209" spans="1:12" ht="409.5">
      <c r="A209" s="58">
        <v>207</v>
      </c>
      <c r="B209" s="102"/>
      <c r="C209" s="93"/>
      <c r="D209" s="58"/>
      <c r="E209" s="64" t="s">
        <v>46</v>
      </c>
      <c r="F209" s="31" t="s">
        <v>796</v>
      </c>
      <c r="G209" s="31" t="s">
        <v>982</v>
      </c>
      <c r="H209" s="31" t="s">
        <v>976</v>
      </c>
      <c r="I209" s="31" t="s">
        <v>821</v>
      </c>
      <c r="J209" s="31" t="s">
        <v>815</v>
      </c>
      <c r="K209" s="31" t="s">
        <v>980</v>
      </c>
      <c r="L209" s="31" t="s">
        <v>816</v>
      </c>
    </row>
    <row r="210" spans="1:12" ht="99.75">
      <c r="A210" s="58">
        <v>208</v>
      </c>
      <c r="B210" s="102"/>
      <c r="C210" s="93"/>
      <c r="D210" s="58" t="s">
        <v>755</v>
      </c>
      <c r="E210" s="64" t="s">
        <v>46</v>
      </c>
      <c r="F210" s="31" t="s">
        <v>797</v>
      </c>
      <c r="G210" s="31" t="s">
        <v>981</v>
      </c>
      <c r="H210" s="31" t="s">
        <v>835</v>
      </c>
      <c r="I210" s="31" t="s">
        <v>825</v>
      </c>
      <c r="J210" s="31" t="s">
        <v>819</v>
      </c>
      <c r="K210" s="31" t="s">
        <v>828</v>
      </c>
      <c r="L210" s="31" t="s">
        <v>816</v>
      </c>
    </row>
    <row r="211" spans="1:12" ht="409.5">
      <c r="A211" s="58">
        <v>209</v>
      </c>
      <c r="B211" s="102"/>
      <c r="C211" s="93"/>
      <c r="D211" s="58"/>
      <c r="E211" s="64" t="s">
        <v>46</v>
      </c>
      <c r="F211" s="31" t="s">
        <v>798</v>
      </c>
      <c r="G211" s="31" t="s">
        <v>982</v>
      </c>
      <c r="H211" s="31" t="s">
        <v>976</v>
      </c>
      <c r="I211" s="31" t="s">
        <v>821</v>
      </c>
      <c r="J211" s="31" t="s">
        <v>815</v>
      </c>
      <c r="K211" s="31" t="s">
        <v>980</v>
      </c>
      <c r="L211" s="31" t="s">
        <v>816</v>
      </c>
    </row>
    <row r="212" spans="1:12" ht="409.5">
      <c r="A212" s="58">
        <v>210</v>
      </c>
      <c r="B212" s="102"/>
      <c r="C212" s="93"/>
      <c r="D212" s="58" t="s">
        <v>756</v>
      </c>
      <c r="E212" s="64" t="s">
        <v>46</v>
      </c>
      <c r="F212" s="31" t="s">
        <v>799</v>
      </c>
      <c r="G212" s="31" t="s">
        <v>982</v>
      </c>
      <c r="H212" s="31" t="s">
        <v>976</v>
      </c>
      <c r="I212" s="31" t="s">
        <v>821</v>
      </c>
      <c r="J212" s="31" t="s">
        <v>815</v>
      </c>
      <c r="K212" s="31" t="s">
        <v>980</v>
      </c>
      <c r="L212" s="31" t="s">
        <v>816</v>
      </c>
    </row>
    <row r="213" spans="1:12" ht="409.5">
      <c r="A213" s="58">
        <v>211</v>
      </c>
      <c r="B213" s="102"/>
      <c r="C213" s="93"/>
      <c r="D213" s="58" t="s">
        <v>757</v>
      </c>
      <c r="E213" s="64" t="s">
        <v>46</v>
      </c>
      <c r="F213" s="31" t="s">
        <v>794</v>
      </c>
      <c r="G213" s="31" t="s">
        <v>982</v>
      </c>
      <c r="H213" s="31" t="s">
        <v>976</v>
      </c>
      <c r="I213" s="31" t="s">
        <v>821</v>
      </c>
      <c r="J213" s="31" t="s">
        <v>815</v>
      </c>
      <c r="K213" s="31" t="s">
        <v>980</v>
      </c>
      <c r="L213" s="31" t="s">
        <v>816</v>
      </c>
    </row>
    <row r="214" spans="1:12" ht="156.75">
      <c r="A214" s="58">
        <v>212</v>
      </c>
      <c r="B214" s="102"/>
      <c r="C214" s="93"/>
      <c r="D214" s="58" t="s">
        <v>758</v>
      </c>
      <c r="E214" s="64" t="s">
        <v>46</v>
      </c>
      <c r="F214" s="31" t="s">
        <v>800</v>
      </c>
      <c r="G214" s="31" t="s">
        <v>983</v>
      </c>
      <c r="H214" s="31" t="s">
        <v>976</v>
      </c>
      <c r="I214" s="31" t="s">
        <v>984</v>
      </c>
      <c r="J214" s="31" t="s">
        <v>819</v>
      </c>
      <c r="K214" s="31" t="s">
        <v>828</v>
      </c>
      <c r="L214" s="31" t="s">
        <v>816</v>
      </c>
    </row>
    <row r="215" spans="1:12" ht="409.5">
      <c r="A215" s="58">
        <v>213</v>
      </c>
      <c r="B215" s="102"/>
      <c r="C215" s="93"/>
      <c r="D215" s="58" t="s">
        <v>759</v>
      </c>
      <c r="E215" s="64" t="s">
        <v>46</v>
      </c>
      <c r="F215" s="31" t="s">
        <v>799</v>
      </c>
      <c r="G215" s="31" t="s">
        <v>982</v>
      </c>
      <c r="H215" s="31" t="s">
        <v>976</v>
      </c>
      <c r="I215" s="31" t="s">
        <v>821</v>
      </c>
      <c r="J215" s="31" t="s">
        <v>815</v>
      </c>
      <c r="K215" s="31" t="s">
        <v>980</v>
      </c>
      <c r="L215" s="31" t="s">
        <v>816</v>
      </c>
    </row>
    <row r="216" spans="1:12" ht="409.5">
      <c r="A216" s="58">
        <v>214</v>
      </c>
      <c r="B216" s="102"/>
      <c r="C216" s="93"/>
      <c r="D216" s="58" t="s">
        <v>760</v>
      </c>
      <c r="E216" s="64" t="s">
        <v>46</v>
      </c>
      <c r="F216" s="31" t="s">
        <v>801</v>
      </c>
      <c r="G216" s="31" t="s">
        <v>982</v>
      </c>
      <c r="H216" s="31" t="s">
        <v>976</v>
      </c>
      <c r="I216" s="31" t="s">
        <v>821</v>
      </c>
      <c r="J216" s="31" t="s">
        <v>815</v>
      </c>
      <c r="K216" s="31" t="s">
        <v>980</v>
      </c>
      <c r="L216" s="31" t="s">
        <v>816</v>
      </c>
    </row>
    <row r="217" spans="1:12" ht="57">
      <c r="A217" s="58">
        <v>215</v>
      </c>
      <c r="B217" s="102"/>
      <c r="C217" s="93"/>
      <c r="D217" s="58" t="s">
        <v>761</v>
      </c>
      <c r="E217" s="64" t="s">
        <v>46</v>
      </c>
      <c r="F217" s="31" t="s">
        <v>802</v>
      </c>
      <c r="G217" s="63" t="s">
        <v>899</v>
      </c>
      <c r="H217" s="31" t="s">
        <v>900</v>
      </c>
      <c r="I217" s="31" t="s">
        <v>901</v>
      </c>
      <c r="J217" s="31" t="s">
        <v>819</v>
      </c>
      <c r="K217" s="31" t="s">
        <v>828</v>
      </c>
      <c r="L217" s="31" t="s">
        <v>816</v>
      </c>
    </row>
    <row r="218" spans="1:12" ht="409.5">
      <c r="A218" s="58">
        <v>216</v>
      </c>
      <c r="B218" s="102"/>
      <c r="C218" s="93"/>
      <c r="D218" s="58" t="s">
        <v>762</v>
      </c>
      <c r="E218" s="64" t="s">
        <v>46</v>
      </c>
      <c r="F218" s="31" t="s">
        <v>985</v>
      </c>
      <c r="G218" s="31" t="s">
        <v>982</v>
      </c>
      <c r="H218" s="31" t="s">
        <v>976</v>
      </c>
      <c r="I218" s="31" t="s">
        <v>821</v>
      </c>
      <c r="J218" s="31" t="s">
        <v>815</v>
      </c>
      <c r="K218" s="31" t="s">
        <v>980</v>
      </c>
      <c r="L218" s="31" t="s">
        <v>816</v>
      </c>
    </row>
    <row r="219" spans="1:12" ht="409.5">
      <c r="A219" s="58">
        <v>217</v>
      </c>
      <c r="B219" s="102"/>
      <c r="C219" s="94"/>
      <c r="D219" s="58" t="s">
        <v>763</v>
      </c>
      <c r="E219" s="64" t="s">
        <v>46</v>
      </c>
      <c r="F219" s="31" t="s">
        <v>986</v>
      </c>
      <c r="G219" s="31" t="s">
        <v>982</v>
      </c>
      <c r="H219" s="31" t="s">
        <v>976</v>
      </c>
      <c r="I219" s="31" t="s">
        <v>821</v>
      </c>
      <c r="J219" s="31" t="s">
        <v>815</v>
      </c>
      <c r="K219" s="31" t="s">
        <v>980</v>
      </c>
      <c r="L219" s="31" t="s">
        <v>816</v>
      </c>
    </row>
    <row r="220" spans="1:12" ht="409.5">
      <c r="A220" s="62">
        <v>218</v>
      </c>
      <c r="B220" s="102"/>
      <c r="C220" s="92" t="s">
        <v>874</v>
      </c>
      <c r="D220" s="58" t="s">
        <v>753</v>
      </c>
      <c r="E220" s="64" t="s">
        <v>46</v>
      </c>
      <c r="F220" s="31" t="s">
        <v>987</v>
      </c>
      <c r="G220" s="31" t="s">
        <v>988</v>
      </c>
      <c r="H220" s="31" t="s">
        <v>976</v>
      </c>
      <c r="I220" s="31" t="s">
        <v>989</v>
      </c>
      <c r="J220" s="31" t="s">
        <v>815</v>
      </c>
      <c r="K220" s="31" t="s">
        <v>980</v>
      </c>
      <c r="L220" s="31" t="s">
        <v>816</v>
      </c>
    </row>
    <row r="221" spans="1:12" ht="409.5">
      <c r="A221" s="62">
        <v>219</v>
      </c>
      <c r="B221" s="102"/>
      <c r="C221" s="93"/>
      <c r="D221" s="58" t="s">
        <v>754</v>
      </c>
      <c r="E221" s="64" t="s">
        <v>46</v>
      </c>
      <c r="F221" s="31" t="s">
        <v>795</v>
      </c>
      <c r="G221" s="31" t="s">
        <v>992</v>
      </c>
      <c r="H221" s="31" t="s">
        <v>976</v>
      </c>
      <c r="I221" s="31" t="s">
        <v>821</v>
      </c>
      <c r="J221" s="31" t="s">
        <v>815</v>
      </c>
      <c r="K221" s="31" t="s">
        <v>980</v>
      </c>
      <c r="L221" s="31" t="s">
        <v>816</v>
      </c>
    </row>
    <row r="222" spans="1:12" ht="409.5">
      <c r="A222" s="62">
        <v>220</v>
      </c>
      <c r="B222" s="102"/>
      <c r="C222" s="93"/>
      <c r="D222" s="58"/>
      <c r="E222" s="64" t="s">
        <v>46</v>
      </c>
      <c r="F222" s="31" t="s">
        <v>796</v>
      </c>
      <c r="G222" s="31" t="s">
        <v>990</v>
      </c>
      <c r="H222" s="31" t="s">
        <v>976</v>
      </c>
      <c r="I222" s="31" t="s">
        <v>821</v>
      </c>
      <c r="J222" s="31" t="s">
        <v>815</v>
      </c>
      <c r="K222" s="31" t="s">
        <v>980</v>
      </c>
      <c r="L222" s="31" t="s">
        <v>816</v>
      </c>
    </row>
    <row r="223" spans="1:12" ht="99.75">
      <c r="A223" s="62">
        <v>221</v>
      </c>
      <c r="B223" s="102"/>
      <c r="C223" s="93"/>
      <c r="D223" s="58" t="s">
        <v>755</v>
      </c>
      <c r="E223" s="64" t="s">
        <v>46</v>
      </c>
      <c r="F223" s="31" t="s">
        <v>797</v>
      </c>
      <c r="G223" s="31" t="s">
        <v>991</v>
      </c>
      <c r="H223" s="31" t="s">
        <v>835</v>
      </c>
      <c r="I223" s="31" t="s">
        <v>825</v>
      </c>
      <c r="J223" s="31" t="s">
        <v>819</v>
      </c>
      <c r="K223" s="31" t="s">
        <v>828</v>
      </c>
      <c r="L223" s="31" t="s">
        <v>816</v>
      </c>
    </row>
    <row r="224" spans="1:12" ht="409.5">
      <c r="A224" s="62">
        <v>222</v>
      </c>
      <c r="B224" s="102"/>
      <c r="C224" s="93"/>
      <c r="D224" s="58"/>
      <c r="E224" s="64" t="s">
        <v>46</v>
      </c>
      <c r="F224" s="31" t="s">
        <v>798</v>
      </c>
      <c r="G224" s="31" t="s">
        <v>990</v>
      </c>
      <c r="H224" s="31" t="s">
        <v>976</v>
      </c>
      <c r="I224" s="31" t="s">
        <v>821</v>
      </c>
      <c r="J224" s="31" t="s">
        <v>815</v>
      </c>
      <c r="K224" s="31" t="s">
        <v>980</v>
      </c>
      <c r="L224" s="31" t="s">
        <v>816</v>
      </c>
    </row>
    <row r="225" spans="1:12" ht="409.5">
      <c r="A225" s="62">
        <v>223</v>
      </c>
      <c r="B225" s="102"/>
      <c r="C225" s="93"/>
      <c r="D225" s="58" t="s">
        <v>756</v>
      </c>
      <c r="E225" s="64" t="s">
        <v>46</v>
      </c>
      <c r="F225" s="31" t="s">
        <v>799</v>
      </c>
      <c r="G225" s="31" t="s">
        <v>990</v>
      </c>
      <c r="H225" s="31" t="s">
        <v>976</v>
      </c>
      <c r="I225" s="31" t="s">
        <v>821</v>
      </c>
      <c r="J225" s="31" t="s">
        <v>815</v>
      </c>
      <c r="K225" s="31" t="s">
        <v>980</v>
      </c>
      <c r="L225" s="31" t="s">
        <v>816</v>
      </c>
    </row>
    <row r="226" spans="1:12" ht="409.5">
      <c r="A226" s="62">
        <v>224</v>
      </c>
      <c r="B226" s="102"/>
      <c r="C226" s="93"/>
      <c r="D226" s="58" t="s">
        <v>757</v>
      </c>
      <c r="E226" s="64" t="s">
        <v>46</v>
      </c>
      <c r="F226" s="31" t="s">
        <v>794</v>
      </c>
      <c r="G226" s="31" t="s">
        <v>990</v>
      </c>
      <c r="H226" s="31" t="s">
        <v>976</v>
      </c>
      <c r="I226" s="31" t="s">
        <v>821</v>
      </c>
      <c r="J226" s="31" t="s">
        <v>815</v>
      </c>
      <c r="K226" s="31" t="s">
        <v>980</v>
      </c>
      <c r="L226" s="31" t="s">
        <v>816</v>
      </c>
    </row>
    <row r="227" spans="1:12" ht="156.75">
      <c r="A227" s="62">
        <v>225</v>
      </c>
      <c r="B227" s="102"/>
      <c r="C227" s="93"/>
      <c r="D227" s="58" t="s">
        <v>758</v>
      </c>
      <c r="E227" s="64" t="s">
        <v>46</v>
      </c>
      <c r="F227" s="31" t="s">
        <v>800</v>
      </c>
      <c r="G227" s="31" t="s">
        <v>983</v>
      </c>
      <c r="H227" s="31" t="s">
        <v>976</v>
      </c>
      <c r="I227" s="31" t="s">
        <v>984</v>
      </c>
      <c r="J227" s="31" t="s">
        <v>819</v>
      </c>
      <c r="K227" s="31" t="s">
        <v>828</v>
      </c>
      <c r="L227" s="31" t="s">
        <v>816</v>
      </c>
    </row>
    <row r="228" spans="1:12" ht="409.5">
      <c r="A228" s="62">
        <v>226</v>
      </c>
      <c r="B228" s="102"/>
      <c r="C228" s="93"/>
      <c r="D228" s="58" t="s">
        <v>759</v>
      </c>
      <c r="E228" s="64" t="s">
        <v>46</v>
      </c>
      <c r="F228" s="31" t="s">
        <v>799</v>
      </c>
      <c r="G228" s="31" t="s">
        <v>990</v>
      </c>
      <c r="H228" s="31" t="s">
        <v>976</v>
      </c>
      <c r="I228" s="31" t="s">
        <v>821</v>
      </c>
      <c r="J228" s="31" t="s">
        <v>815</v>
      </c>
      <c r="K228" s="31" t="s">
        <v>980</v>
      </c>
      <c r="L228" s="31" t="s">
        <v>816</v>
      </c>
    </row>
    <row r="229" spans="1:12" ht="409.5">
      <c r="A229" s="62">
        <v>227</v>
      </c>
      <c r="B229" s="102"/>
      <c r="C229" s="93"/>
      <c r="D229" s="58" t="s">
        <v>760</v>
      </c>
      <c r="E229" s="64" t="s">
        <v>46</v>
      </c>
      <c r="F229" s="31" t="s">
        <v>801</v>
      </c>
      <c r="G229" s="31" t="s">
        <v>990</v>
      </c>
      <c r="H229" s="31" t="s">
        <v>976</v>
      </c>
      <c r="I229" s="31" t="s">
        <v>821</v>
      </c>
      <c r="J229" s="31" t="s">
        <v>815</v>
      </c>
      <c r="K229" s="31" t="s">
        <v>980</v>
      </c>
      <c r="L229" s="31" t="s">
        <v>816</v>
      </c>
    </row>
    <row r="230" spans="1:12" ht="57">
      <c r="A230" s="62">
        <v>228</v>
      </c>
      <c r="B230" s="102"/>
      <c r="C230" s="93"/>
      <c r="D230" s="58" t="s">
        <v>761</v>
      </c>
      <c r="E230" s="64" t="s">
        <v>46</v>
      </c>
      <c r="F230" s="31" t="s">
        <v>802</v>
      </c>
      <c r="G230" s="63" t="s">
        <v>899</v>
      </c>
      <c r="H230" s="31" t="s">
        <v>900</v>
      </c>
      <c r="I230" s="31" t="s">
        <v>901</v>
      </c>
      <c r="J230" s="31" t="s">
        <v>819</v>
      </c>
      <c r="K230" s="31" t="s">
        <v>828</v>
      </c>
      <c r="L230" s="31" t="s">
        <v>816</v>
      </c>
    </row>
    <row r="231" spans="1:12" ht="409.5">
      <c r="A231" s="62">
        <v>229</v>
      </c>
      <c r="B231" s="102"/>
      <c r="C231" s="93"/>
      <c r="D231" s="58" t="s">
        <v>762</v>
      </c>
      <c r="E231" s="64" t="s">
        <v>46</v>
      </c>
      <c r="F231" s="31" t="s">
        <v>985</v>
      </c>
      <c r="G231" s="31" t="s">
        <v>990</v>
      </c>
      <c r="H231" s="31" t="s">
        <v>976</v>
      </c>
      <c r="I231" s="31" t="s">
        <v>821</v>
      </c>
      <c r="J231" s="31" t="s">
        <v>815</v>
      </c>
      <c r="K231" s="31" t="s">
        <v>980</v>
      </c>
      <c r="L231" s="31" t="s">
        <v>816</v>
      </c>
    </row>
    <row r="232" spans="1:12" ht="409.5">
      <c r="A232" s="62">
        <v>230</v>
      </c>
      <c r="B232" s="106"/>
      <c r="C232" s="94"/>
      <c r="D232" s="58" t="s">
        <v>763</v>
      </c>
      <c r="E232" s="64" t="s">
        <v>46</v>
      </c>
      <c r="F232" s="31" t="s">
        <v>986</v>
      </c>
      <c r="G232" s="31" t="s">
        <v>990</v>
      </c>
      <c r="H232" s="31" t="s">
        <v>976</v>
      </c>
      <c r="I232" s="31" t="s">
        <v>821</v>
      </c>
      <c r="J232" s="31" t="s">
        <v>815</v>
      </c>
      <c r="K232" s="31" t="s">
        <v>980</v>
      </c>
      <c r="L232" s="31" t="s">
        <v>816</v>
      </c>
    </row>
    <row r="233" spans="1:12" ht="185.25">
      <c r="A233" s="58">
        <v>231</v>
      </c>
      <c r="B233" s="101" t="s">
        <v>1000</v>
      </c>
      <c r="C233" s="92" t="s">
        <v>999</v>
      </c>
      <c r="D233" s="58" t="s">
        <v>753</v>
      </c>
      <c r="E233" s="64" t="s">
        <v>46</v>
      </c>
      <c r="F233" s="63" t="s">
        <v>1005</v>
      </c>
      <c r="G233" s="31" t="s">
        <v>1004</v>
      </c>
      <c r="H233" s="31" t="s">
        <v>1006</v>
      </c>
      <c r="I233" s="31" t="s">
        <v>821</v>
      </c>
      <c r="J233" s="31" t="s">
        <v>815</v>
      </c>
      <c r="K233" s="31" t="s">
        <v>1069</v>
      </c>
      <c r="L233" s="31" t="s">
        <v>816</v>
      </c>
    </row>
    <row r="234" spans="1:12" ht="199.5">
      <c r="A234" s="58">
        <v>232</v>
      </c>
      <c r="B234" s="102"/>
      <c r="C234" s="93"/>
      <c r="D234" s="58" t="s">
        <v>754</v>
      </c>
      <c r="E234" s="64" t="s">
        <v>46</v>
      </c>
      <c r="F234" s="31" t="s">
        <v>1013</v>
      </c>
      <c r="G234" s="31" t="s">
        <v>1020</v>
      </c>
      <c r="H234" s="31" t="s">
        <v>1018</v>
      </c>
      <c r="I234" s="31" t="s">
        <v>821</v>
      </c>
      <c r="J234" s="31" t="s">
        <v>815</v>
      </c>
      <c r="K234" s="31" t="s">
        <v>1070</v>
      </c>
      <c r="L234" s="31" t="s">
        <v>816</v>
      </c>
    </row>
    <row r="235" spans="1:12" ht="199.5">
      <c r="A235" s="58">
        <v>233</v>
      </c>
      <c r="B235" s="102"/>
      <c r="C235" s="93"/>
      <c r="D235" s="58" t="s">
        <v>755</v>
      </c>
      <c r="E235" s="64" t="s">
        <v>46</v>
      </c>
      <c r="F235" s="31" t="s">
        <v>1014</v>
      </c>
      <c r="G235" s="31" t="s">
        <v>1021</v>
      </c>
      <c r="H235" s="31" t="s">
        <v>1018</v>
      </c>
      <c r="I235" s="31" t="s">
        <v>821</v>
      </c>
      <c r="J235" s="31" t="s">
        <v>815</v>
      </c>
      <c r="K235" s="31" t="s">
        <v>1070</v>
      </c>
      <c r="L235" s="31" t="s">
        <v>816</v>
      </c>
    </row>
    <row r="236" spans="1:12" ht="199.5">
      <c r="A236" s="58">
        <v>234</v>
      </c>
      <c r="B236" s="102"/>
      <c r="C236" s="93"/>
      <c r="D236" s="58" t="s">
        <v>756</v>
      </c>
      <c r="E236" s="64" t="s">
        <v>46</v>
      </c>
      <c r="F236" s="31" t="s">
        <v>1007</v>
      </c>
      <c r="G236" s="31" t="s">
        <v>1072</v>
      </c>
      <c r="H236" s="31" t="s">
        <v>1018</v>
      </c>
      <c r="I236" s="31" t="s">
        <v>821</v>
      </c>
      <c r="J236" s="31" t="s">
        <v>815</v>
      </c>
      <c r="K236" s="31" t="s">
        <v>1070</v>
      </c>
      <c r="L236" s="31" t="s">
        <v>816</v>
      </c>
    </row>
    <row r="237" spans="1:12" ht="99.75">
      <c r="A237" s="58">
        <v>235</v>
      </c>
      <c r="B237" s="102"/>
      <c r="C237" s="93"/>
      <c r="D237" s="58" t="s">
        <v>757</v>
      </c>
      <c r="E237" s="64" t="s">
        <v>46</v>
      </c>
      <c r="F237" s="31" t="s">
        <v>1008</v>
      </c>
      <c r="G237" s="31" t="s">
        <v>1019</v>
      </c>
      <c r="H237" s="31" t="s">
        <v>1018</v>
      </c>
      <c r="I237" s="31" t="s">
        <v>821</v>
      </c>
      <c r="J237" s="31" t="s">
        <v>815</v>
      </c>
      <c r="K237" s="31" t="s">
        <v>1022</v>
      </c>
      <c r="L237" s="31" t="s">
        <v>816</v>
      </c>
    </row>
    <row r="238" spans="1:12" ht="114">
      <c r="A238" s="58">
        <v>236</v>
      </c>
      <c r="B238" s="102"/>
      <c r="C238" s="93"/>
      <c r="D238" s="58" t="s">
        <v>758</v>
      </c>
      <c r="E238" s="64" t="s">
        <v>46</v>
      </c>
      <c r="F238" s="31" t="s">
        <v>1024</v>
      </c>
      <c r="G238" s="31" t="s">
        <v>1028</v>
      </c>
      <c r="H238" s="31" t="s">
        <v>1018</v>
      </c>
      <c r="I238" s="31" t="s">
        <v>821</v>
      </c>
      <c r="J238" s="31" t="s">
        <v>815</v>
      </c>
      <c r="K238" s="31" t="s">
        <v>1022</v>
      </c>
      <c r="L238" s="31" t="s">
        <v>816</v>
      </c>
    </row>
    <row r="239" spans="1:12" ht="384.75">
      <c r="A239" s="58">
        <v>237</v>
      </c>
      <c r="B239" s="102"/>
      <c r="C239" s="93"/>
      <c r="D239" s="58" t="s">
        <v>759</v>
      </c>
      <c r="E239" s="64" t="s">
        <v>46</v>
      </c>
      <c r="F239" s="31" t="s">
        <v>1023</v>
      </c>
      <c r="G239" s="31" t="s">
        <v>1029</v>
      </c>
      <c r="H239" s="31" t="s">
        <v>1032</v>
      </c>
      <c r="I239" s="31" t="s">
        <v>1030</v>
      </c>
      <c r="J239" s="31" t="s">
        <v>815</v>
      </c>
      <c r="K239" s="31" t="s">
        <v>1070</v>
      </c>
      <c r="L239" s="31" t="s">
        <v>816</v>
      </c>
    </row>
    <row r="240" spans="1:12" ht="384.75">
      <c r="A240" s="58">
        <v>238</v>
      </c>
      <c r="B240" s="102"/>
      <c r="C240" s="93"/>
      <c r="D240" s="58" t="s">
        <v>760</v>
      </c>
      <c r="E240" s="64" t="s">
        <v>46</v>
      </c>
      <c r="F240" s="31" t="s">
        <v>1009</v>
      </c>
      <c r="G240" s="31" t="s">
        <v>1031</v>
      </c>
      <c r="H240" s="31" t="s">
        <v>1018</v>
      </c>
      <c r="I240" s="31" t="s">
        <v>821</v>
      </c>
      <c r="J240" s="31" t="s">
        <v>815</v>
      </c>
      <c r="K240" s="31" t="s">
        <v>1033</v>
      </c>
      <c r="L240" s="31" t="s">
        <v>816</v>
      </c>
    </row>
    <row r="241" spans="1:12" ht="57">
      <c r="A241" s="58">
        <v>239</v>
      </c>
      <c r="B241" s="102"/>
      <c r="C241" s="93"/>
      <c r="D241" s="58" t="s">
        <v>761</v>
      </c>
      <c r="E241" s="64" t="s">
        <v>46</v>
      </c>
      <c r="F241" s="31" t="s">
        <v>1010</v>
      </c>
      <c r="G241" s="63" t="s">
        <v>899</v>
      </c>
      <c r="H241" s="31" t="s">
        <v>900</v>
      </c>
      <c r="I241" s="31" t="s">
        <v>901</v>
      </c>
      <c r="J241" s="31" t="s">
        <v>819</v>
      </c>
      <c r="K241" s="31" t="s">
        <v>828</v>
      </c>
      <c r="L241" s="31" t="s">
        <v>816</v>
      </c>
    </row>
    <row r="242" spans="1:12" ht="384.75">
      <c r="A242" s="58">
        <v>240</v>
      </c>
      <c r="B242" s="102"/>
      <c r="C242" s="93"/>
      <c r="D242" s="58" t="s">
        <v>762</v>
      </c>
      <c r="E242" s="64" t="s">
        <v>46</v>
      </c>
      <c r="F242" s="31" t="s">
        <v>1011</v>
      </c>
      <c r="G242" s="31" t="s">
        <v>1031</v>
      </c>
      <c r="H242" s="31" t="s">
        <v>1018</v>
      </c>
      <c r="I242" s="31" t="s">
        <v>821</v>
      </c>
      <c r="J242" s="31" t="s">
        <v>815</v>
      </c>
      <c r="K242" s="31" t="s">
        <v>1033</v>
      </c>
      <c r="L242" s="31" t="s">
        <v>816</v>
      </c>
    </row>
    <row r="243" spans="1:12" ht="384.75">
      <c r="A243" s="58">
        <v>241</v>
      </c>
      <c r="B243" s="102"/>
      <c r="C243" s="94"/>
      <c r="D243" s="58" t="s">
        <v>763</v>
      </c>
      <c r="E243" s="64" t="s">
        <v>46</v>
      </c>
      <c r="F243" s="31" t="s">
        <v>1012</v>
      </c>
      <c r="G243" s="31" t="s">
        <v>1034</v>
      </c>
      <c r="H243" s="31" t="s">
        <v>1018</v>
      </c>
      <c r="I243" s="31" t="s">
        <v>821</v>
      </c>
      <c r="J243" s="31" t="s">
        <v>815</v>
      </c>
      <c r="K243" s="31" t="s">
        <v>1033</v>
      </c>
      <c r="L243" s="31" t="s">
        <v>816</v>
      </c>
    </row>
    <row r="244" spans="1:12" ht="199.5">
      <c r="A244" s="62">
        <v>242</v>
      </c>
      <c r="B244" s="102"/>
      <c r="C244" s="92" t="s">
        <v>1001</v>
      </c>
      <c r="D244" s="58" t="s">
        <v>753</v>
      </c>
      <c r="E244" s="64" t="s">
        <v>46</v>
      </c>
      <c r="F244" s="63" t="s">
        <v>1015</v>
      </c>
      <c r="G244" s="31" t="s">
        <v>1035</v>
      </c>
      <c r="H244" s="31" t="s">
        <v>1037</v>
      </c>
      <c r="I244" s="31" t="s">
        <v>821</v>
      </c>
      <c r="J244" s="31" t="s">
        <v>815</v>
      </c>
      <c r="K244" s="31" t="s">
        <v>1070</v>
      </c>
      <c r="L244" s="31" t="s">
        <v>816</v>
      </c>
    </row>
    <row r="245" spans="1:12" ht="199.5">
      <c r="A245" s="62">
        <v>243</v>
      </c>
      <c r="B245" s="102"/>
      <c r="C245" s="93"/>
      <c r="D245" s="58" t="s">
        <v>754</v>
      </c>
      <c r="E245" s="64" t="s">
        <v>46</v>
      </c>
      <c r="F245" s="31" t="s">
        <v>1013</v>
      </c>
      <c r="G245" s="31" t="s">
        <v>1020</v>
      </c>
      <c r="H245" s="31" t="s">
        <v>1018</v>
      </c>
      <c r="I245" s="31" t="s">
        <v>821</v>
      </c>
      <c r="J245" s="31" t="s">
        <v>815</v>
      </c>
      <c r="K245" s="31" t="s">
        <v>1070</v>
      </c>
      <c r="L245" s="31" t="s">
        <v>816</v>
      </c>
    </row>
    <row r="246" spans="1:12" ht="199.5">
      <c r="A246" s="62">
        <v>244</v>
      </c>
      <c r="B246" s="102"/>
      <c r="C246" s="93"/>
      <c r="D246" s="58" t="s">
        <v>755</v>
      </c>
      <c r="E246" s="64" t="s">
        <v>46</v>
      </c>
      <c r="F246" s="31" t="s">
        <v>1014</v>
      </c>
      <c r="G246" s="31" t="s">
        <v>1021</v>
      </c>
      <c r="H246" s="31" t="s">
        <v>1018</v>
      </c>
      <c r="I246" s="31" t="s">
        <v>821</v>
      </c>
      <c r="J246" s="31" t="s">
        <v>815</v>
      </c>
      <c r="K246" s="31" t="s">
        <v>1070</v>
      </c>
      <c r="L246" s="31" t="s">
        <v>816</v>
      </c>
    </row>
    <row r="247" spans="1:12" ht="199.5">
      <c r="A247" s="62">
        <v>245</v>
      </c>
      <c r="B247" s="102"/>
      <c r="C247" s="93"/>
      <c r="D247" s="58" t="s">
        <v>756</v>
      </c>
      <c r="E247" s="64" t="s">
        <v>46</v>
      </c>
      <c r="F247" s="31" t="s">
        <v>1007</v>
      </c>
      <c r="G247" s="31" t="s">
        <v>1072</v>
      </c>
      <c r="H247" s="31" t="s">
        <v>1018</v>
      </c>
      <c r="I247" s="31" t="s">
        <v>821</v>
      </c>
      <c r="J247" s="31" t="s">
        <v>815</v>
      </c>
      <c r="K247" s="31" t="s">
        <v>1070</v>
      </c>
      <c r="L247" s="31" t="s">
        <v>816</v>
      </c>
    </row>
    <row r="248" spans="1:12" ht="99.75">
      <c r="A248" s="62">
        <v>246</v>
      </c>
      <c r="B248" s="102"/>
      <c r="C248" s="93"/>
      <c r="D248" s="58" t="s">
        <v>757</v>
      </c>
      <c r="E248" s="64" t="s">
        <v>46</v>
      </c>
      <c r="F248" s="31" t="s">
        <v>1008</v>
      </c>
      <c r="G248" s="31" t="s">
        <v>1019</v>
      </c>
      <c r="H248" s="31" t="s">
        <v>1018</v>
      </c>
      <c r="I248" s="31" t="s">
        <v>821</v>
      </c>
      <c r="J248" s="31" t="s">
        <v>815</v>
      </c>
      <c r="K248" s="31" t="s">
        <v>1022</v>
      </c>
      <c r="L248" s="31" t="s">
        <v>816</v>
      </c>
    </row>
    <row r="249" spans="1:12" ht="114">
      <c r="A249" s="62">
        <v>247</v>
      </c>
      <c r="B249" s="102"/>
      <c r="C249" s="93"/>
      <c r="D249" s="58" t="s">
        <v>758</v>
      </c>
      <c r="E249" s="64" t="s">
        <v>46</v>
      </c>
      <c r="F249" s="31" t="s">
        <v>1024</v>
      </c>
      <c r="G249" s="31" t="s">
        <v>1028</v>
      </c>
      <c r="H249" s="31" t="s">
        <v>1018</v>
      </c>
      <c r="I249" s="31" t="s">
        <v>821</v>
      </c>
      <c r="J249" s="31" t="s">
        <v>815</v>
      </c>
      <c r="K249" s="31" t="s">
        <v>1022</v>
      </c>
      <c r="L249" s="31" t="s">
        <v>816</v>
      </c>
    </row>
    <row r="250" spans="1:12" ht="384.75">
      <c r="A250" s="62">
        <v>248</v>
      </c>
      <c r="B250" s="102"/>
      <c r="C250" s="93"/>
      <c r="D250" s="58" t="s">
        <v>759</v>
      </c>
      <c r="E250" s="64" t="s">
        <v>46</v>
      </c>
      <c r="F250" s="31" t="s">
        <v>1025</v>
      </c>
      <c r="G250" s="31" t="s">
        <v>1036</v>
      </c>
      <c r="H250" s="31" t="s">
        <v>1032</v>
      </c>
      <c r="I250" s="31" t="s">
        <v>1030</v>
      </c>
      <c r="J250" s="31" t="s">
        <v>815</v>
      </c>
      <c r="K250" s="31" t="s">
        <v>1070</v>
      </c>
      <c r="L250" s="31" t="s">
        <v>816</v>
      </c>
    </row>
    <row r="251" spans="1:12" ht="384.75">
      <c r="A251" s="62">
        <v>249</v>
      </c>
      <c r="B251" s="102"/>
      <c r="C251" s="93"/>
      <c r="D251" s="58" t="s">
        <v>760</v>
      </c>
      <c r="E251" s="64" t="s">
        <v>46</v>
      </c>
      <c r="F251" s="31" t="s">
        <v>1009</v>
      </c>
      <c r="G251" s="31" t="s">
        <v>1031</v>
      </c>
      <c r="H251" s="31" t="s">
        <v>1018</v>
      </c>
      <c r="I251" s="31" t="s">
        <v>821</v>
      </c>
      <c r="J251" s="31" t="s">
        <v>815</v>
      </c>
      <c r="K251" s="31" t="s">
        <v>1033</v>
      </c>
      <c r="L251" s="31" t="s">
        <v>816</v>
      </c>
    </row>
    <row r="252" spans="1:12" ht="57">
      <c r="A252" s="62">
        <v>250</v>
      </c>
      <c r="B252" s="102"/>
      <c r="C252" s="93"/>
      <c r="D252" s="58" t="s">
        <v>761</v>
      </c>
      <c r="E252" s="64" t="s">
        <v>46</v>
      </c>
      <c r="F252" s="31" t="s">
        <v>1010</v>
      </c>
      <c r="G252" s="63" t="s">
        <v>899</v>
      </c>
      <c r="H252" s="31" t="s">
        <v>900</v>
      </c>
      <c r="I252" s="31" t="s">
        <v>901</v>
      </c>
      <c r="J252" s="31" t="s">
        <v>819</v>
      </c>
      <c r="K252" s="31" t="s">
        <v>828</v>
      </c>
      <c r="L252" s="31" t="s">
        <v>816</v>
      </c>
    </row>
    <row r="253" spans="1:12" ht="384.75">
      <c r="A253" s="62">
        <v>251</v>
      </c>
      <c r="B253" s="102"/>
      <c r="C253" s="93"/>
      <c r="D253" s="58" t="s">
        <v>762</v>
      </c>
      <c r="E253" s="64" t="s">
        <v>46</v>
      </c>
      <c r="F253" s="31" t="s">
        <v>1011</v>
      </c>
      <c r="G253" s="31" t="s">
        <v>1031</v>
      </c>
      <c r="H253" s="31" t="s">
        <v>1018</v>
      </c>
      <c r="I253" s="31" t="s">
        <v>821</v>
      </c>
      <c r="J253" s="31" t="s">
        <v>815</v>
      </c>
      <c r="K253" s="31" t="s">
        <v>1033</v>
      </c>
      <c r="L253" s="31" t="s">
        <v>816</v>
      </c>
    </row>
    <row r="254" spans="1:12" ht="384.75">
      <c r="A254" s="62">
        <v>252</v>
      </c>
      <c r="B254" s="102"/>
      <c r="C254" s="94"/>
      <c r="D254" s="58" t="s">
        <v>763</v>
      </c>
      <c r="E254" s="64" t="s">
        <v>46</v>
      </c>
      <c r="F254" s="31" t="s">
        <v>1012</v>
      </c>
      <c r="G254" s="31" t="s">
        <v>1034</v>
      </c>
      <c r="H254" s="31" t="s">
        <v>1018</v>
      </c>
      <c r="I254" s="31" t="s">
        <v>821</v>
      </c>
      <c r="J254" s="31" t="s">
        <v>815</v>
      </c>
      <c r="K254" s="31" t="s">
        <v>1033</v>
      </c>
      <c r="L254" s="31" t="s">
        <v>816</v>
      </c>
    </row>
    <row r="255" spans="1:12" ht="199.5">
      <c r="A255" s="62">
        <v>253</v>
      </c>
      <c r="B255" s="102"/>
      <c r="C255" s="92" t="s">
        <v>1002</v>
      </c>
      <c r="D255" s="58" t="s">
        <v>753</v>
      </c>
      <c r="E255" s="64" t="s">
        <v>46</v>
      </c>
      <c r="F255" s="63" t="s">
        <v>1017</v>
      </c>
      <c r="G255" s="31" t="s">
        <v>1038</v>
      </c>
      <c r="H255" s="31" t="s">
        <v>1040</v>
      </c>
      <c r="I255" s="31" t="s">
        <v>821</v>
      </c>
      <c r="J255" s="31" t="s">
        <v>815</v>
      </c>
      <c r="K255" s="31" t="s">
        <v>1070</v>
      </c>
      <c r="L255" s="31" t="s">
        <v>816</v>
      </c>
    </row>
    <row r="256" spans="1:12" ht="199.5">
      <c r="A256" s="62">
        <v>254</v>
      </c>
      <c r="B256" s="102"/>
      <c r="C256" s="93"/>
      <c r="D256" s="58" t="s">
        <v>754</v>
      </c>
      <c r="E256" s="64" t="s">
        <v>46</v>
      </c>
      <c r="F256" s="31" t="s">
        <v>1013</v>
      </c>
      <c r="G256" s="31" t="s">
        <v>1020</v>
      </c>
      <c r="H256" s="31" t="s">
        <v>1018</v>
      </c>
      <c r="I256" s="31" t="s">
        <v>821</v>
      </c>
      <c r="J256" s="31" t="s">
        <v>815</v>
      </c>
      <c r="K256" s="31" t="s">
        <v>1070</v>
      </c>
      <c r="L256" s="31" t="s">
        <v>816</v>
      </c>
    </row>
    <row r="257" spans="1:12" ht="199.5">
      <c r="A257" s="62">
        <v>255</v>
      </c>
      <c r="B257" s="102"/>
      <c r="C257" s="93"/>
      <c r="D257" s="58" t="s">
        <v>755</v>
      </c>
      <c r="E257" s="64" t="s">
        <v>46</v>
      </c>
      <c r="F257" s="31" t="s">
        <v>1014</v>
      </c>
      <c r="G257" s="31" t="s">
        <v>1021</v>
      </c>
      <c r="H257" s="31" t="s">
        <v>1018</v>
      </c>
      <c r="I257" s="31" t="s">
        <v>821</v>
      </c>
      <c r="J257" s="31" t="s">
        <v>815</v>
      </c>
      <c r="K257" s="31" t="s">
        <v>1070</v>
      </c>
      <c r="L257" s="31" t="s">
        <v>816</v>
      </c>
    </row>
    <row r="258" spans="1:12" ht="199.5">
      <c r="A258" s="62">
        <v>256</v>
      </c>
      <c r="B258" s="102"/>
      <c r="C258" s="93"/>
      <c r="D258" s="58" t="s">
        <v>756</v>
      </c>
      <c r="E258" s="64" t="s">
        <v>46</v>
      </c>
      <c r="F258" s="31" t="s">
        <v>1007</v>
      </c>
      <c r="G258" s="31" t="s">
        <v>1072</v>
      </c>
      <c r="H258" s="31" t="s">
        <v>1018</v>
      </c>
      <c r="I258" s="31" t="s">
        <v>821</v>
      </c>
      <c r="J258" s="31" t="s">
        <v>815</v>
      </c>
      <c r="K258" s="31" t="s">
        <v>1070</v>
      </c>
      <c r="L258" s="31" t="s">
        <v>816</v>
      </c>
    </row>
    <row r="259" spans="1:12" ht="99.75">
      <c r="A259" s="62">
        <v>257</v>
      </c>
      <c r="B259" s="102"/>
      <c r="C259" s="93"/>
      <c r="D259" s="58" t="s">
        <v>757</v>
      </c>
      <c r="E259" s="64" t="s">
        <v>46</v>
      </c>
      <c r="F259" s="31" t="s">
        <v>1008</v>
      </c>
      <c r="G259" s="31" t="s">
        <v>1019</v>
      </c>
      <c r="H259" s="31" t="s">
        <v>1018</v>
      </c>
      <c r="I259" s="31" t="s">
        <v>821</v>
      </c>
      <c r="J259" s="31" t="s">
        <v>815</v>
      </c>
      <c r="K259" s="31" t="s">
        <v>1022</v>
      </c>
      <c r="L259" s="31" t="s">
        <v>816</v>
      </c>
    </row>
    <row r="260" spans="1:12" ht="114">
      <c r="A260" s="62">
        <v>258</v>
      </c>
      <c r="B260" s="102"/>
      <c r="C260" s="93"/>
      <c r="D260" s="58" t="s">
        <v>758</v>
      </c>
      <c r="E260" s="64" t="s">
        <v>46</v>
      </c>
      <c r="F260" s="31" t="s">
        <v>1024</v>
      </c>
      <c r="G260" s="31" t="s">
        <v>1028</v>
      </c>
      <c r="H260" s="31" t="s">
        <v>1018</v>
      </c>
      <c r="I260" s="31" t="s">
        <v>821</v>
      </c>
      <c r="J260" s="31" t="s">
        <v>815</v>
      </c>
      <c r="K260" s="31" t="s">
        <v>1022</v>
      </c>
      <c r="L260" s="31" t="s">
        <v>816</v>
      </c>
    </row>
    <row r="261" spans="1:12" ht="384.75">
      <c r="A261" s="62">
        <v>259</v>
      </c>
      <c r="B261" s="102"/>
      <c r="C261" s="93"/>
      <c r="D261" s="58" t="s">
        <v>759</v>
      </c>
      <c r="E261" s="64" t="s">
        <v>46</v>
      </c>
      <c r="F261" s="31" t="s">
        <v>1026</v>
      </c>
      <c r="G261" s="31" t="s">
        <v>1039</v>
      </c>
      <c r="H261" s="31" t="s">
        <v>1032</v>
      </c>
      <c r="I261" s="31" t="s">
        <v>1030</v>
      </c>
      <c r="J261" s="31" t="s">
        <v>815</v>
      </c>
      <c r="K261" s="31" t="s">
        <v>1070</v>
      </c>
      <c r="L261" s="31" t="s">
        <v>816</v>
      </c>
    </row>
    <row r="262" spans="1:12" ht="384.75">
      <c r="A262" s="62">
        <v>260</v>
      </c>
      <c r="B262" s="102"/>
      <c r="C262" s="93"/>
      <c r="D262" s="58" t="s">
        <v>760</v>
      </c>
      <c r="E262" s="64" t="s">
        <v>46</v>
      </c>
      <c r="F262" s="31" t="s">
        <v>1009</v>
      </c>
      <c r="G262" s="31" t="s">
        <v>1031</v>
      </c>
      <c r="H262" s="31" t="s">
        <v>1018</v>
      </c>
      <c r="I262" s="31" t="s">
        <v>821</v>
      </c>
      <c r="J262" s="31" t="s">
        <v>815</v>
      </c>
      <c r="K262" s="31" t="s">
        <v>1033</v>
      </c>
      <c r="L262" s="31" t="s">
        <v>816</v>
      </c>
    </row>
    <row r="263" spans="1:12" ht="57">
      <c r="A263" s="62">
        <v>261</v>
      </c>
      <c r="B263" s="102"/>
      <c r="C263" s="93"/>
      <c r="D263" s="58" t="s">
        <v>761</v>
      </c>
      <c r="E263" s="64" t="s">
        <v>46</v>
      </c>
      <c r="F263" s="31" t="s">
        <v>1010</v>
      </c>
      <c r="G263" s="63" t="s">
        <v>899</v>
      </c>
      <c r="H263" s="31" t="s">
        <v>900</v>
      </c>
      <c r="I263" s="31" t="s">
        <v>901</v>
      </c>
      <c r="J263" s="31" t="s">
        <v>819</v>
      </c>
      <c r="K263" s="31" t="s">
        <v>828</v>
      </c>
      <c r="L263" s="31" t="s">
        <v>816</v>
      </c>
    </row>
    <row r="264" spans="1:12" ht="384.75">
      <c r="A264" s="62">
        <v>262</v>
      </c>
      <c r="B264" s="102"/>
      <c r="C264" s="93"/>
      <c r="D264" s="58" t="s">
        <v>762</v>
      </c>
      <c r="E264" s="64" t="s">
        <v>46</v>
      </c>
      <c r="F264" s="31" t="s">
        <v>1011</v>
      </c>
      <c r="G264" s="31" t="s">
        <v>1031</v>
      </c>
      <c r="H264" s="31" t="s">
        <v>1018</v>
      </c>
      <c r="I264" s="31" t="s">
        <v>821</v>
      </c>
      <c r="J264" s="31" t="s">
        <v>815</v>
      </c>
      <c r="K264" s="31" t="s">
        <v>1033</v>
      </c>
      <c r="L264" s="31" t="s">
        <v>816</v>
      </c>
    </row>
    <row r="265" spans="1:12" ht="384.75">
      <c r="A265" s="62">
        <v>263</v>
      </c>
      <c r="B265" s="102"/>
      <c r="C265" s="94"/>
      <c r="D265" s="58" t="s">
        <v>763</v>
      </c>
      <c r="E265" s="64" t="s">
        <v>46</v>
      </c>
      <c r="F265" s="31" t="s">
        <v>1012</v>
      </c>
      <c r="G265" s="31" t="s">
        <v>1034</v>
      </c>
      <c r="H265" s="31" t="s">
        <v>1018</v>
      </c>
      <c r="I265" s="31" t="s">
        <v>821</v>
      </c>
      <c r="J265" s="31" t="s">
        <v>815</v>
      </c>
      <c r="K265" s="31" t="s">
        <v>1033</v>
      </c>
      <c r="L265" s="31" t="s">
        <v>816</v>
      </c>
    </row>
    <row r="266" spans="1:12" ht="199.5">
      <c r="A266" s="62">
        <v>264</v>
      </c>
      <c r="B266" s="102"/>
      <c r="C266" s="92" t="s">
        <v>1003</v>
      </c>
      <c r="D266" s="58" t="s">
        <v>753</v>
      </c>
      <c r="E266" s="64" t="s">
        <v>46</v>
      </c>
      <c r="F266" s="63" t="s">
        <v>1016</v>
      </c>
      <c r="G266" s="31" t="s">
        <v>1041</v>
      </c>
      <c r="H266" s="31" t="s">
        <v>1042</v>
      </c>
      <c r="I266" s="31" t="s">
        <v>821</v>
      </c>
      <c r="J266" s="31" t="s">
        <v>815</v>
      </c>
      <c r="K266" s="31" t="s">
        <v>1070</v>
      </c>
      <c r="L266" s="31" t="s">
        <v>816</v>
      </c>
    </row>
    <row r="267" spans="1:12" ht="199.5">
      <c r="A267" s="62">
        <v>265</v>
      </c>
      <c r="B267" s="102"/>
      <c r="C267" s="93"/>
      <c r="D267" s="58" t="s">
        <v>754</v>
      </c>
      <c r="E267" s="64" t="s">
        <v>46</v>
      </c>
      <c r="F267" s="31" t="s">
        <v>1013</v>
      </c>
      <c r="G267" s="31" t="s">
        <v>1020</v>
      </c>
      <c r="H267" s="31" t="s">
        <v>1018</v>
      </c>
      <c r="I267" s="31" t="s">
        <v>821</v>
      </c>
      <c r="J267" s="31" t="s">
        <v>815</v>
      </c>
      <c r="K267" s="31" t="s">
        <v>1070</v>
      </c>
      <c r="L267" s="31" t="s">
        <v>816</v>
      </c>
    </row>
    <row r="268" spans="1:12" ht="199.5">
      <c r="A268" s="62">
        <v>266</v>
      </c>
      <c r="B268" s="102"/>
      <c r="C268" s="93"/>
      <c r="D268" s="58" t="s">
        <v>755</v>
      </c>
      <c r="E268" s="64" t="s">
        <v>46</v>
      </c>
      <c r="F268" s="31" t="s">
        <v>1014</v>
      </c>
      <c r="G268" s="31" t="s">
        <v>1021</v>
      </c>
      <c r="H268" s="31" t="s">
        <v>1018</v>
      </c>
      <c r="I268" s="31" t="s">
        <v>821</v>
      </c>
      <c r="J268" s="31" t="s">
        <v>815</v>
      </c>
      <c r="K268" s="31" t="s">
        <v>1070</v>
      </c>
      <c r="L268" s="31" t="s">
        <v>816</v>
      </c>
    </row>
    <row r="269" spans="1:12" ht="199.5">
      <c r="A269" s="62">
        <v>267</v>
      </c>
      <c r="B269" s="102"/>
      <c r="C269" s="93"/>
      <c r="D269" s="58" t="s">
        <v>756</v>
      </c>
      <c r="E269" s="64" t="s">
        <v>46</v>
      </c>
      <c r="F269" s="31" t="s">
        <v>1007</v>
      </c>
      <c r="G269" s="31" t="s">
        <v>1072</v>
      </c>
      <c r="H269" s="31" t="s">
        <v>1018</v>
      </c>
      <c r="I269" s="31" t="s">
        <v>821</v>
      </c>
      <c r="J269" s="31" t="s">
        <v>815</v>
      </c>
      <c r="K269" s="31" t="s">
        <v>1070</v>
      </c>
      <c r="L269" s="31" t="s">
        <v>816</v>
      </c>
    </row>
    <row r="270" spans="1:12" ht="99.75">
      <c r="A270" s="62">
        <v>268</v>
      </c>
      <c r="B270" s="102"/>
      <c r="C270" s="93"/>
      <c r="D270" s="58" t="s">
        <v>757</v>
      </c>
      <c r="E270" s="64" t="s">
        <v>46</v>
      </c>
      <c r="F270" s="31" t="s">
        <v>1008</v>
      </c>
      <c r="G270" s="31" t="s">
        <v>1019</v>
      </c>
      <c r="H270" s="31" t="s">
        <v>1018</v>
      </c>
      <c r="I270" s="31" t="s">
        <v>821</v>
      </c>
      <c r="J270" s="31" t="s">
        <v>815</v>
      </c>
      <c r="K270" s="31" t="s">
        <v>1022</v>
      </c>
      <c r="L270" s="31" t="s">
        <v>816</v>
      </c>
    </row>
    <row r="271" spans="1:12" ht="114">
      <c r="A271" s="62">
        <v>269</v>
      </c>
      <c r="B271" s="102"/>
      <c r="C271" s="93"/>
      <c r="D271" s="58" t="s">
        <v>758</v>
      </c>
      <c r="E271" s="64" t="s">
        <v>46</v>
      </c>
      <c r="F271" s="31" t="s">
        <v>1024</v>
      </c>
      <c r="G271" s="31" t="s">
        <v>1028</v>
      </c>
      <c r="H271" s="31" t="s">
        <v>1018</v>
      </c>
      <c r="I271" s="31" t="s">
        <v>821</v>
      </c>
      <c r="J271" s="31" t="s">
        <v>815</v>
      </c>
      <c r="K271" s="31" t="s">
        <v>1022</v>
      </c>
      <c r="L271" s="31" t="s">
        <v>816</v>
      </c>
    </row>
    <row r="272" spans="1:12" ht="384.75">
      <c r="A272" s="62">
        <v>270</v>
      </c>
      <c r="B272" s="102"/>
      <c r="C272" s="93"/>
      <c r="D272" s="58" t="s">
        <v>759</v>
      </c>
      <c r="E272" s="64" t="s">
        <v>46</v>
      </c>
      <c r="F272" s="31" t="s">
        <v>1027</v>
      </c>
      <c r="G272" s="31" t="s">
        <v>1043</v>
      </c>
      <c r="H272" s="31" t="s">
        <v>1032</v>
      </c>
      <c r="I272" s="31" t="s">
        <v>1030</v>
      </c>
      <c r="J272" s="31" t="s">
        <v>815</v>
      </c>
      <c r="K272" s="31" t="s">
        <v>1070</v>
      </c>
      <c r="L272" s="31" t="s">
        <v>816</v>
      </c>
    </row>
    <row r="273" spans="1:12" ht="384.75">
      <c r="A273" s="62">
        <v>271</v>
      </c>
      <c r="B273" s="102"/>
      <c r="C273" s="93"/>
      <c r="D273" s="58" t="s">
        <v>760</v>
      </c>
      <c r="E273" s="64" t="s">
        <v>46</v>
      </c>
      <c r="F273" s="31" t="s">
        <v>1009</v>
      </c>
      <c r="G273" s="31" t="s">
        <v>1031</v>
      </c>
      <c r="H273" s="31" t="s">
        <v>1018</v>
      </c>
      <c r="I273" s="31" t="s">
        <v>821</v>
      </c>
      <c r="J273" s="31" t="s">
        <v>815</v>
      </c>
      <c r="K273" s="31" t="s">
        <v>1033</v>
      </c>
      <c r="L273" s="31" t="s">
        <v>816</v>
      </c>
    </row>
    <row r="274" spans="1:12" ht="57">
      <c r="A274" s="62">
        <v>272</v>
      </c>
      <c r="B274" s="102"/>
      <c r="C274" s="93"/>
      <c r="D274" s="58" t="s">
        <v>761</v>
      </c>
      <c r="E274" s="64" t="s">
        <v>46</v>
      </c>
      <c r="F274" s="31" t="s">
        <v>1010</v>
      </c>
      <c r="G274" s="63" t="s">
        <v>899</v>
      </c>
      <c r="H274" s="31" t="s">
        <v>900</v>
      </c>
      <c r="I274" s="31" t="s">
        <v>901</v>
      </c>
      <c r="J274" s="31" t="s">
        <v>819</v>
      </c>
      <c r="K274" s="31" t="s">
        <v>828</v>
      </c>
      <c r="L274" s="31" t="s">
        <v>816</v>
      </c>
    </row>
    <row r="275" spans="1:12" ht="384.75">
      <c r="A275" s="62">
        <v>273</v>
      </c>
      <c r="B275" s="102"/>
      <c r="C275" s="93"/>
      <c r="D275" s="58" t="s">
        <v>762</v>
      </c>
      <c r="E275" s="64" t="s">
        <v>46</v>
      </c>
      <c r="F275" s="31" t="s">
        <v>1011</v>
      </c>
      <c r="G275" s="31" t="s">
        <v>1031</v>
      </c>
      <c r="H275" s="31" t="s">
        <v>1018</v>
      </c>
      <c r="I275" s="31" t="s">
        <v>821</v>
      </c>
      <c r="J275" s="31" t="s">
        <v>815</v>
      </c>
      <c r="K275" s="31" t="s">
        <v>1033</v>
      </c>
      <c r="L275" s="31" t="s">
        <v>816</v>
      </c>
    </row>
    <row r="276" spans="1:12" ht="384.75">
      <c r="A276" s="62">
        <v>274</v>
      </c>
      <c r="B276" s="106"/>
      <c r="C276" s="94"/>
      <c r="D276" s="58" t="s">
        <v>763</v>
      </c>
      <c r="E276" s="64" t="s">
        <v>46</v>
      </c>
      <c r="F276" s="31" t="s">
        <v>1012</v>
      </c>
      <c r="G276" s="31" t="s">
        <v>1034</v>
      </c>
      <c r="H276" s="31" t="s">
        <v>1018</v>
      </c>
      <c r="I276" s="31" t="s">
        <v>821</v>
      </c>
      <c r="J276" s="31" t="s">
        <v>815</v>
      </c>
      <c r="K276" s="31" t="s">
        <v>1033</v>
      </c>
      <c r="L276" s="31" t="s">
        <v>816</v>
      </c>
    </row>
    <row r="277" spans="1:12" ht="156.75">
      <c r="A277" s="58">
        <v>275</v>
      </c>
      <c r="B277" s="107" t="s">
        <v>768</v>
      </c>
      <c r="C277" s="108"/>
      <c r="D277" s="58" t="s">
        <v>753</v>
      </c>
      <c r="E277" s="64" t="s">
        <v>46</v>
      </c>
      <c r="F277" s="31" t="s">
        <v>1044</v>
      </c>
      <c r="G277" s="31" t="s">
        <v>1052</v>
      </c>
      <c r="H277" s="31" t="s">
        <v>1051</v>
      </c>
      <c r="I277" s="31" t="s">
        <v>825</v>
      </c>
      <c r="J277" s="31" t="s">
        <v>819</v>
      </c>
      <c r="K277" s="31" t="s">
        <v>828</v>
      </c>
      <c r="L277" s="31" t="s">
        <v>839</v>
      </c>
    </row>
    <row r="278" spans="1:12" ht="99.75">
      <c r="A278" s="58">
        <v>276</v>
      </c>
      <c r="B278" s="109"/>
      <c r="C278" s="110"/>
      <c r="D278" s="58" t="s">
        <v>754</v>
      </c>
      <c r="E278" s="64" t="s">
        <v>46</v>
      </c>
      <c r="F278" s="31" t="s">
        <v>1045</v>
      </c>
      <c r="G278" s="31" t="s">
        <v>824</v>
      </c>
      <c r="H278" s="31" t="s">
        <v>1051</v>
      </c>
      <c r="I278" s="31" t="s">
        <v>825</v>
      </c>
      <c r="J278" s="31" t="s">
        <v>819</v>
      </c>
      <c r="K278" s="31" t="s">
        <v>828</v>
      </c>
      <c r="L278" s="31" t="s">
        <v>839</v>
      </c>
    </row>
    <row r="279" spans="1:12" ht="99.75">
      <c r="A279" s="58">
        <v>277</v>
      </c>
      <c r="B279" s="109"/>
      <c r="C279" s="110"/>
      <c r="D279" s="58" t="s">
        <v>755</v>
      </c>
      <c r="E279" s="64" t="s">
        <v>46</v>
      </c>
      <c r="F279" s="31" t="s">
        <v>1046</v>
      </c>
      <c r="G279" s="31" t="s">
        <v>824</v>
      </c>
      <c r="H279" s="31" t="s">
        <v>1051</v>
      </c>
      <c r="I279" s="31" t="s">
        <v>825</v>
      </c>
      <c r="J279" s="31" t="s">
        <v>819</v>
      </c>
      <c r="K279" s="31" t="s">
        <v>828</v>
      </c>
      <c r="L279" s="31" t="s">
        <v>839</v>
      </c>
    </row>
    <row r="280" spans="1:12" ht="99.75">
      <c r="A280" s="58">
        <v>278</v>
      </c>
      <c r="B280" s="109"/>
      <c r="C280" s="110"/>
      <c r="D280" s="58" t="s">
        <v>756</v>
      </c>
      <c r="E280" s="64" t="s">
        <v>46</v>
      </c>
      <c r="F280" s="31" t="s">
        <v>1047</v>
      </c>
      <c r="G280" s="31" t="s">
        <v>824</v>
      </c>
      <c r="H280" s="31" t="s">
        <v>1051</v>
      </c>
      <c r="I280" s="31" t="s">
        <v>825</v>
      </c>
      <c r="J280" s="31" t="s">
        <v>819</v>
      </c>
      <c r="K280" s="31" t="s">
        <v>828</v>
      </c>
      <c r="L280" s="31" t="s">
        <v>839</v>
      </c>
    </row>
    <row r="281" spans="1:12" ht="99.75">
      <c r="A281" s="58">
        <v>279</v>
      </c>
      <c r="B281" s="109"/>
      <c r="C281" s="110"/>
      <c r="D281" s="58" t="s">
        <v>757</v>
      </c>
      <c r="E281" s="64" t="s">
        <v>46</v>
      </c>
      <c r="F281" s="31" t="s">
        <v>1053</v>
      </c>
      <c r="G281" s="31" t="s">
        <v>824</v>
      </c>
      <c r="H281" s="31" t="s">
        <v>1051</v>
      </c>
      <c r="I281" s="31" t="s">
        <v>825</v>
      </c>
      <c r="J281" s="31" t="s">
        <v>819</v>
      </c>
      <c r="K281" s="31" t="s">
        <v>828</v>
      </c>
      <c r="L281" s="31" t="s">
        <v>839</v>
      </c>
    </row>
    <row r="282" spans="1:12" ht="156.75">
      <c r="A282" s="58">
        <v>280</v>
      </c>
      <c r="B282" s="109"/>
      <c r="C282" s="110"/>
      <c r="D282" s="65" t="s">
        <v>758</v>
      </c>
      <c r="E282" s="31" t="s">
        <v>806</v>
      </c>
      <c r="F282" s="31" t="s">
        <v>807</v>
      </c>
      <c r="G282" s="31" t="s">
        <v>1054</v>
      </c>
      <c r="H282" s="31" t="s">
        <v>1055</v>
      </c>
      <c r="I282" s="31" t="s">
        <v>821</v>
      </c>
      <c r="J282" s="31" t="s">
        <v>815</v>
      </c>
      <c r="K282" s="31" t="s">
        <v>1264</v>
      </c>
      <c r="L282" s="31" t="s">
        <v>816</v>
      </c>
    </row>
    <row r="283" spans="1:12" ht="57">
      <c r="A283" s="58">
        <v>281</v>
      </c>
      <c r="B283" s="109"/>
      <c r="C283" s="110"/>
      <c r="D283" s="58" t="s">
        <v>759</v>
      </c>
      <c r="E283" s="64" t="s">
        <v>46</v>
      </c>
      <c r="F283" s="31" t="s">
        <v>808</v>
      </c>
      <c r="G283" s="63" t="s">
        <v>1056</v>
      </c>
      <c r="H283" s="63" t="s">
        <v>1056</v>
      </c>
      <c r="I283" s="63" t="s">
        <v>1056</v>
      </c>
      <c r="J283" s="63" t="s">
        <v>1056</v>
      </c>
      <c r="K283" s="63" t="s">
        <v>1056</v>
      </c>
      <c r="L283" s="31" t="s">
        <v>816</v>
      </c>
    </row>
    <row r="284" spans="1:12" ht="57">
      <c r="A284" s="58">
        <v>282</v>
      </c>
      <c r="B284" s="109"/>
      <c r="C284" s="110"/>
      <c r="D284" s="58" t="s">
        <v>760</v>
      </c>
      <c r="E284" s="64" t="s">
        <v>46</v>
      </c>
      <c r="F284" s="31" t="s">
        <v>1048</v>
      </c>
      <c r="G284" s="63" t="s">
        <v>899</v>
      </c>
      <c r="H284" s="31" t="s">
        <v>900</v>
      </c>
      <c r="I284" s="31" t="s">
        <v>901</v>
      </c>
      <c r="J284" s="31" t="s">
        <v>819</v>
      </c>
      <c r="K284" s="31" t="s">
        <v>828</v>
      </c>
      <c r="L284" s="31" t="s">
        <v>816</v>
      </c>
    </row>
    <row r="285" spans="1:12" ht="42.75">
      <c r="A285" s="58">
        <v>283</v>
      </c>
      <c r="B285" s="109"/>
      <c r="C285" s="110"/>
      <c r="D285" s="58" t="s">
        <v>761</v>
      </c>
      <c r="E285" s="64" t="s">
        <v>46</v>
      </c>
      <c r="F285" s="31" t="s">
        <v>809</v>
      </c>
      <c r="G285" s="63" t="s">
        <v>1149</v>
      </c>
      <c r="H285" s="63" t="s">
        <v>1149</v>
      </c>
      <c r="I285" s="63" t="s">
        <v>1149</v>
      </c>
      <c r="J285" s="63" t="s">
        <v>1149</v>
      </c>
      <c r="K285" s="63" t="s">
        <v>1149</v>
      </c>
      <c r="L285" s="63" t="s">
        <v>816</v>
      </c>
    </row>
    <row r="286" spans="1:12" ht="85.5">
      <c r="A286" s="58">
        <v>284</v>
      </c>
      <c r="B286" s="109"/>
      <c r="C286" s="110"/>
      <c r="D286" s="58" t="s">
        <v>762</v>
      </c>
      <c r="E286" s="64" t="s">
        <v>46</v>
      </c>
      <c r="F286" s="31" t="s">
        <v>1049</v>
      </c>
      <c r="G286" s="31" t="s">
        <v>1057</v>
      </c>
      <c r="H286" s="31" t="s">
        <v>1058</v>
      </c>
      <c r="I286" s="31" t="s">
        <v>1058</v>
      </c>
      <c r="J286" s="31" t="s">
        <v>1058</v>
      </c>
      <c r="K286" s="31" t="s">
        <v>1058</v>
      </c>
      <c r="L286" s="63" t="s">
        <v>816</v>
      </c>
    </row>
    <row r="287" spans="1:12" ht="85.5">
      <c r="A287" s="58">
        <v>285</v>
      </c>
      <c r="B287" s="111"/>
      <c r="C287" s="112"/>
      <c r="D287" s="58" t="s">
        <v>763</v>
      </c>
      <c r="E287" s="64" t="s">
        <v>46</v>
      </c>
      <c r="F287" s="31" t="s">
        <v>1050</v>
      </c>
      <c r="G287" s="31" t="s">
        <v>1057</v>
      </c>
      <c r="H287" s="31" t="s">
        <v>1058</v>
      </c>
      <c r="I287" s="31" t="s">
        <v>1058</v>
      </c>
      <c r="J287" s="31" t="s">
        <v>1058</v>
      </c>
      <c r="K287" s="31" t="s">
        <v>1058</v>
      </c>
      <c r="L287" s="63" t="s">
        <v>816</v>
      </c>
    </row>
    <row r="288" spans="1:12" ht="85.5">
      <c r="A288" s="58">
        <v>286</v>
      </c>
      <c r="B288" s="101" t="s">
        <v>785</v>
      </c>
      <c r="C288" s="92" t="s">
        <v>775</v>
      </c>
      <c r="D288" s="58" t="s">
        <v>753</v>
      </c>
      <c r="E288" s="64" t="s">
        <v>46</v>
      </c>
      <c r="F288" s="31" t="s">
        <v>1059</v>
      </c>
      <c r="G288" s="31" t="s">
        <v>1066</v>
      </c>
      <c r="H288" s="31" t="s">
        <v>1018</v>
      </c>
      <c r="I288" s="31" t="s">
        <v>825</v>
      </c>
      <c r="J288" s="31" t="s">
        <v>819</v>
      </c>
      <c r="K288" s="31" t="s">
        <v>828</v>
      </c>
      <c r="L288" s="31" t="s">
        <v>839</v>
      </c>
    </row>
    <row r="289" spans="1:12" ht="171">
      <c r="A289" s="58">
        <v>287</v>
      </c>
      <c r="B289" s="102"/>
      <c r="C289" s="93"/>
      <c r="D289" s="58" t="s">
        <v>754</v>
      </c>
      <c r="E289" s="64" t="s">
        <v>46</v>
      </c>
      <c r="F289" s="31" t="s">
        <v>1060</v>
      </c>
      <c r="G289" s="31" t="s">
        <v>1067</v>
      </c>
      <c r="H289" s="31" t="s">
        <v>1018</v>
      </c>
      <c r="I289" s="31" t="s">
        <v>821</v>
      </c>
      <c r="J289" s="31" t="s">
        <v>815</v>
      </c>
      <c r="K289" s="31" t="s">
        <v>1125</v>
      </c>
      <c r="L289" s="31" t="s">
        <v>816</v>
      </c>
    </row>
    <row r="290" spans="1:12" ht="199.5">
      <c r="A290" s="58">
        <v>288</v>
      </c>
      <c r="B290" s="102"/>
      <c r="C290" s="93"/>
      <c r="D290" s="58" t="s">
        <v>755</v>
      </c>
      <c r="E290" s="64" t="s">
        <v>46</v>
      </c>
      <c r="F290" s="31" t="s">
        <v>1061</v>
      </c>
      <c r="G290" s="31" t="s">
        <v>1068</v>
      </c>
      <c r="H290" s="31" t="s">
        <v>1018</v>
      </c>
      <c r="I290" s="31" t="s">
        <v>821</v>
      </c>
      <c r="J290" s="31" t="s">
        <v>815</v>
      </c>
      <c r="K290" s="31" t="s">
        <v>1126</v>
      </c>
      <c r="L290" s="31" t="s">
        <v>816</v>
      </c>
    </row>
    <row r="291" spans="1:12" ht="199.5">
      <c r="A291" s="58">
        <v>289</v>
      </c>
      <c r="B291" s="102"/>
      <c r="C291" s="93"/>
      <c r="D291" s="58" t="s">
        <v>756</v>
      </c>
      <c r="E291" s="31" t="s">
        <v>810</v>
      </c>
      <c r="F291" s="31" t="s">
        <v>1062</v>
      </c>
      <c r="G291" s="31" t="s">
        <v>1071</v>
      </c>
      <c r="H291" s="31" t="s">
        <v>1018</v>
      </c>
      <c r="I291" s="31" t="s">
        <v>821</v>
      </c>
      <c r="J291" s="31" t="s">
        <v>815</v>
      </c>
      <c r="K291" s="31" t="s">
        <v>1126</v>
      </c>
      <c r="L291" s="31" t="s">
        <v>1074</v>
      </c>
    </row>
    <row r="292" spans="1:12" ht="57">
      <c r="A292" s="58">
        <v>290</v>
      </c>
      <c r="B292" s="102"/>
      <c r="C292" s="93"/>
      <c r="D292" s="58" t="s">
        <v>757</v>
      </c>
      <c r="E292" s="64" t="s">
        <v>46</v>
      </c>
      <c r="F292" s="31" t="s">
        <v>803</v>
      </c>
      <c r="G292" s="63" t="s">
        <v>1075</v>
      </c>
      <c r="H292" s="63" t="s">
        <v>1075</v>
      </c>
      <c r="I292" s="63" t="s">
        <v>1075</v>
      </c>
      <c r="J292" s="63" t="s">
        <v>1075</v>
      </c>
      <c r="K292" s="63" t="s">
        <v>1075</v>
      </c>
      <c r="L292" s="31" t="s">
        <v>816</v>
      </c>
    </row>
    <row r="293" spans="1:12" ht="156.75">
      <c r="A293" s="58">
        <v>291</v>
      </c>
      <c r="B293" s="102"/>
      <c r="C293" s="93"/>
      <c r="D293" s="58" t="s">
        <v>758</v>
      </c>
      <c r="E293" s="64" t="s">
        <v>46</v>
      </c>
      <c r="F293" s="31" t="s">
        <v>1063</v>
      </c>
      <c r="G293" s="31" t="s">
        <v>1076</v>
      </c>
      <c r="H293" s="31" t="s">
        <v>1018</v>
      </c>
      <c r="I293" s="31" t="s">
        <v>821</v>
      </c>
      <c r="J293" s="31" t="s">
        <v>815</v>
      </c>
      <c r="K293" s="31" t="s">
        <v>1125</v>
      </c>
      <c r="L293" s="31" t="s">
        <v>816</v>
      </c>
    </row>
    <row r="294" spans="1:12" ht="256.5">
      <c r="A294" s="58">
        <v>292</v>
      </c>
      <c r="B294" s="102"/>
      <c r="C294" s="93"/>
      <c r="D294" s="58" t="s">
        <v>759</v>
      </c>
      <c r="E294" s="64" t="s">
        <v>46</v>
      </c>
      <c r="F294" s="31" t="s">
        <v>1064</v>
      </c>
      <c r="G294" s="31" t="s">
        <v>1077</v>
      </c>
      <c r="H294" s="31" t="s">
        <v>1018</v>
      </c>
      <c r="I294" s="31" t="s">
        <v>843</v>
      </c>
      <c r="J294" s="31" t="s">
        <v>815</v>
      </c>
      <c r="K294" s="31" t="s">
        <v>1125</v>
      </c>
      <c r="L294" s="31" t="s">
        <v>816</v>
      </c>
    </row>
    <row r="295" spans="1:12" ht="384.75">
      <c r="A295" s="58">
        <v>293</v>
      </c>
      <c r="B295" s="102"/>
      <c r="C295" s="93"/>
      <c r="D295" s="58" t="s">
        <v>760</v>
      </c>
      <c r="E295" s="64" t="s">
        <v>46</v>
      </c>
      <c r="F295" s="31" t="s">
        <v>804</v>
      </c>
      <c r="G295" s="31" t="s">
        <v>1078</v>
      </c>
      <c r="H295" s="31" t="s">
        <v>1079</v>
      </c>
      <c r="I295" s="31" t="s">
        <v>843</v>
      </c>
      <c r="J295" s="31" t="s">
        <v>815</v>
      </c>
      <c r="K295" s="31" t="s">
        <v>1127</v>
      </c>
      <c r="L295" s="31" t="s">
        <v>816</v>
      </c>
    </row>
    <row r="296" spans="1:12" ht="57">
      <c r="A296" s="58">
        <v>294</v>
      </c>
      <c r="B296" s="102"/>
      <c r="C296" s="93"/>
      <c r="D296" s="58" t="s">
        <v>761</v>
      </c>
      <c r="E296" s="64" t="s">
        <v>46</v>
      </c>
      <c r="F296" s="31" t="s">
        <v>805</v>
      </c>
      <c r="G296" s="63" t="s">
        <v>899</v>
      </c>
      <c r="H296" s="31" t="s">
        <v>900</v>
      </c>
      <c r="I296" s="31" t="s">
        <v>901</v>
      </c>
      <c r="J296" s="31" t="s">
        <v>819</v>
      </c>
      <c r="K296" s="31" t="s">
        <v>828</v>
      </c>
      <c r="L296" s="31" t="s">
        <v>816</v>
      </c>
    </row>
    <row r="297" spans="1:12" ht="171">
      <c r="A297" s="58">
        <v>295</v>
      </c>
      <c r="B297" s="102"/>
      <c r="C297" s="93"/>
      <c r="D297" s="58" t="s">
        <v>762</v>
      </c>
      <c r="E297" s="64" t="s">
        <v>46</v>
      </c>
      <c r="F297" s="31" t="s">
        <v>1065</v>
      </c>
      <c r="G297" s="31" t="s">
        <v>1080</v>
      </c>
      <c r="H297" s="31" t="s">
        <v>1079</v>
      </c>
      <c r="I297" s="31" t="s">
        <v>1081</v>
      </c>
      <c r="J297" s="31" t="s">
        <v>1082</v>
      </c>
      <c r="K297" s="31" t="s">
        <v>1083</v>
      </c>
      <c r="L297" s="31" t="s">
        <v>816</v>
      </c>
    </row>
    <row r="298" spans="1:12" ht="384.75">
      <c r="A298" s="58">
        <v>296</v>
      </c>
      <c r="B298" s="102"/>
      <c r="C298" s="94"/>
      <c r="D298" s="58" t="s">
        <v>763</v>
      </c>
      <c r="E298" s="64" t="s">
        <v>46</v>
      </c>
      <c r="F298" s="31" t="s">
        <v>1084</v>
      </c>
      <c r="G298" s="31" t="s">
        <v>1085</v>
      </c>
      <c r="H298" s="31" t="s">
        <v>1086</v>
      </c>
      <c r="I298" s="31" t="s">
        <v>977</v>
      </c>
      <c r="J298" s="31" t="s">
        <v>815</v>
      </c>
      <c r="K298" s="31" t="s">
        <v>1127</v>
      </c>
      <c r="L298" s="31" t="s">
        <v>816</v>
      </c>
    </row>
    <row r="299" spans="1:12" ht="85.5">
      <c r="A299" s="62">
        <v>297</v>
      </c>
      <c r="B299" s="102"/>
      <c r="C299" s="92" t="s">
        <v>769</v>
      </c>
      <c r="D299" s="58" t="s">
        <v>753</v>
      </c>
      <c r="E299" s="64" t="s">
        <v>46</v>
      </c>
      <c r="F299" s="31" t="s">
        <v>1087</v>
      </c>
      <c r="G299" s="31" t="s">
        <v>1066</v>
      </c>
      <c r="H299" s="31" t="s">
        <v>1018</v>
      </c>
      <c r="I299" s="31" t="s">
        <v>825</v>
      </c>
      <c r="J299" s="31" t="s">
        <v>819</v>
      </c>
      <c r="K299" s="31" t="s">
        <v>828</v>
      </c>
      <c r="L299" s="31" t="s">
        <v>839</v>
      </c>
    </row>
    <row r="300" spans="1:12" ht="171">
      <c r="A300" s="62">
        <v>298</v>
      </c>
      <c r="B300" s="102"/>
      <c r="C300" s="93"/>
      <c r="D300" s="58" t="s">
        <v>754</v>
      </c>
      <c r="E300" s="64" t="s">
        <v>46</v>
      </c>
      <c r="F300" s="31" t="s">
        <v>1088</v>
      </c>
      <c r="G300" s="31" t="s">
        <v>1067</v>
      </c>
      <c r="H300" s="31" t="s">
        <v>1018</v>
      </c>
      <c r="I300" s="31" t="s">
        <v>821</v>
      </c>
      <c r="J300" s="31" t="s">
        <v>815</v>
      </c>
      <c r="K300" s="31" t="s">
        <v>1125</v>
      </c>
      <c r="L300" s="31" t="s">
        <v>816</v>
      </c>
    </row>
    <row r="301" spans="1:12" ht="199.5">
      <c r="A301" s="62">
        <v>299</v>
      </c>
      <c r="B301" s="102"/>
      <c r="C301" s="93"/>
      <c r="D301" s="58" t="s">
        <v>755</v>
      </c>
      <c r="E301" s="64" t="s">
        <v>46</v>
      </c>
      <c r="F301" s="31" t="s">
        <v>1089</v>
      </c>
      <c r="G301" s="31" t="s">
        <v>1068</v>
      </c>
      <c r="H301" s="31" t="s">
        <v>1018</v>
      </c>
      <c r="I301" s="31" t="s">
        <v>821</v>
      </c>
      <c r="J301" s="31" t="s">
        <v>815</v>
      </c>
      <c r="K301" s="31" t="s">
        <v>1126</v>
      </c>
      <c r="L301" s="31" t="s">
        <v>816</v>
      </c>
    </row>
    <row r="302" spans="1:12" ht="199.5">
      <c r="A302" s="62">
        <v>300</v>
      </c>
      <c r="B302" s="102"/>
      <c r="C302" s="93"/>
      <c r="D302" s="58" t="s">
        <v>756</v>
      </c>
      <c r="E302" s="31" t="s">
        <v>810</v>
      </c>
      <c r="F302" s="31" t="s">
        <v>1090</v>
      </c>
      <c r="G302" s="31" t="s">
        <v>1071</v>
      </c>
      <c r="H302" s="31" t="s">
        <v>1018</v>
      </c>
      <c r="I302" s="31" t="s">
        <v>821</v>
      </c>
      <c r="J302" s="31" t="s">
        <v>815</v>
      </c>
      <c r="K302" s="31" t="s">
        <v>1126</v>
      </c>
      <c r="L302" s="31" t="s">
        <v>1102</v>
      </c>
    </row>
    <row r="303" spans="1:12" ht="57">
      <c r="A303" s="62">
        <v>301</v>
      </c>
      <c r="B303" s="102"/>
      <c r="C303" s="93"/>
      <c r="D303" s="58" t="s">
        <v>757</v>
      </c>
      <c r="E303" s="64" t="s">
        <v>46</v>
      </c>
      <c r="F303" s="31" t="s">
        <v>803</v>
      </c>
      <c r="G303" s="63" t="s">
        <v>1075</v>
      </c>
      <c r="H303" s="63" t="s">
        <v>1075</v>
      </c>
      <c r="I303" s="63" t="s">
        <v>1075</v>
      </c>
      <c r="J303" s="63" t="s">
        <v>1075</v>
      </c>
      <c r="K303" s="63" t="s">
        <v>1075</v>
      </c>
      <c r="L303" s="31" t="s">
        <v>816</v>
      </c>
    </row>
    <row r="304" spans="1:12" ht="156.75">
      <c r="A304" s="62">
        <v>302</v>
      </c>
      <c r="B304" s="102"/>
      <c r="C304" s="93"/>
      <c r="D304" s="58" t="s">
        <v>758</v>
      </c>
      <c r="E304" s="64" t="s">
        <v>46</v>
      </c>
      <c r="F304" s="31" t="s">
        <v>1091</v>
      </c>
      <c r="G304" s="31" t="s">
        <v>1076</v>
      </c>
      <c r="H304" s="31" t="s">
        <v>1018</v>
      </c>
      <c r="I304" s="31" t="s">
        <v>821</v>
      </c>
      <c r="J304" s="31" t="s">
        <v>815</v>
      </c>
      <c r="K304" s="31" t="s">
        <v>1125</v>
      </c>
      <c r="L304" s="31" t="s">
        <v>816</v>
      </c>
    </row>
    <row r="305" spans="1:12" ht="256.5">
      <c r="A305" s="62">
        <v>303</v>
      </c>
      <c r="B305" s="102"/>
      <c r="C305" s="93"/>
      <c r="D305" s="58" t="s">
        <v>759</v>
      </c>
      <c r="E305" s="64" t="s">
        <v>46</v>
      </c>
      <c r="F305" s="31" t="s">
        <v>1092</v>
      </c>
      <c r="G305" s="31" t="s">
        <v>1101</v>
      </c>
      <c r="H305" s="31" t="s">
        <v>1018</v>
      </c>
      <c r="I305" s="31" t="s">
        <v>843</v>
      </c>
      <c r="J305" s="31" t="s">
        <v>815</v>
      </c>
      <c r="K305" s="31" t="s">
        <v>1125</v>
      </c>
      <c r="L305" s="31" t="s">
        <v>816</v>
      </c>
    </row>
    <row r="306" spans="1:12" ht="384.75">
      <c r="A306" s="62">
        <v>304</v>
      </c>
      <c r="B306" s="102"/>
      <c r="C306" s="93"/>
      <c r="D306" s="58" t="s">
        <v>760</v>
      </c>
      <c r="E306" s="64" t="s">
        <v>46</v>
      </c>
      <c r="F306" s="31" t="s">
        <v>804</v>
      </c>
      <c r="G306" s="31" t="s">
        <v>1078</v>
      </c>
      <c r="H306" s="31" t="s">
        <v>1079</v>
      </c>
      <c r="I306" s="31" t="s">
        <v>843</v>
      </c>
      <c r="J306" s="31" t="s">
        <v>815</v>
      </c>
      <c r="K306" s="31" t="s">
        <v>1127</v>
      </c>
      <c r="L306" s="31" t="s">
        <v>816</v>
      </c>
    </row>
    <row r="307" spans="1:12" ht="57">
      <c r="A307" s="62">
        <v>305</v>
      </c>
      <c r="B307" s="102"/>
      <c r="C307" s="93"/>
      <c r="D307" s="58" t="s">
        <v>761</v>
      </c>
      <c r="E307" s="64" t="s">
        <v>46</v>
      </c>
      <c r="F307" s="31" t="s">
        <v>805</v>
      </c>
      <c r="G307" s="63" t="s">
        <v>899</v>
      </c>
      <c r="H307" s="31" t="s">
        <v>900</v>
      </c>
      <c r="I307" s="31" t="s">
        <v>901</v>
      </c>
      <c r="J307" s="31" t="s">
        <v>819</v>
      </c>
      <c r="K307" s="31" t="s">
        <v>828</v>
      </c>
      <c r="L307" s="31" t="s">
        <v>816</v>
      </c>
    </row>
    <row r="308" spans="1:12" ht="171">
      <c r="A308" s="62">
        <v>306</v>
      </c>
      <c r="B308" s="102"/>
      <c r="C308" s="93"/>
      <c r="D308" s="58" t="s">
        <v>762</v>
      </c>
      <c r="E308" s="64" t="s">
        <v>46</v>
      </c>
      <c r="F308" s="31" t="s">
        <v>1065</v>
      </c>
      <c r="G308" s="31" t="s">
        <v>1080</v>
      </c>
      <c r="H308" s="31" t="s">
        <v>1079</v>
      </c>
      <c r="I308" s="31" t="s">
        <v>1081</v>
      </c>
      <c r="J308" s="31" t="s">
        <v>1082</v>
      </c>
      <c r="K308" s="31" t="s">
        <v>1083</v>
      </c>
      <c r="L308" s="31" t="s">
        <v>816</v>
      </c>
    </row>
    <row r="309" spans="1:12" ht="384.75">
      <c r="A309" s="62">
        <v>307</v>
      </c>
      <c r="B309" s="102"/>
      <c r="C309" s="94"/>
      <c r="D309" s="58" t="s">
        <v>763</v>
      </c>
      <c r="E309" s="64" t="s">
        <v>46</v>
      </c>
      <c r="F309" s="31" t="s">
        <v>1084</v>
      </c>
      <c r="G309" s="31" t="s">
        <v>1085</v>
      </c>
      <c r="H309" s="31" t="s">
        <v>1086</v>
      </c>
      <c r="I309" s="31" t="s">
        <v>977</v>
      </c>
      <c r="J309" s="31" t="s">
        <v>815</v>
      </c>
      <c r="K309" s="31" t="s">
        <v>1127</v>
      </c>
      <c r="L309" s="31" t="s">
        <v>816</v>
      </c>
    </row>
    <row r="310" spans="1:12" ht="85.5">
      <c r="A310" s="62">
        <v>308</v>
      </c>
      <c r="B310" s="102"/>
      <c r="C310" s="92" t="s">
        <v>770</v>
      </c>
      <c r="D310" s="58" t="s">
        <v>753</v>
      </c>
      <c r="E310" s="64" t="s">
        <v>46</v>
      </c>
      <c r="F310" s="31" t="s">
        <v>1093</v>
      </c>
      <c r="G310" s="31" t="s">
        <v>1066</v>
      </c>
      <c r="H310" s="31" t="s">
        <v>1018</v>
      </c>
      <c r="I310" s="31" t="s">
        <v>825</v>
      </c>
      <c r="J310" s="31" t="s">
        <v>819</v>
      </c>
      <c r="K310" s="31" t="s">
        <v>828</v>
      </c>
      <c r="L310" s="31" t="s">
        <v>839</v>
      </c>
    </row>
    <row r="311" spans="1:12" ht="171">
      <c r="A311" s="62">
        <v>309</v>
      </c>
      <c r="B311" s="102"/>
      <c r="C311" s="93"/>
      <c r="D311" s="58" t="s">
        <v>754</v>
      </c>
      <c r="E311" s="64" t="s">
        <v>46</v>
      </c>
      <c r="F311" s="31" t="s">
        <v>1094</v>
      </c>
      <c r="G311" s="31" t="s">
        <v>1067</v>
      </c>
      <c r="H311" s="31" t="s">
        <v>1018</v>
      </c>
      <c r="I311" s="31" t="s">
        <v>821</v>
      </c>
      <c r="J311" s="31" t="s">
        <v>815</v>
      </c>
      <c r="K311" s="31" t="s">
        <v>1125</v>
      </c>
      <c r="L311" s="31" t="s">
        <v>816</v>
      </c>
    </row>
    <row r="312" spans="1:12" ht="199.5">
      <c r="A312" s="62">
        <v>310</v>
      </c>
      <c r="B312" s="102"/>
      <c r="C312" s="93"/>
      <c r="D312" s="58" t="s">
        <v>755</v>
      </c>
      <c r="E312" s="64" t="s">
        <v>46</v>
      </c>
      <c r="F312" s="31" t="s">
        <v>1095</v>
      </c>
      <c r="G312" s="31" t="s">
        <v>1068</v>
      </c>
      <c r="H312" s="31" t="s">
        <v>1018</v>
      </c>
      <c r="I312" s="31" t="s">
        <v>821</v>
      </c>
      <c r="J312" s="31" t="s">
        <v>815</v>
      </c>
      <c r="K312" s="31" t="s">
        <v>1126</v>
      </c>
      <c r="L312" s="31" t="s">
        <v>816</v>
      </c>
    </row>
    <row r="313" spans="1:12" ht="199.5">
      <c r="A313" s="62">
        <v>311</v>
      </c>
      <c r="B313" s="102"/>
      <c r="C313" s="93"/>
      <c r="D313" s="58" t="s">
        <v>756</v>
      </c>
      <c r="E313" s="31" t="s">
        <v>810</v>
      </c>
      <c r="F313" s="31" t="s">
        <v>1096</v>
      </c>
      <c r="G313" s="31" t="s">
        <v>1071</v>
      </c>
      <c r="H313" s="31" t="s">
        <v>1018</v>
      </c>
      <c r="I313" s="31" t="s">
        <v>821</v>
      </c>
      <c r="J313" s="31" t="s">
        <v>815</v>
      </c>
      <c r="K313" s="31" t="s">
        <v>1126</v>
      </c>
      <c r="L313" s="31" t="s">
        <v>1097</v>
      </c>
    </row>
    <row r="314" spans="1:12" ht="57">
      <c r="A314" s="62">
        <v>312</v>
      </c>
      <c r="B314" s="102"/>
      <c r="C314" s="93"/>
      <c r="D314" s="58" t="s">
        <v>757</v>
      </c>
      <c r="E314" s="64" t="s">
        <v>46</v>
      </c>
      <c r="F314" s="31" t="s">
        <v>803</v>
      </c>
      <c r="G314" s="63" t="s">
        <v>1075</v>
      </c>
      <c r="H314" s="63" t="s">
        <v>1075</v>
      </c>
      <c r="I314" s="63" t="s">
        <v>1075</v>
      </c>
      <c r="J314" s="63" t="s">
        <v>1075</v>
      </c>
      <c r="K314" s="63" t="s">
        <v>1075</v>
      </c>
      <c r="L314" s="31" t="s">
        <v>816</v>
      </c>
    </row>
    <row r="315" spans="1:12" ht="156.75">
      <c r="A315" s="62">
        <v>313</v>
      </c>
      <c r="B315" s="102"/>
      <c r="C315" s="93"/>
      <c r="D315" s="58" t="s">
        <v>758</v>
      </c>
      <c r="E315" s="64" t="s">
        <v>46</v>
      </c>
      <c r="F315" s="31" t="s">
        <v>1098</v>
      </c>
      <c r="G315" s="31" t="s">
        <v>1076</v>
      </c>
      <c r="H315" s="31" t="s">
        <v>1018</v>
      </c>
      <c r="I315" s="31" t="s">
        <v>821</v>
      </c>
      <c r="J315" s="31" t="s">
        <v>815</v>
      </c>
      <c r="K315" s="31" t="s">
        <v>1125</v>
      </c>
      <c r="L315" s="31" t="s">
        <v>816</v>
      </c>
    </row>
    <row r="316" spans="1:12" ht="256.5">
      <c r="A316" s="62">
        <v>314</v>
      </c>
      <c r="B316" s="102"/>
      <c r="C316" s="93"/>
      <c r="D316" s="58" t="s">
        <v>759</v>
      </c>
      <c r="E316" s="64" t="s">
        <v>46</v>
      </c>
      <c r="F316" s="31" t="s">
        <v>1099</v>
      </c>
      <c r="G316" s="31" t="s">
        <v>1100</v>
      </c>
      <c r="H316" s="31" t="s">
        <v>1018</v>
      </c>
      <c r="I316" s="31" t="s">
        <v>843</v>
      </c>
      <c r="J316" s="31" t="s">
        <v>815</v>
      </c>
      <c r="K316" s="31" t="s">
        <v>1125</v>
      </c>
      <c r="L316" s="31" t="s">
        <v>816</v>
      </c>
    </row>
    <row r="317" spans="1:12" ht="384.75">
      <c r="A317" s="62">
        <v>315</v>
      </c>
      <c r="B317" s="102"/>
      <c r="C317" s="93"/>
      <c r="D317" s="58" t="s">
        <v>760</v>
      </c>
      <c r="E317" s="64" t="s">
        <v>46</v>
      </c>
      <c r="F317" s="31" t="s">
        <v>804</v>
      </c>
      <c r="G317" s="31" t="s">
        <v>1078</v>
      </c>
      <c r="H317" s="31" t="s">
        <v>1079</v>
      </c>
      <c r="I317" s="31" t="s">
        <v>843</v>
      </c>
      <c r="J317" s="31" t="s">
        <v>815</v>
      </c>
      <c r="K317" s="31" t="s">
        <v>1127</v>
      </c>
      <c r="L317" s="31" t="s">
        <v>816</v>
      </c>
    </row>
    <row r="318" spans="1:12" ht="57">
      <c r="A318" s="62">
        <v>316</v>
      </c>
      <c r="B318" s="102"/>
      <c r="C318" s="93"/>
      <c r="D318" s="58" t="s">
        <v>761</v>
      </c>
      <c r="E318" s="64" t="s">
        <v>46</v>
      </c>
      <c r="F318" s="31" t="s">
        <v>805</v>
      </c>
      <c r="G318" s="63" t="s">
        <v>899</v>
      </c>
      <c r="H318" s="31" t="s">
        <v>900</v>
      </c>
      <c r="I318" s="31" t="s">
        <v>901</v>
      </c>
      <c r="J318" s="31" t="s">
        <v>819</v>
      </c>
      <c r="K318" s="31" t="s">
        <v>828</v>
      </c>
      <c r="L318" s="31" t="s">
        <v>816</v>
      </c>
    </row>
    <row r="319" spans="1:12" ht="171">
      <c r="A319" s="62">
        <v>317</v>
      </c>
      <c r="B319" s="102"/>
      <c r="C319" s="93"/>
      <c r="D319" s="58" t="s">
        <v>762</v>
      </c>
      <c r="E319" s="64" t="s">
        <v>46</v>
      </c>
      <c r="F319" s="31" t="s">
        <v>1065</v>
      </c>
      <c r="G319" s="31" t="s">
        <v>1080</v>
      </c>
      <c r="H319" s="31" t="s">
        <v>1079</v>
      </c>
      <c r="I319" s="31" t="s">
        <v>1081</v>
      </c>
      <c r="J319" s="31" t="s">
        <v>1082</v>
      </c>
      <c r="K319" s="31" t="s">
        <v>1083</v>
      </c>
      <c r="L319" s="31" t="s">
        <v>816</v>
      </c>
    </row>
    <row r="320" spans="1:12" ht="384.75">
      <c r="A320" s="62">
        <v>318</v>
      </c>
      <c r="B320" s="102"/>
      <c r="C320" s="94"/>
      <c r="D320" s="58" t="s">
        <v>763</v>
      </c>
      <c r="E320" s="64" t="s">
        <v>46</v>
      </c>
      <c r="F320" s="31" t="s">
        <v>1084</v>
      </c>
      <c r="G320" s="31" t="s">
        <v>1085</v>
      </c>
      <c r="H320" s="31" t="s">
        <v>1086</v>
      </c>
      <c r="I320" s="31" t="s">
        <v>977</v>
      </c>
      <c r="J320" s="31" t="s">
        <v>815</v>
      </c>
      <c r="K320" s="31" t="s">
        <v>1127</v>
      </c>
      <c r="L320" s="31" t="s">
        <v>816</v>
      </c>
    </row>
    <row r="321" spans="1:12" ht="85.5">
      <c r="A321" s="62">
        <v>319</v>
      </c>
      <c r="B321" s="102"/>
      <c r="C321" s="92" t="s">
        <v>771</v>
      </c>
      <c r="D321" s="58" t="s">
        <v>753</v>
      </c>
      <c r="E321" s="64" t="s">
        <v>46</v>
      </c>
      <c r="F321" s="31" t="s">
        <v>1108</v>
      </c>
      <c r="G321" s="31" t="s">
        <v>1066</v>
      </c>
      <c r="H321" s="31" t="s">
        <v>1018</v>
      </c>
      <c r="I321" s="31" t="s">
        <v>825</v>
      </c>
      <c r="J321" s="31" t="s">
        <v>819</v>
      </c>
      <c r="K321" s="31" t="s">
        <v>828</v>
      </c>
      <c r="L321" s="31" t="s">
        <v>839</v>
      </c>
    </row>
    <row r="322" spans="1:12" ht="171">
      <c r="A322" s="62">
        <v>320</v>
      </c>
      <c r="B322" s="102"/>
      <c r="C322" s="93"/>
      <c r="D322" s="58" t="s">
        <v>754</v>
      </c>
      <c r="E322" s="64" t="s">
        <v>46</v>
      </c>
      <c r="F322" s="31" t="s">
        <v>1103</v>
      </c>
      <c r="G322" s="31" t="s">
        <v>1067</v>
      </c>
      <c r="H322" s="31" t="s">
        <v>1018</v>
      </c>
      <c r="I322" s="31" t="s">
        <v>821</v>
      </c>
      <c r="J322" s="31" t="s">
        <v>815</v>
      </c>
      <c r="K322" s="31" t="s">
        <v>1125</v>
      </c>
      <c r="L322" s="31" t="s">
        <v>816</v>
      </c>
    </row>
    <row r="323" spans="1:12" ht="199.5">
      <c r="A323" s="62">
        <v>321</v>
      </c>
      <c r="B323" s="102"/>
      <c r="C323" s="93"/>
      <c r="D323" s="58" t="s">
        <v>755</v>
      </c>
      <c r="E323" s="64" t="s">
        <v>46</v>
      </c>
      <c r="F323" s="31" t="s">
        <v>1104</v>
      </c>
      <c r="G323" s="31" t="s">
        <v>1068</v>
      </c>
      <c r="H323" s="31" t="s">
        <v>1018</v>
      </c>
      <c r="I323" s="31" t="s">
        <v>821</v>
      </c>
      <c r="J323" s="31" t="s">
        <v>815</v>
      </c>
      <c r="K323" s="31" t="s">
        <v>1126</v>
      </c>
      <c r="L323" s="31" t="s">
        <v>816</v>
      </c>
    </row>
    <row r="324" spans="1:12" ht="199.5">
      <c r="A324" s="62">
        <v>322</v>
      </c>
      <c r="B324" s="102"/>
      <c r="C324" s="93"/>
      <c r="D324" s="58" t="s">
        <v>756</v>
      </c>
      <c r="E324" s="31" t="s">
        <v>810</v>
      </c>
      <c r="F324" s="31" t="s">
        <v>1105</v>
      </c>
      <c r="G324" s="31" t="s">
        <v>1071</v>
      </c>
      <c r="H324" s="31" t="s">
        <v>1018</v>
      </c>
      <c r="I324" s="31" t="s">
        <v>821</v>
      </c>
      <c r="J324" s="31" t="s">
        <v>815</v>
      </c>
      <c r="K324" s="31" t="s">
        <v>1126</v>
      </c>
      <c r="L324" s="31" t="s">
        <v>1109</v>
      </c>
    </row>
    <row r="325" spans="1:12" ht="57">
      <c r="A325" s="62">
        <v>323</v>
      </c>
      <c r="B325" s="102"/>
      <c r="C325" s="93"/>
      <c r="D325" s="58" t="s">
        <v>757</v>
      </c>
      <c r="E325" s="64" t="s">
        <v>46</v>
      </c>
      <c r="F325" s="31" t="s">
        <v>803</v>
      </c>
      <c r="G325" s="63" t="s">
        <v>1075</v>
      </c>
      <c r="H325" s="63" t="s">
        <v>1075</v>
      </c>
      <c r="I325" s="63" t="s">
        <v>1075</v>
      </c>
      <c r="J325" s="63" t="s">
        <v>1075</v>
      </c>
      <c r="K325" s="63" t="s">
        <v>1075</v>
      </c>
      <c r="L325" s="31" t="s">
        <v>816</v>
      </c>
    </row>
    <row r="326" spans="1:12" ht="156.75">
      <c r="A326" s="62">
        <v>324</v>
      </c>
      <c r="B326" s="102"/>
      <c r="C326" s="93"/>
      <c r="D326" s="58" t="s">
        <v>758</v>
      </c>
      <c r="E326" s="64" t="s">
        <v>46</v>
      </c>
      <c r="F326" s="31" t="s">
        <v>1106</v>
      </c>
      <c r="G326" s="31" t="s">
        <v>1076</v>
      </c>
      <c r="H326" s="31" t="s">
        <v>1018</v>
      </c>
      <c r="I326" s="31" t="s">
        <v>821</v>
      </c>
      <c r="J326" s="31" t="s">
        <v>815</v>
      </c>
      <c r="K326" s="31" t="s">
        <v>1125</v>
      </c>
      <c r="L326" s="31" t="s">
        <v>816</v>
      </c>
    </row>
    <row r="327" spans="1:12" ht="256.5">
      <c r="A327" s="62">
        <v>325</v>
      </c>
      <c r="B327" s="102"/>
      <c r="C327" s="93"/>
      <c r="D327" s="58" t="s">
        <v>759</v>
      </c>
      <c r="E327" s="64" t="s">
        <v>46</v>
      </c>
      <c r="F327" s="31" t="s">
        <v>1107</v>
      </c>
      <c r="G327" s="31" t="s">
        <v>1100</v>
      </c>
      <c r="H327" s="31" t="s">
        <v>1018</v>
      </c>
      <c r="I327" s="31" t="s">
        <v>843</v>
      </c>
      <c r="J327" s="31" t="s">
        <v>815</v>
      </c>
      <c r="K327" s="31" t="s">
        <v>1125</v>
      </c>
      <c r="L327" s="31" t="s">
        <v>816</v>
      </c>
    </row>
    <row r="328" spans="1:12" ht="384.75">
      <c r="A328" s="62">
        <v>326</v>
      </c>
      <c r="B328" s="102"/>
      <c r="C328" s="93"/>
      <c r="D328" s="58" t="s">
        <v>760</v>
      </c>
      <c r="E328" s="64" t="s">
        <v>46</v>
      </c>
      <c r="F328" s="31" t="s">
        <v>804</v>
      </c>
      <c r="G328" s="31" t="s">
        <v>1078</v>
      </c>
      <c r="H328" s="31" t="s">
        <v>1079</v>
      </c>
      <c r="I328" s="31" t="s">
        <v>843</v>
      </c>
      <c r="J328" s="31" t="s">
        <v>815</v>
      </c>
      <c r="K328" s="31" t="s">
        <v>1127</v>
      </c>
      <c r="L328" s="31" t="s">
        <v>816</v>
      </c>
    </row>
    <row r="329" spans="1:12" ht="57">
      <c r="A329" s="62">
        <v>327</v>
      </c>
      <c r="B329" s="102"/>
      <c r="C329" s="93"/>
      <c r="D329" s="58" t="s">
        <v>761</v>
      </c>
      <c r="E329" s="64" t="s">
        <v>46</v>
      </c>
      <c r="F329" s="31" t="s">
        <v>805</v>
      </c>
      <c r="G329" s="63" t="s">
        <v>899</v>
      </c>
      <c r="H329" s="31" t="s">
        <v>900</v>
      </c>
      <c r="I329" s="31" t="s">
        <v>901</v>
      </c>
      <c r="J329" s="31" t="s">
        <v>819</v>
      </c>
      <c r="K329" s="31" t="s">
        <v>828</v>
      </c>
      <c r="L329" s="31" t="s">
        <v>816</v>
      </c>
    </row>
    <row r="330" spans="1:12" ht="171">
      <c r="A330" s="62">
        <v>328</v>
      </c>
      <c r="B330" s="102"/>
      <c r="C330" s="93"/>
      <c r="D330" s="58" t="s">
        <v>762</v>
      </c>
      <c r="E330" s="64" t="s">
        <v>46</v>
      </c>
      <c r="F330" s="31" t="s">
        <v>1065</v>
      </c>
      <c r="G330" s="31" t="s">
        <v>1080</v>
      </c>
      <c r="H330" s="31" t="s">
        <v>1079</v>
      </c>
      <c r="I330" s="31" t="s">
        <v>1081</v>
      </c>
      <c r="J330" s="31" t="s">
        <v>1082</v>
      </c>
      <c r="K330" s="31" t="s">
        <v>1083</v>
      </c>
      <c r="L330" s="31" t="s">
        <v>816</v>
      </c>
    </row>
    <row r="331" spans="1:12" ht="384.75">
      <c r="A331" s="62">
        <v>329</v>
      </c>
      <c r="B331" s="102"/>
      <c r="C331" s="94"/>
      <c r="D331" s="58" t="s">
        <v>763</v>
      </c>
      <c r="E331" s="64" t="s">
        <v>46</v>
      </c>
      <c r="F331" s="31" t="s">
        <v>1084</v>
      </c>
      <c r="G331" s="31" t="s">
        <v>1085</v>
      </c>
      <c r="H331" s="31" t="s">
        <v>1086</v>
      </c>
      <c r="I331" s="31" t="s">
        <v>977</v>
      </c>
      <c r="J331" s="31" t="s">
        <v>815</v>
      </c>
      <c r="K331" s="31" t="s">
        <v>1127</v>
      </c>
      <c r="L331" s="31" t="s">
        <v>816</v>
      </c>
    </row>
    <row r="332" spans="1:12" ht="85.5">
      <c r="A332" s="62">
        <v>330</v>
      </c>
      <c r="B332" s="102"/>
      <c r="C332" s="92" t="s">
        <v>772</v>
      </c>
      <c r="D332" s="58" t="s">
        <v>753</v>
      </c>
      <c r="E332" s="64" t="s">
        <v>46</v>
      </c>
      <c r="F332" s="31" t="s">
        <v>1110</v>
      </c>
      <c r="G332" s="31" t="s">
        <v>1066</v>
      </c>
      <c r="H332" s="31" t="s">
        <v>1018</v>
      </c>
      <c r="I332" s="31" t="s">
        <v>825</v>
      </c>
      <c r="J332" s="31" t="s">
        <v>819</v>
      </c>
      <c r="K332" s="31" t="s">
        <v>828</v>
      </c>
      <c r="L332" s="31" t="s">
        <v>839</v>
      </c>
    </row>
    <row r="333" spans="1:12" ht="171">
      <c r="A333" s="62">
        <v>331</v>
      </c>
      <c r="B333" s="102"/>
      <c r="C333" s="93"/>
      <c r="D333" s="58" t="s">
        <v>754</v>
      </c>
      <c r="E333" s="64" t="s">
        <v>46</v>
      </c>
      <c r="F333" s="31" t="s">
        <v>1111</v>
      </c>
      <c r="G333" s="31" t="s">
        <v>1067</v>
      </c>
      <c r="H333" s="31" t="s">
        <v>1018</v>
      </c>
      <c r="I333" s="31" t="s">
        <v>821</v>
      </c>
      <c r="J333" s="31" t="s">
        <v>815</v>
      </c>
      <c r="K333" s="31" t="s">
        <v>1125</v>
      </c>
      <c r="L333" s="31" t="s">
        <v>816</v>
      </c>
    </row>
    <row r="334" spans="1:12" ht="199.5">
      <c r="A334" s="62">
        <v>332</v>
      </c>
      <c r="B334" s="102"/>
      <c r="C334" s="93"/>
      <c r="D334" s="58" t="s">
        <v>755</v>
      </c>
      <c r="E334" s="64" t="s">
        <v>46</v>
      </c>
      <c r="F334" s="31" t="s">
        <v>1112</v>
      </c>
      <c r="G334" s="31" t="s">
        <v>1068</v>
      </c>
      <c r="H334" s="31" t="s">
        <v>1018</v>
      </c>
      <c r="I334" s="31" t="s">
        <v>821</v>
      </c>
      <c r="J334" s="31" t="s">
        <v>815</v>
      </c>
      <c r="K334" s="31" t="s">
        <v>1126</v>
      </c>
      <c r="L334" s="31" t="s">
        <v>816</v>
      </c>
    </row>
    <row r="335" spans="1:12" ht="199.5">
      <c r="A335" s="62">
        <v>333</v>
      </c>
      <c r="B335" s="102"/>
      <c r="C335" s="93"/>
      <c r="D335" s="58" t="s">
        <v>756</v>
      </c>
      <c r="E335" s="31" t="s">
        <v>810</v>
      </c>
      <c r="F335" s="31" t="s">
        <v>1113</v>
      </c>
      <c r="G335" s="31" t="s">
        <v>1071</v>
      </c>
      <c r="H335" s="31" t="s">
        <v>1018</v>
      </c>
      <c r="I335" s="31" t="s">
        <v>821</v>
      </c>
      <c r="J335" s="31" t="s">
        <v>815</v>
      </c>
      <c r="K335" s="31" t="s">
        <v>1126</v>
      </c>
      <c r="L335" s="31" t="s">
        <v>816</v>
      </c>
    </row>
    <row r="336" spans="1:12" ht="57">
      <c r="A336" s="62">
        <v>334</v>
      </c>
      <c r="B336" s="102"/>
      <c r="C336" s="93"/>
      <c r="D336" s="58" t="s">
        <v>757</v>
      </c>
      <c r="E336" s="64" t="s">
        <v>46</v>
      </c>
      <c r="F336" s="31" t="s">
        <v>803</v>
      </c>
      <c r="G336" s="63" t="s">
        <v>1075</v>
      </c>
      <c r="H336" s="63" t="s">
        <v>1075</v>
      </c>
      <c r="I336" s="63" t="s">
        <v>1075</v>
      </c>
      <c r="J336" s="63" t="s">
        <v>1075</v>
      </c>
      <c r="K336" s="63" t="s">
        <v>1075</v>
      </c>
      <c r="L336" s="31" t="s">
        <v>816</v>
      </c>
    </row>
    <row r="337" spans="1:12" ht="156.75">
      <c r="A337" s="62">
        <v>335</v>
      </c>
      <c r="B337" s="102"/>
      <c r="C337" s="93"/>
      <c r="D337" s="58" t="s">
        <v>758</v>
      </c>
      <c r="E337" s="64" t="s">
        <v>46</v>
      </c>
      <c r="F337" s="31" t="s">
        <v>1114</v>
      </c>
      <c r="G337" s="31" t="s">
        <v>1076</v>
      </c>
      <c r="H337" s="31" t="s">
        <v>1018</v>
      </c>
      <c r="I337" s="31" t="s">
        <v>821</v>
      </c>
      <c r="J337" s="31" t="s">
        <v>815</v>
      </c>
      <c r="K337" s="31" t="s">
        <v>1125</v>
      </c>
      <c r="L337" s="31" t="s">
        <v>816</v>
      </c>
    </row>
    <row r="338" spans="1:12" ht="327.75">
      <c r="A338" s="62">
        <v>336</v>
      </c>
      <c r="B338" s="102"/>
      <c r="C338" s="93"/>
      <c r="D338" s="58" t="s">
        <v>759</v>
      </c>
      <c r="E338" s="64" t="s">
        <v>46</v>
      </c>
      <c r="F338" s="31" t="s">
        <v>1115</v>
      </c>
      <c r="G338" s="31" t="s">
        <v>1117</v>
      </c>
      <c r="H338" s="31" t="s">
        <v>1018</v>
      </c>
      <c r="I338" s="31" t="s">
        <v>843</v>
      </c>
      <c r="J338" s="31" t="s">
        <v>815</v>
      </c>
      <c r="K338" s="31" t="s">
        <v>1125</v>
      </c>
      <c r="L338" s="31" t="s">
        <v>816</v>
      </c>
    </row>
    <row r="339" spans="1:12" ht="384.75">
      <c r="A339" s="62">
        <v>337</v>
      </c>
      <c r="B339" s="102"/>
      <c r="C339" s="93"/>
      <c r="D339" s="58" t="s">
        <v>760</v>
      </c>
      <c r="E339" s="64" t="s">
        <v>46</v>
      </c>
      <c r="F339" s="31" t="s">
        <v>804</v>
      </c>
      <c r="G339" s="31" t="s">
        <v>1078</v>
      </c>
      <c r="H339" s="31" t="s">
        <v>1079</v>
      </c>
      <c r="I339" s="31" t="s">
        <v>843</v>
      </c>
      <c r="J339" s="31" t="s">
        <v>815</v>
      </c>
      <c r="K339" s="31" t="s">
        <v>1127</v>
      </c>
      <c r="L339" s="31" t="s">
        <v>816</v>
      </c>
    </row>
    <row r="340" spans="1:12" ht="57">
      <c r="A340" s="62">
        <v>338</v>
      </c>
      <c r="B340" s="102"/>
      <c r="C340" s="93"/>
      <c r="D340" s="58" t="s">
        <v>761</v>
      </c>
      <c r="E340" s="64" t="s">
        <v>46</v>
      </c>
      <c r="F340" s="31" t="s">
        <v>805</v>
      </c>
      <c r="G340" s="63" t="s">
        <v>899</v>
      </c>
      <c r="H340" s="31" t="s">
        <v>900</v>
      </c>
      <c r="I340" s="31" t="s">
        <v>901</v>
      </c>
      <c r="J340" s="31" t="s">
        <v>819</v>
      </c>
      <c r="K340" s="31" t="s">
        <v>828</v>
      </c>
      <c r="L340" s="31" t="s">
        <v>816</v>
      </c>
    </row>
    <row r="341" spans="1:12" ht="171">
      <c r="A341" s="62">
        <v>339</v>
      </c>
      <c r="B341" s="102"/>
      <c r="C341" s="93"/>
      <c r="D341" s="58" t="s">
        <v>762</v>
      </c>
      <c r="E341" s="64" t="s">
        <v>46</v>
      </c>
      <c r="F341" s="31" t="s">
        <v>1065</v>
      </c>
      <c r="G341" s="31" t="s">
        <v>1080</v>
      </c>
      <c r="H341" s="31" t="s">
        <v>1079</v>
      </c>
      <c r="I341" s="31" t="s">
        <v>1081</v>
      </c>
      <c r="J341" s="31" t="s">
        <v>1082</v>
      </c>
      <c r="K341" s="31" t="s">
        <v>1083</v>
      </c>
      <c r="L341" s="31" t="s">
        <v>816</v>
      </c>
    </row>
    <row r="342" spans="1:12" ht="384.75">
      <c r="A342" s="62">
        <v>340</v>
      </c>
      <c r="B342" s="102"/>
      <c r="C342" s="94"/>
      <c r="D342" s="58" t="s">
        <v>763</v>
      </c>
      <c r="E342" s="64" t="s">
        <v>46</v>
      </c>
      <c r="F342" s="31" t="s">
        <v>1084</v>
      </c>
      <c r="G342" s="31" t="s">
        <v>1085</v>
      </c>
      <c r="H342" s="31" t="s">
        <v>1086</v>
      </c>
      <c r="I342" s="31" t="s">
        <v>977</v>
      </c>
      <c r="J342" s="31" t="s">
        <v>815</v>
      </c>
      <c r="K342" s="31" t="s">
        <v>1127</v>
      </c>
      <c r="L342" s="31" t="s">
        <v>816</v>
      </c>
    </row>
    <row r="343" spans="1:12" ht="85.5">
      <c r="A343" s="62">
        <v>341</v>
      </c>
      <c r="B343" s="102"/>
      <c r="C343" s="92" t="s">
        <v>773</v>
      </c>
      <c r="D343" s="58" t="s">
        <v>753</v>
      </c>
      <c r="E343" s="64" t="s">
        <v>46</v>
      </c>
      <c r="F343" s="31" t="s">
        <v>1118</v>
      </c>
      <c r="G343" s="31" t="s">
        <v>1066</v>
      </c>
      <c r="H343" s="31" t="s">
        <v>1018</v>
      </c>
      <c r="I343" s="31" t="s">
        <v>825</v>
      </c>
      <c r="J343" s="31" t="s">
        <v>819</v>
      </c>
      <c r="K343" s="31" t="s">
        <v>828</v>
      </c>
      <c r="L343" s="31" t="s">
        <v>839</v>
      </c>
    </row>
    <row r="344" spans="1:12" ht="327.75">
      <c r="A344" s="62">
        <v>342</v>
      </c>
      <c r="B344" s="102"/>
      <c r="C344" s="93"/>
      <c r="D344" s="58" t="s">
        <v>754</v>
      </c>
      <c r="E344" s="64" t="s">
        <v>46</v>
      </c>
      <c r="F344" s="31" t="s">
        <v>1119</v>
      </c>
      <c r="G344" s="31" t="s">
        <v>1067</v>
      </c>
      <c r="H344" s="31" t="s">
        <v>1018</v>
      </c>
      <c r="I344" s="31" t="s">
        <v>821</v>
      </c>
      <c r="J344" s="31" t="s">
        <v>815</v>
      </c>
      <c r="K344" s="31" t="s">
        <v>1125</v>
      </c>
      <c r="L344" s="31" t="s">
        <v>1120</v>
      </c>
    </row>
    <row r="345" spans="1:12" ht="327.75">
      <c r="A345" s="62">
        <v>343</v>
      </c>
      <c r="B345" s="102"/>
      <c r="C345" s="93"/>
      <c r="D345" s="58" t="s">
        <v>755</v>
      </c>
      <c r="E345" s="64" t="s">
        <v>46</v>
      </c>
      <c r="F345" s="31" t="s">
        <v>1121</v>
      </c>
      <c r="G345" s="31" t="s">
        <v>1068</v>
      </c>
      <c r="H345" s="31" t="s">
        <v>1018</v>
      </c>
      <c r="I345" s="31" t="s">
        <v>821</v>
      </c>
      <c r="J345" s="31" t="s">
        <v>815</v>
      </c>
      <c r="K345" s="31" t="s">
        <v>1126</v>
      </c>
      <c r="L345" s="31" t="s">
        <v>1120</v>
      </c>
    </row>
    <row r="346" spans="1:12" ht="327.75">
      <c r="A346" s="62">
        <v>344</v>
      </c>
      <c r="B346" s="102"/>
      <c r="C346" s="93"/>
      <c r="D346" s="58" t="s">
        <v>756</v>
      </c>
      <c r="E346" s="31" t="s">
        <v>810</v>
      </c>
      <c r="F346" s="31" t="s">
        <v>1122</v>
      </c>
      <c r="G346" s="31" t="s">
        <v>1071</v>
      </c>
      <c r="H346" s="31" t="s">
        <v>1018</v>
      </c>
      <c r="I346" s="31" t="s">
        <v>821</v>
      </c>
      <c r="J346" s="31" t="s">
        <v>815</v>
      </c>
      <c r="K346" s="31" t="s">
        <v>1126</v>
      </c>
      <c r="L346" s="31" t="s">
        <v>1120</v>
      </c>
    </row>
    <row r="347" spans="1:12" ht="327.75">
      <c r="A347" s="62">
        <v>345</v>
      </c>
      <c r="B347" s="102"/>
      <c r="C347" s="93"/>
      <c r="D347" s="58" t="s">
        <v>757</v>
      </c>
      <c r="E347" s="64" t="s">
        <v>46</v>
      </c>
      <c r="F347" s="31" t="s">
        <v>803</v>
      </c>
      <c r="G347" s="63" t="s">
        <v>1075</v>
      </c>
      <c r="H347" s="63" t="s">
        <v>1075</v>
      </c>
      <c r="I347" s="63" t="s">
        <v>1075</v>
      </c>
      <c r="J347" s="63" t="s">
        <v>1075</v>
      </c>
      <c r="K347" s="63" t="s">
        <v>1075</v>
      </c>
      <c r="L347" s="31" t="s">
        <v>1120</v>
      </c>
    </row>
    <row r="348" spans="1:12" ht="327.75">
      <c r="A348" s="62">
        <v>346</v>
      </c>
      <c r="B348" s="102"/>
      <c r="C348" s="93"/>
      <c r="D348" s="58" t="s">
        <v>758</v>
      </c>
      <c r="E348" s="64" t="s">
        <v>46</v>
      </c>
      <c r="F348" s="31" t="s">
        <v>1123</v>
      </c>
      <c r="G348" s="31" t="s">
        <v>1076</v>
      </c>
      <c r="H348" s="31" t="s">
        <v>1018</v>
      </c>
      <c r="I348" s="31" t="s">
        <v>821</v>
      </c>
      <c r="J348" s="31" t="s">
        <v>815</v>
      </c>
      <c r="K348" s="31" t="s">
        <v>1125</v>
      </c>
      <c r="L348" s="31" t="s">
        <v>1120</v>
      </c>
    </row>
    <row r="349" spans="1:12" ht="327.75">
      <c r="A349" s="62">
        <v>347</v>
      </c>
      <c r="B349" s="102"/>
      <c r="C349" s="93"/>
      <c r="D349" s="58" t="s">
        <v>759</v>
      </c>
      <c r="E349" s="64" t="s">
        <v>46</v>
      </c>
      <c r="F349" s="31" t="s">
        <v>1124</v>
      </c>
      <c r="G349" s="31" t="s">
        <v>1116</v>
      </c>
      <c r="H349" s="31" t="s">
        <v>1018</v>
      </c>
      <c r="I349" s="31" t="s">
        <v>843</v>
      </c>
      <c r="J349" s="31" t="s">
        <v>815</v>
      </c>
      <c r="K349" s="31" t="s">
        <v>1125</v>
      </c>
      <c r="L349" s="31" t="s">
        <v>1120</v>
      </c>
    </row>
    <row r="350" spans="1:12" ht="384.75">
      <c r="A350" s="62">
        <v>348</v>
      </c>
      <c r="B350" s="102"/>
      <c r="C350" s="93"/>
      <c r="D350" s="58" t="s">
        <v>760</v>
      </c>
      <c r="E350" s="64" t="s">
        <v>46</v>
      </c>
      <c r="F350" s="31" t="s">
        <v>804</v>
      </c>
      <c r="G350" s="31" t="s">
        <v>1078</v>
      </c>
      <c r="H350" s="31" t="s">
        <v>1079</v>
      </c>
      <c r="I350" s="31" t="s">
        <v>843</v>
      </c>
      <c r="J350" s="31" t="s">
        <v>815</v>
      </c>
      <c r="K350" s="31" t="s">
        <v>1127</v>
      </c>
      <c r="L350" s="31" t="s">
        <v>1120</v>
      </c>
    </row>
    <row r="351" spans="1:12" ht="327.75">
      <c r="A351" s="62">
        <v>349</v>
      </c>
      <c r="B351" s="102"/>
      <c r="C351" s="93"/>
      <c r="D351" s="58" t="s">
        <v>761</v>
      </c>
      <c r="E351" s="64" t="s">
        <v>46</v>
      </c>
      <c r="F351" s="31" t="s">
        <v>805</v>
      </c>
      <c r="G351" s="63" t="s">
        <v>899</v>
      </c>
      <c r="H351" s="31" t="s">
        <v>900</v>
      </c>
      <c r="I351" s="31" t="s">
        <v>901</v>
      </c>
      <c r="J351" s="31" t="s">
        <v>819</v>
      </c>
      <c r="K351" s="31" t="s">
        <v>828</v>
      </c>
      <c r="L351" s="31" t="s">
        <v>1120</v>
      </c>
    </row>
    <row r="352" spans="1:12" ht="327.75">
      <c r="A352" s="62">
        <v>350</v>
      </c>
      <c r="B352" s="102"/>
      <c r="C352" s="93"/>
      <c r="D352" s="58" t="s">
        <v>762</v>
      </c>
      <c r="E352" s="64" t="s">
        <v>46</v>
      </c>
      <c r="F352" s="31" t="s">
        <v>1065</v>
      </c>
      <c r="G352" s="31" t="s">
        <v>1080</v>
      </c>
      <c r="H352" s="31" t="s">
        <v>1079</v>
      </c>
      <c r="I352" s="31" t="s">
        <v>1081</v>
      </c>
      <c r="J352" s="31" t="s">
        <v>1082</v>
      </c>
      <c r="K352" s="31" t="s">
        <v>1083</v>
      </c>
      <c r="L352" s="31" t="s">
        <v>1120</v>
      </c>
    </row>
    <row r="353" spans="1:12" ht="384.75">
      <c r="A353" s="62">
        <v>351</v>
      </c>
      <c r="B353" s="102"/>
      <c r="C353" s="94"/>
      <c r="D353" s="58" t="s">
        <v>763</v>
      </c>
      <c r="E353" s="64" t="s">
        <v>46</v>
      </c>
      <c r="F353" s="31" t="s">
        <v>1084</v>
      </c>
      <c r="G353" s="31" t="s">
        <v>1085</v>
      </c>
      <c r="H353" s="31" t="s">
        <v>1086</v>
      </c>
      <c r="I353" s="31" t="s">
        <v>977</v>
      </c>
      <c r="J353" s="31" t="s">
        <v>815</v>
      </c>
      <c r="K353" s="31" t="s">
        <v>1127</v>
      </c>
      <c r="L353" s="31" t="s">
        <v>1120</v>
      </c>
    </row>
    <row r="354" spans="1:12" ht="213.75">
      <c r="A354" s="58">
        <v>352</v>
      </c>
      <c r="B354" s="95"/>
      <c r="C354" s="92" t="s">
        <v>1135</v>
      </c>
      <c r="D354" s="58" t="s">
        <v>753</v>
      </c>
      <c r="E354" s="64" t="s">
        <v>46</v>
      </c>
      <c r="F354" s="31" t="s">
        <v>1128</v>
      </c>
      <c r="G354" s="31" t="s">
        <v>1194</v>
      </c>
      <c r="H354" s="31" t="s">
        <v>1159</v>
      </c>
      <c r="I354" s="31" t="s">
        <v>1151</v>
      </c>
      <c r="J354" s="31" t="s">
        <v>815</v>
      </c>
      <c r="K354" s="31" t="s">
        <v>1139</v>
      </c>
      <c r="L354" s="31" t="s">
        <v>816</v>
      </c>
    </row>
    <row r="355" spans="1:12" ht="313.5">
      <c r="A355" s="62">
        <v>353</v>
      </c>
      <c r="B355" s="95"/>
      <c r="C355" s="93"/>
      <c r="D355" s="58" t="s">
        <v>754</v>
      </c>
      <c r="E355" s="64" t="s">
        <v>46</v>
      </c>
      <c r="F355" s="31" t="s">
        <v>1129</v>
      </c>
      <c r="G355" s="31" t="s">
        <v>1221</v>
      </c>
      <c r="H355" s="31" t="s">
        <v>1159</v>
      </c>
      <c r="I355" s="31" t="s">
        <v>1152</v>
      </c>
      <c r="J355" s="31" t="s">
        <v>815</v>
      </c>
      <c r="K355" s="31" t="s">
        <v>1140</v>
      </c>
      <c r="L355" s="31" t="s">
        <v>816</v>
      </c>
    </row>
    <row r="356" spans="1:12" ht="185.25">
      <c r="A356" s="58">
        <v>354</v>
      </c>
      <c r="B356" s="95"/>
      <c r="C356" s="93"/>
      <c r="D356" s="58" t="s">
        <v>755</v>
      </c>
      <c r="E356" s="64" t="s">
        <v>46</v>
      </c>
      <c r="F356" s="31" t="s">
        <v>1130</v>
      </c>
      <c r="G356" s="31" t="s">
        <v>1136</v>
      </c>
      <c r="H356" s="31" t="s">
        <v>1159</v>
      </c>
      <c r="I356" s="31" t="s">
        <v>1138</v>
      </c>
      <c r="J356" s="31" t="s">
        <v>819</v>
      </c>
      <c r="K356" s="31" t="s">
        <v>828</v>
      </c>
      <c r="L356" s="31" t="s">
        <v>816</v>
      </c>
    </row>
    <row r="357" spans="1:12" ht="313.5">
      <c r="A357" s="62">
        <v>355</v>
      </c>
      <c r="B357" s="95"/>
      <c r="C357" s="93"/>
      <c r="D357" s="58" t="s">
        <v>756</v>
      </c>
      <c r="E357" s="64" t="s">
        <v>46</v>
      </c>
      <c r="F357" s="31" t="s">
        <v>1131</v>
      </c>
      <c r="G357" s="31" t="s">
        <v>1160</v>
      </c>
      <c r="H357" s="31" t="s">
        <v>1137</v>
      </c>
      <c r="I357" s="31" t="s">
        <v>1161</v>
      </c>
      <c r="J357" s="31" t="s">
        <v>815</v>
      </c>
      <c r="K357" s="31" t="s">
        <v>1140</v>
      </c>
      <c r="L357" s="31" t="s">
        <v>816</v>
      </c>
    </row>
    <row r="358" spans="1:12" ht="313.5">
      <c r="A358" s="58">
        <v>356</v>
      </c>
      <c r="B358" s="95"/>
      <c r="C358" s="93"/>
      <c r="D358" s="58" t="s">
        <v>757</v>
      </c>
      <c r="E358" s="64" t="s">
        <v>46</v>
      </c>
      <c r="F358" s="31" t="s">
        <v>1153</v>
      </c>
      <c r="G358" s="31" t="s">
        <v>1162</v>
      </c>
      <c r="H358" s="31" t="s">
        <v>1137</v>
      </c>
      <c r="I358" s="31" t="s">
        <v>1152</v>
      </c>
      <c r="J358" s="31" t="s">
        <v>815</v>
      </c>
      <c r="K358" s="31" t="s">
        <v>1140</v>
      </c>
      <c r="L358" s="31" t="s">
        <v>816</v>
      </c>
    </row>
    <row r="359" spans="1:12" ht="313.5">
      <c r="A359" s="62">
        <v>357</v>
      </c>
      <c r="B359" s="95"/>
      <c r="C359" s="93"/>
      <c r="D359" s="58" t="s">
        <v>758</v>
      </c>
      <c r="E359" s="64" t="s">
        <v>46</v>
      </c>
      <c r="F359" s="31" t="s">
        <v>1154</v>
      </c>
      <c r="G359" s="31" t="s">
        <v>1163</v>
      </c>
      <c r="H359" s="31" t="s">
        <v>1137</v>
      </c>
      <c r="I359" s="31" t="s">
        <v>1152</v>
      </c>
      <c r="J359" s="31" t="s">
        <v>815</v>
      </c>
      <c r="K359" s="31" t="s">
        <v>1140</v>
      </c>
      <c r="L359" s="31" t="s">
        <v>816</v>
      </c>
    </row>
    <row r="360" spans="1:12" ht="57">
      <c r="A360" s="58">
        <v>358</v>
      </c>
      <c r="B360" s="95"/>
      <c r="C360" s="93"/>
      <c r="D360" s="96" t="s">
        <v>759</v>
      </c>
      <c r="E360" s="64" t="s">
        <v>46</v>
      </c>
      <c r="F360" s="31" t="s">
        <v>1166</v>
      </c>
      <c r="G360" s="31" t="s">
        <v>1219</v>
      </c>
      <c r="H360" s="31" t="s">
        <v>1219</v>
      </c>
      <c r="I360" s="31" t="s">
        <v>1219</v>
      </c>
      <c r="J360" s="31" t="s">
        <v>1219</v>
      </c>
      <c r="K360" s="31" t="s">
        <v>1219</v>
      </c>
      <c r="L360" s="31" t="s">
        <v>816</v>
      </c>
    </row>
    <row r="361" spans="1:12" ht="409.5">
      <c r="A361" s="62">
        <v>359</v>
      </c>
      <c r="B361" s="95"/>
      <c r="C361" s="93"/>
      <c r="D361" s="97"/>
      <c r="E361" s="64" t="s">
        <v>46</v>
      </c>
      <c r="F361" s="31" t="s">
        <v>1150</v>
      </c>
      <c r="G361" s="31" t="s">
        <v>1164</v>
      </c>
      <c r="H361" s="31" t="s">
        <v>1137</v>
      </c>
      <c r="I361" s="31" t="s">
        <v>1152</v>
      </c>
      <c r="J361" s="31" t="s">
        <v>815</v>
      </c>
      <c r="K361" s="31" t="s">
        <v>1141</v>
      </c>
      <c r="L361" s="31" t="s">
        <v>816</v>
      </c>
    </row>
    <row r="362" spans="1:12" ht="409.5">
      <c r="A362" s="58">
        <v>360</v>
      </c>
      <c r="B362" s="95"/>
      <c r="C362" s="93"/>
      <c r="D362" s="58" t="s">
        <v>760</v>
      </c>
      <c r="E362" s="64" t="s">
        <v>46</v>
      </c>
      <c r="F362" s="31" t="s">
        <v>812</v>
      </c>
      <c r="G362" s="31" t="s">
        <v>1165</v>
      </c>
      <c r="H362" s="31" t="s">
        <v>1137</v>
      </c>
      <c r="I362" s="31" t="s">
        <v>1152</v>
      </c>
      <c r="J362" s="31" t="s">
        <v>815</v>
      </c>
      <c r="K362" s="31" t="s">
        <v>1141</v>
      </c>
      <c r="L362" s="31" t="s">
        <v>816</v>
      </c>
    </row>
    <row r="363" spans="1:12" ht="57">
      <c r="A363" s="62">
        <v>361</v>
      </c>
      <c r="B363" s="95"/>
      <c r="C363" s="93"/>
      <c r="D363" s="58" t="s">
        <v>761</v>
      </c>
      <c r="E363" s="64" t="s">
        <v>46</v>
      </c>
      <c r="F363" s="31" t="s">
        <v>813</v>
      </c>
      <c r="G363" s="63" t="s">
        <v>899</v>
      </c>
      <c r="H363" s="31" t="s">
        <v>900</v>
      </c>
      <c r="I363" s="31" t="s">
        <v>901</v>
      </c>
      <c r="J363" s="31" t="s">
        <v>819</v>
      </c>
      <c r="K363" s="31" t="s">
        <v>828</v>
      </c>
      <c r="L363" s="31" t="s">
        <v>816</v>
      </c>
    </row>
    <row r="364" spans="1:12" ht="71.25">
      <c r="A364" s="58">
        <v>362</v>
      </c>
      <c r="B364" s="95"/>
      <c r="C364" s="93"/>
      <c r="D364" s="58" t="s">
        <v>762</v>
      </c>
      <c r="E364" s="64" t="s">
        <v>46</v>
      </c>
      <c r="F364" s="31" t="s">
        <v>1132</v>
      </c>
      <c r="G364" s="31" t="s">
        <v>1220</v>
      </c>
      <c r="H364" s="31" t="s">
        <v>1220</v>
      </c>
      <c r="I364" s="31" t="s">
        <v>1220</v>
      </c>
      <c r="J364" s="31" t="s">
        <v>1220</v>
      </c>
      <c r="K364" s="31" t="s">
        <v>1220</v>
      </c>
      <c r="L364" s="31" t="s">
        <v>816</v>
      </c>
    </row>
    <row r="365" spans="1:12" ht="409.5">
      <c r="A365" s="62">
        <v>363</v>
      </c>
      <c r="B365" s="95"/>
      <c r="C365" s="94"/>
      <c r="D365" s="58" t="s">
        <v>763</v>
      </c>
      <c r="E365" s="64" t="s">
        <v>46</v>
      </c>
      <c r="F365" s="31" t="s">
        <v>1133</v>
      </c>
      <c r="G365" s="31" t="s">
        <v>1155</v>
      </c>
      <c r="H365" s="31" t="s">
        <v>1137</v>
      </c>
      <c r="I365" s="31" t="s">
        <v>1152</v>
      </c>
      <c r="J365" s="31" t="s">
        <v>815</v>
      </c>
      <c r="K365" s="31" t="s">
        <v>1141</v>
      </c>
      <c r="L365" s="31" t="s">
        <v>816</v>
      </c>
    </row>
    <row r="366" spans="1:12" ht="409.5">
      <c r="A366" s="58">
        <v>364</v>
      </c>
      <c r="B366" s="95"/>
      <c r="C366" s="92" t="s">
        <v>1195</v>
      </c>
      <c r="D366" s="58" t="s">
        <v>753</v>
      </c>
      <c r="E366" s="64" t="s">
        <v>46</v>
      </c>
      <c r="F366" s="31" t="s">
        <v>1142</v>
      </c>
      <c r="G366" s="31" t="s">
        <v>1205</v>
      </c>
      <c r="H366" s="31" t="s">
        <v>1159</v>
      </c>
      <c r="I366" s="31" t="s">
        <v>1151</v>
      </c>
      <c r="J366" s="31" t="s">
        <v>815</v>
      </c>
      <c r="K366" s="31" t="s">
        <v>1255</v>
      </c>
      <c r="L366" s="31" t="s">
        <v>816</v>
      </c>
    </row>
    <row r="367" spans="1:12" ht="409.5">
      <c r="A367" s="62">
        <v>365</v>
      </c>
      <c r="B367" s="95"/>
      <c r="C367" s="93"/>
      <c r="D367" s="58" t="s">
        <v>754</v>
      </c>
      <c r="E367" s="64" t="s">
        <v>46</v>
      </c>
      <c r="F367" s="31" t="s">
        <v>1143</v>
      </c>
      <c r="G367" s="31" t="s">
        <v>1205</v>
      </c>
      <c r="H367" s="31" t="s">
        <v>1159</v>
      </c>
      <c r="I367" s="31" t="s">
        <v>1151</v>
      </c>
      <c r="J367" s="31" t="s">
        <v>815</v>
      </c>
      <c r="K367" s="31" t="s">
        <v>1256</v>
      </c>
      <c r="L367" s="31" t="s">
        <v>816</v>
      </c>
    </row>
    <row r="368" spans="1:12" ht="156.75">
      <c r="A368" s="58">
        <v>366</v>
      </c>
      <c r="B368" s="95"/>
      <c r="C368" s="93"/>
      <c r="D368" s="58" t="s">
        <v>755</v>
      </c>
      <c r="E368" s="64" t="s">
        <v>46</v>
      </c>
      <c r="F368" s="31" t="s">
        <v>1144</v>
      </c>
      <c r="G368" s="31" t="s">
        <v>1206</v>
      </c>
      <c r="H368" s="31" t="s">
        <v>1159</v>
      </c>
      <c r="I368" s="31" t="s">
        <v>1138</v>
      </c>
      <c r="J368" s="31" t="s">
        <v>819</v>
      </c>
      <c r="K368" s="31" t="s">
        <v>828</v>
      </c>
      <c r="L368" s="31" t="s">
        <v>816</v>
      </c>
    </row>
    <row r="369" spans="1:12" ht="409.5">
      <c r="A369" s="62">
        <v>367</v>
      </c>
      <c r="B369" s="95"/>
      <c r="C369" s="93"/>
      <c r="D369" s="58" t="s">
        <v>756</v>
      </c>
      <c r="E369" s="64" t="s">
        <v>46</v>
      </c>
      <c r="F369" s="31" t="s">
        <v>811</v>
      </c>
      <c r="G369" s="31" t="s">
        <v>1211</v>
      </c>
      <c r="H369" s="31" t="s">
        <v>1137</v>
      </c>
      <c r="I369" s="31" t="s">
        <v>1161</v>
      </c>
      <c r="J369" s="31" t="s">
        <v>815</v>
      </c>
      <c r="K369" s="31" t="s">
        <v>1256</v>
      </c>
      <c r="L369" s="31" t="s">
        <v>816</v>
      </c>
    </row>
    <row r="370" spans="1:12" ht="409.5">
      <c r="A370" s="58">
        <v>368</v>
      </c>
      <c r="B370" s="95"/>
      <c r="C370" s="93"/>
      <c r="D370" s="58" t="s">
        <v>757</v>
      </c>
      <c r="E370" s="64" t="s">
        <v>46</v>
      </c>
      <c r="F370" s="31" t="s">
        <v>1153</v>
      </c>
      <c r="G370" s="31" t="s">
        <v>1162</v>
      </c>
      <c r="H370" s="31" t="s">
        <v>1137</v>
      </c>
      <c r="I370" s="31" t="s">
        <v>1152</v>
      </c>
      <c r="J370" s="31" t="s">
        <v>815</v>
      </c>
      <c r="K370" s="31" t="s">
        <v>1256</v>
      </c>
      <c r="L370" s="31" t="s">
        <v>816</v>
      </c>
    </row>
    <row r="371" spans="1:12" ht="409.5">
      <c r="A371" s="62">
        <v>369</v>
      </c>
      <c r="B371" s="95"/>
      <c r="C371" s="93"/>
      <c r="D371" s="58" t="s">
        <v>758</v>
      </c>
      <c r="E371" s="64" t="s">
        <v>46</v>
      </c>
      <c r="F371" s="31" t="s">
        <v>1154</v>
      </c>
      <c r="G371" s="31" t="s">
        <v>1163</v>
      </c>
      <c r="H371" s="31" t="s">
        <v>1137</v>
      </c>
      <c r="I371" s="31" t="s">
        <v>1152</v>
      </c>
      <c r="J371" s="31" t="s">
        <v>815</v>
      </c>
      <c r="K371" s="31" t="s">
        <v>1256</v>
      </c>
      <c r="L371" s="31" t="s">
        <v>816</v>
      </c>
    </row>
    <row r="372" spans="1:12" ht="57">
      <c r="A372" s="58">
        <v>370</v>
      </c>
      <c r="B372" s="95"/>
      <c r="C372" s="93"/>
      <c r="D372" s="96" t="s">
        <v>759</v>
      </c>
      <c r="E372" s="64" t="s">
        <v>46</v>
      </c>
      <c r="F372" s="31" t="s">
        <v>1166</v>
      </c>
      <c r="G372" s="31" t="s">
        <v>1219</v>
      </c>
      <c r="H372" s="31" t="s">
        <v>1219</v>
      </c>
      <c r="I372" s="31" t="s">
        <v>1219</v>
      </c>
      <c r="J372" s="31" t="s">
        <v>1219</v>
      </c>
      <c r="K372" s="31" t="s">
        <v>1219</v>
      </c>
      <c r="L372" s="31" t="s">
        <v>816</v>
      </c>
    </row>
    <row r="373" spans="1:12" ht="409.5">
      <c r="A373" s="62">
        <v>371</v>
      </c>
      <c r="B373" s="95"/>
      <c r="C373" s="93"/>
      <c r="D373" s="97"/>
      <c r="E373" s="64" t="s">
        <v>46</v>
      </c>
      <c r="F373" s="31" t="s">
        <v>1150</v>
      </c>
      <c r="G373" s="31" t="s">
        <v>1164</v>
      </c>
      <c r="H373" s="31" t="s">
        <v>1137</v>
      </c>
      <c r="I373" s="31" t="s">
        <v>1152</v>
      </c>
      <c r="J373" s="31" t="s">
        <v>815</v>
      </c>
      <c r="K373" s="31" t="s">
        <v>1257</v>
      </c>
      <c r="L373" s="31" t="s">
        <v>816</v>
      </c>
    </row>
    <row r="374" spans="1:12" ht="409.5">
      <c r="A374" s="58">
        <v>372</v>
      </c>
      <c r="B374" s="95"/>
      <c r="C374" s="93"/>
      <c r="D374" s="58" t="s">
        <v>760</v>
      </c>
      <c r="E374" s="64" t="s">
        <v>46</v>
      </c>
      <c r="F374" s="31" t="s">
        <v>812</v>
      </c>
      <c r="G374" s="31" t="s">
        <v>1165</v>
      </c>
      <c r="H374" s="31" t="s">
        <v>1137</v>
      </c>
      <c r="I374" s="31" t="s">
        <v>1152</v>
      </c>
      <c r="J374" s="31" t="s">
        <v>815</v>
      </c>
      <c r="K374" s="31" t="s">
        <v>1257</v>
      </c>
      <c r="L374" s="31" t="s">
        <v>816</v>
      </c>
    </row>
    <row r="375" spans="1:12" ht="57">
      <c r="A375" s="62">
        <v>373</v>
      </c>
      <c r="B375" s="95"/>
      <c r="C375" s="93"/>
      <c r="D375" s="58" t="s">
        <v>761</v>
      </c>
      <c r="E375" s="64" t="s">
        <v>46</v>
      </c>
      <c r="F375" s="31" t="s">
        <v>813</v>
      </c>
      <c r="G375" s="63" t="s">
        <v>899</v>
      </c>
      <c r="H375" s="31" t="s">
        <v>900</v>
      </c>
      <c r="I375" s="31" t="s">
        <v>901</v>
      </c>
      <c r="J375" s="31" t="s">
        <v>819</v>
      </c>
      <c r="K375" s="31" t="s">
        <v>828</v>
      </c>
      <c r="L375" s="31" t="s">
        <v>816</v>
      </c>
    </row>
    <row r="376" spans="1:12" ht="71.25">
      <c r="A376" s="58">
        <v>374</v>
      </c>
      <c r="B376" s="95"/>
      <c r="C376" s="93"/>
      <c r="D376" s="58" t="s">
        <v>762</v>
      </c>
      <c r="E376" s="64" t="s">
        <v>46</v>
      </c>
      <c r="F376" s="31" t="s">
        <v>1132</v>
      </c>
      <c r="G376" s="31" t="s">
        <v>1220</v>
      </c>
      <c r="H376" s="31" t="s">
        <v>1220</v>
      </c>
      <c r="I376" s="31" t="s">
        <v>1220</v>
      </c>
      <c r="J376" s="31" t="s">
        <v>1220</v>
      </c>
      <c r="K376" s="31" t="s">
        <v>1220</v>
      </c>
      <c r="L376" s="31" t="s">
        <v>816</v>
      </c>
    </row>
    <row r="377" spans="1:12" ht="409.5">
      <c r="A377" s="62">
        <v>375</v>
      </c>
      <c r="B377" s="95"/>
      <c r="C377" s="94"/>
      <c r="D377" s="58" t="s">
        <v>763</v>
      </c>
      <c r="E377" s="64" t="s">
        <v>46</v>
      </c>
      <c r="F377" s="31" t="s">
        <v>1133</v>
      </c>
      <c r="G377" s="31" t="s">
        <v>1155</v>
      </c>
      <c r="H377" s="31" t="s">
        <v>1137</v>
      </c>
      <c r="I377" s="31" t="s">
        <v>1152</v>
      </c>
      <c r="J377" s="31" t="s">
        <v>815</v>
      </c>
      <c r="K377" s="31" t="s">
        <v>1257</v>
      </c>
      <c r="L377" s="31" t="s">
        <v>816</v>
      </c>
    </row>
    <row r="378" spans="1:12" ht="213.75">
      <c r="A378" s="58">
        <v>376</v>
      </c>
      <c r="B378" s="95"/>
      <c r="C378" s="92" t="s">
        <v>1134</v>
      </c>
      <c r="D378" s="58" t="s">
        <v>753</v>
      </c>
      <c r="E378" s="64" t="s">
        <v>46</v>
      </c>
      <c r="F378" s="31" t="s">
        <v>1156</v>
      </c>
      <c r="G378" s="63" t="s">
        <v>1194</v>
      </c>
      <c r="H378" s="63" t="s">
        <v>1159</v>
      </c>
      <c r="I378" s="63" t="s">
        <v>1151</v>
      </c>
      <c r="J378" s="63" t="s">
        <v>815</v>
      </c>
      <c r="K378" s="63" t="s">
        <v>1139</v>
      </c>
      <c r="L378" s="63" t="s">
        <v>816</v>
      </c>
    </row>
    <row r="379" spans="1:12" ht="185.25">
      <c r="A379" s="62">
        <v>377</v>
      </c>
      <c r="B379" s="95"/>
      <c r="C379" s="93"/>
      <c r="D379" s="58" t="s">
        <v>754</v>
      </c>
      <c r="E379" s="64" t="s">
        <v>46</v>
      </c>
      <c r="F379" s="31" t="s">
        <v>1157</v>
      </c>
      <c r="G379" s="63" t="s">
        <v>1222</v>
      </c>
      <c r="H379" s="63" t="s">
        <v>1159</v>
      </c>
      <c r="I379" s="63" t="s">
        <v>1138</v>
      </c>
      <c r="J379" s="63" t="s">
        <v>819</v>
      </c>
      <c r="K379" s="63" t="s">
        <v>828</v>
      </c>
      <c r="L379" s="63" t="s">
        <v>816</v>
      </c>
    </row>
    <row r="380" spans="1:12" ht="313.5">
      <c r="A380" s="58">
        <v>378</v>
      </c>
      <c r="B380" s="95"/>
      <c r="C380" s="93"/>
      <c r="D380" s="58" t="s">
        <v>755</v>
      </c>
      <c r="E380" s="64" t="s">
        <v>46</v>
      </c>
      <c r="F380" s="31" t="s">
        <v>1158</v>
      </c>
      <c r="G380" s="63" t="s">
        <v>1207</v>
      </c>
      <c r="H380" s="63" t="s">
        <v>1159</v>
      </c>
      <c r="I380" s="63" t="s">
        <v>1152</v>
      </c>
      <c r="J380" s="63" t="s">
        <v>815</v>
      </c>
      <c r="K380" s="63" t="s">
        <v>1140</v>
      </c>
      <c r="L380" s="63" t="s">
        <v>816</v>
      </c>
    </row>
    <row r="381" spans="1:12" ht="313.5">
      <c r="A381" s="62">
        <v>379</v>
      </c>
      <c r="B381" s="95"/>
      <c r="C381" s="93"/>
      <c r="D381" s="58" t="s">
        <v>756</v>
      </c>
      <c r="E381" s="64" t="s">
        <v>46</v>
      </c>
      <c r="F381" s="31" t="s">
        <v>811</v>
      </c>
      <c r="G381" s="63" t="s">
        <v>1160</v>
      </c>
      <c r="H381" s="63" t="s">
        <v>1137</v>
      </c>
      <c r="I381" s="63" t="s">
        <v>1161</v>
      </c>
      <c r="J381" s="63" t="s">
        <v>815</v>
      </c>
      <c r="K381" s="63" t="s">
        <v>1140</v>
      </c>
      <c r="L381" s="63" t="s">
        <v>816</v>
      </c>
    </row>
    <row r="382" spans="1:12" ht="313.5">
      <c r="A382" s="58">
        <v>380</v>
      </c>
      <c r="B382" s="95"/>
      <c r="C382" s="93"/>
      <c r="D382" s="58" t="s">
        <v>757</v>
      </c>
      <c r="E382" s="64" t="s">
        <v>46</v>
      </c>
      <c r="F382" s="31" t="s">
        <v>1153</v>
      </c>
      <c r="G382" s="63" t="s">
        <v>1162</v>
      </c>
      <c r="H382" s="63" t="s">
        <v>1137</v>
      </c>
      <c r="I382" s="63" t="s">
        <v>1152</v>
      </c>
      <c r="J382" s="63" t="s">
        <v>815</v>
      </c>
      <c r="K382" s="63" t="s">
        <v>1140</v>
      </c>
      <c r="L382" s="63" t="s">
        <v>816</v>
      </c>
    </row>
    <row r="383" spans="1:12" ht="313.5">
      <c r="A383" s="62">
        <v>381</v>
      </c>
      <c r="B383" s="95"/>
      <c r="C383" s="93"/>
      <c r="D383" s="58" t="s">
        <v>758</v>
      </c>
      <c r="E383" s="64" t="s">
        <v>46</v>
      </c>
      <c r="F383" s="31" t="s">
        <v>1154</v>
      </c>
      <c r="G383" s="63" t="s">
        <v>1163</v>
      </c>
      <c r="H383" s="63" t="s">
        <v>1137</v>
      </c>
      <c r="I383" s="63" t="s">
        <v>1152</v>
      </c>
      <c r="J383" s="63" t="s">
        <v>815</v>
      </c>
      <c r="K383" s="63" t="s">
        <v>1140</v>
      </c>
      <c r="L383" s="63" t="s">
        <v>816</v>
      </c>
    </row>
    <row r="384" spans="1:12" ht="57">
      <c r="A384" s="58">
        <v>382</v>
      </c>
      <c r="B384" s="95"/>
      <c r="C384" s="93"/>
      <c r="D384" s="96" t="s">
        <v>759</v>
      </c>
      <c r="E384" s="64" t="s">
        <v>46</v>
      </c>
      <c r="F384" s="31" t="s">
        <v>1166</v>
      </c>
      <c r="G384" s="63" t="s">
        <v>1219</v>
      </c>
      <c r="H384" s="63" t="s">
        <v>1219</v>
      </c>
      <c r="I384" s="63" t="s">
        <v>1219</v>
      </c>
      <c r="J384" s="63" t="s">
        <v>1219</v>
      </c>
      <c r="K384" s="63" t="s">
        <v>1219</v>
      </c>
      <c r="L384" s="63" t="s">
        <v>816</v>
      </c>
    </row>
    <row r="385" spans="1:12" ht="409.5">
      <c r="A385" s="62">
        <v>383</v>
      </c>
      <c r="B385" s="95"/>
      <c r="C385" s="93"/>
      <c r="D385" s="97"/>
      <c r="E385" s="64" t="s">
        <v>46</v>
      </c>
      <c r="F385" s="31" t="s">
        <v>1150</v>
      </c>
      <c r="G385" s="63" t="s">
        <v>1164</v>
      </c>
      <c r="H385" s="63" t="s">
        <v>1137</v>
      </c>
      <c r="I385" s="63" t="s">
        <v>1152</v>
      </c>
      <c r="J385" s="63" t="s">
        <v>815</v>
      </c>
      <c r="K385" s="63" t="s">
        <v>1141</v>
      </c>
      <c r="L385" s="63" t="s">
        <v>816</v>
      </c>
    </row>
    <row r="386" spans="1:12" ht="409.5">
      <c r="A386" s="58">
        <v>384</v>
      </c>
      <c r="B386" s="95"/>
      <c r="C386" s="93"/>
      <c r="D386" s="58" t="s">
        <v>760</v>
      </c>
      <c r="E386" s="64" t="s">
        <v>46</v>
      </c>
      <c r="F386" s="31" t="s">
        <v>812</v>
      </c>
      <c r="G386" s="63" t="s">
        <v>1165</v>
      </c>
      <c r="H386" s="63" t="s">
        <v>1137</v>
      </c>
      <c r="I386" s="63" t="s">
        <v>1152</v>
      </c>
      <c r="J386" s="63" t="s">
        <v>815</v>
      </c>
      <c r="K386" s="63" t="s">
        <v>1141</v>
      </c>
      <c r="L386" s="63" t="s">
        <v>816</v>
      </c>
    </row>
    <row r="387" spans="1:12" ht="57">
      <c r="A387" s="62">
        <v>385</v>
      </c>
      <c r="B387" s="95"/>
      <c r="C387" s="93"/>
      <c r="D387" s="58" t="s">
        <v>761</v>
      </c>
      <c r="E387" s="64" t="s">
        <v>46</v>
      </c>
      <c r="F387" s="31" t="s">
        <v>813</v>
      </c>
      <c r="G387" s="63" t="s">
        <v>899</v>
      </c>
      <c r="H387" s="63" t="s">
        <v>900</v>
      </c>
      <c r="I387" s="63" t="s">
        <v>901</v>
      </c>
      <c r="J387" s="63" t="s">
        <v>819</v>
      </c>
      <c r="K387" s="63" t="s">
        <v>828</v>
      </c>
      <c r="L387" s="63" t="s">
        <v>816</v>
      </c>
    </row>
    <row r="388" spans="1:12" ht="71.25">
      <c r="A388" s="58">
        <v>386</v>
      </c>
      <c r="B388" s="95"/>
      <c r="C388" s="93"/>
      <c r="D388" s="58" t="s">
        <v>762</v>
      </c>
      <c r="E388" s="64" t="s">
        <v>46</v>
      </c>
      <c r="F388" s="31" t="s">
        <v>1132</v>
      </c>
      <c r="G388" s="63" t="s">
        <v>1220</v>
      </c>
      <c r="H388" s="63" t="s">
        <v>1220</v>
      </c>
      <c r="I388" s="63" t="s">
        <v>1220</v>
      </c>
      <c r="J388" s="63" t="s">
        <v>1220</v>
      </c>
      <c r="K388" s="63" t="s">
        <v>1220</v>
      </c>
      <c r="L388" s="63" t="s">
        <v>816</v>
      </c>
    </row>
    <row r="389" spans="1:12" ht="409.5">
      <c r="A389" s="62">
        <v>387</v>
      </c>
      <c r="B389" s="95"/>
      <c r="C389" s="94"/>
      <c r="D389" s="58" t="s">
        <v>763</v>
      </c>
      <c r="E389" s="64" t="s">
        <v>46</v>
      </c>
      <c r="F389" s="31" t="s">
        <v>1133</v>
      </c>
      <c r="G389" s="63" t="s">
        <v>1155</v>
      </c>
      <c r="H389" s="63" t="s">
        <v>1137</v>
      </c>
      <c r="I389" s="63" t="s">
        <v>1152</v>
      </c>
      <c r="J389" s="63" t="s">
        <v>815</v>
      </c>
      <c r="K389" s="63" t="s">
        <v>1141</v>
      </c>
      <c r="L389" s="63" t="s">
        <v>816</v>
      </c>
    </row>
    <row r="390" spans="1:12" ht="409.5">
      <c r="A390" s="58">
        <v>388</v>
      </c>
      <c r="B390" s="95"/>
      <c r="C390" s="92" t="s">
        <v>1196</v>
      </c>
      <c r="D390" s="58" t="s">
        <v>753</v>
      </c>
      <c r="E390" s="64" t="s">
        <v>46</v>
      </c>
      <c r="F390" s="31" t="s">
        <v>1167</v>
      </c>
      <c r="G390" s="31" t="s">
        <v>1208</v>
      </c>
      <c r="H390" s="31" t="s">
        <v>1159</v>
      </c>
      <c r="I390" s="31" t="s">
        <v>1151</v>
      </c>
      <c r="J390" s="31" t="s">
        <v>815</v>
      </c>
      <c r="K390" s="31" t="s">
        <v>1258</v>
      </c>
      <c r="L390" s="31" t="s">
        <v>816</v>
      </c>
    </row>
    <row r="391" spans="1:12" ht="409.5">
      <c r="A391" s="62">
        <v>389</v>
      </c>
      <c r="B391" s="95"/>
      <c r="C391" s="93"/>
      <c r="D391" s="58" t="s">
        <v>754</v>
      </c>
      <c r="E391" s="64" t="s">
        <v>46</v>
      </c>
      <c r="F391" s="31" t="s">
        <v>1168</v>
      </c>
      <c r="G391" s="31" t="s">
        <v>1209</v>
      </c>
      <c r="H391" s="31" t="s">
        <v>1159</v>
      </c>
      <c r="I391" s="31" t="s">
        <v>1151</v>
      </c>
      <c r="J391" s="31" t="s">
        <v>815</v>
      </c>
      <c r="K391" s="31" t="s">
        <v>1259</v>
      </c>
      <c r="L391" s="31" t="s">
        <v>816</v>
      </c>
    </row>
    <row r="392" spans="1:12" ht="142.5">
      <c r="A392" s="58">
        <v>390</v>
      </c>
      <c r="B392" s="95"/>
      <c r="C392" s="93"/>
      <c r="D392" s="58" t="s">
        <v>755</v>
      </c>
      <c r="E392" s="64" t="s">
        <v>46</v>
      </c>
      <c r="F392" s="31" t="s">
        <v>1169</v>
      </c>
      <c r="G392" s="31" t="s">
        <v>1210</v>
      </c>
      <c r="H392" s="31" t="s">
        <v>1159</v>
      </c>
      <c r="I392" s="31" t="s">
        <v>1138</v>
      </c>
      <c r="J392" s="31" t="s">
        <v>819</v>
      </c>
      <c r="K392" s="31" t="s">
        <v>828</v>
      </c>
      <c r="L392" s="31" t="s">
        <v>816</v>
      </c>
    </row>
    <row r="393" spans="1:12" ht="409.5">
      <c r="A393" s="62">
        <v>391</v>
      </c>
      <c r="B393" s="95"/>
      <c r="C393" s="93"/>
      <c r="D393" s="58" t="s">
        <v>756</v>
      </c>
      <c r="E393" s="64" t="s">
        <v>46</v>
      </c>
      <c r="F393" s="31" t="s">
        <v>811</v>
      </c>
      <c r="G393" s="31" t="s">
        <v>1211</v>
      </c>
      <c r="H393" s="31" t="s">
        <v>1137</v>
      </c>
      <c r="I393" s="31" t="s">
        <v>1161</v>
      </c>
      <c r="J393" s="31" t="s">
        <v>815</v>
      </c>
      <c r="K393" s="31" t="s">
        <v>1259</v>
      </c>
      <c r="L393" s="31" t="s">
        <v>816</v>
      </c>
    </row>
    <row r="394" spans="1:12" ht="409.5">
      <c r="A394" s="58">
        <v>392</v>
      </c>
      <c r="B394" s="95"/>
      <c r="C394" s="93"/>
      <c r="D394" s="58" t="s">
        <v>757</v>
      </c>
      <c r="E394" s="64" t="s">
        <v>46</v>
      </c>
      <c r="F394" s="31" t="s">
        <v>1153</v>
      </c>
      <c r="G394" s="31" t="s">
        <v>1162</v>
      </c>
      <c r="H394" s="31" t="s">
        <v>1137</v>
      </c>
      <c r="I394" s="31" t="s">
        <v>1152</v>
      </c>
      <c r="J394" s="31" t="s">
        <v>815</v>
      </c>
      <c r="K394" s="31" t="s">
        <v>1259</v>
      </c>
      <c r="L394" s="31" t="s">
        <v>816</v>
      </c>
    </row>
    <row r="395" spans="1:12" ht="409.5">
      <c r="A395" s="62">
        <v>393</v>
      </c>
      <c r="B395" s="95"/>
      <c r="C395" s="93"/>
      <c r="D395" s="58" t="s">
        <v>758</v>
      </c>
      <c r="E395" s="64" t="s">
        <v>46</v>
      </c>
      <c r="F395" s="31" t="s">
        <v>1154</v>
      </c>
      <c r="G395" s="31" t="s">
        <v>1163</v>
      </c>
      <c r="H395" s="31" t="s">
        <v>1137</v>
      </c>
      <c r="I395" s="31" t="s">
        <v>1152</v>
      </c>
      <c r="J395" s="31" t="s">
        <v>815</v>
      </c>
      <c r="K395" s="31" t="s">
        <v>1259</v>
      </c>
      <c r="L395" s="31" t="s">
        <v>816</v>
      </c>
    </row>
    <row r="396" spans="1:12" ht="57">
      <c r="A396" s="58">
        <v>394</v>
      </c>
      <c r="B396" s="95"/>
      <c r="C396" s="93"/>
      <c r="D396" s="96" t="s">
        <v>759</v>
      </c>
      <c r="E396" s="64" t="s">
        <v>46</v>
      </c>
      <c r="F396" s="31" t="s">
        <v>1166</v>
      </c>
      <c r="G396" s="31" t="s">
        <v>1219</v>
      </c>
      <c r="H396" s="31" t="s">
        <v>1219</v>
      </c>
      <c r="I396" s="31" t="s">
        <v>1219</v>
      </c>
      <c r="J396" s="31" t="s">
        <v>1219</v>
      </c>
      <c r="K396" s="31" t="s">
        <v>1219</v>
      </c>
      <c r="L396" s="31" t="s">
        <v>816</v>
      </c>
    </row>
    <row r="397" spans="1:12" ht="409.5">
      <c r="A397" s="62">
        <v>395</v>
      </c>
      <c r="B397" s="95"/>
      <c r="C397" s="93"/>
      <c r="D397" s="97"/>
      <c r="E397" s="64" t="s">
        <v>46</v>
      </c>
      <c r="F397" s="31" t="s">
        <v>1150</v>
      </c>
      <c r="G397" s="31" t="s">
        <v>1164</v>
      </c>
      <c r="H397" s="31" t="s">
        <v>1137</v>
      </c>
      <c r="I397" s="31" t="s">
        <v>1152</v>
      </c>
      <c r="J397" s="31" t="s">
        <v>815</v>
      </c>
      <c r="K397" s="31" t="s">
        <v>1260</v>
      </c>
      <c r="L397" s="31" t="s">
        <v>816</v>
      </c>
    </row>
    <row r="398" spans="1:12" ht="409.5">
      <c r="A398" s="58">
        <v>396</v>
      </c>
      <c r="B398" s="95"/>
      <c r="C398" s="93"/>
      <c r="D398" s="58" t="s">
        <v>760</v>
      </c>
      <c r="E398" s="64" t="s">
        <v>46</v>
      </c>
      <c r="F398" s="31" t="s">
        <v>812</v>
      </c>
      <c r="G398" s="31" t="s">
        <v>1165</v>
      </c>
      <c r="H398" s="31" t="s">
        <v>1137</v>
      </c>
      <c r="I398" s="31" t="s">
        <v>1152</v>
      </c>
      <c r="J398" s="31" t="s">
        <v>815</v>
      </c>
      <c r="K398" s="31" t="s">
        <v>1260</v>
      </c>
      <c r="L398" s="31" t="s">
        <v>816</v>
      </c>
    </row>
    <row r="399" spans="1:12" ht="57">
      <c r="A399" s="62">
        <v>397</v>
      </c>
      <c r="B399" s="95"/>
      <c r="C399" s="93"/>
      <c r="D399" s="58" t="s">
        <v>761</v>
      </c>
      <c r="E399" s="64" t="s">
        <v>46</v>
      </c>
      <c r="F399" s="31" t="s">
        <v>813</v>
      </c>
      <c r="G399" s="63" t="s">
        <v>899</v>
      </c>
      <c r="H399" s="31" t="s">
        <v>900</v>
      </c>
      <c r="I399" s="31" t="s">
        <v>901</v>
      </c>
      <c r="J399" s="31" t="s">
        <v>819</v>
      </c>
      <c r="K399" s="31" t="s">
        <v>828</v>
      </c>
      <c r="L399" s="31" t="s">
        <v>816</v>
      </c>
    </row>
    <row r="400" spans="1:12" ht="71.25">
      <c r="A400" s="58">
        <v>398</v>
      </c>
      <c r="B400" s="95"/>
      <c r="C400" s="93"/>
      <c r="D400" s="58" t="s">
        <v>762</v>
      </c>
      <c r="E400" s="64" t="s">
        <v>46</v>
      </c>
      <c r="F400" s="31" t="s">
        <v>1132</v>
      </c>
      <c r="G400" s="31" t="s">
        <v>1220</v>
      </c>
      <c r="H400" s="31" t="s">
        <v>1220</v>
      </c>
      <c r="I400" s="31" t="s">
        <v>1220</v>
      </c>
      <c r="J400" s="31" t="s">
        <v>1220</v>
      </c>
      <c r="K400" s="31" t="s">
        <v>1220</v>
      </c>
      <c r="L400" s="31" t="s">
        <v>816</v>
      </c>
    </row>
    <row r="401" spans="1:12" ht="409.5">
      <c r="A401" s="62">
        <v>399</v>
      </c>
      <c r="B401" s="95"/>
      <c r="C401" s="94"/>
      <c r="D401" s="58" t="s">
        <v>763</v>
      </c>
      <c r="E401" s="64" t="s">
        <v>46</v>
      </c>
      <c r="F401" s="31" t="s">
        <v>1133</v>
      </c>
      <c r="G401" s="31" t="s">
        <v>1155</v>
      </c>
      <c r="H401" s="31" t="s">
        <v>1137</v>
      </c>
      <c r="I401" s="31" t="s">
        <v>1152</v>
      </c>
      <c r="J401" s="31" t="s">
        <v>815</v>
      </c>
      <c r="K401" s="31" t="s">
        <v>1260</v>
      </c>
      <c r="L401" s="31" t="s">
        <v>816</v>
      </c>
    </row>
    <row r="402" spans="1:12" ht="199.5">
      <c r="A402" s="58">
        <v>400</v>
      </c>
      <c r="B402" s="95"/>
      <c r="C402" s="92" t="s">
        <v>1197</v>
      </c>
      <c r="D402" s="58" t="s">
        <v>753</v>
      </c>
      <c r="E402" s="64" t="s">
        <v>46</v>
      </c>
      <c r="F402" s="31" t="s">
        <v>1170</v>
      </c>
      <c r="G402" s="31" t="s">
        <v>1215</v>
      </c>
      <c r="H402" s="31" t="s">
        <v>1159</v>
      </c>
      <c r="I402" s="31" t="s">
        <v>1151</v>
      </c>
      <c r="J402" s="31" t="s">
        <v>815</v>
      </c>
      <c r="K402" s="31" t="s">
        <v>1250</v>
      </c>
      <c r="L402" s="31" t="s">
        <v>816</v>
      </c>
    </row>
    <row r="403" spans="1:12" ht="156.75">
      <c r="A403" s="62">
        <v>401</v>
      </c>
      <c r="B403" s="95"/>
      <c r="C403" s="93"/>
      <c r="D403" s="58" t="s">
        <v>754</v>
      </c>
      <c r="E403" s="64" t="s">
        <v>46</v>
      </c>
      <c r="F403" s="31" t="s">
        <v>1175</v>
      </c>
      <c r="G403" s="31" t="s">
        <v>1223</v>
      </c>
      <c r="H403" s="31" t="s">
        <v>1159</v>
      </c>
      <c r="I403" s="31" t="s">
        <v>1138</v>
      </c>
      <c r="J403" s="31" t="s">
        <v>819</v>
      </c>
      <c r="K403" s="31" t="s">
        <v>828</v>
      </c>
      <c r="L403" s="31" t="s">
        <v>816</v>
      </c>
    </row>
    <row r="404" spans="1:12" ht="299.25">
      <c r="A404" s="58">
        <v>402</v>
      </c>
      <c r="B404" s="95"/>
      <c r="C404" s="93"/>
      <c r="D404" s="58" t="s">
        <v>755</v>
      </c>
      <c r="E404" s="64" t="s">
        <v>46</v>
      </c>
      <c r="F404" s="31" t="s">
        <v>1171</v>
      </c>
      <c r="G404" s="31" t="s">
        <v>1212</v>
      </c>
      <c r="H404" s="31" t="s">
        <v>1159</v>
      </c>
      <c r="I404" s="31" t="s">
        <v>1152</v>
      </c>
      <c r="J404" s="31" t="s">
        <v>815</v>
      </c>
      <c r="K404" s="31" t="s">
        <v>1251</v>
      </c>
      <c r="L404" s="31" t="s">
        <v>816</v>
      </c>
    </row>
    <row r="405" spans="1:12" ht="299.25">
      <c r="A405" s="62">
        <v>403</v>
      </c>
      <c r="B405" s="95"/>
      <c r="C405" s="93"/>
      <c r="D405" s="58" t="s">
        <v>756</v>
      </c>
      <c r="E405" s="64" t="s">
        <v>46</v>
      </c>
      <c r="F405" s="31" t="s">
        <v>811</v>
      </c>
      <c r="G405" s="31" t="s">
        <v>1213</v>
      </c>
      <c r="H405" s="31" t="s">
        <v>1137</v>
      </c>
      <c r="I405" s="31" t="s">
        <v>1161</v>
      </c>
      <c r="J405" s="31" t="s">
        <v>815</v>
      </c>
      <c r="K405" s="31" t="s">
        <v>1251</v>
      </c>
      <c r="L405" s="31" t="s">
        <v>816</v>
      </c>
    </row>
    <row r="406" spans="1:12" ht="299.25">
      <c r="A406" s="58">
        <v>404</v>
      </c>
      <c r="B406" s="95"/>
      <c r="C406" s="93"/>
      <c r="D406" s="58" t="s">
        <v>757</v>
      </c>
      <c r="E406" s="64" t="s">
        <v>46</v>
      </c>
      <c r="F406" s="31" t="s">
        <v>1153</v>
      </c>
      <c r="G406" s="31" t="s">
        <v>1162</v>
      </c>
      <c r="H406" s="31" t="s">
        <v>1137</v>
      </c>
      <c r="I406" s="31" t="s">
        <v>1152</v>
      </c>
      <c r="J406" s="31" t="s">
        <v>815</v>
      </c>
      <c r="K406" s="31" t="s">
        <v>1251</v>
      </c>
      <c r="L406" s="31" t="s">
        <v>816</v>
      </c>
    </row>
    <row r="407" spans="1:12" ht="299.25">
      <c r="A407" s="62">
        <v>405</v>
      </c>
      <c r="B407" s="95"/>
      <c r="C407" s="93"/>
      <c r="D407" s="58" t="s">
        <v>758</v>
      </c>
      <c r="E407" s="64" t="s">
        <v>46</v>
      </c>
      <c r="F407" s="31" t="s">
        <v>1154</v>
      </c>
      <c r="G407" s="31" t="s">
        <v>1163</v>
      </c>
      <c r="H407" s="31" t="s">
        <v>1137</v>
      </c>
      <c r="I407" s="31" t="s">
        <v>1152</v>
      </c>
      <c r="J407" s="31" t="s">
        <v>815</v>
      </c>
      <c r="K407" s="31" t="s">
        <v>1251</v>
      </c>
      <c r="L407" s="31" t="s">
        <v>816</v>
      </c>
    </row>
    <row r="408" spans="1:12" ht="57">
      <c r="A408" s="58">
        <v>406</v>
      </c>
      <c r="B408" s="95"/>
      <c r="C408" s="93"/>
      <c r="D408" s="96" t="s">
        <v>759</v>
      </c>
      <c r="E408" s="64" t="s">
        <v>46</v>
      </c>
      <c r="F408" s="31" t="s">
        <v>1166</v>
      </c>
      <c r="G408" s="31" t="s">
        <v>1219</v>
      </c>
      <c r="H408" s="31" t="s">
        <v>1219</v>
      </c>
      <c r="I408" s="31" t="s">
        <v>1219</v>
      </c>
      <c r="J408" s="31" t="s">
        <v>1219</v>
      </c>
      <c r="K408" s="31" t="s">
        <v>1219</v>
      </c>
      <c r="L408" s="31" t="s">
        <v>816</v>
      </c>
    </row>
    <row r="409" spans="1:12" ht="409.5">
      <c r="A409" s="62">
        <v>407</v>
      </c>
      <c r="B409" s="95"/>
      <c r="C409" s="93"/>
      <c r="D409" s="97"/>
      <c r="E409" s="64" t="s">
        <v>46</v>
      </c>
      <c r="F409" s="31" t="s">
        <v>1150</v>
      </c>
      <c r="G409" s="31" t="s">
        <v>1164</v>
      </c>
      <c r="H409" s="31" t="s">
        <v>1137</v>
      </c>
      <c r="I409" s="31" t="s">
        <v>1152</v>
      </c>
      <c r="J409" s="31" t="s">
        <v>815</v>
      </c>
      <c r="K409" s="31" t="s">
        <v>1252</v>
      </c>
      <c r="L409" s="31" t="s">
        <v>816</v>
      </c>
    </row>
    <row r="410" spans="1:12" ht="409.5">
      <c r="A410" s="58">
        <v>408</v>
      </c>
      <c r="B410" s="95"/>
      <c r="C410" s="93"/>
      <c r="D410" s="58" t="s">
        <v>760</v>
      </c>
      <c r="E410" s="64" t="s">
        <v>46</v>
      </c>
      <c r="F410" s="31" t="s">
        <v>812</v>
      </c>
      <c r="G410" s="31" t="s">
        <v>1165</v>
      </c>
      <c r="H410" s="31" t="s">
        <v>1137</v>
      </c>
      <c r="I410" s="31" t="s">
        <v>1152</v>
      </c>
      <c r="J410" s="31" t="s">
        <v>815</v>
      </c>
      <c r="K410" s="31" t="s">
        <v>1252</v>
      </c>
      <c r="L410" s="31" t="s">
        <v>816</v>
      </c>
    </row>
    <row r="411" spans="1:12" ht="57">
      <c r="A411" s="62">
        <v>409</v>
      </c>
      <c r="B411" s="95"/>
      <c r="C411" s="93"/>
      <c r="D411" s="58" t="s">
        <v>761</v>
      </c>
      <c r="E411" s="64" t="s">
        <v>46</v>
      </c>
      <c r="F411" s="31" t="s">
        <v>813</v>
      </c>
      <c r="G411" s="63" t="s">
        <v>899</v>
      </c>
      <c r="H411" s="31" t="s">
        <v>900</v>
      </c>
      <c r="I411" s="31" t="s">
        <v>901</v>
      </c>
      <c r="J411" s="31" t="s">
        <v>819</v>
      </c>
      <c r="K411" s="31" t="s">
        <v>828</v>
      </c>
      <c r="L411" s="31" t="s">
        <v>816</v>
      </c>
    </row>
    <row r="412" spans="1:12" ht="71.25">
      <c r="A412" s="58">
        <v>410</v>
      </c>
      <c r="B412" s="95"/>
      <c r="C412" s="93"/>
      <c r="D412" s="58" t="s">
        <v>762</v>
      </c>
      <c r="E412" s="64" t="s">
        <v>46</v>
      </c>
      <c r="F412" s="31" t="s">
        <v>1132</v>
      </c>
      <c r="G412" s="31" t="s">
        <v>1220</v>
      </c>
      <c r="H412" s="31" t="s">
        <v>1220</v>
      </c>
      <c r="I412" s="31" t="s">
        <v>1220</v>
      </c>
      <c r="J412" s="31" t="s">
        <v>1220</v>
      </c>
      <c r="K412" s="31" t="s">
        <v>1220</v>
      </c>
      <c r="L412" s="31" t="s">
        <v>816</v>
      </c>
    </row>
    <row r="413" spans="1:12" ht="409.5">
      <c r="A413" s="62">
        <v>411</v>
      </c>
      <c r="B413" s="95"/>
      <c r="C413" s="94"/>
      <c r="D413" s="58" t="s">
        <v>763</v>
      </c>
      <c r="E413" s="64" t="s">
        <v>46</v>
      </c>
      <c r="F413" s="31" t="s">
        <v>1133</v>
      </c>
      <c r="G413" s="31" t="s">
        <v>1155</v>
      </c>
      <c r="H413" s="31" t="s">
        <v>1137</v>
      </c>
      <c r="I413" s="31" t="s">
        <v>1152</v>
      </c>
      <c r="J413" s="31" t="s">
        <v>815</v>
      </c>
      <c r="K413" s="31" t="s">
        <v>1252</v>
      </c>
      <c r="L413" s="31" t="s">
        <v>816</v>
      </c>
    </row>
    <row r="414" spans="1:12" ht="171">
      <c r="A414" s="58">
        <v>412</v>
      </c>
      <c r="B414" s="95"/>
      <c r="C414" s="92" t="s">
        <v>1198</v>
      </c>
      <c r="D414" s="58" t="s">
        <v>753</v>
      </c>
      <c r="E414" s="64" t="s">
        <v>46</v>
      </c>
      <c r="F414" s="31" t="s">
        <v>1172</v>
      </c>
      <c r="G414" s="31" t="s">
        <v>1214</v>
      </c>
      <c r="H414" s="31" t="s">
        <v>1159</v>
      </c>
      <c r="I414" s="31" t="s">
        <v>1151</v>
      </c>
      <c r="J414" s="31" t="s">
        <v>815</v>
      </c>
      <c r="K414" s="31" t="s">
        <v>1216</v>
      </c>
      <c r="L414" s="31" t="s">
        <v>816</v>
      </c>
    </row>
    <row r="415" spans="1:12" ht="142.5">
      <c r="A415" s="62">
        <v>413</v>
      </c>
      <c r="B415" s="95"/>
      <c r="C415" s="93"/>
      <c r="D415" s="58" t="s">
        <v>754</v>
      </c>
      <c r="E415" s="64" t="s">
        <v>46</v>
      </c>
      <c r="F415" s="31" t="s">
        <v>1173</v>
      </c>
      <c r="G415" s="31" t="s">
        <v>1225</v>
      </c>
      <c r="H415" s="31" t="s">
        <v>1159</v>
      </c>
      <c r="I415" s="31" t="s">
        <v>1138</v>
      </c>
      <c r="J415" s="31" t="s">
        <v>819</v>
      </c>
      <c r="K415" s="31" t="s">
        <v>828</v>
      </c>
      <c r="L415" s="31" t="s">
        <v>816</v>
      </c>
    </row>
    <row r="416" spans="1:12" ht="270.75">
      <c r="A416" s="58">
        <v>414</v>
      </c>
      <c r="B416" s="95"/>
      <c r="C416" s="93"/>
      <c r="D416" s="58" t="s">
        <v>755</v>
      </c>
      <c r="E416" s="64" t="s">
        <v>46</v>
      </c>
      <c r="F416" s="31" t="s">
        <v>1174</v>
      </c>
      <c r="G416" s="31" t="s">
        <v>1226</v>
      </c>
      <c r="H416" s="31" t="s">
        <v>1159</v>
      </c>
      <c r="I416" s="31" t="s">
        <v>1152</v>
      </c>
      <c r="J416" s="31" t="s">
        <v>815</v>
      </c>
      <c r="K416" s="31" t="s">
        <v>1217</v>
      </c>
      <c r="L416" s="31" t="s">
        <v>816</v>
      </c>
    </row>
    <row r="417" spans="1:12" ht="270.75">
      <c r="A417" s="62">
        <v>415</v>
      </c>
      <c r="B417" s="95"/>
      <c r="C417" s="93"/>
      <c r="D417" s="58" t="s">
        <v>756</v>
      </c>
      <c r="E417" s="64" t="s">
        <v>46</v>
      </c>
      <c r="F417" s="31" t="s">
        <v>811</v>
      </c>
      <c r="G417" s="31" t="s">
        <v>1218</v>
      </c>
      <c r="H417" s="31" t="s">
        <v>1137</v>
      </c>
      <c r="I417" s="31" t="s">
        <v>1161</v>
      </c>
      <c r="J417" s="31" t="s">
        <v>815</v>
      </c>
      <c r="K417" s="31" t="s">
        <v>1217</v>
      </c>
      <c r="L417" s="31" t="s">
        <v>816</v>
      </c>
    </row>
    <row r="418" spans="1:12" ht="270.75">
      <c r="A418" s="58">
        <v>416</v>
      </c>
      <c r="B418" s="95"/>
      <c r="C418" s="93"/>
      <c r="D418" s="58" t="s">
        <v>757</v>
      </c>
      <c r="E418" s="64" t="s">
        <v>46</v>
      </c>
      <c r="F418" s="31" t="s">
        <v>1153</v>
      </c>
      <c r="G418" s="31" t="s">
        <v>1162</v>
      </c>
      <c r="H418" s="31" t="s">
        <v>1137</v>
      </c>
      <c r="I418" s="31" t="s">
        <v>1152</v>
      </c>
      <c r="J418" s="31" t="s">
        <v>815</v>
      </c>
      <c r="K418" s="31" t="s">
        <v>1217</v>
      </c>
      <c r="L418" s="31" t="s">
        <v>816</v>
      </c>
    </row>
    <row r="419" spans="1:12" ht="270.75">
      <c r="A419" s="62">
        <v>417</v>
      </c>
      <c r="B419" s="95"/>
      <c r="C419" s="93"/>
      <c r="D419" s="58" t="s">
        <v>758</v>
      </c>
      <c r="E419" s="64" t="s">
        <v>46</v>
      </c>
      <c r="F419" s="31" t="s">
        <v>1154</v>
      </c>
      <c r="G419" s="31" t="s">
        <v>1163</v>
      </c>
      <c r="H419" s="31" t="s">
        <v>1137</v>
      </c>
      <c r="I419" s="31" t="s">
        <v>1152</v>
      </c>
      <c r="J419" s="31" t="s">
        <v>815</v>
      </c>
      <c r="K419" s="31" t="s">
        <v>1217</v>
      </c>
      <c r="L419" s="31" t="s">
        <v>816</v>
      </c>
    </row>
    <row r="420" spans="1:12" ht="57">
      <c r="A420" s="58">
        <v>418</v>
      </c>
      <c r="B420" s="95"/>
      <c r="C420" s="93"/>
      <c r="D420" s="96" t="s">
        <v>759</v>
      </c>
      <c r="E420" s="64" t="s">
        <v>46</v>
      </c>
      <c r="F420" s="31" t="s">
        <v>1166</v>
      </c>
      <c r="G420" s="31" t="s">
        <v>1219</v>
      </c>
      <c r="H420" s="31" t="s">
        <v>1219</v>
      </c>
      <c r="I420" s="31" t="s">
        <v>1219</v>
      </c>
      <c r="J420" s="31" t="s">
        <v>1219</v>
      </c>
      <c r="K420" s="31" t="s">
        <v>1219</v>
      </c>
      <c r="L420" s="31" t="s">
        <v>816</v>
      </c>
    </row>
    <row r="421" spans="1:12" ht="409.5">
      <c r="A421" s="62">
        <v>419</v>
      </c>
      <c r="B421" s="95"/>
      <c r="C421" s="93"/>
      <c r="D421" s="97"/>
      <c r="E421" s="64" t="s">
        <v>46</v>
      </c>
      <c r="F421" s="31" t="s">
        <v>1150</v>
      </c>
      <c r="G421" s="31" t="s">
        <v>1164</v>
      </c>
      <c r="H421" s="31" t="s">
        <v>1137</v>
      </c>
      <c r="I421" s="31" t="s">
        <v>1152</v>
      </c>
      <c r="J421" s="31" t="s">
        <v>815</v>
      </c>
      <c r="K421" s="31" t="s">
        <v>1224</v>
      </c>
      <c r="L421" s="31" t="s">
        <v>816</v>
      </c>
    </row>
    <row r="422" spans="1:12" ht="409.5">
      <c r="A422" s="58">
        <v>420</v>
      </c>
      <c r="B422" s="95"/>
      <c r="C422" s="93"/>
      <c r="D422" s="58" t="s">
        <v>760</v>
      </c>
      <c r="E422" s="64" t="s">
        <v>46</v>
      </c>
      <c r="F422" s="31" t="s">
        <v>812</v>
      </c>
      <c r="G422" s="31" t="s">
        <v>1165</v>
      </c>
      <c r="H422" s="31" t="s">
        <v>1137</v>
      </c>
      <c r="I422" s="31" t="s">
        <v>1152</v>
      </c>
      <c r="J422" s="31" t="s">
        <v>815</v>
      </c>
      <c r="K422" s="31" t="s">
        <v>1224</v>
      </c>
      <c r="L422" s="31" t="s">
        <v>816</v>
      </c>
    </row>
    <row r="423" spans="1:12" ht="57">
      <c r="A423" s="62">
        <v>421</v>
      </c>
      <c r="B423" s="95"/>
      <c r="C423" s="93"/>
      <c r="D423" s="58" t="s">
        <v>761</v>
      </c>
      <c r="E423" s="64" t="s">
        <v>46</v>
      </c>
      <c r="F423" s="31" t="s">
        <v>813</v>
      </c>
      <c r="G423" s="63" t="s">
        <v>899</v>
      </c>
      <c r="H423" s="31" t="s">
        <v>900</v>
      </c>
      <c r="I423" s="31" t="s">
        <v>901</v>
      </c>
      <c r="J423" s="31" t="s">
        <v>819</v>
      </c>
      <c r="K423" s="31" t="s">
        <v>828</v>
      </c>
      <c r="L423" s="31" t="s">
        <v>816</v>
      </c>
    </row>
    <row r="424" spans="1:12" ht="71.25">
      <c r="A424" s="58">
        <v>422</v>
      </c>
      <c r="B424" s="95"/>
      <c r="C424" s="93"/>
      <c r="D424" s="58" t="s">
        <v>762</v>
      </c>
      <c r="E424" s="64" t="s">
        <v>46</v>
      </c>
      <c r="F424" s="31" t="s">
        <v>1132</v>
      </c>
      <c r="G424" s="31" t="s">
        <v>1220</v>
      </c>
      <c r="H424" s="31" t="s">
        <v>1220</v>
      </c>
      <c r="I424" s="31" t="s">
        <v>1220</v>
      </c>
      <c r="J424" s="31" t="s">
        <v>1220</v>
      </c>
      <c r="K424" s="31" t="s">
        <v>1220</v>
      </c>
      <c r="L424" s="31" t="s">
        <v>816</v>
      </c>
    </row>
    <row r="425" spans="1:12" ht="409.5">
      <c r="A425" s="62">
        <v>423</v>
      </c>
      <c r="B425" s="95"/>
      <c r="C425" s="94"/>
      <c r="D425" s="58" t="s">
        <v>763</v>
      </c>
      <c r="E425" s="64" t="s">
        <v>46</v>
      </c>
      <c r="F425" s="31" t="s">
        <v>1133</v>
      </c>
      <c r="G425" s="31" t="s">
        <v>1155</v>
      </c>
      <c r="H425" s="31" t="s">
        <v>1137</v>
      </c>
      <c r="I425" s="31" t="s">
        <v>1152</v>
      </c>
      <c r="J425" s="31" t="s">
        <v>815</v>
      </c>
      <c r="K425" s="31" t="s">
        <v>1224</v>
      </c>
      <c r="L425" s="31" t="s">
        <v>816</v>
      </c>
    </row>
    <row r="426" spans="1:12" ht="171">
      <c r="A426" s="58">
        <v>424</v>
      </c>
      <c r="B426" s="95"/>
      <c r="C426" s="92" t="s">
        <v>1199</v>
      </c>
      <c r="D426" s="58" t="s">
        <v>753</v>
      </c>
      <c r="E426" s="64" t="s">
        <v>46</v>
      </c>
      <c r="F426" s="31" t="s">
        <v>1176</v>
      </c>
      <c r="G426" s="31" t="s">
        <v>1214</v>
      </c>
      <c r="H426" s="31" t="s">
        <v>1159</v>
      </c>
      <c r="I426" s="31" t="s">
        <v>1151</v>
      </c>
      <c r="J426" s="31" t="s">
        <v>815</v>
      </c>
      <c r="K426" s="31" t="s">
        <v>1216</v>
      </c>
      <c r="L426" s="31" t="s">
        <v>816</v>
      </c>
    </row>
    <row r="427" spans="1:12" ht="270.75">
      <c r="A427" s="62">
        <v>425</v>
      </c>
      <c r="B427" s="95"/>
      <c r="C427" s="93"/>
      <c r="D427" s="58" t="s">
        <v>754</v>
      </c>
      <c r="E427" s="64" t="s">
        <v>46</v>
      </c>
      <c r="F427" s="31" t="s">
        <v>1177</v>
      </c>
      <c r="G427" s="31" t="s">
        <v>1227</v>
      </c>
      <c r="H427" s="31" t="s">
        <v>1159</v>
      </c>
      <c r="I427" s="31" t="s">
        <v>1152</v>
      </c>
      <c r="J427" s="31" t="s">
        <v>815</v>
      </c>
      <c r="K427" s="31" t="s">
        <v>1217</v>
      </c>
      <c r="L427" s="31" t="s">
        <v>816</v>
      </c>
    </row>
    <row r="428" spans="1:12" ht="142.5">
      <c r="A428" s="58">
        <v>426</v>
      </c>
      <c r="B428" s="95"/>
      <c r="C428" s="93"/>
      <c r="D428" s="58" t="s">
        <v>755</v>
      </c>
      <c r="E428" s="64" t="s">
        <v>46</v>
      </c>
      <c r="F428" s="31" t="s">
        <v>1178</v>
      </c>
      <c r="G428" s="31" t="s">
        <v>1228</v>
      </c>
      <c r="H428" s="31" t="s">
        <v>1159</v>
      </c>
      <c r="I428" s="31" t="s">
        <v>1138</v>
      </c>
      <c r="J428" s="31" t="s">
        <v>819</v>
      </c>
      <c r="K428" s="31" t="s">
        <v>828</v>
      </c>
      <c r="L428" s="31" t="s">
        <v>816</v>
      </c>
    </row>
    <row r="429" spans="1:12" ht="270.75">
      <c r="A429" s="62">
        <v>427</v>
      </c>
      <c r="B429" s="95"/>
      <c r="C429" s="93"/>
      <c r="D429" s="58" t="s">
        <v>756</v>
      </c>
      <c r="E429" s="64" t="s">
        <v>46</v>
      </c>
      <c r="F429" s="31" t="s">
        <v>811</v>
      </c>
      <c r="G429" s="31" t="s">
        <v>1218</v>
      </c>
      <c r="H429" s="31" t="s">
        <v>1137</v>
      </c>
      <c r="I429" s="31" t="s">
        <v>1161</v>
      </c>
      <c r="J429" s="31" t="s">
        <v>815</v>
      </c>
      <c r="K429" s="31" t="s">
        <v>1217</v>
      </c>
      <c r="L429" s="31" t="s">
        <v>816</v>
      </c>
    </row>
    <row r="430" spans="1:12" ht="270.75">
      <c r="A430" s="58">
        <v>428</v>
      </c>
      <c r="B430" s="95"/>
      <c r="C430" s="93"/>
      <c r="D430" s="58" t="s">
        <v>757</v>
      </c>
      <c r="E430" s="64" t="s">
        <v>46</v>
      </c>
      <c r="F430" s="31" t="s">
        <v>1153</v>
      </c>
      <c r="G430" s="31" t="s">
        <v>1162</v>
      </c>
      <c r="H430" s="31" t="s">
        <v>1137</v>
      </c>
      <c r="I430" s="31" t="s">
        <v>1152</v>
      </c>
      <c r="J430" s="31" t="s">
        <v>815</v>
      </c>
      <c r="K430" s="31" t="s">
        <v>1217</v>
      </c>
      <c r="L430" s="31" t="s">
        <v>816</v>
      </c>
    </row>
    <row r="431" spans="1:12" ht="270.75">
      <c r="A431" s="62">
        <v>429</v>
      </c>
      <c r="B431" s="95"/>
      <c r="C431" s="93"/>
      <c r="D431" s="58" t="s">
        <v>758</v>
      </c>
      <c r="E431" s="64" t="s">
        <v>46</v>
      </c>
      <c r="F431" s="31" t="s">
        <v>1154</v>
      </c>
      <c r="G431" s="31" t="s">
        <v>1163</v>
      </c>
      <c r="H431" s="31" t="s">
        <v>1137</v>
      </c>
      <c r="I431" s="31" t="s">
        <v>1152</v>
      </c>
      <c r="J431" s="31" t="s">
        <v>815</v>
      </c>
      <c r="K431" s="31" t="s">
        <v>1217</v>
      </c>
      <c r="L431" s="31" t="s">
        <v>816</v>
      </c>
    </row>
    <row r="432" spans="1:12" ht="57">
      <c r="A432" s="58">
        <v>430</v>
      </c>
      <c r="B432" s="95"/>
      <c r="C432" s="93"/>
      <c r="D432" s="96" t="s">
        <v>759</v>
      </c>
      <c r="E432" s="64" t="s">
        <v>46</v>
      </c>
      <c r="F432" s="31" t="s">
        <v>1166</v>
      </c>
      <c r="G432" s="31" t="s">
        <v>1219</v>
      </c>
      <c r="H432" s="31" t="s">
        <v>1219</v>
      </c>
      <c r="I432" s="31" t="s">
        <v>1219</v>
      </c>
      <c r="J432" s="31" t="s">
        <v>1219</v>
      </c>
      <c r="K432" s="31" t="s">
        <v>1219</v>
      </c>
      <c r="L432" s="31" t="s">
        <v>816</v>
      </c>
    </row>
    <row r="433" spans="1:12" ht="409.5">
      <c r="A433" s="62">
        <v>431</v>
      </c>
      <c r="B433" s="95"/>
      <c r="C433" s="93"/>
      <c r="D433" s="97"/>
      <c r="E433" s="64" t="s">
        <v>46</v>
      </c>
      <c r="F433" s="31" t="s">
        <v>1150</v>
      </c>
      <c r="G433" s="31" t="s">
        <v>1164</v>
      </c>
      <c r="H433" s="31" t="s">
        <v>1137</v>
      </c>
      <c r="I433" s="31" t="s">
        <v>1152</v>
      </c>
      <c r="J433" s="31" t="s">
        <v>815</v>
      </c>
      <c r="K433" s="31" t="s">
        <v>1224</v>
      </c>
      <c r="L433" s="31" t="s">
        <v>816</v>
      </c>
    </row>
    <row r="434" spans="1:12" ht="409.5">
      <c r="A434" s="58">
        <v>432</v>
      </c>
      <c r="B434" s="95"/>
      <c r="C434" s="93"/>
      <c r="D434" s="58" t="s">
        <v>760</v>
      </c>
      <c r="E434" s="64" t="s">
        <v>46</v>
      </c>
      <c r="F434" s="31" t="s">
        <v>812</v>
      </c>
      <c r="G434" s="31" t="s">
        <v>1165</v>
      </c>
      <c r="H434" s="31" t="s">
        <v>1137</v>
      </c>
      <c r="I434" s="31" t="s">
        <v>1152</v>
      </c>
      <c r="J434" s="31" t="s">
        <v>815</v>
      </c>
      <c r="K434" s="31" t="s">
        <v>1224</v>
      </c>
      <c r="L434" s="31" t="s">
        <v>816</v>
      </c>
    </row>
    <row r="435" spans="1:12" ht="57">
      <c r="A435" s="62">
        <v>433</v>
      </c>
      <c r="B435" s="95"/>
      <c r="C435" s="93"/>
      <c r="D435" s="58" t="s">
        <v>761</v>
      </c>
      <c r="E435" s="64" t="s">
        <v>46</v>
      </c>
      <c r="F435" s="31" t="s">
        <v>813</v>
      </c>
      <c r="G435" s="63" t="s">
        <v>899</v>
      </c>
      <c r="H435" s="31" t="s">
        <v>900</v>
      </c>
      <c r="I435" s="31" t="s">
        <v>901</v>
      </c>
      <c r="J435" s="31" t="s">
        <v>819</v>
      </c>
      <c r="K435" s="31" t="s">
        <v>828</v>
      </c>
      <c r="L435" s="31" t="s">
        <v>816</v>
      </c>
    </row>
    <row r="436" spans="1:12" ht="71.25">
      <c r="A436" s="58">
        <v>434</v>
      </c>
      <c r="B436" s="95"/>
      <c r="C436" s="93"/>
      <c r="D436" s="58" t="s">
        <v>762</v>
      </c>
      <c r="E436" s="64" t="s">
        <v>46</v>
      </c>
      <c r="F436" s="31" t="s">
        <v>1132</v>
      </c>
      <c r="G436" s="31" t="s">
        <v>1220</v>
      </c>
      <c r="H436" s="31" t="s">
        <v>1220</v>
      </c>
      <c r="I436" s="31" t="s">
        <v>1220</v>
      </c>
      <c r="J436" s="31" t="s">
        <v>1220</v>
      </c>
      <c r="K436" s="31" t="s">
        <v>1220</v>
      </c>
      <c r="L436" s="31" t="s">
        <v>816</v>
      </c>
    </row>
    <row r="437" spans="1:12" ht="409.5">
      <c r="A437" s="62">
        <v>435</v>
      </c>
      <c r="B437" s="95"/>
      <c r="C437" s="94"/>
      <c r="D437" s="58" t="s">
        <v>763</v>
      </c>
      <c r="E437" s="64" t="s">
        <v>46</v>
      </c>
      <c r="F437" s="31" t="s">
        <v>1133</v>
      </c>
      <c r="G437" s="31" t="s">
        <v>1155</v>
      </c>
      <c r="H437" s="31" t="s">
        <v>1137</v>
      </c>
      <c r="I437" s="31" t="s">
        <v>1152</v>
      </c>
      <c r="J437" s="31" t="s">
        <v>815</v>
      </c>
      <c r="K437" s="31" t="s">
        <v>1224</v>
      </c>
      <c r="L437" s="31" t="s">
        <v>816</v>
      </c>
    </row>
    <row r="438" spans="1:12" ht="171">
      <c r="A438" s="58">
        <v>436</v>
      </c>
      <c r="B438" s="95"/>
      <c r="C438" s="92" t="s">
        <v>1200</v>
      </c>
      <c r="D438" s="58" t="s">
        <v>753</v>
      </c>
      <c r="E438" s="64" t="s">
        <v>46</v>
      </c>
      <c r="F438" s="31" t="s">
        <v>1179</v>
      </c>
      <c r="G438" s="31" t="s">
        <v>1214</v>
      </c>
      <c r="H438" s="31" t="s">
        <v>1159</v>
      </c>
      <c r="I438" s="31" t="s">
        <v>1151</v>
      </c>
      <c r="J438" s="31" t="s">
        <v>815</v>
      </c>
      <c r="K438" s="31" t="s">
        <v>1216</v>
      </c>
      <c r="L438" s="31" t="s">
        <v>816</v>
      </c>
    </row>
    <row r="439" spans="1:12" ht="270.75">
      <c r="A439" s="62">
        <v>437</v>
      </c>
      <c r="B439" s="95"/>
      <c r="C439" s="93"/>
      <c r="D439" s="58" t="s">
        <v>754</v>
      </c>
      <c r="E439" s="64" t="s">
        <v>46</v>
      </c>
      <c r="F439" s="31" t="s">
        <v>1180</v>
      </c>
      <c r="G439" s="31" t="s">
        <v>1229</v>
      </c>
      <c r="H439" s="31" t="s">
        <v>1159</v>
      </c>
      <c r="I439" s="31" t="s">
        <v>1152</v>
      </c>
      <c r="J439" s="31" t="s">
        <v>815</v>
      </c>
      <c r="K439" s="31" t="s">
        <v>1217</v>
      </c>
      <c r="L439" s="31" t="s">
        <v>816</v>
      </c>
    </row>
    <row r="440" spans="1:12" ht="142.5">
      <c r="A440" s="58">
        <v>438</v>
      </c>
      <c r="B440" s="95"/>
      <c r="C440" s="93"/>
      <c r="D440" s="58" t="s">
        <v>755</v>
      </c>
      <c r="E440" s="64" t="s">
        <v>46</v>
      </c>
      <c r="F440" s="31" t="s">
        <v>1181</v>
      </c>
      <c r="G440" s="31" t="s">
        <v>1230</v>
      </c>
      <c r="H440" s="31" t="s">
        <v>1159</v>
      </c>
      <c r="I440" s="31" t="s">
        <v>1138</v>
      </c>
      <c r="J440" s="31" t="s">
        <v>819</v>
      </c>
      <c r="K440" s="31" t="s">
        <v>828</v>
      </c>
      <c r="L440" s="31" t="s">
        <v>816</v>
      </c>
    </row>
    <row r="441" spans="1:12" ht="270.75">
      <c r="A441" s="62">
        <v>439</v>
      </c>
      <c r="B441" s="95"/>
      <c r="C441" s="93"/>
      <c r="D441" s="58" t="s">
        <v>756</v>
      </c>
      <c r="E441" s="64" t="s">
        <v>46</v>
      </c>
      <c r="F441" s="31" t="s">
        <v>811</v>
      </c>
      <c r="G441" s="31" t="s">
        <v>1218</v>
      </c>
      <c r="H441" s="31" t="s">
        <v>1137</v>
      </c>
      <c r="I441" s="31" t="s">
        <v>1161</v>
      </c>
      <c r="J441" s="31" t="s">
        <v>815</v>
      </c>
      <c r="K441" s="31" t="s">
        <v>1217</v>
      </c>
      <c r="L441" s="31" t="s">
        <v>816</v>
      </c>
    </row>
    <row r="442" spans="1:12" ht="270.75">
      <c r="A442" s="58">
        <v>440</v>
      </c>
      <c r="B442" s="95"/>
      <c r="C442" s="93"/>
      <c r="D442" s="58" t="s">
        <v>757</v>
      </c>
      <c r="E442" s="64" t="s">
        <v>46</v>
      </c>
      <c r="F442" s="31" t="s">
        <v>1153</v>
      </c>
      <c r="G442" s="31" t="s">
        <v>1162</v>
      </c>
      <c r="H442" s="31" t="s">
        <v>1137</v>
      </c>
      <c r="I442" s="31" t="s">
        <v>1152</v>
      </c>
      <c r="J442" s="31" t="s">
        <v>815</v>
      </c>
      <c r="K442" s="31" t="s">
        <v>1217</v>
      </c>
      <c r="L442" s="31" t="s">
        <v>816</v>
      </c>
    </row>
    <row r="443" spans="1:12" ht="270.75">
      <c r="A443" s="62">
        <v>441</v>
      </c>
      <c r="B443" s="95"/>
      <c r="C443" s="93"/>
      <c r="D443" s="58" t="s">
        <v>758</v>
      </c>
      <c r="E443" s="64" t="s">
        <v>46</v>
      </c>
      <c r="F443" s="31" t="s">
        <v>1154</v>
      </c>
      <c r="G443" s="31" t="s">
        <v>1163</v>
      </c>
      <c r="H443" s="31" t="s">
        <v>1137</v>
      </c>
      <c r="I443" s="31" t="s">
        <v>1152</v>
      </c>
      <c r="J443" s="31" t="s">
        <v>815</v>
      </c>
      <c r="K443" s="31" t="s">
        <v>1217</v>
      </c>
      <c r="L443" s="31" t="s">
        <v>816</v>
      </c>
    </row>
    <row r="444" spans="1:12" ht="57">
      <c r="A444" s="58">
        <v>442</v>
      </c>
      <c r="B444" s="95"/>
      <c r="C444" s="93"/>
      <c r="D444" s="96" t="s">
        <v>759</v>
      </c>
      <c r="E444" s="64" t="s">
        <v>46</v>
      </c>
      <c r="F444" s="31" t="s">
        <v>1166</v>
      </c>
      <c r="G444" s="31" t="s">
        <v>1219</v>
      </c>
      <c r="H444" s="31" t="s">
        <v>1219</v>
      </c>
      <c r="I444" s="31" t="s">
        <v>1219</v>
      </c>
      <c r="J444" s="31" t="s">
        <v>1219</v>
      </c>
      <c r="K444" s="31" t="s">
        <v>1219</v>
      </c>
      <c r="L444" s="31" t="s">
        <v>816</v>
      </c>
    </row>
    <row r="445" spans="1:12" ht="409.5">
      <c r="A445" s="62">
        <v>443</v>
      </c>
      <c r="B445" s="95"/>
      <c r="C445" s="93"/>
      <c r="D445" s="97"/>
      <c r="E445" s="64" t="s">
        <v>46</v>
      </c>
      <c r="F445" s="31" t="s">
        <v>1150</v>
      </c>
      <c r="G445" s="31" t="s">
        <v>1164</v>
      </c>
      <c r="H445" s="31" t="s">
        <v>1137</v>
      </c>
      <c r="I445" s="31" t="s">
        <v>1152</v>
      </c>
      <c r="J445" s="31" t="s">
        <v>815</v>
      </c>
      <c r="K445" s="31" t="s">
        <v>1224</v>
      </c>
      <c r="L445" s="31" t="s">
        <v>816</v>
      </c>
    </row>
    <row r="446" spans="1:12" ht="409.5">
      <c r="A446" s="58">
        <v>444</v>
      </c>
      <c r="B446" s="95"/>
      <c r="C446" s="93"/>
      <c r="D446" s="58" t="s">
        <v>760</v>
      </c>
      <c r="E446" s="64" t="s">
        <v>46</v>
      </c>
      <c r="F446" s="31" t="s">
        <v>812</v>
      </c>
      <c r="G446" s="31" t="s">
        <v>1165</v>
      </c>
      <c r="H446" s="31" t="s">
        <v>1137</v>
      </c>
      <c r="I446" s="31" t="s">
        <v>1152</v>
      </c>
      <c r="J446" s="31" t="s">
        <v>815</v>
      </c>
      <c r="K446" s="31" t="s">
        <v>1224</v>
      </c>
      <c r="L446" s="31" t="s">
        <v>816</v>
      </c>
    </row>
    <row r="447" spans="1:12" ht="57">
      <c r="A447" s="62">
        <v>445</v>
      </c>
      <c r="B447" s="95"/>
      <c r="C447" s="93"/>
      <c r="D447" s="58" t="s">
        <v>761</v>
      </c>
      <c r="E447" s="64" t="s">
        <v>46</v>
      </c>
      <c r="F447" s="31" t="s">
        <v>813</v>
      </c>
      <c r="G447" s="63" t="s">
        <v>899</v>
      </c>
      <c r="H447" s="31" t="s">
        <v>900</v>
      </c>
      <c r="I447" s="31" t="s">
        <v>901</v>
      </c>
      <c r="J447" s="31" t="s">
        <v>819</v>
      </c>
      <c r="K447" s="31" t="s">
        <v>828</v>
      </c>
      <c r="L447" s="31" t="s">
        <v>816</v>
      </c>
    </row>
    <row r="448" spans="1:12" ht="71.25">
      <c r="A448" s="58">
        <v>446</v>
      </c>
      <c r="B448" s="95"/>
      <c r="C448" s="93"/>
      <c r="D448" s="58" t="s">
        <v>762</v>
      </c>
      <c r="E448" s="64" t="s">
        <v>46</v>
      </c>
      <c r="F448" s="31" t="s">
        <v>1132</v>
      </c>
      <c r="G448" s="31" t="s">
        <v>1220</v>
      </c>
      <c r="H448" s="31" t="s">
        <v>1220</v>
      </c>
      <c r="I448" s="31" t="s">
        <v>1220</v>
      </c>
      <c r="J448" s="31" t="s">
        <v>1220</v>
      </c>
      <c r="K448" s="31" t="s">
        <v>1220</v>
      </c>
      <c r="L448" s="31" t="s">
        <v>816</v>
      </c>
    </row>
    <row r="449" spans="1:12" ht="409.5">
      <c r="A449" s="62">
        <v>447</v>
      </c>
      <c r="B449" s="95"/>
      <c r="C449" s="94"/>
      <c r="D449" s="58" t="s">
        <v>763</v>
      </c>
      <c r="E449" s="64" t="s">
        <v>46</v>
      </c>
      <c r="F449" s="31" t="s">
        <v>1133</v>
      </c>
      <c r="G449" s="31" t="s">
        <v>1155</v>
      </c>
      <c r="H449" s="31" t="s">
        <v>1137</v>
      </c>
      <c r="I449" s="31" t="s">
        <v>1152</v>
      </c>
      <c r="J449" s="31" t="s">
        <v>815</v>
      </c>
      <c r="K449" s="31" t="s">
        <v>1224</v>
      </c>
      <c r="L449" s="31" t="s">
        <v>816</v>
      </c>
    </row>
    <row r="450" spans="1:12" ht="171">
      <c r="A450" s="58">
        <v>448</v>
      </c>
      <c r="B450" s="95"/>
      <c r="C450" s="92" t="s">
        <v>1201</v>
      </c>
      <c r="D450" s="58" t="s">
        <v>753</v>
      </c>
      <c r="E450" s="64" t="s">
        <v>46</v>
      </c>
      <c r="F450" s="31" t="s">
        <v>1182</v>
      </c>
      <c r="G450" s="31" t="s">
        <v>1214</v>
      </c>
      <c r="H450" s="31" t="s">
        <v>1159</v>
      </c>
      <c r="I450" s="31" t="s">
        <v>1151</v>
      </c>
      <c r="J450" s="31" t="s">
        <v>815</v>
      </c>
      <c r="K450" s="31" t="s">
        <v>1216</v>
      </c>
      <c r="L450" s="31" t="s">
        <v>816</v>
      </c>
    </row>
    <row r="451" spans="1:12" ht="142.5">
      <c r="A451" s="62">
        <v>449</v>
      </c>
      <c r="B451" s="95"/>
      <c r="C451" s="93"/>
      <c r="D451" s="58" t="s">
        <v>754</v>
      </c>
      <c r="E451" s="64" t="s">
        <v>46</v>
      </c>
      <c r="F451" s="31" t="s">
        <v>1183</v>
      </c>
      <c r="G451" s="31" t="s">
        <v>1231</v>
      </c>
      <c r="H451" s="31" t="s">
        <v>1159</v>
      </c>
      <c r="I451" s="31" t="s">
        <v>1138</v>
      </c>
      <c r="J451" s="31" t="s">
        <v>819</v>
      </c>
      <c r="K451" s="31" t="s">
        <v>828</v>
      </c>
      <c r="L451" s="31" t="s">
        <v>816</v>
      </c>
    </row>
    <row r="452" spans="1:12" ht="270.75">
      <c r="A452" s="58">
        <v>450</v>
      </c>
      <c r="B452" s="95"/>
      <c r="C452" s="93"/>
      <c r="D452" s="58" t="s">
        <v>755</v>
      </c>
      <c r="E452" s="64" t="s">
        <v>46</v>
      </c>
      <c r="F452" s="31" t="s">
        <v>1184</v>
      </c>
      <c r="G452" s="31" t="s">
        <v>1232</v>
      </c>
      <c r="H452" s="31" t="s">
        <v>1159</v>
      </c>
      <c r="I452" s="31" t="s">
        <v>1152</v>
      </c>
      <c r="J452" s="31" t="s">
        <v>815</v>
      </c>
      <c r="K452" s="31" t="s">
        <v>1217</v>
      </c>
      <c r="L452" s="31" t="s">
        <v>816</v>
      </c>
    </row>
    <row r="453" spans="1:12" ht="270.75">
      <c r="A453" s="62">
        <v>451</v>
      </c>
      <c r="B453" s="95"/>
      <c r="C453" s="93"/>
      <c r="D453" s="58" t="s">
        <v>756</v>
      </c>
      <c r="E453" s="64" t="s">
        <v>46</v>
      </c>
      <c r="F453" s="31" t="s">
        <v>811</v>
      </c>
      <c r="G453" s="31" t="s">
        <v>1218</v>
      </c>
      <c r="H453" s="31" t="s">
        <v>1137</v>
      </c>
      <c r="I453" s="31" t="s">
        <v>1161</v>
      </c>
      <c r="J453" s="31" t="s">
        <v>815</v>
      </c>
      <c r="K453" s="31" t="s">
        <v>1217</v>
      </c>
      <c r="L453" s="31" t="s">
        <v>816</v>
      </c>
    </row>
    <row r="454" spans="1:12" ht="270.75">
      <c r="A454" s="58">
        <v>452</v>
      </c>
      <c r="B454" s="95"/>
      <c r="C454" s="93"/>
      <c r="D454" s="58" t="s">
        <v>757</v>
      </c>
      <c r="E454" s="64" t="s">
        <v>46</v>
      </c>
      <c r="F454" s="31" t="s">
        <v>1153</v>
      </c>
      <c r="G454" s="31" t="s">
        <v>1162</v>
      </c>
      <c r="H454" s="31" t="s">
        <v>1137</v>
      </c>
      <c r="I454" s="31" t="s">
        <v>1152</v>
      </c>
      <c r="J454" s="31" t="s">
        <v>815</v>
      </c>
      <c r="K454" s="31" t="s">
        <v>1217</v>
      </c>
      <c r="L454" s="31" t="s">
        <v>816</v>
      </c>
    </row>
    <row r="455" spans="1:12" ht="270.75">
      <c r="A455" s="62">
        <v>453</v>
      </c>
      <c r="B455" s="95"/>
      <c r="C455" s="93"/>
      <c r="D455" s="58" t="s">
        <v>758</v>
      </c>
      <c r="E455" s="64" t="s">
        <v>46</v>
      </c>
      <c r="F455" s="31" t="s">
        <v>1154</v>
      </c>
      <c r="G455" s="31" t="s">
        <v>1163</v>
      </c>
      <c r="H455" s="31" t="s">
        <v>1137</v>
      </c>
      <c r="I455" s="31" t="s">
        <v>1152</v>
      </c>
      <c r="J455" s="31" t="s">
        <v>815</v>
      </c>
      <c r="K455" s="31" t="s">
        <v>1217</v>
      </c>
      <c r="L455" s="31" t="s">
        <v>816</v>
      </c>
    </row>
    <row r="456" spans="1:12" ht="57">
      <c r="A456" s="58">
        <v>454</v>
      </c>
      <c r="B456" s="95"/>
      <c r="C456" s="93"/>
      <c r="D456" s="96" t="s">
        <v>759</v>
      </c>
      <c r="E456" s="64" t="s">
        <v>46</v>
      </c>
      <c r="F456" s="31" t="s">
        <v>1166</v>
      </c>
      <c r="G456" s="31" t="s">
        <v>1219</v>
      </c>
      <c r="H456" s="31" t="s">
        <v>1219</v>
      </c>
      <c r="I456" s="31" t="s">
        <v>1219</v>
      </c>
      <c r="J456" s="31" t="s">
        <v>1219</v>
      </c>
      <c r="K456" s="31" t="s">
        <v>1219</v>
      </c>
      <c r="L456" s="31" t="s">
        <v>816</v>
      </c>
    </row>
    <row r="457" spans="1:12" ht="409.5">
      <c r="A457" s="62">
        <v>455</v>
      </c>
      <c r="B457" s="95"/>
      <c r="C457" s="93"/>
      <c r="D457" s="97"/>
      <c r="E457" s="64" t="s">
        <v>46</v>
      </c>
      <c r="F457" s="31" t="s">
        <v>1150</v>
      </c>
      <c r="G457" s="31" t="s">
        <v>1164</v>
      </c>
      <c r="H457" s="31" t="s">
        <v>1137</v>
      </c>
      <c r="I457" s="31" t="s">
        <v>1152</v>
      </c>
      <c r="J457" s="31" t="s">
        <v>815</v>
      </c>
      <c r="K457" s="31" t="s">
        <v>1224</v>
      </c>
      <c r="L457" s="31" t="s">
        <v>816</v>
      </c>
    </row>
    <row r="458" spans="1:12" ht="409.5">
      <c r="A458" s="58">
        <v>456</v>
      </c>
      <c r="B458" s="95"/>
      <c r="C458" s="93"/>
      <c r="D458" s="58" t="s">
        <v>760</v>
      </c>
      <c r="E458" s="64" t="s">
        <v>46</v>
      </c>
      <c r="F458" s="31" t="s">
        <v>812</v>
      </c>
      <c r="G458" s="31" t="s">
        <v>1165</v>
      </c>
      <c r="H458" s="31" t="s">
        <v>1137</v>
      </c>
      <c r="I458" s="31" t="s">
        <v>1152</v>
      </c>
      <c r="J458" s="31" t="s">
        <v>815</v>
      </c>
      <c r="K458" s="31" t="s">
        <v>1224</v>
      </c>
      <c r="L458" s="31" t="s">
        <v>816</v>
      </c>
    </row>
    <row r="459" spans="1:12" ht="57">
      <c r="A459" s="62">
        <v>457</v>
      </c>
      <c r="B459" s="95"/>
      <c r="C459" s="93"/>
      <c r="D459" s="58" t="s">
        <v>761</v>
      </c>
      <c r="E459" s="64" t="s">
        <v>46</v>
      </c>
      <c r="F459" s="31" t="s">
        <v>813</v>
      </c>
      <c r="G459" s="63" t="s">
        <v>899</v>
      </c>
      <c r="H459" s="31" t="s">
        <v>900</v>
      </c>
      <c r="I459" s="31" t="s">
        <v>901</v>
      </c>
      <c r="J459" s="31" t="s">
        <v>819</v>
      </c>
      <c r="K459" s="31" t="s">
        <v>828</v>
      </c>
      <c r="L459" s="31" t="s">
        <v>816</v>
      </c>
    </row>
    <row r="460" spans="1:12" ht="71.25">
      <c r="A460" s="58">
        <v>458</v>
      </c>
      <c r="B460" s="95"/>
      <c r="C460" s="93"/>
      <c r="D460" s="58" t="s">
        <v>762</v>
      </c>
      <c r="E460" s="64" t="s">
        <v>46</v>
      </c>
      <c r="F460" s="31" t="s">
        <v>1132</v>
      </c>
      <c r="G460" s="31" t="s">
        <v>1220</v>
      </c>
      <c r="H460" s="31" t="s">
        <v>1220</v>
      </c>
      <c r="I460" s="31" t="s">
        <v>1220</v>
      </c>
      <c r="J460" s="31" t="s">
        <v>1220</v>
      </c>
      <c r="K460" s="31" t="s">
        <v>1220</v>
      </c>
      <c r="L460" s="31" t="s">
        <v>816</v>
      </c>
    </row>
    <row r="461" spans="1:12" ht="409.5">
      <c r="A461" s="62">
        <v>459</v>
      </c>
      <c r="B461" s="95"/>
      <c r="C461" s="94"/>
      <c r="D461" s="58" t="s">
        <v>763</v>
      </c>
      <c r="E461" s="64" t="s">
        <v>46</v>
      </c>
      <c r="F461" s="31" t="s">
        <v>1133</v>
      </c>
      <c r="G461" s="31" t="s">
        <v>1155</v>
      </c>
      <c r="H461" s="31" t="s">
        <v>1137</v>
      </c>
      <c r="I461" s="31" t="s">
        <v>1152</v>
      </c>
      <c r="J461" s="31" t="s">
        <v>815</v>
      </c>
      <c r="K461" s="31" t="s">
        <v>1224</v>
      </c>
      <c r="L461" s="31" t="s">
        <v>816</v>
      </c>
    </row>
    <row r="462" spans="1:12" ht="185.25">
      <c r="A462" s="58">
        <v>460</v>
      </c>
      <c r="B462" s="95"/>
      <c r="C462" s="92" t="s">
        <v>1202</v>
      </c>
      <c r="D462" s="58" t="s">
        <v>753</v>
      </c>
      <c r="E462" s="64" t="s">
        <v>46</v>
      </c>
      <c r="F462" s="31" t="s">
        <v>1185</v>
      </c>
      <c r="G462" s="31" t="s">
        <v>1233</v>
      </c>
      <c r="H462" s="31" t="s">
        <v>1159</v>
      </c>
      <c r="I462" s="31" t="s">
        <v>1151</v>
      </c>
      <c r="J462" s="31" t="s">
        <v>815</v>
      </c>
      <c r="K462" s="31" t="s">
        <v>1234</v>
      </c>
      <c r="L462" s="31" t="s">
        <v>816</v>
      </c>
    </row>
    <row r="463" spans="1:12" ht="285">
      <c r="A463" s="62">
        <v>461</v>
      </c>
      <c r="B463" s="95"/>
      <c r="C463" s="93"/>
      <c r="D463" s="58" t="s">
        <v>754</v>
      </c>
      <c r="E463" s="64" t="s">
        <v>46</v>
      </c>
      <c r="F463" s="31" t="s">
        <v>1186</v>
      </c>
      <c r="G463" s="31" t="s">
        <v>1239</v>
      </c>
      <c r="H463" s="31" t="s">
        <v>1159</v>
      </c>
      <c r="I463" s="31" t="s">
        <v>1152</v>
      </c>
      <c r="J463" s="31" t="s">
        <v>815</v>
      </c>
      <c r="K463" s="31" t="s">
        <v>1235</v>
      </c>
      <c r="L463" s="31" t="s">
        <v>816</v>
      </c>
    </row>
    <row r="464" spans="1:12" ht="285">
      <c r="A464" s="58">
        <v>462</v>
      </c>
      <c r="B464" s="95"/>
      <c r="C464" s="93"/>
      <c r="D464" s="58" t="s">
        <v>755</v>
      </c>
      <c r="E464" s="64" t="s">
        <v>46</v>
      </c>
      <c r="F464" s="31" t="s">
        <v>1187</v>
      </c>
      <c r="G464" s="31" t="s">
        <v>1239</v>
      </c>
      <c r="H464" s="31" t="s">
        <v>1159</v>
      </c>
      <c r="I464" s="31" t="s">
        <v>1152</v>
      </c>
      <c r="J464" s="31" t="s">
        <v>815</v>
      </c>
      <c r="K464" s="31" t="s">
        <v>1235</v>
      </c>
      <c r="L464" s="31" t="s">
        <v>816</v>
      </c>
    </row>
    <row r="465" spans="1:12" ht="285">
      <c r="A465" s="62">
        <v>463</v>
      </c>
      <c r="B465" s="95"/>
      <c r="C465" s="93"/>
      <c r="D465" s="58" t="s">
        <v>756</v>
      </c>
      <c r="E465" s="64" t="s">
        <v>46</v>
      </c>
      <c r="F465" s="31" t="s">
        <v>811</v>
      </c>
      <c r="G465" s="31" t="s">
        <v>1236</v>
      </c>
      <c r="H465" s="31" t="s">
        <v>1137</v>
      </c>
      <c r="I465" s="31" t="s">
        <v>1161</v>
      </c>
      <c r="J465" s="31" t="s">
        <v>815</v>
      </c>
      <c r="K465" s="31" t="s">
        <v>1235</v>
      </c>
      <c r="L465" s="31" t="s">
        <v>816</v>
      </c>
    </row>
    <row r="466" spans="1:12" ht="285">
      <c r="A466" s="58">
        <v>464</v>
      </c>
      <c r="B466" s="95"/>
      <c r="C466" s="93"/>
      <c r="D466" s="58" t="s">
        <v>757</v>
      </c>
      <c r="E466" s="64" t="s">
        <v>46</v>
      </c>
      <c r="F466" s="31" t="s">
        <v>1153</v>
      </c>
      <c r="G466" s="31" t="s">
        <v>1162</v>
      </c>
      <c r="H466" s="31" t="s">
        <v>1137</v>
      </c>
      <c r="I466" s="31" t="s">
        <v>1152</v>
      </c>
      <c r="J466" s="31" t="s">
        <v>815</v>
      </c>
      <c r="K466" s="31" t="s">
        <v>1235</v>
      </c>
      <c r="L466" s="31" t="s">
        <v>816</v>
      </c>
    </row>
    <row r="467" spans="1:12" ht="285">
      <c r="A467" s="62">
        <v>465</v>
      </c>
      <c r="B467" s="95"/>
      <c r="C467" s="93"/>
      <c r="D467" s="58" t="s">
        <v>758</v>
      </c>
      <c r="E467" s="64" t="s">
        <v>46</v>
      </c>
      <c r="F467" s="31" t="s">
        <v>1154</v>
      </c>
      <c r="G467" s="31" t="s">
        <v>1163</v>
      </c>
      <c r="H467" s="31" t="s">
        <v>1137</v>
      </c>
      <c r="I467" s="31" t="s">
        <v>1152</v>
      </c>
      <c r="J467" s="31" t="s">
        <v>815</v>
      </c>
      <c r="K467" s="31" t="s">
        <v>1235</v>
      </c>
      <c r="L467" s="31" t="s">
        <v>816</v>
      </c>
    </row>
    <row r="468" spans="1:12" ht="57">
      <c r="A468" s="58">
        <v>466</v>
      </c>
      <c r="B468" s="95"/>
      <c r="C468" s="93"/>
      <c r="D468" s="96" t="s">
        <v>759</v>
      </c>
      <c r="E468" s="64" t="s">
        <v>46</v>
      </c>
      <c r="F468" s="31" t="s">
        <v>1166</v>
      </c>
      <c r="G468" s="31" t="s">
        <v>1219</v>
      </c>
      <c r="H468" s="31" t="s">
        <v>1219</v>
      </c>
      <c r="I468" s="31" t="s">
        <v>1219</v>
      </c>
      <c r="J468" s="31" t="s">
        <v>1219</v>
      </c>
      <c r="K468" s="31" t="s">
        <v>1219</v>
      </c>
      <c r="L468" s="31" t="s">
        <v>816</v>
      </c>
    </row>
    <row r="469" spans="1:12" ht="409.5">
      <c r="A469" s="62">
        <v>467</v>
      </c>
      <c r="B469" s="95"/>
      <c r="C469" s="93"/>
      <c r="D469" s="97"/>
      <c r="E469" s="64" t="s">
        <v>46</v>
      </c>
      <c r="F469" s="31" t="s">
        <v>1150</v>
      </c>
      <c r="G469" s="31" t="s">
        <v>1164</v>
      </c>
      <c r="H469" s="31" t="s">
        <v>1137</v>
      </c>
      <c r="I469" s="31" t="s">
        <v>1152</v>
      </c>
      <c r="J469" s="31" t="s">
        <v>815</v>
      </c>
      <c r="K469" s="31" t="s">
        <v>1237</v>
      </c>
      <c r="L469" s="31" t="s">
        <v>816</v>
      </c>
    </row>
    <row r="470" spans="1:12" ht="409.5">
      <c r="A470" s="58">
        <v>468</v>
      </c>
      <c r="B470" s="95"/>
      <c r="C470" s="93"/>
      <c r="D470" s="58" t="s">
        <v>760</v>
      </c>
      <c r="E470" s="64" t="s">
        <v>46</v>
      </c>
      <c r="F470" s="31" t="s">
        <v>812</v>
      </c>
      <c r="G470" s="31" t="s">
        <v>1165</v>
      </c>
      <c r="H470" s="31" t="s">
        <v>1137</v>
      </c>
      <c r="I470" s="31" t="s">
        <v>1152</v>
      </c>
      <c r="J470" s="31" t="s">
        <v>815</v>
      </c>
      <c r="K470" s="31" t="s">
        <v>1237</v>
      </c>
      <c r="L470" s="31" t="s">
        <v>816</v>
      </c>
    </row>
    <row r="471" spans="1:12" ht="57">
      <c r="A471" s="62">
        <v>469</v>
      </c>
      <c r="B471" s="95"/>
      <c r="C471" s="93"/>
      <c r="D471" s="58" t="s">
        <v>761</v>
      </c>
      <c r="E471" s="64" t="s">
        <v>46</v>
      </c>
      <c r="F471" s="31" t="s">
        <v>813</v>
      </c>
      <c r="G471" s="63" t="s">
        <v>899</v>
      </c>
      <c r="H471" s="31" t="s">
        <v>900</v>
      </c>
      <c r="I471" s="31" t="s">
        <v>901</v>
      </c>
      <c r="J471" s="31" t="s">
        <v>819</v>
      </c>
      <c r="K471" s="31" t="s">
        <v>828</v>
      </c>
      <c r="L471" s="31" t="s">
        <v>816</v>
      </c>
    </row>
    <row r="472" spans="1:12" ht="71.25">
      <c r="A472" s="58">
        <v>470</v>
      </c>
      <c r="B472" s="95"/>
      <c r="C472" s="93"/>
      <c r="D472" s="58" t="s">
        <v>762</v>
      </c>
      <c r="E472" s="64" t="s">
        <v>46</v>
      </c>
      <c r="F472" s="31" t="s">
        <v>1132</v>
      </c>
      <c r="G472" s="31" t="s">
        <v>1220</v>
      </c>
      <c r="H472" s="31" t="s">
        <v>1220</v>
      </c>
      <c r="I472" s="31" t="s">
        <v>1220</v>
      </c>
      <c r="J472" s="31" t="s">
        <v>1220</v>
      </c>
      <c r="K472" s="31" t="s">
        <v>1220</v>
      </c>
      <c r="L472" s="31" t="s">
        <v>816</v>
      </c>
    </row>
    <row r="473" spans="1:12" ht="409.5">
      <c r="A473" s="62">
        <v>471</v>
      </c>
      <c r="B473" s="95"/>
      <c r="C473" s="94"/>
      <c r="D473" s="58" t="s">
        <v>763</v>
      </c>
      <c r="E473" s="64" t="s">
        <v>46</v>
      </c>
      <c r="F473" s="31" t="s">
        <v>1133</v>
      </c>
      <c r="G473" s="31" t="s">
        <v>1155</v>
      </c>
      <c r="H473" s="31" t="s">
        <v>1137</v>
      </c>
      <c r="I473" s="31" t="s">
        <v>1152</v>
      </c>
      <c r="J473" s="31" t="s">
        <v>815</v>
      </c>
      <c r="K473" s="31" t="s">
        <v>1237</v>
      </c>
      <c r="L473" s="31" t="s">
        <v>816</v>
      </c>
    </row>
    <row r="474" spans="1:12" ht="185.25">
      <c r="A474" s="58">
        <v>472</v>
      </c>
      <c r="B474" s="95"/>
      <c r="C474" s="92" t="s">
        <v>1203</v>
      </c>
      <c r="D474" s="58" t="s">
        <v>753</v>
      </c>
      <c r="E474" s="64" t="s">
        <v>46</v>
      </c>
      <c r="F474" s="31" t="s">
        <v>1188</v>
      </c>
      <c r="G474" s="31" t="s">
        <v>1233</v>
      </c>
      <c r="H474" s="31" t="s">
        <v>1159</v>
      </c>
      <c r="I474" s="31" t="s">
        <v>1151</v>
      </c>
      <c r="J474" s="31" t="s">
        <v>815</v>
      </c>
      <c r="K474" s="31" t="s">
        <v>1234</v>
      </c>
      <c r="L474" s="31" t="s">
        <v>816</v>
      </c>
    </row>
    <row r="475" spans="1:12" ht="285">
      <c r="A475" s="62">
        <v>473</v>
      </c>
      <c r="B475" s="95"/>
      <c r="C475" s="93"/>
      <c r="D475" s="58" t="s">
        <v>754</v>
      </c>
      <c r="E475" s="64" t="s">
        <v>46</v>
      </c>
      <c r="F475" s="31" t="s">
        <v>1189</v>
      </c>
      <c r="G475" s="31" t="s">
        <v>1238</v>
      </c>
      <c r="H475" s="31" t="s">
        <v>1159</v>
      </c>
      <c r="I475" s="31" t="s">
        <v>1152</v>
      </c>
      <c r="J475" s="31" t="s">
        <v>815</v>
      </c>
      <c r="K475" s="31" t="s">
        <v>1235</v>
      </c>
      <c r="L475" s="31" t="s">
        <v>816</v>
      </c>
    </row>
    <row r="476" spans="1:12" ht="285">
      <c r="A476" s="58">
        <v>474</v>
      </c>
      <c r="B476" s="95"/>
      <c r="C476" s="93"/>
      <c r="D476" s="58" t="s">
        <v>755</v>
      </c>
      <c r="E476" s="64" t="s">
        <v>46</v>
      </c>
      <c r="F476" s="31" t="s">
        <v>1190</v>
      </c>
      <c r="G476" s="31" t="s">
        <v>1238</v>
      </c>
      <c r="H476" s="31" t="s">
        <v>1159</v>
      </c>
      <c r="I476" s="31" t="s">
        <v>1152</v>
      </c>
      <c r="J476" s="31" t="s">
        <v>815</v>
      </c>
      <c r="K476" s="31" t="s">
        <v>1235</v>
      </c>
      <c r="L476" s="31" t="s">
        <v>816</v>
      </c>
    </row>
    <row r="477" spans="1:12" ht="285">
      <c r="A477" s="62">
        <v>475</v>
      </c>
      <c r="B477" s="95"/>
      <c r="C477" s="93"/>
      <c r="D477" s="58" t="s">
        <v>756</v>
      </c>
      <c r="E477" s="64" t="s">
        <v>46</v>
      </c>
      <c r="F477" s="31" t="s">
        <v>811</v>
      </c>
      <c r="G477" s="31" t="s">
        <v>1236</v>
      </c>
      <c r="H477" s="31" t="s">
        <v>1137</v>
      </c>
      <c r="I477" s="31" t="s">
        <v>1161</v>
      </c>
      <c r="J477" s="31" t="s">
        <v>815</v>
      </c>
      <c r="K477" s="31" t="s">
        <v>1235</v>
      </c>
      <c r="L477" s="31" t="s">
        <v>816</v>
      </c>
    </row>
    <row r="478" spans="1:12" ht="285">
      <c r="A478" s="58">
        <v>476</v>
      </c>
      <c r="B478" s="95"/>
      <c r="C478" s="93"/>
      <c r="D478" s="58" t="s">
        <v>757</v>
      </c>
      <c r="E478" s="64" t="s">
        <v>46</v>
      </c>
      <c r="F478" s="31" t="s">
        <v>1153</v>
      </c>
      <c r="G478" s="31" t="s">
        <v>1162</v>
      </c>
      <c r="H478" s="31" t="s">
        <v>1137</v>
      </c>
      <c r="I478" s="31" t="s">
        <v>1152</v>
      </c>
      <c r="J478" s="31" t="s">
        <v>815</v>
      </c>
      <c r="K478" s="31" t="s">
        <v>1235</v>
      </c>
      <c r="L478" s="31" t="s">
        <v>816</v>
      </c>
    </row>
    <row r="479" spans="1:12" ht="285">
      <c r="A479" s="62">
        <v>477</v>
      </c>
      <c r="B479" s="95"/>
      <c r="C479" s="93"/>
      <c r="D479" s="58" t="s">
        <v>758</v>
      </c>
      <c r="E479" s="64" t="s">
        <v>46</v>
      </c>
      <c r="F479" s="31" t="s">
        <v>1154</v>
      </c>
      <c r="G479" s="31" t="s">
        <v>1163</v>
      </c>
      <c r="H479" s="31" t="s">
        <v>1137</v>
      </c>
      <c r="I479" s="31" t="s">
        <v>1152</v>
      </c>
      <c r="J479" s="31" t="s">
        <v>815</v>
      </c>
      <c r="K479" s="31" t="s">
        <v>1235</v>
      </c>
      <c r="L479" s="31" t="s">
        <v>816</v>
      </c>
    </row>
    <row r="480" spans="1:12" ht="57">
      <c r="A480" s="58">
        <v>478</v>
      </c>
      <c r="B480" s="95"/>
      <c r="C480" s="93"/>
      <c r="D480" s="96" t="s">
        <v>759</v>
      </c>
      <c r="E480" s="64" t="s">
        <v>46</v>
      </c>
      <c r="F480" s="31" t="s">
        <v>1166</v>
      </c>
      <c r="G480" s="31" t="s">
        <v>1219</v>
      </c>
      <c r="H480" s="31" t="s">
        <v>1219</v>
      </c>
      <c r="I480" s="31" t="s">
        <v>1219</v>
      </c>
      <c r="J480" s="31" t="s">
        <v>1219</v>
      </c>
      <c r="K480" s="31" t="s">
        <v>1219</v>
      </c>
      <c r="L480" s="31" t="s">
        <v>816</v>
      </c>
    </row>
    <row r="481" spans="1:12" ht="409.5">
      <c r="A481" s="62">
        <v>479</v>
      </c>
      <c r="B481" s="95"/>
      <c r="C481" s="93"/>
      <c r="D481" s="97"/>
      <c r="E481" s="64" t="s">
        <v>46</v>
      </c>
      <c r="F481" s="31" t="s">
        <v>1150</v>
      </c>
      <c r="G481" s="31" t="s">
        <v>1164</v>
      </c>
      <c r="H481" s="31" t="s">
        <v>1137</v>
      </c>
      <c r="I481" s="31" t="s">
        <v>1152</v>
      </c>
      <c r="J481" s="31" t="s">
        <v>815</v>
      </c>
      <c r="K481" s="31" t="s">
        <v>1237</v>
      </c>
      <c r="L481" s="31" t="s">
        <v>816</v>
      </c>
    </row>
    <row r="482" spans="1:12" ht="409.5">
      <c r="A482" s="58">
        <v>480</v>
      </c>
      <c r="B482" s="95"/>
      <c r="C482" s="93"/>
      <c r="D482" s="58" t="s">
        <v>760</v>
      </c>
      <c r="E482" s="64" t="s">
        <v>46</v>
      </c>
      <c r="F482" s="31" t="s">
        <v>812</v>
      </c>
      <c r="G482" s="31" t="s">
        <v>1165</v>
      </c>
      <c r="H482" s="31" t="s">
        <v>1137</v>
      </c>
      <c r="I482" s="31" t="s">
        <v>1152</v>
      </c>
      <c r="J482" s="31" t="s">
        <v>815</v>
      </c>
      <c r="K482" s="31" t="s">
        <v>1237</v>
      </c>
      <c r="L482" s="31" t="s">
        <v>816</v>
      </c>
    </row>
    <row r="483" spans="1:12" ht="57">
      <c r="A483" s="62">
        <v>481</v>
      </c>
      <c r="B483" s="95"/>
      <c r="C483" s="93"/>
      <c r="D483" s="58" t="s">
        <v>761</v>
      </c>
      <c r="E483" s="64" t="s">
        <v>46</v>
      </c>
      <c r="F483" s="31" t="s">
        <v>813</v>
      </c>
      <c r="G483" s="63" t="s">
        <v>899</v>
      </c>
      <c r="H483" s="31" t="s">
        <v>900</v>
      </c>
      <c r="I483" s="31" t="s">
        <v>901</v>
      </c>
      <c r="J483" s="31" t="s">
        <v>819</v>
      </c>
      <c r="K483" s="31" t="s">
        <v>828</v>
      </c>
      <c r="L483" s="31" t="s">
        <v>816</v>
      </c>
    </row>
    <row r="484" spans="1:12" ht="71.25">
      <c r="A484" s="58">
        <v>482</v>
      </c>
      <c r="B484" s="95"/>
      <c r="C484" s="93"/>
      <c r="D484" s="58" t="s">
        <v>762</v>
      </c>
      <c r="E484" s="64" t="s">
        <v>46</v>
      </c>
      <c r="F484" s="31" t="s">
        <v>1132</v>
      </c>
      <c r="G484" s="31" t="s">
        <v>1220</v>
      </c>
      <c r="H484" s="31" t="s">
        <v>1220</v>
      </c>
      <c r="I484" s="31" t="s">
        <v>1220</v>
      </c>
      <c r="J484" s="31" t="s">
        <v>1220</v>
      </c>
      <c r="K484" s="31" t="s">
        <v>1220</v>
      </c>
      <c r="L484" s="31" t="s">
        <v>816</v>
      </c>
    </row>
    <row r="485" spans="1:12" ht="409.5">
      <c r="A485" s="62">
        <v>483</v>
      </c>
      <c r="B485" s="95"/>
      <c r="C485" s="94"/>
      <c r="D485" s="58" t="s">
        <v>763</v>
      </c>
      <c r="E485" s="64" t="s">
        <v>46</v>
      </c>
      <c r="F485" s="31" t="s">
        <v>1133</v>
      </c>
      <c r="G485" s="31" t="s">
        <v>1155</v>
      </c>
      <c r="H485" s="31" t="s">
        <v>1137</v>
      </c>
      <c r="I485" s="31" t="s">
        <v>1152</v>
      </c>
      <c r="J485" s="31" t="s">
        <v>815</v>
      </c>
      <c r="K485" s="31" t="s">
        <v>1237</v>
      </c>
      <c r="L485" s="31" t="s">
        <v>816</v>
      </c>
    </row>
    <row r="486" spans="1:12" ht="185.25">
      <c r="A486" s="58">
        <v>484</v>
      </c>
      <c r="B486" s="95"/>
      <c r="C486" s="92" t="s">
        <v>1204</v>
      </c>
      <c r="D486" s="58" t="s">
        <v>753</v>
      </c>
      <c r="E486" s="64" t="s">
        <v>46</v>
      </c>
      <c r="F486" s="31" t="s">
        <v>1191</v>
      </c>
      <c r="G486" s="31" t="s">
        <v>1233</v>
      </c>
      <c r="H486" s="31" t="s">
        <v>1159</v>
      </c>
      <c r="I486" s="31" t="s">
        <v>1151</v>
      </c>
      <c r="J486" s="31" t="s">
        <v>815</v>
      </c>
      <c r="K486" s="31" t="s">
        <v>1234</v>
      </c>
      <c r="L486" s="31" t="s">
        <v>816</v>
      </c>
    </row>
    <row r="487" spans="1:12" ht="142.5">
      <c r="A487" s="62">
        <v>485</v>
      </c>
      <c r="B487" s="95"/>
      <c r="C487" s="93"/>
      <c r="D487" s="58" t="s">
        <v>754</v>
      </c>
      <c r="E487" s="64" t="s">
        <v>46</v>
      </c>
      <c r="F487" s="31" t="s">
        <v>1192</v>
      </c>
      <c r="G487" s="31" t="s">
        <v>1240</v>
      </c>
      <c r="H487" s="31" t="s">
        <v>1159</v>
      </c>
      <c r="I487" s="31" t="s">
        <v>1138</v>
      </c>
      <c r="J487" s="31" t="s">
        <v>819</v>
      </c>
      <c r="K487" s="31" t="s">
        <v>828</v>
      </c>
      <c r="L487" s="31" t="s">
        <v>816</v>
      </c>
    </row>
    <row r="488" spans="1:12" ht="285">
      <c r="A488" s="58">
        <v>486</v>
      </c>
      <c r="B488" s="95"/>
      <c r="C488" s="93"/>
      <c r="D488" s="58" t="s">
        <v>755</v>
      </c>
      <c r="E488" s="64" t="s">
        <v>46</v>
      </c>
      <c r="F488" s="31" t="s">
        <v>1193</v>
      </c>
      <c r="G488" s="31" t="s">
        <v>1241</v>
      </c>
      <c r="H488" s="31" t="s">
        <v>1159</v>
      </c>
      <c r="I488" s="31" t="s">
        <v>1152</v>
      </c>
      <c r="J488" s="31" t="s">
        <v>815</v>
      </c>
      <c r="K488" s="31" t="s">
        <v>1235</v>
      </c>
      <c r="L488" s="31" t="s">
        <v>816</v>
      </c>
    </row>
    <row r="489" spans="1:12" ht="285">
      <c r="A489" s="62">
        <v>487</v>
      </c>
      <c r="B489" s="95"/>
      <c r="C489" s="93"/>
      <c r="D489" s="58" t="s">
        <v>756</v>
      </c>
      <c r="E489" s="64" t="s">
        <v>46</v>
      </c>
      <c r="F489" s="31" t="s">
        <v>811</v>
      </c>
      <c r="G489" s="31" t="s">
        <v>1236</v>
      </c>
      <c r="H489" s="31" t="s">
        <v>1137</v>
      </c>
      <c r="I489" s="31" t="s">
        <v>1161</v>
      </c>
      <c r="J489" s="31" t="s">
        <v>815</v>
      </c>
      <c r="K489" s="31" t="s">
        <v>1235</v>
      </c>
      <c r="L489" s="31" t="s">
        <v>816</v>
      </c>
    </row>
    <row r="490" spans="1:12" ht="285">
      <c r="A490" s="58">
        <v>488</v>
      </c>
      <c r="B490" s="95"/>
      <c r="C490" s="93"/>
      <c r="D490" s="58" t="s">
        <v>757</v>
      </c>
      <c r="E490" s="64" t="s">
        <v>46</v>
      </c>
      <c r="F490" s="31" t="s">
        <v>1153</v>
      </c>
      <c r="G490" s="31" t="s">
        <v>1162</v>
      </c>
      <c r="H490" s="31" t="s">
        <v>1137</v>
      </c>
      <c r="I490" s="31" t="s">
        <v>1152</v>
      </c>
      <c r="J490" s="31" t="s">
        <v>815</v>
      </c>
      <c r="K490" s="31" t="s">
        <v>1235</v>
      </c>
      <c r="L490" s="31" t="s">
        <v>816</v>
      </c>
    </row>
    <row r="491" spans="1:12" ht="285">
      <c r="A491" s="62">
        <v>489</v>
      </c>
      <c r="B491" s="95"/>
      <c r="C491" s="93"/>
      <c r="D491" s="58" t="s">
        <v>758</v>
      </c>
      <c r="E491" s="64" t="s">
        <v>46</v>
      </c>
      <c r="F491" s="31" t="s">
        <v>1154</v>
      </c>
      <c r="G491" s="31" t="s">
        <v>1163</v>
      </c>
      <c r="H491" s="31" t="s">
        <v>1137</v>
      </c>
      <c r="I491" s="31" t="s">
        <v>1152</v>
      </c>
      <c r="J491" s="31" t="s">
        <v>815</v>
      </c>
      <c r="K491" s="31" t="s">
        <v>1235</v>
      </c>
      <c r="L491" s="31" t="s">
        <v>816</v>
      </c>
    </row>
    <row r="492" spans="1:12" ht="57">
      <c r="A492" s="58">
        <v>490</v>
      </c>
      <c r="B492" s="95"/>
      <c r="C492" s="93"/>
      <c r="D492" s="96" t="s">
        <v>759</v>
      </c>
      <c r="E492" s="64" t="s">
        <v>46</v>
      </c>
      <c r="F492" s="31" t="s">
        <v>1166</v>
      </c>
      <c r="G492" s="31" t="s">
        <v>1219</v>
      </c>
      <c r="H492" s="31" t="s">
        <v>1219</v>
      </c>
      <c r="I492" s="31" t="s">
        <v>1219</v>
      </c>
      <c r="J492" s="31" t="s">
        <v>1219</v>
      </c>
      <c r="K492" s="31" t="s">
        <v>1219</v>
      </c>
      <c r="L492" s="31" t="s">
        <v>816</v>
      </c>
    </row>
    <row r="493" spans="1:12" ht="409.5">
      <c r="A493" s="62">
        <v>491</v>
      </c>
      <c r="B493" s="95"/>
      <c r="C493" s="93"/>
      <c r="D493" s="97"/>
      <c r="E493" s="64" t="s">
        <v>46</v>
      </c>
      <c r="F493" s="31" t="s">
        <v>1150</v>
      </c>
      <c r="G493" s="31" t="s">
        <v>1164</v>
      </c>
      <c r="H493" s="31" t="s">
        <v>1137</v>
      </c>
      <c r="I493" s="31" t="s">
        <v>1152</v>
      </c>
      <c r="J493" s="31" t="s">
        <v>815</v>
      </c>
      <c r="K493" s="31" t="s">
        <v>1237</v>
      </c>
      <c r="L493" s="31" t="s">
        <v>816</v>
      </c>
    </row>
    <row r="494" spans="1:12" ht="409.5">
      <c r="A494" s="58">
        <v>492</v>
      </c>
      <c r="B494" s="95"/>
      <c r="C494" s="93"/>
      <c r="D494" s="58" t="s">
        <v>760</v>
      </c>
      <c r="E494" s="64" t="s">
        <v>46</v>
      </c>
      <c r="F494" s="31" t="s">
        <v>812</v>
      </c>
      <c r="G494" s="31" t="s">
        <v>1165</v>
      </c>
      <c r="H494" s="31" t="s">
        <v>1137</v>
      </c>
      <c r="I494" s="31" t="s">
        <v>1152</v>
      </c>
      <c r="J494" s="31" t="s">
        <v>815</v>
      </c>
      <c r="K494" s="31" t="s">
        <v>1237</v>
      </c>
      <c r="L494" s="31" t="s">
        <v>816</v>
      </c>
    </row>
    <row r="495" spans="1:12" ht="57">
      <c r="A495" s="62">
        <v>493</v>
      </c>
      <c r="B495" s="95"/>
      <c r="C495" s="93"/>
      <c r="D495" s="58" t="s">
        <v>761</v>
      </c>
      <c r="E495" s="64" t="s">
        <v>46</v>
      </c>
      <c r="F495" s="31" t="s">
        <v>813</v>
      </c>
      <c r="G495" s="63" t="s">
        <v>899</v>
      </c>
      <c r="H495" s="31" t="s">
        <v>900</v>
      </c>
      <c r="I495" s="31" t="s">
        <v>901</v>
      </c>
      <c r="J495" s="31" t="s">
        <v>819</v>
      </c>
      <c r="K495" s="31" t="s">
        <v>828</v>
      </c>
      <c r="L495" s="31" t="s">
        <v>816</v>
      </c>
    </row>
    <row r="496" spans="1:12" ht="71.25">
      <c r="A496" s="58">
        <v>494</v>
      </c>
      <c r="B496" s="95"/>
      <c r="C496" s="93"/>
      <c r="D496" s="58" t="s">
        <v>762</v>
      </c>
      <c r="E496" s="64" t="s">
        <v>46</v>
      </c>
      <c r="F496" s="31" t="s">
        <v>1132</v>
      </c>
      <c r="G496" s="31" t="s">
        <v>1220</v>
      </c>
      <c r="H496" s="31" t="s">
        <v>1220</v>
      </c>
      <c r="I496" s="31" t="s">
        <v>1220</v>
      </c>
      <c r="J496" s="31" t="s">
        <v>1220</v>
      </c>
      <c r="K496" s="31" t="s">
        <v>1220</v>
      </c>
      <c r="L496" s="31" t="s">
        <v>816</v>
      </c>
    </row>
    <row r="497" spans="1:12" ht="409.5">
      <c r="A497" s="62">
        <v>495</v>
      </c>
      <c r="B497" s="95"/>
      <c r="C497" s="94"/>
      <c r="D497" s="58" t="s">
        <v>763</v>
      </c>
      <c r="E497" s="64" t="s">
        <v>46</v>
      </c>
      <c r="F497" s="31" t="s">
        <v>1133</v>
      </c>
      <c r="G497" s="31" t="s">
        <v>1155</v>
      </c>
      <c r="H497" s="31" t="s">
        <v>1137</v>
      </c>
      <c r="I497" s="31" t="s">
        <v>1152</v>
      </c>
      <c r="J497" s="31" t="s">
        <v>815</v>
      </c>
      <c r="K497" s="31" t="s">
        <v>1237</v>
      </c>
      <c r="L497" s="31" t="s">
        <v>816</v>
      </c>
    </row>
  </sheetData>
  <autoFilter ref="A2:L497">
    <filterColumn colId="1" showButton="0"/>
  </autoFilter>
  <mergeCells count="92">
    <mergeCell ref="C450:C461"/>
    <mergeCell ref="C354:C365"/>
    <mergeCell ref="C366:C377"/>
    <mergeCell ref="C378:C389"/>
    <mergeCell ref="C438:C449"/>
    <mergeCell ref="C390:C401"/>
    <mergeCell ref="C402:C413"/>
    <mergeCell ref="C414:C425"/>
    <mergeCell ref="C426:C437"/>
    <mergeCell ref="B277:C287"/>
    <mergeCell ref="B288:B353"/>
    <mergeCell ref="C288:C298"/>
    <mergeCell ref="C299:C309"/>
    <mergeCell ref="C310:C320"/>
    <mergeCell ref="C321:C331"/>
    <mergeCell ref="C332:C342"/>
    <mergeCell ref="C343:C353"/>
    <mergeCell ref="B207:B232"/>
    <mergeCell ref="C207:C219"/>
    <mergeCell ref="C220:C232"/>
    <mergeCell ref="B233:B276"/>
    <mergeCell ref="C233:C243"/>
    <mergeCell ref="C244:C254"/>
    <mergeCell ref="C255:C265"/>
    <mergeCell ref="C266:C276"/>
    <mergeCell ref="C173:C206"/>
    <mergeCell ref="D174:D177"/>
    <mergeCell ref="D178:D181"/>
    <mergeCell ref="D183:D186"/>
    <mergeCell ref="D187:D190"/>
    <mergeCell ref="D191:D196"/>
    <mergeCell ref="D197:D200"/>
    <mergeCell ref="D201:D204"/>
    <mergeCell ref="C139:C172"/>
    <mergeCell ref="D140:D143"/>
    <mergeCell ref="D144:D147"/>
    <mergeCell ref="D149:D152"/>
    <mergeCell ref="D153:D156"/>
    <mergeCell ref="D157:D162"/>
    <mergeCell ref="D163:D166"/>
    <mergeCell ref="D167:D170"/>
    <mergeCell ref="C105:C138"/>
    <mergeCell ref="D106:D109"/>
    <mergeCell ref="D110:D113"/>
    <mergeCell ref="D115:D118"/>
    <mergeCell ref="D119:D122"/>
    <mergeCell ref="D123:D128"/>
    <mergeCell ref="D129:D132"/>
    <mergeCell ref="D133:D136"/>
    <mergeCell ref="D55:D60"/>
    <mergeCell ref="D61:D64"/>
    <mergeCell ref="D65:D68"/>
    <mergeCell ref="C71:C104"/>
    <mergeCell ref="D72:D75"/>
    <mergeCell ref="D76:D79"/>
    <mergeCell ref="D81:D84"/>
    <mergeCell ref="D85:D88"/>
    <mergeCell ref="D89:D94"/>
    <mergeCell ref="D95:D98"/>
    <mergeCell ref="D99:D102"/>
    <mergeCell ref="A1:L1"/>
    <mergeCell ref="B2:C2"/>
    <mergeCell ref="B3:B206"/>
    <mergeCell ref="C3:C36"/>
    <mergeCell ref="D4:D7"/>
    <mergeCell ref="D8:D11"/>
    <mergeCell ref="D13:D16"/>
    <mergeCell ref="D17:D20"/>
    <mergeCell ref="D21:D26"/>
    <mergeCell ref="D27:D30"/>
    <mergeCell ref="D31:D34"/>
    <mergeCell ref="C37:C70"/>
    <mergeCell ref="D38:D41"/>
    <mergeCell ref="D42:D45"/>
    <mergeCell ref="D47:D50"/>
    <mergeCell ref="D51:D54"/>
    <mergeCell ref="C462:C473"/>
    <mergeCell ref="C474:C485"/>
    <mergeCell ref="C486:C497"/>
    <mergeCell ref="B354:B497"/>
    <mergeCell ref="D492:D493"/>
    <mergeCell ref="D480:D481"/>
    <mergeCell ref="D468:D469"/>
    <mergeCell ref="D456:D457"/>
    <mergeCell ref="D444:D445"/>
    <mergeCell ref="D432:D433"/>
    <mergeCell ref="D420:D421"/>
    <mergeCell ref="D408:D409"/>
    <mergeCell ref="D396:D397"/>
    <mergeCell ref="D384:D385"/>
    <mergeCell ref="D372:D373"/>
    <mergeCell ref="D360:D361"/>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5">
      <c r="A1" s="1" t="s">
        <v>9</v>
      </c>
      <c r="B1" s="1" t="s">
        <v>243</v>
      </c>
      <c r="C1" s="4" t="s">
        <v>7</v>
      </c>
    </row>
    <row r="2" spans="1:5">
      <c r="A2" s="1" t="s">
        <v>8</v>
      </c>
      <c r="B2" s="1" t="s">
        <v>242</v>
      </c>
      <c r="C2" s="113" t="s">
        <v>261</v>
      </c>
    </row>
    <row r="3" spans="1:5">
      <c r="A3" s="1" t="s">
        <v>2</v>
      </c>
      <c r="B3" s="1">
        <v>2019</v>
      </c>
      <c r="C3" s="113"/>
    </row>
    <row r="4" spans="1:5">
      <c r="A4" s="1" t="s">
        <v>244</v>
      </c>
      <c r="B4" s="1">
        <v>10</v>
      </c>
      <c r="C4" s="4" t="s">
        <v>245</v>
      </c>
    </row>
    <row r="5" spans="1:5">
      <c r="A5" s="1" t="s">
        <v>246</v>
      </c>
      <c r="B5" s="1">
        <v>0</v>
      </c>
      <c r="C5" s="4" t="s">
        <v>245</v>
      </c>
    </row>
    <row r="6" spans="1:5">
      <c r="A6" s="1" t="s">
        <v>247</v>
      </c>
      <c r="B6" s="1">
        <v>100</v>
      </c>
      <c r="C6" s="4" t="s">
        <v>245</v>
      </c>
    </row>
    <row r="7" spans="1:5">
      <c r="A7" s="1" t="s">
        <v>248</v>
      </c>
      <c r="B7" s="14">
        <f>(B4+(B5*B6))/1000000000</f>
        <v>1E-8</v>
      </c>
      <c r="C7" s="4" t="s">
        <v>245</v>
      </c>
    </row>
    <row r="9" spans="1:5">
      <c r="A9" s="1" t="s">
        <v>61</v>
      </c>
      <c r="B9" s="1" t="s">
        <v>58</v>
      </c>
      <c r="C9" s="1" t="s">
        <v>38</v>
      </c>
      <c r="D9" s="5" t="s">
        <v>59</v>
      </c>
      <c r="E9" s="5" t="s">
        <v>63</v>
      </c>
    </row>
    <row r="10" spans="1:5">
      <c r="A10" s="1" t="s">
        <v>254</v>
      </c>
      <c r="B10" s="1" t="s">
        <v>249</v>
      </c>
      <c r="C10" s="16">
        <v>0.08</v>
      </c>
      <c r="D10" s="5">
        <f>C10*$B$7</f>
        <v>8.0000000000000003E-10</v>
      </c>
      <c r="E10" s="4" t="s">
        <v>259</v>
      </c>
    </row>
    <row r="11" spans="1:5" ht="30">
      <c r="A11" s="1" t="s">
        <v>255</v>
      </c>
      <c r="B11" s="1" t="s">
        <v>250</v>
      </c>
      <c r="C11" s="16">
        <f>(0.49/3)</f>
        <v>0.16333333333333333</v>
      </c>
      <c r="D11" s="5">
        <f>C11*$B$7</f>
        <v>1.6333333333333333E-9</v>
      </c>
      <c r="E11" s="4" t="s">
        <v>260</v>
      </c>
    </row>
    <row r="12" spans="1:5">
      <c r="A12" s="1" t="s">
        <v>256</v>
      </c>
      <c r="B12" s="1" t="s">
        <v>251</v>
      </c>
      <c r="C12" s="16">
        <f>(0.49/3)</f>
        <v>0.16333333333333333</v>
      </c>
      <c r="D12" s="5">
        <f>C12*$B$7</f>
        <v>1.6333333333333333E-9</v>
      </c>
      <c r="E12" s="4" t="s">
        <v>259</v>
      </c>
    </row>
    <row r="13" spans="1:5" ht="30">
      <c r="A13" s="1" t="s">
        <v>257</v>
      </c>
      <c r="B13" s="1" t="s">
        <v>252</v>
      </c>
      <c r="C13" s="16">
        <v>0.43</v>
      </c>
      <c r="D13" s="5">
        <f>C13*$B$7</f>
        <v>4.2999999999999996E-9</v>
      </c>
      <c r="E13" s="4" t="s">
        <v>260</v>
      </c>
    </row>
    <row r="14" spans="1:5" ht="30">
      <c r="A14" s="1" t="s">
        <v>258</v>
      </c>
      <c r="B14" s="1" t="s">
        <v>253</v>
      </c>
      <c r="C14" s="16">
        <f>(0.49/3)</f>
        <v>0.16333333333333333</v>
      </c>
      <c r="D14" s="5">
        <f>C14*$B$7</f>
        <v>1.6333333333333333E-9</v>
      </c>
      <c r="E14" s="4" t="s">
        <v>260</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zoomScale="70" zoomScaleNormal="70" workbookViewId="0">
      <selection activeCell="C2" sqref="C2:C3"/>
    </sheetView>
  </sheetViews>
  <sheetFormatPr defaultRowHeight="15"/>
  <cols>
    <col min="1" max="1" width="69.7109375" customWidth="1"/>
    <col min="2" max="2" width="73.5703125"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403</v>
      </c>
      <c r="C2" s="113" t="s">
        <v>402</v>
      </c>
    </row>
    <row r="3" spans="1:3">
      <c r="A3" s="1" t="s">
        <v>2</v>
      </c>
      <c r="B3" s="1">
        <v>2016</v>
      </c>
      <c r="C3" s="113"/>
    </row>
    <row r="4" spans="1:3">
      <c r="A4" s="1" t="s">
        <v>3</v>
      </c>
      <c r="B4" s="1">
        <v>0</v>
      </c>
      <c r="C4" s="4" t="s">
        <v>262</v>
      </c>
    </row>
    <row r="5" spans="1:3">
      <c r="A5" s="1" t="s">
        <v>1</v>
      </c>
      <c r="B5" s="1">
        <f>EXP(-B4*(B3-1993))</f>
        <v>1</v>
      </c>
      <c r="C5" s="4" t="s">
        <v>263</v>
      </c>
    </row>
    <row r="6" spans="1:3">
      <c r="A6" s="1" t="s">
        <v>4</v>
      </c>
      <c r="B6" s="1">
        <v>6.3445999999999997E-3</v>
      </c>
      <c r="C6" s="4" t="s">
        <v>262</v>
      </c>
    </row>
    <row r="7" spans="1:3">
      <c r="A7" s="1" t="s">
        <v>6</v>
      </c>
      <c r="B7" s="1">
        <f>24/24</f>
        <v>1</v>
      </c>
      <c r="C7" s="4" t="s">
        <v>50</v>
      </c>
    </row>
    <row r="8" spans="1:3">
      <c r="A8" s="1" t="s">
        <v>13</v>
      </c>
      <c r="B8" s="1">
        <v>0.51</v>
      </c>
      <c r="C8" s="4" t="s">
        <v>262</v>
      </c>
    </row>
    <row r="9" spans="1:3">
      <c r="A9" s="1" t="s">
        <v>5</v>
      </c>
      <c r="B9" s="1">
        <f>B7/B8</f>
        <v>1.9607843137254901</v>
      </c>
      <c r="C9" s="4" t="s">
        <v>263</v>
      </c>
    </row>
    <row r="10" spans="1:3">
      <c r="A10" s="1" t="s">
        <v>12</v>
      </c>
      <c r="B10" s="1">
        <v>1.1000000000000001</v>
      </c>
      <c r="C10" s="4" t="s">
        <v>262</v>
      </c>
    </row>
    <row r="11" spans="1:3">
      <c r="A11" s="1" t="s">
        <v>14</v>
      </c>
      <c r="B11" s="1">
        <v>71</v>
      </c>
      <c r="C11" s="4" t="s">
        <v>51</v>
      </c>
    </row>
    <row r="12" spans="1:3">
      <c r="A12" s="1" t="s">
        <v>15</v>
      </c>
      <c r="B12" s="1">
        <v>0</v>
      </c>
      <c r="C12" s="4" t="s">
        <v>264</v>
      </c>
    </row>
    <row r="13" spans="1:3">
      <c r="A13" s="1" t="s">
        <v>17</v>
      </c>
      <c r="B13" s="1">
        <f>EXP((-B10/0.00008617)*((1/(B11+B12+273))-(1/298)))</f>
        <v>307.42168405624136</v>
      </c>
      <c r="C13" s="4" t="s">
        <v>263</v>
      </c>
    </row>
    <row r="14" spans="1:3">
      <c r="A14" s="1" t="s">
        <v>18</v>
      </c>
      <c r="B14" s="1">
        <v>0.14323849999999999</v>
      </c>
      <c r="C14" s="4" t="s">
        <v>262</v>
      </c>
    </row>
    <row r="15" spans="1:3">
      <c r="A15" s="1" t="s">
        <v>19</v>
      </c>
      <c r="B15" s="1">
        <v>0.49</v>
      </c>
      <c r="C15" s="4" t="s">
        <v>262</v>
      </c>
    </row>
    <row r="16" spans="1:3">
      <c r="A16" s="1" t="s">
        <v>20</v>
      </c>
      <c r="B16" s="1">
        <f>(1-B7)/B15</f>
        <v>0</v>
      </c>
      <c r="C16" s="4" t="s">
        <v>263</v>
      </c>
    </row>
    <row r="17" spans="1:5">
      <c r="A17" s="1" t="s">
        <v>23</v>
      </c>
      <c r="B17" s="1">
        <v>1.1000000000000001</v>
      </c>
      <c r="C17" s="4" t="s">
        <v>262</v>
      </c>
    </row>
    <row r="18" spans="1:5">
      <c r="A18" s="1" t="s">
        <v>24</v>
      </c>
      <c r="B18" s="1">
        <v>14</v>
      </c>
      <c r="C18" s="4" t="s">
        <v>53</v>
      </c>
    </row>
    <row r="19" spans="1:5">
      <c r="A19" s="1" t="s">
        <v>99</v>
      </c>
      <c r="B19" s="3">
        <f>EXP((-B17/0.00008617)*((1/(B18+273))-(1/298)))</f>
        <v>0.19362323898568365</v>
      </c>
      <c r="C19" s="4" t="s">
        <v>263</v>
      </c>
    </row>
    <row r="20" spans="1:5">
      <c r="A20" s="1" t="s">
        <v>25</v>
      </c>
      <c r="B20" s="1">
        <v>1.09744E-2</v>
      </c>
      <c r="C20" s="4" t="s">
        <v>262</v>
      </c>
    </row>
    <row r="21" spans="1:5">
      <c r="A21" s="1" t="s">
        <v>26</v>
      </c>
      <c r="B21" s="1">
        <v>365</v>
      </c>
      <c r="C21" s="4" t="s">
        <v>54</v>
      </c>
    </row>
    <row r="22" spans="1:5">
      <c r="A22" s="1" t="s">
        <v>28</v>
      </c>
      <c r="B22" s="3">
        <v>500</v>
      </c>
      <c r="C22" s="4" t="s">
        <v>262</v>
      </c>
    </row>
    <row r="23" spans="1:5">
      <c r="A23" s="1" t="s">
        <v>27</v>
      </c>
      <c r="B23" s="3">
        <f>B21/B22</f>
        <v>0.73</v>
      </c>
      <c r="C23" s="4" t="s">
        <v>263</v>
      </c>
    </row>
    <row r="24" spans="1:5">
      <c r="A24" s="1" t="s">
        <v>30</v>
      </c>
      <c r="B24" s="3">
        <v>12.78</v>
      </c>
      <c r="C24" s="4" t="s">
        <v>262</v>
      </c>
    </row>
    <row r="25" spans="1:5">
      <c r="A25" s="1" t="s">
        <v>29</v>
      </c>
      <c r="B25" s="3">
        <f>POWER((B11+B12-B18)/B24,2)</f>
        <v>19.892437567502039</v>
      </c>
      <c r="C25" s="4" t="s">
        <v>263</v>
      </c>
    </row>
    <row r="26" spans="1:5">
      <c r="A26" s="1" t="s">
        <v>33</v>
      </c>
      <c r="B26" s="3">
        <v>2.47443E-2</v>
      </c>
      <c r="C26" s="4" t="s">
        <v>262</v>
      </c>
    </row>
    <row r="27" spans="1:5">
      <c r="A27" s="1" t="s">
        <v>34</v>
      </c>
      <c r="B27" s="3">
        <f>(B5*((B6*B9*B13)+(B14*B16*B19)+(B20*B23*B25)))+B26</f>
        <v>4.0085551309765819</v>
      </c>
      <c r="C27" s="4" t="s">
        <v>263</v>
      </c>
    </row>
    <row r="28" spans="1:5">
      <c r="A28" s="1" t="s">
        <v>35</v>
      </c>
      <c r="B28" s="3">
        <f>B27/1000000</f>
        <v>4.0085551309765821E-6</v>
      </c>
      <c r="C28" s="4" t="s">
        <v>36</v>
      </c>
    </row>
    <row r="30" spans="1:5">
      <c r="A30" s="7" t="s">
        <v>61</v>
      </c>
      <c r="B30" s="7" t="s">
        <v>58</v>
      </c>
      <c r="C30" s="7" t="s">
        <v>38</v>
      </c>
      <c r="D30" s="5" t="s">
        <v>59</v>
      </c>
      <c r="E30" s="5" t="s">
        <v>63</v>
      </c>
    </row>
    <row r="31" spans="1:5">
      <c r="A31" s="7" t="s">
        <v>284</v>
      </c>
      <c r="B31" s="7" t="s">
        <v>265</v>
      </c>
      <c r="C31" s="18">
        <f>0.55/7</f>
        <v>7.8571428571428584E-2</v>
      </c>
      <c r="D31" s="5">
        <f>C31*$B$28</f>
        <v>3.1495790314816006E-7</v>
      </c>
      <c r="E31" s="4" t="s">
        <v>310</v>
      </c>
    </row>
    <row r="32" spans="1:5">
      <c r="A32" s="7" t="s">
        <v>538</v>
      </c>
      <c r="B32" s="7" t="s">
        <v>540</v>
      </c>
      <c r="C32" s="18">
        <f>(0.26/9)/2</f>
        <v>1.4444444444444446E-2</v>
      </c>
      <c r="D32" s="5">
        <f t="shared" ref="D32:D40" si="0">C32*$B$28</f>
        <v>5.790135189188397E-8</v>
      </c>
      <c r="E32" s="4" t="s">
        <v>311</v>
      </c>
    </row>
    <row r="33" spans="1:5">
      <c r="A33" s="34" t="s">
        <v>539</v>
      </c>
      <c r="B33" s="34" t="s">
        <v>541</v>
      </c>
      <c r="C33" s="18">
        <f>(0.26/9)/2</f>
        <v>1.4444444444444446E-2</v>
      </c>
      <c r="D33" s="5">
        <f>C33*$B$28</f>
        <v>5.790135189188397E-8</v>
      </c>
      <c r="E33" s="4" t="s">
        <v>311</v>
      </c>
    </row>
    <row r="34" spans="1:5">
      <c r="A34" s="7" t="s">
        <v>543</v>
      </c>
      <c r="B34" s="7" t="s">
        <v>283</v>
      </c>
      <c r="C34" s="18">
        <f>0.19/3</f>
        <v>6.3333333333333339E-2</v>
      </c>
      <c r="D34" s="5">
        <f t="shared" si="0"/>
        <v>2.5387515829518358E-7</v>
      </c>
      <c r="E34" s="4" t="s">
        <v>312</v>
      </c>
    </row>
    <row r="35" spans="1:5" ht="30">
      <c r="A35" s="7" t="s">
        <v>285</v>
      </c>
      <c r="B35" s="7" t="s">
        <v>278</v>
      </c>
      <c r="C35" s="18">
        <v>0</v>
      </c>
      <c r="D35" s="5">
        <f t="shared" si="0"/>
        <v>0</v>
      </c>
      <c r="E35" s="4" t="s">
        <v>309</v>
      </c>
    </row>
    <row r="36" spans="1:5">
      <c r="A36" s="7" t="s">
        <v>286</v>
      </c>
      <c r="B36" s="7" t="s">
        <v>279</v>
      </c>
      <c r="C36" s="18">
        <f>0.19/3</f>
        <v>6.3333333333333339E-2</v>
      </c>
      <c r="D36" s="5">
        <f t="shared" si="0"/>
        <v>2.5387515829518358E-7</v>
      </c>
      <c r="E36" s="4" t="s">
        <v>312</v>
      </c>
    </row>
    <row r="37" spans="1:5" ht="30">
      <c r="A37" s="7" t="s">
        <v>287</v>
      </c>
      <c r="B37" s="7" t="s">
        <v>280</v>
      </c>
      <c r="C37" s="18">
        <v>0</v>
      </c>
      <c r="D37" s="5">
        <f t="shared" si="0"/>
        <v>0</v>
      </c>
      <c r="E37" s="4" t="s">
        <v>308</v>
      </c>
    </row>
    <row r="38" spans="1:5">
      <c r="A38" s="7" t="s">
        <v>288</v>
      </c>
      <c r="B38" s="7" t="s">
        <v>281</v>
      </c>
      <c r="C38" s="18">
        <f>0.19/3</f>
        <v>6.3333333333333339E-2</v>
      </c>
      <c r="D38" s="5">
        <f t="shared" si="0"/>
        <v>2.5387515829518358E-7</v>
      </c>
      <c r="E38" s="4" t="s">
        <v>312</v>
      </c>
    </row>
    <row r="39" spans="1:5" ht="30">
      <c r="A39" s="7" t="s">
        <v>289</v>
      </c>
      <c r="B39" s="7" t="s">
        <v>282</v>
      </c>
      <c r="C39" s="18">
        <v>0</v>
      </c>
      <c r="D39" s="5">
        <f t="shared" si="0"/>
        <v>0</v>
      </c>
      <c r="E39" s="4" t="s">
        <v>308</v>
      </c>
    </row>
    <row r="40" spans="1:5">
      <c r="A40" s="7" t="s">
        <v>549</v>
      </c>
      <c r="B40" s="7" t="s">
        <v>551</v>
      </c>
      <c r="C40" s="18">
        <f>(0.26/9)/2</f>
        <v>1.4444444444444446E-2</v>
      </c>
      <c r="D40" s="5">
        <f t="shared" si="0"/>
        <v>5.790135189188397E-8</v>
      </c>
      <c r="E40" s="4" t="s">
        <v>311</v>
      </c>
    </row>
    <row r="41" spans="1:5">
      <c r="A41" s="34" t="s">
        <v>550</v>
      </c>
      <c r="B41" s="34" t="s">
        <v>552</v>
      </c>
      <c r="C41" s="18">
        <f>(0.26/9)/2</f>
        <v>1.4444444444444446E-2</v>
      </c>
      <c r="D41" s="5">
        <f>C41*$B$28</f>
        <v>5.790135189188397E-8</v>
      </c>
      <c r="E41" s="4" t="s">
        <v>311</v>
      </c>
    </row>
    <row r="42" spans="1:5">
      <c r="A42" s="7" t="s">
        <v>553</v>
      </c>
      <c r="B42" s="7" t="s">
        <v>555</v>
      </c>
      <c r="C42" s="18">
        <f>(0.26/9)/2</f>
        <v>1.4444444444444446E-2</v>
      </c>
      <c r="D42" s="5">
        <f t="shared" ref="D42:D58" si="1">C42*$B$28</f>
        <v>5.790135189188397E-8</v>
      </c>
      <c r="E42" s="4" t="s">
        <v>311</v>
      </c>
    </row>
    <row r="43" spans="1:5">
      <c r="A43" s="34" t="s">
        <v>554</v>
      </c>
      <c r="B43" s="34" t="s">
        <v>556</v>
      </c>
      <c r="C43" s="18">
        <f>(0.26/9)/2</f>
        <v>1.4444444444444446E-2</v>
      </c>
      <c r="D43" s="5">
        <f>C43*$B$28</f>
        <v>5.790135189188397E-8</v>
      </c>
      <c r="E43" s="4" t="s">
        <v>311</v>
      </c>
    </row>
    <row r="44" spans="1:5">
      <c r="A44" s="7" t="s">
        <v>290</v>
      </c>
      <c r="B44" s="7" t="s">
        <v>266</v>
      </c>
      <c r="C44" s="18">
        <f>0.26/9</f>
        <v>2.8888888888888891E-2</v>
      </c>
      <c r="D44" s="5">
        <f t="shared" si="1"/>
        <v>1.1580270378376794E-7</v>
      </c>
      <c r="E44" s="4" t="s">
        <v>311</v>
      </c>
    </row>
    <row r="45" spans="1:5">
      <c r="A45" s="7" t="s">
        <v>291</v>
      </c>
      <c r="B45" s="7" t="s">
        <v>267</v>
      </c>
      <c r="C45" s="18">
        <f>0.55/7</f>
        <v>7.8571428571428584E-2</v>
      </c>
      <c r="D45" s="5">
        <f t="shared" si="1"/>
        <v>3.1495790314816006E-7</v>
      </c>
      <c r="E45" s="4" t="s">
        <v>310</v>
      </c>
    </row>
    <row r="46" spans="1:5">
      <c r="A46" s="7" t="s">
        <v>292</v>
      </c>
      <c r="B46" s="7" t="s">
        <v>268</v>
      </c>
      <c r="C46" s="18">
        <f>0.26/9</f>
        <v>2.8888888888888891E-2</v>
      </c>
      <c r="D46" s="5">
        <f t="shared" si="1"/>
        <v>1.1580270378376794E-7</v>
      </c>
      <c r="E46" s="4" t="s">
        <v>311</v>
      </c>
    </row>
    <row r="47" spans="1:5">
      <c r="A47" s="7" t="s">
        <v>293</v>
      </c>
      <c r="B47" s="7" t="s">
        <v>269</v>
      </c>
      <c r="C47" s="18">
        <f>0.55/7</f>
        <v>7.8571428571428584E-2</v>
      </c>
      <c r="D47" s="5">
        <f t="shared" si="1"/>
        <v>3.1495790314816006E-7</v>
      </c>
      <c r="E47" s="4" t="s">
        <v>310</v>
      </c>
    </row>
    <row r="48" spans="1:5">
      <c r="A48" s="7" t="s">
        <v>294</v>
      </c>
      <c r="B48" s="7" t="s">
        <v>270</v>
      </c>
      <c r="C48" s="18">
        <f>0.26/9</f>
        <v>2.8888888888888891E-2</v>
      </c>
      <c r="D48" s="5">
        <f t="shared" si="1"/>
        <v>1.1580270378376794E-7</v>
      </c>
      <c r="E48" s="4" t="s">
        <v>311</v>
      </c>
    </row>
    <row r="49" spans="1:5">
      <c r="A49" s="7" t="s">
        <v>349</v>
      </c>
      <c r="B49" s="7" t="s">
        <v>271</v>
      </c>
      <c r="C49" s="18">
        <f>0.26/9</f>
        <v>2.8888888888888891E-2</v>
      </c>
      <c r="D49" s="5">
        <f t="shared" si="1"/>
        <v>1.1580270378376794E-7</v>
      </c>
      <c r="E49" s="4" t="s">
        <v>311</v>
      </c>
    </row>
    <row r="50" spans="1:5">
      <c r="A50" s="7" t="s">
        <v>295</v>
      </c>
      <c r="B50" s="7" t="s">
        <v>297</v>
      </c>
      <c r="C50" s="18">
        <f>0.55/7</f>
        <v>7.8571428571428584E-2</v>
      </c>
      <c r="D50" s="5">
        <f t="shared" si="1"/>
        <v>3.1495790314816006E-7</v>
      </c>
      <c r="E50" s="4" t="s">
        <v>310</v>
      </c>
    </row>
    <row r="51" spans="1:5">
      <c r="A51" s="7" t="s">
        <v>296</v>
      </c>
      <c r="B51" s="7" t="s">
        <v>298</v>
      </c>
      <c r="C51" s="18">
        <f>0.26/9</f>
        <v>2.8888888888888891E-2</v>
      </c>
      <c r="D51" s="5">
        <f t="shared" si="1"/>
        <v>1.1580270378376794E-7</v>
      </c>
      <c r="E51" s="4" t="s">
        <v>311</v>
      </c>
    </row>
    <row r="52" spans="1:5">
      <c r="A52" s="7" t="s">
        <v>299</v>
      </c>
      <c r="B52" s="7" t="s">
        <v>272</v>
      </c>
      <c r="C52" s="18">
        <f>0.55/7</f>
        <v>7.8571428571428584E-2</v>
      </c>
      <c r="D52" s="5">
        <f t="shared" si="1"/>
        <v>3.1495790314816006E-7</v>
      </c>
      <c r="E52" s="4" t="s">
        <v>310</v>
      </c>
    </row>
    <row r="53" spans="1:5">
      <c r="A53" s="7" t="s">
        <v>300</v>
      </c>
      <c r="B53" s="7" t="s">
        <v>273</v>
      </c>
      <c r="C53" s="18">
        <f>0.26/9</f>
        <v>2.8888888888888891E-2</v>
      </c>
      <c r="D53" s="5">
        <f t="shared" si="1"/>
        <v>1.1580270378376794E-7</v>
      </c>
      <c r="E53" s="4" t="s">
        <v>311</v>
      </c>
    </row>
    <row r="54" spans="1:5">
      <c r="A54" s="7" t="s">
        <v>301</v>
      </c>
      <c r="B54" s="7" t="s">
        <v>274</v>
      </c>
      <c r="C54" s="18">
        <f>0.55/7</f>
        <v>7.8571428571428584E-2</v>
      </c>
      <c r="D54" s="5">
        <f t="shared" si="1"/>
        <v>3.1495790314816006E-7</v>
      </c>
      <c r="E54" s="4" t="s">
        <v>310</v>
      </c>
    </row>
    <row r="55" spans="1:5">
      <c r="A55" s="7" t="s">
        <v>302</v>
      </c>
      <c r="B55" s="7" t="s">
        <v>275</v>
      </c>
      <c r="C55" s="18">
        <f>0.55/7</f>
        <v>7.8571428571428584E-2</v>
      </c>
      <c r="D55" s="5">
        <f t="shared" si="1"/>
        <v>3.1495790314816006E-7</v>
      </c>
      <c r="E55" s="4" t="s">
        <v>310</v>
      </c>
    </row>
    <row r="56" spans="1:5" ht="30">
      <c r="A56" s="7" t="s">
        <v>303</v>
      </c>
      <c r="B56" s="7" t="s">
        <v>306</v>
      </c>
      <c r="C56" s="18">
        <v>0</v>
      </c>
      <c r="D56" s="5">
        <f t="shared" si="1"/>
        <v>0</v>
      </c>
      <c r="E56" s="4" t="s">
        <v>307</v>
      </c>
    </row>
    <row r="57" spans="1:5" ht="30">
      <c r="A57" s="7" t="s">
        <v>304</v>
      </c>
      <c r="B57" s="7" t="s">
        <v>277</v>
      </c>
      <c r="C57" s="18">
        <v>0</v>
      </c>
      <c r="D57" s="5">
        <f t="shared" si="1"/>
        <v>0</v>
      </c>
      <c r="E57" s="4" t="s">
        <v>307</v>
      </c>
    </row>
    <row r="58" spans="1:5" ht="30">
      <c r="A58" s="7" t="s">
        <v>305</v>
      </c>
      <c r="B58" s="7" t="s">
        <v>276</v>
      </c>
      <c r="C58" s="18">
        <v>0</v>
      </c>
      <c r="D58" s="5">
        <f t="shared" si="1"/>
        <v>0</v>
      </c>
      <c r="E58" s="4" t="s">
        <v>307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 t="s">
        <v>9</v>
      </c>
      <c r="B1" s="1" t="s">
        <v>0</v>
      </c>
      <c r="C1" s="4" t="s">
        <v>7</v>
      </c>
    </row>
    <row r="2" spans="1:3">
      <c r="A2" s="1" t="s">
        <v>8</v>
      </c>
      <c r="B2" s="1" t="s">
        <v>337</v>
      </c>
      <c r="C2" s="113" t="s">
        <v>338</v>
      </c>
    </row>
    <row r="3" spans="1:3">
      <c r="A3" s="1" t="s">
        <v>2</v>
      </c>
      <c r="B3" s="1">
        <v>2020</v>
      </c>
      <c r="C3" s="113"/>
    </row>
    <row r="4" spans="1:3">
      <c r="A4" s="1" t="s">
        <v>3</v>
      </c>
      <c r="B4" s="1">
        <v>0.223</v>
      </c>
      <c r="C4" s="4" t="s">
        <v>93</v>
      </c>
    </row>
    <row r="5" spans="1:3">
      <c r="A5" s="1" t="s">
        <v>1</v>
      </c>
      <c r="B5" s="1">
        <f>EXP(-B4*(B3-1993))</f>
        <v>2.427241139859526E-3</v>
      </c>
      <c r="C5" s="4" t="s">
        <v>94</v>
      </c>
    </row>
    <row r="6" spans="1:3">
      <c r="A6" s="1" t="s">
        <v>4</v>
      </c>
      <c r="B6" s="1">
        <v>6.1600000000000007E-5</v>
      </c>
      <c r="C6" s="4" t="s">
        <v>93</v>
      </c>
    </row>
    <row r="7" spans="1:3">
      <c r="A7" s="1" t="s">
        <v>6</v>
      </c>
      <c r="B7" s="1">
        <f>24/24</f>
        <v>1</v>
      </c>
      <c r="C7" s="4" t="s">
        <v>50</v>
      </c>
    </row>
    <row r="8" spans="1:3">
      <c r="A8" s="1" t="s">
        <v>13</v>
      </c>
      <c r="B8" s="1">
        <v>0.23</v>
      </c>
      <c r="C8" s="4" t="s">
        <v>93</v>
      </c>
    </row>
    <row r="9" spans="1:3">
      <c r="A9" s="1" t="s">
        <v>5</v>
      </c>
      <c r="B9" s="1">
        <f>B7/B8</f>
        <v>4.3478260869565215</v>
      </c>
      <c r="C9" s="4" t="s">
        <v>94</v>
      </c>
    </row>
    <row r="10" spans="1:3">
      <c r="A10" s="1" t="s">
        <v>12</v>
      </c>
      <c r="B10" s="1">
        <v>0.3</v>
      </c>
      <c r="C10" s="4" t="s">
        <v>93</v>
      </c>
    </row>
    <row r="11" spans="1:3">
      <c r="A11" s="1" t="s">
        <v>14</v>
      </c>
      <c r="B11" s="1">
        <v>71</v>
      </c>
      <c r="C11" s="4" t="s">
        <v>51</v>
      </c>
    </row>
    <row r="12" spans="1:3">
      <c r="A12" s="1" t="s">
        <v>15</v>
      </c>
      <c r="B12" s="1">
        <v>60</v>
      </c>
      <c r="C12" s="4" t="s">
        <v>95</v>
      </c>
    </row>
    <row r="13" spans="1:3">
      <c r="A13" s="1" t="s">
        <v>17</v>
      </c>
      <c r="B13" s="1">
        <f>EXP((-B10/0.00008617)*((1/(B11+B12+273))-(1/298)))</f>
        <v>21.440955737143941</v>
      </c>
      <c r="C13" s="4" t="s">
        <v>94</v>
      </c>
    </row>
    <row r="14" spans="1:3">
      <c r="A14" s="1" t="s">
        <v>97</v>
      </c>
      <c r="B14" s="1">
        <v>29</v>
      </c>
      <c r="C14" s="4" t="s">
        <v>98</v>
      </c>
    </row>
    <row r="15" spans="1:3">
      <c r="A15" s="1" t="s">
        <v>96</v>
      </c>
      <c r="B15" s="1">
        <f>POWER(B14, 2.43)/0.185</f>
        <v>19339.952651167132</v>
      </c>
      <c r="C15" s="4" t="s">
        <v>94</v>
      </c>
    </row>
    <row r="16" spans="1:3">
      <c r="A16" s="1" t="s">
        <v>18</v>
      </c>
      <c r="B16" s="1">
        <v>3.0800000000000003E-5</v>
      </c>
      <c r="C16" s="4" t="s">
        <v>93</v>
      </c>
    </row>
    <row r="17" spans="1:3">
      <c r="A17" s="1" t="s">
        <v>19</v>
      </c>
      <c r="B17" s="1">
        <v>0.77</v>
      </c>
      <c r="C17" s="4" t="s">
        <v>93</v>
      </c>
    </row>
    <row r="18" spans="1:3">
      <c r="A18" s="1" t="s">
        <v>20</v>
      </c>
      <c r="B18" s="1">
        <f>(1-B7)/B17</f>
        <v>0</v>
      </c>
      <c r="C18" s="4" t="s">
        <v>94</v>
      </c>
    </row>
    <row r="19" spans="1:3">
      <c r="A19" s="1" t="s">
        <v>23</v>
      </c>
      <c r="B19" s="1">
        <v>0.4</v>
      </c>
      <c r="C19" s="4" t="s">
        <v>93</v>
      </c>
    </row>
    <row r="20" spans="1:3">
      <c r="A20" s="1" t="s">
        <v>24</v>
      </c>
      <c r="B20" s="1">
        <v>14</v>
      </c>
      <c r="C20" s="4" t="s">
        <v>53</v>
      </c>
    </row>
    <row r="21" spans="1:3">
      <c r="A21" s="1" t="s">
        <v>99</v>
      </c>
      <c r="B21" s="3">
        <f>EXP((-B19/0.00008617)*((1/(B20+273))-(1/298)))</f>
        <v>0.55044231312358938</v>
      </c>
      <c r="C21" s="4" t="s">
        <v>94</v>
      </c>
    </row>
    <row r="22" spans="1:3">
      <c r="A22" s="1" t="s">
        <v>25</v>
      </c>
      <c r="B22" s="1">
        <v>9.7999999999999997E-5</v>
      </c>
      <c r="C22" s="4" t="s">
        <v>93</v>
      </c>
    </row>
    <row r="23" spans="1:3">
      <c r="A23" s="1" t="s">
        <v>26</v>
      </c>
      <c r="B23" s="1">
        <v>365</v>
      </c>
      <c r="C23" s="4" t="s">
        <v>54</v>
      </c>
    </row>
    <row r="24" spans="1:3">
      <c r="A24" s="1" t="s">
        <v>28</v>
      </c>
      <c r="B24" s="3">
        <v>736.84</v>
      </c>
      <c r="C24" s="4" t="s">
        <v>93</v>
      </c>
    </row>
    <row r="25" spans="1:3">
      <c r="A25" s="7" t="s">
        <v>27</v>
      </c>
      <c r="B25" s="8">
        <f>B23/B24</f>
        <v>0.495358558167309</v>
      </c>
      <c r="C25" s="9" t="s">
        <v>94</v>
      </c>
    </row>
    <row r="26" spans="1:3">
      <c r="A26" s="7" t="s">
        <v>30</v>
      </c>
      <c r="B26" s="8">
        <v>80</v>
      </c>
      <c r="C26" s="9" t="s">
        <v>93</v>
      </c>
    </row>
    <row r="27" spans="1:3">
      <c r="A27" s="7" t="s">
        <v>29</v>
      </c>
      <c r="B27" s="8">
        <f>POWER((B11+B12-B20)/B26,2)</f>
        <v>2.1389062499999998</v>
      </c>
      <c r="C27" s="9" t="s">
        <v>94</v>
      </c>
    </row>
    <row r="28" spans="1:3">
      <c r="A28" s="1" t="s">
        <v>31</v>
      </c>
      <c r="B28" s="3">
        <v>2.0999999999999999E-3</v>
      </c>
      <c r="C28" s="4" t="s">
        <v>93</v>
      </c>
    </row>
    <row r="29" spans="1:3">
      <c r="A29" s="1" t="s">
        <v>32</v>
      </c>
      <c r="B29" s="3">
        <f>POWER((B11+B12-B20)/44,2.26)</f>
        <v>9.117945640436897</v>
      </c>
      <c r="C29" s="4" t="s">
        <v>94</v>
      </c>
    </row>
    <row r="30" spans="1:3">
      <c r="A30" s="1" t="s">
        <v>33</v>
      </c>
      <c r="B30" s="3">
        <v>3.6000000000000002E-4</v>
      </c>
      <c r="C30" s="4" t="s">
        <v>93</v>
      </c>
    </row>
    <row r="31" spans="1:3">
      <c r="A31" s="1" t="s">
        <v>34</v>
      </c>
      <c r="B31" s="3">
        <f>(B5*((B6*B9*B13*B15)+(B16*B18*B21)+(B22*B25*B27)))+B28*B29+B30</f>
        <v>0.2890740825129946</v>
      </c>
      <c r="C31" s="4" t="s">
        <v>94</v>
      </c>
    </row>
    <row r="32" spans="1:3">
      <c r="A32" s="1" t="s">
        <v>35</v>
      </c>
      <c r="B32" s="3">
        <f>B31/1000000</f>
        <v>2.8907408251299462E-7</v>
      </c>
      <c r="C32" s="4" t="s">
        <v>36</v>
      </c>
    </row>
    <row r="34" spans="1:5">
      <c r="A34" s="1" t="s">
        <v>61</v>
      </c>
      <c r="B34" s="1" t="s">
        <v>58</v>
      </c>
      <c r="C34" s="1" t="s">
        <v>38</v>
      </c>
      <c r="D34" s="5" t="s">
        <v>59</v>
      </c>
      <c r="E34" s="5" t="s">
        <v>63</v>
      </c>
    </row>
    <row r="35" spans="1:5">
      <c r="A35" s="1" t="s">
        <v>85</v>
      </c>
      <c r="B35" s="1" t="s">
        <v>89</v>
      </c>
      <c r="C35" s="16">
        <v>0.28999999999999998</v>
      </c>
      <c r="D35" s="5">
        <f>C35*$B$32</f>
        <v>8.3831483928768434E-8</v>
      </c>
      <c r="E35" s="4" t="s">
        <v>107</v>
      </c>
    </row>
    <row r="36" spans="1:5">
      <c r="A36" s="1" t="s">
        <v>87</v>
      </c>
      <c r="B36" s="1" t="s">
        <v>129</v>
      </c>
      <c r="C36" s="16">
        <v>0.51</v>
      </c>
      <c r="D36" s="5">
        <f t="shared" ref="D36:D43" si="0">C36*$B$32</f>
        <v>1.4742778208162726E-7</v>
      </c>
      <c r="E36" s="4" t="s">
        <v>107</v>
      </c>
    </row>
    <row r="37" spans="1:5">
      <c r="A37" s="1" t="s">
        <v>325</v>
      </c>
      <c r="B37" s="1" t="s">
        <v>112</v>
      </c>
      <c r="C37" s="16">
        <v>3.3333333333333333E-2</v>
      </c>
      <c r="D37" s="5">
        <f t="shared" si="0"/>
        <v>9.6358027504331533E-9</v>
      </c>
      <c r="E37" s="4" t="s">
        <v>107</v>
      </c>
    </row>
    <row r="38" spans="1:5">
      <c r="A38" s="1" t="s">
        <v>326</v>
      </c>
      <c r="B38" s="1" t="s">
        <v>331</v>
      </c>
      <c r="C38" s="16">
        <v>3.3333333333333333E-2</v>
      </c>
      <c r="D38" s="5">
        <f t="shared" si="0"/>
        <v>9.6358027504331533E-9</v>
      </c>
      <c r="E38" s="4" t="s">
        <v>107</v>
      </c>
    </row>
    <row r="39" spans="1:5">
      <c r="A39" s="1" t="s">
        <v>327</v>
      </c>
      <c r="B39" s="1" t="s">
        <v>332</v>
      </c>
      <c r="C39" s="16">
        <v>3.3333333333333333E-2</v>
      </c>
      <c r="D39" s="5">
        <f t="shared" si="0"/>
        <v>9.6358027504331533E-9</v>
      </c>
      <c r="E39" s="4" t="s">
        <v>107</v>
      </c>
    </row>
    <row r="40" spans="1:5">
      <c r="A40" s="1" t="s">
        <v>328</v>
      </c>
      <c r="B40" s="1" t="s">
        <v>333</v>
      </c>
      <c r="C40" s="16">
        <v>3.3333333333333333E-2</v>
      </c>
      <c r="D40" s="5">
        <f t="shared" si="0"/>
        <v>9.6358027504331533E-9</v>
      </c>
      <c r="E40" s="4" t="s">
        <v>107</v>
      </c>
    </row>
    <row r="41" spans="1:5">
      <c r="A41" s="1" t="s">
        <v>329</v>
      </c>
      <c r="B41" s="1" t="s">
        <v>334</v>
      </c>
      <c r="C41" s="16">
        <v>3.3333333333333333E-2</v>
      </c>
      <c r="D41" s="5">
        <f t="shared" si="0"/>
        <v>9.6358027504331533E-9</v>
      </c>
      <c r="E41" s="4" t="s">
        <v>107</v>
      </c>
    </row>
    <row r="42" spans="1:5">
      <c r="A42" s="1" t="s">
        <v>330</v>
      </c>
      <c r="B42" s="1" t="s">
        <v>335</v>
      </c>
      <c r="C42" s="16">
        <v>3.3333333333333333E-2</v>
      </c>
      <c r="D42" s="5">
        <f t="shared" si="0"/>
        <v>9.6358027504331533E-9</v>
      </c>
      <c r="E42" s="4" t="s">
        <v>107</v>
      </c>
    </row>
    <row r="43" spans="1:5">
      <c r="A43" s="1" t="s">
        <v>106</v>
      </c>
      <c r="B43" s="1" t="s">
        <v>336</v>
      </c>
      <c r="C43" s="16">
        <v>0</v>
      </c>
      <c r="D43" s="5">
        <f t="shared" si="0"/>
        <v>0</v>
      </c>
      <c r="E43"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1" t="s">
        <v>9</v>
      </c>
      <c r="B1" s="1" t="s">
        <v>0</v>
      </c>
      <c r="C1" s="4" t="s">
        <v>7</v>
      </c>
    </row>
    <row r="2" spans="1:3">
      <c r="A2" s="1" t="s">
        <v>8</v>
      </c>
      <c r="B2" s="1" t="s">
        <v>91</v>
      </c>
      <c r="C2" s="113" t="s">
        <v>92</v>
      </c>
    </row>
    <row r="3" spans="1:3">
      <c r="A3" s="1" t="s">
        <v>2</v>
      </c>
      <c r="B3" s="1">
        <v>2021</v>
      </c>
      <c r="C3" s="113"/>
    </row>
    <row r="4" spans="1:3">
      <c r="A4" s="1" t="s">
        <v>3</v>
      </c>
      <c r="B4" s="1">
        <v>0.15</v>
      </c>
      <c r="C4" s="4" t="s">
        <v>93</v>
      </c>
    </row>
    <row r="5" spans="1:3">
      <c r="A5" s="1" t="s">
        <v>1</v>
      </c>
      <c r="B5" s="1">
        <f>EXP(-B4*(B3-1993))</f>
        <v>1.4995576820477703E-2</v>
      </c>
      <c r="C5" s="4" t="s">
        <v>94</v>
      </c>
    </row>
    <row r="6" spans="1:3">
      <c r="A6" s="1" t="s">
        <v>4</v>
      </c>
      <c r="B6" s="1">
        <v>4.102E-4</v>
      </c>
      <c r="C6" s="4" t="s">
        <v>93</v>
      </c>
    </row>
    <row r="7" spans="1:3">
      <c r="A7" s="1" t="s">
        <v>6</v>
      </c>
      <c r="B7" s="1">
        <f>24/24</f>
        <v>1</v>
      </c>
      <c r="C7" s="4" t="s">
        <v>50</v>
      </c>
    </row>
    <row r="8" spans="1:3">
      <c r="A8" s="1" t="s">
        <v>13</v>
      </c>
      <c r="B8" s="1">
        <v>0.23</v>
      </c>
      <c r="C8" s="4" t="s">
        <v>93</v>
      </c>
    </row>
    <row r="9" spans="1:3">
      <c r="A9" s="1" t="s">
        <v>5</v>
      </c>
      <c r="B9" s="1">
        <f>B7/B8</f>
        <v>4.3478260869565215</v>
      </c>
      <c r="C9" s="4" t="s">
        <v>94</v>
      </c>
    </row>
    <row r="10" spans="1:3">
      <c r="A10" s="1" t="s">
        <v>12</v>
      </c>
      <c r="B10" s="1">
        <v>0.2</v>
      </c>
      <c r="C10" s="4" t="s">
        <v>93</v>
      </c>
    </row>
    <row r="11" spans="1:3">
      <c r="A11" s="1" t="s">
        <v>14</v>
      </c>
      <c r="B11" s="1">
        <v>71</v>
      </c>
      <c r="C11" s="4" t="s">
        <v>51</v>
      </c>
    </row>
    <row r="12" spans="1:3">
      <c r="A12" s="1" t="s">
        <v>15</v>
      </c>
      <c r="B12" s="1">
        <v>60</v>
      </c>
      <c r="C12" s="4" t="s">
        <v>95</v>
      </c>
    </row>
    <row r="13" spans="1:3">
      <c r="A13" s="1" t="s">
        <v>17</v>
      </c>
      <c r="B13" s="1">
        <f>EXP((-B10/0.00008617)*((1/(B11+B12+273))-(1/298)))</f>
        <v>7.7178457332731929</v>
      </c>
      <c r="C13" s="4" t="s">
        <v>94</v>
      </c>
    </row>
    <row r="14" spans="1:3">
      <c r="A14" s="1" t="s">
        <v>97</v>
      </c>
      <c r="B14" s="1">
        <v>29</v>
      </c>
      <c r="C14" s="4" t="s">
        <v>98</v>
      </c>
    </row>
    <row r="15" spans="1:3">
      <c r="A15" s="1" t="s">
        <v>96</v>
      </c>
      <c r="B15" s="1">
        <f>POWER(B14, 2.43)/0.185</f>
        <v>19339.952651167132</v>
      </c>
      <c r="C15" s="4" t="s">
        <v>94</v>
      </c>
    </row>
    <row r="16" spans="1:3">
      <c r="A16" s="1" t="s">
        <v>18</v>
      </c>
      <c r="B16" s="1">
        <v>9.859999999999999E-4</v>
      </c>
      <c r="C16" s="4" t="s">
        <v>93</v>
      </c>
    </row>
    <row r="17" spans="1:3">
      <c r="A17" s="1" t="s">
        <v>19</v>
      </c>
      <c r="B17" s="1">
        <v>0.77</v>
      </c>
      <c r="C17" s="4" t="s">
        <v>93</v>
      </c>
    </row>
    <row r="18" spans="1:3">
      <c r="A18" s="1" t="s">
        <v>20</v>
      </c>
      <c r="B18" s="1">
        <f>(1-B7)/B17</f>
        <v>0</v>
      </c>
      <c r="C18" s="4" t="s">
        <v>94</v>
      </c>
    </row>
    <row r="19" spans="1:3">
      <c r="A19" s="1" t="s">
        <v>23</v>
      </c>
      <c r="B19" s="1">
        <v>0.3</v>
      </c>
      <c r="C19" s="4" t="s">
        <v>93</v>
      </c>
    </row>
    <row r="20" spans="1:3">
      <c r="A20" s="1" t="s">
        <v>24</v>
      </c>
      <c r="B20" s="1">
        <v>14</v>
      </c>
      <c r="C20" s="4" t="s">
        <v>53</v>
      </c>
    </row>
    <row r="21" spans="1:3">
      <c r="A21" s="1" t="s">
        <v>99</v>
      </c>
      <c r="B21" s="3">
        <f>EXP((-B19/0.00008617)*((1/(B20+273))-(1/298)))</f>
        <v>0.63904855683312856</v>
      </c>
      <c r="C21" s="4" t="s">
        <v>94</v>
      </c>
    </row>
    <row r="22" spans="1:3">
      <c r="A22" s="1" t="s">
        <v>25</v>
      </c>
      <c r="B22" s="1">
        <v>3.1999999999999999E-5</v>
      </c>
      <c r="C22" s="4" t="s">
        <v>93</v>
      </c>
    </row>
    <row r="23" spans="1:3">
      <c r="A23" s="1" t="s">
        <v>26</v>
      </c>
      <c r="B23" s="1">
        <v>365</v>
      </c>
      <c r="C23" s="4" t="s">
        <v>54</v>
      </c>
    </row>
    <row r="24" spans="1:3">
      <c r="A24" s="1" t="s">
        <v>28</v>
      </c>
      <c r="B24" s="3">
        <v>736.84</v>
      </c>
      <c r="C24" s="4" t="s">
        <v>93</v>
      </c>
    </row>
    <row r="25" spans="1:3">
      <c r="A25" s="7" t="s">
        <v>27</v>
      </c>
      <c r="B25" s="8">
        <f>B23/B24</f>
        <v>0.495358558167309</v>
      </c>
      <c r="C25" s="9" t="s">
        <v>94</v>
      </c>
    </row>
    <row r="26" spans="1:3">
      <c r="A26" s="7" t="s">
        <v>30</v>
      </c>
      <c r="B26" s="8">
        <v>80</v>
      </c>
      <c r="C26" s="9" t="s">
        <v>93</v>
      </c>
    </row>
    <row r="27" spans="1:3">
      <c r="A27" s="7" t="s">
        <v>29</v>
      </c>
      <c r="B27" s="8">
        <f>POWER((B11+B12-B20)/B26,2)</f>
        <v>2.1389062499999998</v>
      </c>
      <c r="C27" s="9" t="s">
        <v>94</v>
      </c>
    </row>
    <row r="28" spans="1:3">
      <c r="A28" s="1" t="s">
        <v>31</v>
      </c>
      <c r="B28" s="3">
        <v>2.0999999999999999E-3</v>
      </c>
      <c r="C28" s="4" t="s">
        <v>93</v>
      </c>
    </row>
    <row r="29" spans="1:3">
      <c r="A29" s="1" t="s">
        <v>32</v>
      </c>
      <c r="B29" s="3">
        <f>POWER((B11+B12-B20)/44,2.26)</f>
        <v>9.117945640436897</v>
      </c>
      <c r="C29" s="4" t="s">
        <v>94</v>
      </c>
    </row>
    <row r="30" spans="1:3">
      <c r="A30" s="1" t="s">
        <v>33</v>
      </c>
      <c r="B30" s="3">
        <v>2.2599999999999999E-3</v>
      </c>
      <c r="C30" s="4" t="s">
        <v>93</v>
      </c>
    </row>
    <row r="31" spans="1:3">
      <c r="A31" s="1" t="s">
        <v>34</v>
      </c>
      <c r="B31" s="3">
        <f>(B5*((B6*B9*B13*B15)+(B16*B18*B21)+(B22*B25*B27)))+B28*B29+B30</f>
        <v>4.0133343232122112</v>
      </c>
      <c r="C31" s="4" t="s">
        <v>94</v>
      </c>
    </row>
    <row r="32" spans="1:3">
      <c r="A32" s="1" t="s">
        <v>35</v>
      </c>
      <c r="B32" s="3">
        <f>B31/1000000</f>
        <v>4.0133343232122108E-6</v>
      </c>
      <c r="C32" s="4" t="s">
        <v>36</v>
      </c>
    </row>
    <row r="34" spans="1:5">
      <c r="A34" s="1" t="s">
        <v>61</v>
      </c>
      <c r="B34" s="1" t="s">
        <v>58</v>
      </c>
      <c r="C34" s="1" t="s">
        <v>38</v>
      </c>
      <c r="D34" s="5" t="s">
        <v>59</v>
      </c>
      <c r="E34" s="5" t="s">
        <v>63</v>
      </c>
    </row>
    <row r="35" spans="1:5">
      <c r="A35" s="1" t="s">
        <v>85</v>
      </c>
      <c r="B35" s="1" t="s">
        <v>89</v>
      </c>
      <c r="C35" s="16">
        <v>0.45</v>
      </c>
      <c r="D35" s="5">
        <f>C35*$B$32</f>
        <v>1.8060004454454948E-6</v>
      </c>
      <c r="E35" s="4" t="s">
        <v>107</v>
      </c>
    </row>
    <row r="36" spans="1:5">
      <c r="A36" s="1" t="s">
        <v>87</v>
      </c>
      <c r="B36" s="1" t="s">
        <v>129</v>
      </c>
      <c r="C36" s="16">
        <v>0.2</v>
      </c>
      <c r="D36" s="5">
        <f t="shared" ref="D36:D45" si="0">C36*$B$32</f>
        <v>8.0266686464244223E-7</v>
      </c>
      <c r="E36" s="4" t="s">
        <v>107</v>
      </c>
    </row>
    <row r="37" spans="1:5">
      <c r="A37" s="1" t="s">
        <v>108</v>
      </c>
      <c r="B37" s="1" t="s">
        <v>110</v>
      </c>
      <c r="C37" s="16">
        <v>4.3749999999999997E-2</v>
      </c>
      <c r="D37" s="5">
        <f t="shared" si="0"/>
        <v>1.7558337664053421E-7</v>
      </c>
      <c r="E37" s="4" t="s">
        <v>107</v>
      </c>
    </row>
    <row r="38" spans="1:5">
      <c r="A38" s="1" t="s">
        <v>109</v>
      </c>
      <c r="B38" s="1" t="s">
        <v>111</v>
      </c>
      <c r="C38" s="16">
        <v>4.3749999999999997E-2</v>
      </c>
      <c r="D38" s="5">
        <f t="shared" si="0"/>
        <v>1.7558337664053421E-7</v>
      </c>
      <c r="E38" s="4" t="s">
        <v>107</v>
      </c>
    </row>
    <row r="39" spans="1:5">
      <c r="A39" s="1" t="s">
        <v>100</v>
      </c>
      <c r="B39" s="1" t="s">
        <v>112</v>
      </c>
      <c r="C39" s="16">
        <v>4.3749999999999997E-2</v>
      </c>
      <c r="D39" s="5">
        <f t="shared" si="0"/>
        <v>1.7558337664053421E-7</v>
      </c>
      <c r="E39" s="4" t="s">
        <v>107</v>
      </c>
    </row>
    <row r="40" spans="1:5">
      <c r="A40" s="1" t="s">
        <v>101</v>
      </c>
      <c r="B40" s="1" t="s">
        <v>113</v>
      </c>
      <c r="C40" s="16">
        <v>4.3749999999999997E-2</v>
      </c>
      <c r="D40" s="5">
        <f t="shared" si="0"/>
        <v>1.7558337664053421E-7</v>
      </c>
      <c r="E40" s="4" t="s">
        <v>107</v>
      </c>
    </row>
    <row r="41" spans="1:5">
      <c r="A41" s="1" t="s">
        <v>102</v>
      </c>
      <c r="B41" s="1" t="s">
        <v>114</v>
      </c>
      <c r="C41" s="16">
        <v>4.3749999999999997E-2</v>
      </c>
      <c r="D41" s="5">
        <f t="shared" si="0"/>
        <v>1.7558337664053421E-7</v>
      </c>
      <c r="E41" s="4" t="s">
        <v>107</v>
      </c>
    </row>
    <row r="42" spans="1:5">
      <c r="A42" s="1" t="s">
        <v>103</v>
      </c>
      <c r="B42" s="1" t="s">
        <v>115</v>
      </c>
      <c r="C42" s="16">
        <v>4.3749999999999997E-2</v>
      </c>
      <c r="D42" s="5">
        <f t="shared" si="0"/>
        <v>1.7558337664053421E-7</v>
      </c>
      <c r="E42" s="4" t="s">
        <v>107</v>
      </c>
    </row>
    <row r="43" spans="1:5">
      <c r="A43" s="1" t="s">
        <v>104</v>
      </c>
      <c r="B43" s="1" t="s">
        <v>116</v>
      </c>
      <c r="C43" s="16">
        <v>4.3749999999999997E-2</v>
      </c>
      <c r="D43" s="5">
        <f t="shared" si="0"/>
        <v>1.7558337664053421E-7</v>
      </c>
      <c r="E43" s="4" t="s">
        <v>107</v>
      </c>
    </row>
    <row r="44" spans="1:5">
      <c r="A44" s="1" t="s">
        <v>105</v>
      </c>
      <c r="B44" s="1" t="s">
        <v>117</v>
      </c>
      <c r="C44" s="16">
        <v>4.3749999999999997E-2</v>
      </c>
      <c r="D44" s="5">
        <f t="shared" si="0"/>
        <v>1.7558337664053421E-7</v>
      </c>
      <c r="E44" s="4" t="s">
        <v>107</v>
      </c>
    </row>
    <row r="45" spans="1:5">
      <c r="A45" s="1" t="s">
        <v>106</v>
      </c>
      <c r="B45" s="1" t="s">
        <v>118</v>
      </c>
      <c r="C45" s="16">
        <v>0</v>
      </c>
      <c r="D45" s="5">
        <f t="shared" si="0"/>
        <v>0</v>
      </c>
      <c r="E45"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313</v>
      </c>
      <c r="C2" s="113" t="s">
        <v>314</v>
      </c>
    </row>
    <row r="3" spans="1:3">
      <c r="A3" s="1" t="s">
        <v>2</v>
      </c>
      <c r="B3" s="1">
        <v>2017</v>
      </c>
      <c r="C3" s="113"/>
    </row>
    <row r="4" spans="1:3">
      <c r="A4" s="1" t="s">
        <v>3</v>
      </c>
      <c r="B4" s="1">
        <v>0.29299999999999998</v>
      </c>
      <c r="C4" s="4" t="s">
        <v>10</v>
      </c>
    </row>
    <row r="5" spans="1:3">
      <c r="A5" s="1" t="s">
        <v>1</v>
      </c>
      <c r="B5" s="1">
        <f>EXP(-B4*(B3-1993))</f>
        <v>8.8316368571886501E-4</v>
      </c>
      <c r="C5" s="4" t="s">
        <v>11</v>
      </c>
    </row>
    <row r="6" spans="1:3">
      <c r="A6" s="1" t="s">
        <v>4</v>
      </c>
      <c r="B6" s="1">
        <v>1.2999999999999999E-5</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25</v>
      </c>
      <c r="C12" s="4" t="s">
        <v>16</v>
      </c>
    </row>
    <row r="13" spans="1:3">
      <c r="A13" s="1" t="s">
        <v>17</v>
      </c>
      <c r="B13" s="1">
        <f>EXP((-B10/0.00008617)*((1/(B11+B12+273))-(1/298)))</f>
        <v>401.19746318450228</v>
      </c>
      <c r="C13" s="4" t="s">
        <v>11</v>
      </c>
    </row>
    <row r="14" spans="1:3">
      <c r="A14" s="1" t="s">
        <v>18</v>
      </c>
      <c r="B14" s="1">
        <v>1.9970000000000001E-3</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c r="A19" s="1" t="s">
        <v>24</v>
      </c>
      <c r="B19" s="1">
        <v>14</v>
      </c>
      <c r="C19" s="4" t="s">
        <v>53</v>
      </c>
    </row>
    <row r="20" spans="1:3">
      <c r="A20" s="1" t="s">
        <v>22</v>
      </c>
      <c r="B20" s="3">
        <f>EXP((-B18/0.00008617)*((1/(B19+273))-(1/298)))*POWER((B17/0.5), 3)</f>
        <v>3.7269311834508061</v>
      </c>
      <c r="C20" s="4" t="s">
        <v>11</v>
      </c>
    </row>
    <row r="21" spans="1:3">
      <c r="A21" s="1" t="s">
        <v>25</v>
      </c>
      <c r="B21" s="1">
        <v>8.8999999999999995E-5</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91.679431963653457</v>
      </c>
      <c r="C26" s="4" t="s">
        <v>11</v>
      </c>
    </row>
    <row r="27" spans="1:3">
      <c r="A27" s="1" t="s">
        <v>31</v>
      </c>
      <c r="B27" s="3">
        <v>4.8500000000000001E-3</v>
      </c>
      <c r="C27" s="4" t="s">
        <v>10</v>
      </c>
    </row>
    <row r="28" spans="1:3">
      <c r="A28" s="1" t="s">
        <v>32</v>
      </c>
      <c r="B28" s="3">
        <f>POWER((B11+B12-B19)/44,2.26)</f>
        <v>4.0833467178658065</v>
      </c>
      <c r="C28" s="4" t="s">
        <v>11</v>
      </c>
    </row>
    <row r="29" spans="1:3">
      <c r="A29" s="1" t="s">
        <v>33</v>
      </c>
      <c r="B29" s="3">
        <v>1.562E-3</v>
      </c>
      <c r="C29" s="4" t="s">
        <v>10</v>
      </c>
    </row>
    <row r="30" spans="1:3">
      <c r="A30" s="1" t="s">
        <v>34</v>
      </c>
      <c r="B30" s="3">
        <f>(B5*((B6*B9*B13)+(B14*B16*B20)+(B21*B24*B26)))+B27*B28+B29</f>
        <v>2.1388134027995366E-2</v>
      </c>
      <c r="C30" s="4" t="s">
        <v>11</v>
      </c>
    </row>
    <row r="31" spans="1:3">
      <c r="A31" s="1" t="s">
        <v>35</v>
      </c>
      <c r="B31" s="3">
        <f>B30/1000000</f>
        <v>2.1388134027995368E-8</v>
      </c>
      <c r="C31" s="4" t="s">
        <v>36</v>
      </c>
    </row>
    <row r="33" spans="1:5">
      <c r="A33" s="1" t="s">
        <v>61</v>
      </c>
      <c r="B33" s="1" t="s">
        <v>58</v>
      </c>
      <c r="C33" s="1" t="s">
        <v>38</v>
      </c>
      <c r="D33" s="5" t="s">
        <v>59</v>
      </c>
      <c r="E33" s="5" t="s">
        <v>63</v>
      </c>
    </row>
    <row r="34" spans="1:5">
      <c r="A34" s="1" t="s">
        <v>318</v>
      </c>
      <c r="B34" s="1" t="s">
        <v>315</v>
      </c>
      <c r="C34" s="16">
        <v>0.23</v>
      </c>
      <c r="D34" s="5">
        <f>C34*$B$31</f>
        <v>4.9192708264389344E-9</v>
      </c>
      <c r="E34" s="4" t="s">
        <v>323</v>
      </c>
    </row>
    <row r="35" spans="1:5">
      <c r="A35" s="1" t="s">
        <v>319</v>
      </c>
      <c r="B35" s="1" t="s">
        <v>316</v>
      </c>
      <c r="C35" s="16">
        <f>0.77/3</f>
        <v>0.25666666666666665</v>
      </c>
      <c r="D35" s="5">
        <f>C35*$B$31</f>
        <v>5.4896210671854778E-9</v>
      </c>
      <c r="E35" s="4" t="s">
        <v>324</v>
      </c>
    </row>
    <row r="36" spans="1:5">
      <c r="A36" s="1" t="s">
        <v>320</v>
      </c>
      <c r="B36" s="1" t="s">
        <v>317</v>
      </c>
      <c r="C36" s="16">
        <f>0.77/3</f>
        <v>0.25666666666666665</v>
      </c>
      <c r="D36" s="5">
        <f>C36*$B$31</f>
        <v>5.4896210671854778E-9</v>
      </c>
      <c r="E36" s="4" t="s">
        <v>324</v>
      </c>
    </row>
    <row r="37" spans="1:5">
      <c r="A37" s="1" t="s">
        <v>322</v>
      </c>
      <c r="B37" s="1" t="s">
        <v>321</v>
      </c>
      <c r="C37" s="16">
        <f>0.77/3</f>
        <v>0.25666666666666665</v>
      </c>
      <c r="D37" s="5">
        <f>C37*$B$31</f>
        <v>5.4896210671854778E-9</v>
      </c>
      <c r="E37" s="4" t="s">
        <v>324</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zoomScale="70" zoomScaleNormal="70" workbookViewId="0">
      <selection activeCell="C2" sqref="C2:C3"/>
    </sheetView>
  </sheetViews>
  <sheetFormatPr defaultRowHeight="15"/>
  <cols>
    <col min="1" max="1" width="47.42578125" bestFit="1" customWidth="1"/>
    <col min="2" max="2" width="42.5703125" bestFit="1" customWidth="1"/>
    <col min="3" max="3" width="105.5703125" bestFit="1" customWidth="1"/>
    <col min="4" max="4" width="31.5703125" bestFit="1" customWidth="1"/>
    <col min="5" max="5" width="48.140625" bestFit="1" customWidth="1"/>
  </cols>
  <sheetData>
    <row r="1" spans="1:3">
      <c r="A1" s="35" t="s">
        <v>9</v>
      </c>
      <c r="B1" s="35" t="s">
        <v>0</v>
      </c>
      <c r="C1" s="4" t="s">
        <v>7</v>
      </c>
    </row>
    <row r="2" spans="1:3">
      <c r="A2" s="35" t="s">
        <v>8</v>
      </c>
      <c r="B2" s="35" t="s">
        <v>430</v>
      </c>
      <c r="C2" s="113" t="s">
        <v>429</v>
      </c>
    </row>
    <row r="3" spans="1:3">
      <c r="A3" s="35" t="s">
        <v>2</v>
      </c>
      <c r="B3" s="35">
        <v>2019</v>
      </c>
      <c r="C3" s="113"/>
    </row>
    <row r="4" spans="1:3">
      <c r="A4" s="34" t="s">
        <v>3</v>
      </c>
      <c r="B4" s="34">
        <v>0.22900000000000001</v>
      </c>
      <c r="C4" s="4" t="s">
        <v>443</v>
      </c>
    </row>
    <row r="5" spans="1:3">
      <c r="A5" s="34" t="s">
        <v>1</v>
      </c>
      <c r="B5" s="34">
        <f>EXP(-B4*(B3-1993))</f>
        <v>2.5954379752911516E-3</v>
      </c>
      <c r="C5" s="4" t="s">
        <v>444</v>
      </c>
    </row>
    <row r="6" spans="1:3">
      <c r="A6" s="34" t="s">
        <v>445</v>
      </c>
      <c r="B6" s="34">
        <v>47000</v>
      </c>
      <c r="C6" s="4" t="s">
        <v>448</v>
      </c>
    </row>
    <row r="7" spans="1:3">
      <c r="A7" s="34" t="s">
        <v>413</v>
      </c>
      <c r="B7" s="34">
        <v>7.6</v>
      </c>
      <c r="C7" s="4" t="s">
        <v>443</v>
      </c>
    </row>
    <row r="8" spans="1:3">
      <c r="A8" s="34" t="s">
        <v>446</v>
      </c>
      <c r="B8" s="34">
        <v>0.23</v>
      </c>
      <c r="C8" s="4" t="s">
        <v>443</v>
      </c>
    </row>
    <row r="9" spans="1:3">
      <c r="A9" s="34" t="s">
        <v>447</v>
      </c>
      <c r="B9" s="34">
        <f>POWER((B6/B7), B8)</f>
        <v>7.4472405341909775</v>
      </c>
      <c r="C9" s="4" t="s">
        <v>444</v>
      </c>
    </row>
    <row r="10" spans="1:3">
      <c r="A10" s="34" t="s">
        <v>4</v>
      </c>
      <c r="B10" s="34">
        <v>4.6500000000000003E-4</v>
      </c>
      <c r="C10" s="4" t="s">
        <v>443</v>
      </c>
    </row>
    <row r="11" spans="1:3">
      <c r="A11" s="34" t="s">
        <v>6</v>
      </c>
      <c r="B11" s="34">
        <f>24/24</f>
        <v>1</v>
      </c>
      <c r="C11" s="4" t="s">
        <v>50</v>
      </c>
    </row>
    <row r="12" spans="1:3">
      <c r="A12" s="34" t="s">
        <v>13</v>
      </c>
      <c r="B12" s="34">
        <v>0.17</v>
      </c>
      <c r="C12" s="4" t="s">
        <v>443</v>
      </c>
    </row>
    <row r="13" spans="1:3">
      <c r="A13" s="34" t="s">
        <v>5</v>
      </c>
      <c r="B13" s="34">
        <f>B11/B12</f>
        <v>5.8823529411764701</v>
      </c>
      <c r="C13" s="4" t="s">
        <v>444</v>
      </c>
    </row>
    <row r="14" spans="1:3">
      <c r="A14" s="34" t="s">
        <v>12</v>
      </c>
      <c r="B14" s="34">
        <v>0.5</v>
      </c>
      <c r="C14" s="4" t="s">
        <v>443</v>
      </c>
    </row>
    <row r="15" spans="1:3">
      <c r="A15" s="34" t="s">
        <v>14</v>
      </c>
      <c r="B15" s="34">
        <v>71</v>
      </c>
      <c r="C15" s="4" t="s">
        <v>51</v>
      </c>
    </row>
    <row r="16" spans="1:3">
      <c r="A16" s="34" t="s">
        <v>17</v>
      </c>
      <c r="B16" s="34">
        <f>EXP((-B14/0.00008617)*((1/(B15+273))-(1/298)))</f>
        <v>13.514139818573875</v>
      </c>
      <c r="C16" s="4" t="s">
        <v>444</v>
      </c>
    </row>
    <row r="17" spans="1:3">
      <c r="A17" s="34" t="s">
        <v>451</v>
      </c>
      <c r="B17" s="34">
        <f>3.3/16</f>
        <v>0.20624999999999999</v>
      </c>
      <c r="C17" s="4" t="s">
        <v>452</v>
      </c>
    </row>
    <row r="18" spans="1:3">
      <c r="A18" s="34" t="s">
        <v>449</v>
      </c>
      <c r="B18" s="34">
        <v>0.6</v>
      </c>
      <c r="C18" s="4" t="s">
        <v>443</v>
      </c>
    </row>
    <row r="19" spans="1:3">
      <c r="A19" s="34" t="s">
        <v>450</v>
      </c>
      <c r="B19" s="34">
        <v>5</v>
      </c>
      <c r="C19" s="4" t="s">
        <v>443</v>
      </c>
    </row>
    <row r="20" spans="1:3">
      <c r="A20" s="34" t="s">
        <v>96</v>
      </c>
      <c r="B20" s="34">
        <f>POWER((B17/B18), B19)</f>
        <v>4.7996938228607178E-3</v>
      </c>
      <c r="C20" s="4" t="s">
        <v>444</v>
      </c>
    </row>
    <row r="21" spans="1:3">
      <c r="A21" s="34" t="s">
        <v>18</v>
      </c>
      <c r="B21" s="34">
        <v>2.2000000000000001E-4</v>
      </c>
      <c r="C21" s="4" t="s">
        <v>443</v>
      </c>
    </row>
    <row r="22" spans="1:3">
      <c r="A22" s="34" t="s">
        <v>19</v>
      </c>
      <c r="B22" s="34">
        <v>0.83</v>
      </c>
      <c r="C22" s="4" t="s">
        <v>443</v>
      </c>
    </row>
    <row r="23" spans="1:3">
      <c r="A23" s="34" t="s">
        <v>20</v>
      </c>
      <c r="B23" s="34">
        <f>(1-B11)/B22</f>
        <v>0</v>
      </c>
      <c r="C23" s="4" t="s">
        <v>444</v>
      </c>
    </row>
    <row r="24" spans="1:3">
      <c r="A24" s="34" t="s">
        <v>23</v>
      </c>
      <c r="B24" s="34">
        <v>0.4</v>
      </c>
      <c r="C24" s="9" t="s">
        <v>443</v>
      </c>
    </row>
    <row r="25" spans="1:3">
      <c r="A25" s="34" t="s">
        <v>24</v>
      </c>
      <c r="B25" s="34">
        <v>14</v>
      </c>
      <c r="C25" s="9" t="s">
        <v>53</v>
      </c>
    </row>
    <row r="26" spans="1:3">
      <c r="A26" s="34" t="s">
        <v>99</v>
      </c>
      <c r="B26" s="8">
        <f>EXP((-B24/0.00008617)*((1/(B25+273))-(1/298)))</f>
        <v>0.55044231312358938</v>
      </c>
      <c r="C26" s="9" t="s">
        <v>444</v>
      </c>
    </row>
    <row r="27" spans="1:3">
      <c r="A27" s="34" t="s">
        <v>25</v>
      </c>
      <c r="B27" s="34">
        <v>2.14E-4</v>
      </c>
      <c r="C27" s="9" t="s">
        <v>443</v>
      </c>
    </row>
    <row r="28" spans="1:3">
      <c r="A28" s="34" t="s">
        <v>26</v>
      </c>
      <c r="B28" s="34">
        <v>365</v>
      </c>
      <c r="C28" s="9" t="s">
        <v>54</v>
      </c>
    </row>
    <row r="29" spans="1:3">
      <c r="A29" s="34" t="s">
        <v>28</v>
      </c>
      <c r="B29" s="8">
        <v>1140.3499999999999</v>
      </c>
      <c r="C29" s="9" t="s">
        <v>443</v>
      </c>
    </row>
    <row r="30" spans="1:3">
      <c r="A30" s="34" t="s">
        <v>27</v>
      </c>
      <c r="B30" s="8">
        <f>B28/B29</f>
        <v>0.32007716929013025</v>
      </c>
      <c r="C30" s="9" t="s">
        <v>444</v>
      </c>
    </row>
    <row r="31" spans="1:3">
      <c r="A31" s="34" t="s">
        <v>30</v>
      </c>
      <c r="B31" s="8">
        <v>21</v>
      </c>
      <c r="C31" s="9" t="s">
        <v>443</v>
      </c>
    </row>
    <row r="32" spans="1:3">
      <c r="A32" s="34" t="s">
        <v>29</v>
      </c>
      <c r="B32" s="8">
        <f>POWER((B15-B25)/B31,2)</f>
        <v>7.3673469387755111</v>
      </c>
      <c r="C32" s="9" t="s">
        <v>444</v>
      </c>
    </row>
    <row r="33" spans="1:5">
      <c r="A33" s="34" t="s">
        <v>31</v>
      </c>
      <c r="B33" s="8">
        <v>9.5E-4</v>
      </c>
      <c r="C33" s="9" t="s">
        <v>443</v>
      </c>
    </row>
    <row r="34" spans="1:5">
      <c r="A34" s="34" t="s">
        <v>32</v>
      </c>
      <c r="B34" s="8">
        <f>POWER((B15-B25)/44,2.26)</f>
        <v>1.795039976370624</v>
      </c>
      <c r="C34" s="9" t="s">
        <v>444</v>
      </c>
    </row>
    <row r="35" spans="1:5">
      <c r="A35" s="34" t="s">
        <v>33</v>
      </c>
      <c r="B35" s="8">
        <v>7.6800000000000002E-4</v>
      </c>
      <c r="C35" s="9" t="s">
        <v>443</v>
      </c>
    </row>
    <row r="36" spans="1:5">
      <c r="A36" s="34" t="s">
        <v>34</v>
      </c>
      <c r="B36" s="8">
        <f>(B5*B9*((B10*B13*B16*B20)+(B21*B23*B26)+(B27*B30*B32)))+B33*B34+B35</f>
        <v>2.4864713937390445E-3</v>
      </c>
      <c r="C36" s="4" t="s">
        <v>444</v>
      </c>
    </row>
    <row r="37" spans="1:5">
      <c r="A37" s="35" t="s">
        <v>35</v>
      </c>
      <c r="B37" s="3">
        <f>B36/1000000</f>
        <v>2.4864713937390443E-9</v>
      </c>
      <c r="C37" s="4" t="s">
        <v>36</v>
      </c>
    </row>
    <row r="39" spans="1:5">
      <c r="A39" s="35" t="s">
        <v>61</v>
      </c>
      <c r="B39" s="35" t="s">
        <v>58</v>
      </c>
      <c r="C39" s="35" t="s">
        <v>38</v>
      </c>
      <c r="D39" s="5" t="s">
        <v>59</v>
      </c>
      <c r="E39" s="5" t="s">
        <v>63</v>
      </c>
    </row>
    <row r="40" spans="1:5">
      <c r="A40" s="35" t="s">
        <v>85</v>
      </c>
      <c r="B40" s="35" t="s">
        <v>89</v>
      </c>
      <c r="C40" s="16">
        <v>0.35</v>
      </c>
      <c r="D40" s="5">
        <f t="shared" ref="D40:D47" si="0">C40*$B$37</f>
        <v>8.7026498780866543E-10</v>
      </c>
      <c r="E40" s="4" t="s">
        <v>107</v>
      </c>
    </row>
    <row r="41" spans="1:5">
      <c r="A41" s="35" t="s">
        <v>87</v>
      </c>
      <c r="B41" s="35" t="s">
        <v>129</v>
      </c>
      <c r="C41" s="16">
        <v>0.53</v>
      </c>
      <c r="D41" s="5">
        <f t="shared" si="0"/>
        <v>1.3178298386816936E-9</v>
      </c>
      <c r="E41" s="4" t="s">
        <v>107</v>
      </c>
    </row>
    <row r="42" spans="1:5">
      <c r="A42" s="35" t="s">
        <v>431</v>
      </c>
      <c r="B42" s="35" t="s">
        <v>436</v>
      </c>
      <c r="C42" s="16">
        <v>0</v>
      </c>
      <c r="D42" s="5">
        <f t="shared" si="0"/>
        <v>0</v>
      </c>
      <c r="E42" s="4" t="s">
        <v>107</v>
      </c>
    </row>
    <row r="43" spans="1:5" ht="45">
      <c r="A43" s="35" t="s">
        <v>432</v>
      </c>
      <c r="B43" s="35" t="s">
        <v>437</v>
      </c>
      <c r="C43" s="16">
        <f>0.1/3</f>
        <v>3.3333333333333333E-2</v>
      </c>
      <c r="D43" s="5">
        <f t="shared" si="0"/>
        <v>8.2882379791301472E-11</v>
      </c>
      <c r="E43" s="4" t="s">
        <v>442</v>
      </c>
    </row>
    <row r="44" spans="1:5">
      <c r="A44" s="35" t="s">
        <v>433</v>
      </c>
      <c r="B44" s="35" t="s">
        <v>438</v>
      </c>
      <c r="C44" s="16">
        <v>0</v>
      </c>
      <c r="D44" s="5">
        <f t="shared" si="0"/>
        <v>0</v>
      </c>
      <c r="E44" s="4" t="s">
        <v>107</v>
      </c>
    </row>
    <row r="45" spans="1:5" ht="45">
      <c r="A45" s="35" t="s">
        <v>434</v>
      </c>
      <c r="B45" s="35" t="s">
        <v>439</v>
      </c>
      <c r="C45" s="16">
        <f>0.02+(0.1/3)</f>
        <v>5.333333333333333E-2</v>
      </c>
      <c r="D45" s="5">
        <f t="shared" si="0"/>
        <v>1.3261180766608236E-10</v>
      </c>
      <c r="E45" s="4" t="s">
        <v>442</v>
      </c>
    </row>
    <row r="46" spans="1:5" ht="45">
      <c r="A46" s="35" t="s">
        <v>435</v>
      </c>
      <c r="B46" s="35" t="s">
        <v>440</v>
      </c>
      <c r="C46" s="16">
        <f>0.1/3</f>
        <v>3.3333333333333333E-2</v>
      </c>
      <c r="D46" s="5">
        <f t="shared" si="0"/>
        <v>8.2882379791301472E-11</v>
      </c>
      <c r="E46" s="4" t="s">
        <v>442</v>
      </c>
    </row>
    <row r="47" spans="1:5">
      <c r="A47" s="35" t="s">
        <v>88</v>
      </c>
      <c r="B47" s="35" t="s">
        <v>441</v>
      </c>
      <c r="C47" s="16">
        <v>0</v>
      </c>
      <c r="D47" s="5">
        <f t="shared" si="0"/>
        <v>0</v>
      </c>
      <c r="E47" s="4" t="s">
        <v>107</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90" zoomScaleNormal="90" workbookViewId="0">
      <selection activeCell="D5" sqref="A2:D5"/>
    </sheetView>
  </sheetViews>
  <sheetFormatPr defaultRowHeight="14.25"/>
  <cols>
    <col min="1" max="1" width="9.140625" style="27"/>
    <col min="2" max="2" width="50.5703125" style="27" customWidth="1"/>
    <col min="3" max="3" width="108.85546875" style="27" customWidth="1"/>
    <col min="4" max="4" width="28.85546875" style="28" bestFit="1" customWidth="1"/>
    <col min="5" max="16384" width="9.140625" style="27"/>
  </cols>
  <sheetData>
    <row r="1" spans="1:4">
      <c r="A1" s="33" t="s">
        <v>385</v>
      </c>
      <c r="B1" s="33" t="s">
        <v>386</v>
      </c>
      <c r="C1" s="33" t="s">
        <v>387</v>
      </c>
      <c r="D1" s="33" t="s">
        <v>400</v>
      </c>
    </row>
    <row r="2" spans="1:4" ht="185.25">
      <c r="A2" s="30" t="s">
        <v>388</v>
      </c>
      <c r="B2" s="30" t="s">
        <v>394</v>
      </c>
      <c r="C2" s="31" t="s">
        <v>389</v>
      </c>
      <c r="D2" s="30" t="s">
        <v>401</v>
      </c>
    </row>
    <row r="3" spans="1:4" ht="156.75">
      <c r="A3" s="30" t="s">
        <v>390</v>
      </c>
      <c r="B3" s="30" t="s">
        <v>393</v>
      </c>
      <c r="C3" s="32" t="s">
        <v>395</v>
      </c>
      <c r="D3" s="30" t="s">
        <v>656</v>
      </c>
    </row>
    <row r="4" spans="1:4" ht="28.5">
      <c r="A4" s="30" t="s">
        <v>391</v>
      </c>
      <c r="B4" s="30" t="s">
        <v>455</v>
      </c>
      <c r="C4" s="32" t="s">
        <v>396</v>
      </c>
      <c r="D4" s="30" t="s">
        <v>401</v>
      </c>
    </row>
    <row r="5" spans="1:4" ht="85.5">
      <c r="A5" s="30" t="s">
        <v>392</v>
      </c>
      <c r="B5" s="30" t="s">
        <v>399</v>
      </c>
      <c r="C5" s="32" t="s">
        <v>404</v>
      </c>
      <c r="D5" s="30" t="s">
        <v>401</v>
      </c>
    </row>
    <row r="6" spans="1:4">
      <c r="A6" s="29"/>
    </row>
    <row r="7" spans="1:4">
      <c r="A7" s="29"/>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zoomScale="80" zoomScaleNormal="80" workbookViewId="0">
      <pane ySplit="2" topLeftCell="A3" activePane="bottomLeft" state="frozen"/>
      <selection pane="bottomLeft" activeCell="Y1" sqref="Y1:Y1048576"/>
    </sheetView>
  </sheetViews>
  <sheetFormatPr defaultColWidth="9.140625" defaultRowHeight="12.75"/>
  <cols>
    <col min="1" max="1" width="14.42578125" style="21" bestFit="1" customWidth="1"/>
    <col min="2" max="2" width="41.140625" style="21" customWidth="1"/>
    <col min="3" max="4" width="31" style="21" customWidth="1"/>
    <col min="5" max="5" width="24.85546875" style="21" customWidth="1"/>
    <col min="6" max="6" width="48.7109375" style="21" customWidth="1"/>
    <col min="7" max="7" width="52.28515625" style="21" customWidth="1"/>
    <col min="8" max="8" width="19.5703125" style="20" bestFit="1" customWidth="1"/>
    <col min="9" max="9" width="20" style="20" bestFit="1" customWidth="1"/>
    <col min="10" max="10" width="26.5703125" style="20" customWidth="1"/>
    <col min="11" max="11" width="28.140625" style="20" customWidth="1"/>
    <col min="12" max="12" width="28.7109375" style="20" customWidth="1"/>
    <col min="13" max="24" width="33.85546875" style="21" customWidth="1"/>
    <col min="25" max="25" width="41.28515625" style="20" customWidth="1"/>
    <col min="26" max="26" width="35.7109375" style="21" customWidth="1"/>
    <col min="27" max="27" width="33.85546875" style="21" customWidth="1"/>
    <col min="28" max="29" width="41.28515625" style="20" customWidth="1"/>
    <col min="30" max="16384" width="9.140625" style="19"/>
  </cols>
  <sheetData>
    <row r="1" spans="1:29">
      <c r="A1" s="114" t="s">
        <v>361</v>
      </c>
      <c r="B1" s="114" t="s">
        <v>357</v>
      </c>
      <c r="C1" s="114" t="s">
        <v>362</v>
      </c>
      <c r="D1" s="114" t="s">
        <v>371</v>
      </c>
      <c r="E1" s="114" t="s">
        <v>363</v>
      </c>
      <c r="F1" s="114" t="s">
        <v>358</v>
      </c>
      <c r="G1" s="114" t="s">
        <v>359</v>
      </c>
      <c r="H1" s="114" t="s">
        <v>364</v>
      </c>
      <c r="I1" s="114" t="s">
        <v>360</v>
      </c>
      <c r="J1" s="114" t="s">
        <v>519</v>
      </c>
      <c r="K1" s="114" t="s">
        <v>721</v>
      </c>
      <c r="L1" s="114" t="s">
        <v>722</v>
      </c>
      <c r="M1" s="116" t="s">
        <v>1316</v>
      </c>
      <c r="N1" s="116"/>
      <c r="O1" s="116"/>
      <c r="P1" s="116"/>
      <c r="Q1" s="116"/>
      <c r="R1" s="116"/>
      <c r="S1" s="116" t="s">
        <v>1317</v>
      </c>
      <c r="T1" s="116"/>
      <c r="U1" s="116"/>
      <c r="V1" s="116"/>
      <c r="W1" s="116"/>
      <c r="X1" s="116"/>
      <c r="Y1" s="114" t="s">
        <v>466</v>
      </c>
      <c r="Z1" s="116" t="s">
        <v>465</v>
      </c>
      <c r="AA1" s="116"/>
      <c r="AB1" s="114" t="s">
        <v>467</v>
      </c>
      <c r="AC1" s="114" t="s">
        <v>732</v>
      </c>
    </row>
    <row r="2" spans="1:29">
      <c r="A2" s="115"/>
      <c r="B2" s="115"/>
      <c r="C2" s="115"/>
      <c r="D2" s="115"/>
      <c r="E2" s="115"/>
      <c r="F2" s="115"/>
      <c r="G2" s="115"/>
      <c r="H2" s="115"/>
      <c r="I2" s="115"/>
      <c r="J2" s="115"/>
      <c r="K2" s="115"/>
      <c r="L2" s="115"/>
      <c r="M2" s="38" t="s">
        <v>365</v>
      </c>
      <c r="N2" s="38" t="s">
        <v>366</v>
      </c>
      <c r="O2" s="38" t="s">
        <v>367</v>
      </c>
      <c r="P2" s="38" t="s">
        <v>368</v>
      </c>
      <c r="Q2" s="38" t="s">
        <v>369</v>
      </c>
      <c r="R2" s="38" t="s">
        <v>370</v>
      </c>
      <c r="S2" s="38" t="s">
        <v>365</v>
      </c>
      <c r="T2" s="38" t="s">
        <v>366</v>
      </c>
      <c r="U2" s="38" t="s">
        <v>367</v>
      </c>
      <c r="V2" s="38" t="s">
        <v>368</v>
      </c>
      <c r="W2" s="38" t="s">
        <v>369</v>
      </c>
      <c r="X2" s="38" t="s">
        <v>370</v>
      </c>
      <c r="Y2" s="115"/>
      <c r="Z2" s="38" t="s">
        <v>463</v>
      </c>
      <c r="AA2" s="38" t="s">
        <v>464</v>
      </c>
      <c r="AB2" s="115"/>
      <c r="AC2" s="115"/>
    </row>
    <row r="3" spans="1:29" ht="38.25">
      <c r="A3" s="20" t="s">
        <v>46</v>
      </c>
      <c r="B3" s="21" t="s">
        <v>405</v>
      </c>
      <c r="C3" s="22" t="s">
        <v>46</v>
      </c>
      <c r="D3" s="23" t="s">
        <v>46</v>
      </c>
      <c r="E3" s="20" t="s">
        <v>46</v>
      </c>
      <c r="F3" s="21" t="s">
        <v>406</v>
      </c>
      <c r="G3" s="21" t="s">
        <v>406</v>
      </c>
      <c r="H3" s="20" t="s">
        <v>43</v>
      </c>
      <c r="I3" s="20" t="s">
        <v>409</v>
      </c>
      <c r="J3" s="20" t="s">
        <v>674</v>
      </c>
      <c r="K3" s="20" t="s">
        <v>730</v>
      </c>
      <c r="L3" s="20" t="s">
        <v>730</v>
      </c>
      <c r="M3" s="20">
        <v>3.2724899999999999</v>
      </c>
      <c r="N3" s="20">
        <v>3.2719999999999998</v>
      </c>
      <c r="O3" s="20">
        <v>3.2749999999999999</v>
      </c>
      <c r="P3" s="20">
        <v>4.3130000000000002E-2</v>
      </c>
      <c r="Q3" s="20">
        <v>4.095E-2</v>
      </c>
      <c r="R3" s="20">
        <v>4.53E-2</v>
      </c>
      <c r="S3" s="20">
        <f t="shared" ref="S3:S14" si="0">ROUND(((M3-MIN($M$3:$R$212))/(MAX($M$3:$R$212)-MIN($M$3:$R$212)))*((2^12)-1), 0)</f>
        <v>4092</v>
      </c>
      <c r="T3" s="20">
        <f t="shared" ref="T3:T14" si="1">ROUND(((N3-MIN($M$3:$R$212))/(MAX($M$3:$R$212)-MIN($M$3:$R$212)))*((2^12)-1), 0)</f>
        <v>4091</v>
      </c>
      <c r="U3" s="20">
        <f t="shared" ref="U3:U14" si="2">ROUND(((O3-MIN($M$3:$R$212))/(MAX($M$3:$R$212)-MIN($M$3:$R$212)))*((2^12)-1), 0)</f>
        <v>4095</v>
      </c>
      <c r="V3" s="20">
        <f t="shared" ref="V3:V14" si="3">ROUND(((P3-MIN($M$3:$R$212))/(MAX($M$3:$R$212)-MIN($M$3:$R$212)))*((2^12)-1), 0)</f>
        <v>54</v>
      </c>
      <c r="W3" s="20">
        <f t="shared" ref="W3:W14" si="4">ROUND(((Q3-MIN($M$3:$R$212))/(MAX($M$3:$R$212)-MIN($M$3:$R$212)))*((2^12)-1), 0)</f>
        <v>51</v>
      </c>
      <c r="X3" s="20">
        <f t="shared" ref="X3:X14" si="5">ROUND(((R3-MIN($M$3:$R$212))/(MAX($M$3:$R$212)-MIN($M$3:$R$212)))*((2^12)-1), 0)</f>
        <v>57</v>
      </c>
      <c r="Y3" s="20" t="s">
        <v>417</v>
      </c>
      <c r="Z3" s="25">
        <v>0</v>
      </c>
      <c r="AA3" s="25">
        <v>1</v>
      </c>
      <c r="AB3" s="25" t="s">
        <v>417</v>
      </c>
      <c r="AC3" s="20" t="s">
        <v>736</v>
      </c>
    </row>
    <row r="4" spans="1:29" ht="140.25">
      <c r="A4" s="20" t="s">
        <v>339</v>
      </c>
      <c r="B4" s="21" t="str">
        <f>'Lambda-UC_Diag'!A34</f>
        <v>Supply open</v>
      </c>
      <c r="C4" s="22">
        <f>'Lambda-UC_Diag'!B$31</f>
        <v>1.7731485820300208E-8</v>
      </c>
      <c r="D4" s="23">
        <f>'Lambda-UC_Diag'!C34</f>
        <v>0.12</v>
      </c>
      <c r="E4" s="20">
        <f>'Lambda-UC_Diag'!D34</f>
        <v>2.1277782984360249E-9</v>
      </c>
      <c r="F4" s="24" t="s">
        <v>407</v>
      </c>
      <c r="G4" s="21" t="s">
        <v>419</v>
      </c>
      <c r="H4" s="20" t="s">
        <v>43</v>
      </c>
      <c r="I4" s="20" t="s">
        <v>408</v>
      </c>
      <c r="J4" s="20" t="s">
        <v>590</v>
      </c>
      <c r="K4" s="20" t="s">
        <v>729</v>
      </c>
      <c r="L4" s="20" t="s">
        <v>729</v>
      </c>
      <c r="M4" s="20">
        <v>0</v>
      </c>
      <c r="N4" s="20">
        <v>0</v>
      </c>
      <c r="O4" s="20">
        <v>0</v>
      </c>
      <c r="P4" s="20">
        <v>0</v>
      </c>
      <c r="Q4" s="20">
        <v>0</v>
      </c>
      <c r="R4" s="20">
        <v>0</v>
      </c>
      <c r="S4" s="20">
        <f t="shared" si="0"/>
        <v>0</v>
      </c>
      <c r="T4" s="20">
        <f t="shared" si="1"/>
        <v>0</v>
      </c>
      <c r="U4" s="20">
        <f t="shared" si="2"/>
        <v>0</v>
      </c>
      <c r="V4" s="20">
        <f t="shared" si="3"/>
        <v>0</v>
      </c>
      <c r="W4" s="20">
        <f t="shared" si="4"/>
        <v>0</v>
      </c>
      <c r="X4" s="20">
        <f t="shared" si="5"/>
        <v>0</v>
      </c>
      <c r="Y4" s="25" t="s">
        <v>421</v>
      </c>
      <c r="Z4" s="25">
        <v>0</v>
      </c>
      <c r="AA4" s="25">
        <v>0</v>
      </c>
      <c r="AB4" s="25" t="s">
        <v>413</v>
      </c>
      <c r="AC4" s="20" t="s">
        <v>736</v>
      </c>
    </row>
    <row r="5" spans="1:29" ht="38.25">
      <c r="A5" s="20" t="s">
        <v>339</v>
      </c>
      <c r="B5" s="21" t="str">
        <f>'Lambda-UC_Diag'!A35</f>
        <v>Output 'Dig_Out1' open</v>
      </c>
      <c r="C5" s="22">
        <f>'Lambda-UC_Diag'!B$31</f>
        <v>1.7731485820300208E-8</v>
      </c>
      <c r="D5" s="23">
        <f>'Lambda-UC_Diag'!C35</f>
        <v>0.12</v>
      </c>
      <c r="E5" s="20">
        <f>'Lambda-UC_Diag'!D35</f>
        <v>2.1277782984360249E-9</v>
      </c>
      <c r="F5" s="21" t="s">
        <v>410</v>
      </c>
      <c r="G5" s="21" t="s">
        <v>411</v>
      </c>
      <c r="H5" s="20" t="s">
        <v>43</v>
      </c>
      <c r="I5" s="20" t="s">
        <v>408</v>
      </c>
      <c r="J5" s="20" t="s">
        <v>590</v>
      </c>
      <c r="K5" s="20" t="s">
        <v>729</v>
      </c>
      <c r="L5" s="20" t="s">
        <v>728</v>
      </c>
      <c r="M5" s="20">
        <v>3.1999999999999999E-6</v>
      </c>
      <c r="N5" s="20">
        <v>3.1999999999999999E-6</v>
      </c>
      <c r="O5" s="20">
        <v>3.1999999999999999E-6</v>
      </c>
      <c r="P5" s="20">
        <v>3.1999999999999999E-6</v>
      </c>
      <c r="Q5" s="20">
        <v>3.1999999999999999E-6</v>
      </c>
      <c r="R5" s="20">
        <v>3.1999999999999999E-6</v>
      </c>
      <c r="S5" s="20">
        <f t="shared" si="0"/>
        <v>0</v>
      </c>
      <c r="T5" s="20">
        <f t="shared" si="1"/>
        <v>0</v>
      </c>
      <c r="U5" s="20">
        <f t="shared" si="2"/>
        <v>0</v>
      </c>
      <c r="V5" s="20">
        <f t="shared" si="3"/>
        <v>0</v>
      </c>
      <c r="W5" s="20">
        <f t="shared" si="4"/>
        <v>0</v>
      </c>
      <c r="X5" s="20">
        <f t="shared" si="5"/>
        <v>0</v>
      </c>
      <c r="Y5" s="20" t="s">
        <v>414</v>
      </c>
      <c r="Z5" s="25">
        <v>0</v>
      </c>
      <c r="AA5" s="25">
        <v>1</v>
      </c>
      <c r="AB5" s="25" t="s">
        <v>417</v>
      </c>
      <c r="AC5" s="20" t="s">
        <v>736</v>
      </c>
    </row>
    <row r="6" spans="1:29" ht="38.25">
      <c r="A6" s="20" t="s">
        <v>339</v>
      </c>
      <c r="B6" s="21" t="str">
        <f>'Lambda-UC_Diag'!A36</f>
        <v>Output 'Dig_Out2' open</v>
      </c>
      <c r="C6" s="22">
        <f>'Lambda-UC_Diag'!B$31</f>
        <v>1.7731485820300208E-8</v>
      </c>
      <c r="D6" s="23">
        <f>'Lambda-UC_Diag'!C36</f>
        <v>0.12</v>
      </c>
      <c r="E6" s="20">
        <f>'Lambda-UC_Diag'!D36</f>
        <v>2.1277782984360249E-9</v>
      </c>
      <c r="F6" s="21" t="s">
        <v>412</v>
      </c>
      <c r="G6" s="21" t="s">
        <v>420</v>
      </c>
      <c r="H6" s="20" t="s">
        <v>43</v>
      </c>
      <c r="I6" s="20" t="s">
        <v>408</v>
      </c>
      <c r="J6" s="20" t="s">
        <v>590</v>
      </c>
      <c r="K6" s="20" t="s">
        <v>729</v>
      </c>
      <c r="L6" s="20" t="s">
        <v>729</v>
      </c>
      <c r="M6" s="20">
        <v>0</v>
      </c>
      <c r="N6" s="20">
        <v>0</v>
      </c>
      <c r="O6" s="20">
        <v>0</v>
      </c>
      <c r="P6" s="20">
        <v>0</v>
      </c>
      <c r="Q6" s="20">
        <v>0</v>
      </c>
      <c r="R6" s="20">
        <v>0</v>
      </c>
      <c r="S6" s="20">
        <f t="shared" si="0"/>
        <v>0</v>
      </c>
      <c r="T6" s="20">
        <f t="shared" si="1"/>
        <v>0</v>
      </c>
      <c r="U6" s="20">
        <f t="shared" si="2"/>
        <v>0</v>
      </c>
      <c r="V6" s="20">
        <f t="shared" si="3"/>
        <v>0</v>
      </c>
      <c r="W6" s="20">
        <f t="shared" si="4"/>
        <v>0</v>
      </c>
      <c r="X6" s="20">
        <f t="shared" si="5"/>
        <v>0</v>
      </c>
      <c r="Y6" s="20" t="s">
        <v>413</v>
      </c>
      <c r="Z6" s="25">
        <v>0</v>
      </c>
      <c r="AA6" s="25">
        <v>0</v>
      </c>
      <c r="AB6" s="25" t="s">
        <v>413</v>
      </c>
      <c r="AC6" s="20" t="s">
        <v>736</v>
      </c>
    </row>
    <row r="7" spans="1:29" ht="89.25">
      <c r="A7" s="20" t="s">
        <v>339</v>
      </c>
      <c r="B7" s="21" t="str">
        <f>'Lambda-UC_Diag'!A37</f>
        <v>Bidirectional Pin 'SPI' open</v>
      </c>
      <c r="C7" s="22">
        <f>'Lambda-UC_Diag'!B$31</f>
        <v>1.7731485820300208E-8</v>
      </c>
      <c r="D7" s="23">
        <f>'Lambda-UC_Diag'!C37</f>
        <v>0.24</v>
      </c>
      <c r="E7" s="20">
        <f>'Lambda-UC_Diag'!D37</f>
        <v>4.2555565968720499E-9</v>
      </c>
      <c r="F7" s="21" t="s">
        <v>416</v>
      </c>
      <c r="G7" s="21" t="s">
        <v>424</v>
      </c>
      <c r="H7" s="20" t="s">
        <v>43</v>
      </c>
      <c r="I7" s="20" t="s">
        <v>45</v>
      </c>
      <c r="J7" s="20" t="s">
        <v>588</v>
      </c>
      <c r="K7" s="20" t="s">
        <v>728</v>
      </c>
      <c r="L7" s="20" t="s">
        <v>728</v>
      </c>
      <c r="M7" s="20">
        <v>3.2724899999999999</v>
      </c>
      <c r="N7" s="20">
        <v>3.2719999999999998</v>
      </c>
      <c r="O7" s="20">
        <v>3.2749999999999999</v>
      </c>
      <c r="P7" s="20">
        <v>4.3130000000000002E-2</v>
      </c>
      <c r="Q7" s="20">
        <v>4.095E-2</v>
      </c>
      <c r="R7" s="20">
        <v>4.53E-2</v>
      </c>
      <c r="S7" s="20">
        <f t="shared" si="0"/>
        <v>4092</v>
      </c>
      <c r="T7" s="20">
        <f t="shared" si="1"/>
        <v>4091</v>
      </c>
      <c r="U7" s="20">
        <f t="shared" si="2"/>
        <v>4095</v>
      </c>
      <c r="V7" s="20">
        <f t="shared" si="3"/>
        <v>54</v>
      </c>
      <c r="W7" s="20">
        <f t="shared" si="4"/>
        <v>51</v>
      </c>
      <c r="X7" s="20">
        <f t="shared" si="5"/>
        <v>57</v>
      </c>
      <c r="Y7" s="20" t="s">
        <v>417</v>
      </c>
      <c r="Z7" s="25">
        <v>0</v>
      </c>
      <c r="AA7" s="25">
        <v>1</v>
      </c>
      <c r="AB7" s="25" t="s">
        <v>417</v>
      </c>
      <c r="AC7" s="20" t="s">
        <v>741</v>
      </c>
    </row>
    <row r="8" spans="1:29" ht="38.25">
      <c r="A8" s="20" t="s">
        <v>339</v>
      </c>
      <c r="B8" s="21" t="str">
        <f>'Lambda-UC_Diag'!A38</f>
        <v>Output 'Dig_Out1' stuck low</v>
      </c>
      <c r="C8" s="22">
        <f>'Lambda-UC_Diag'!B$31</f>
        <v>1.7731485820300208E-8</v>
      </c>
      <c r="D8" s="23">
        <f>'Lambda-UC_Diag'!C38</f>
        <v>0.03</v>
      </c>
      <c r="E8" s="20">
        <f>'Lambda-UC_Diag'!D38</f>
        <v>5.3194457460900624E-10</v>
      </c>
      <c r="F8" s="21" t="s">
        <v>410</v>
      </c>
      <c r="G8" s="21" t="s">
        <v>411</v>
      </c>
      <c r="H8" s="20" t="s">
        <v>43</v>
      </c>
      <c r="I8" s="20" t="s">
        <v>408</v>
      </c>
      <c r="J8" s="20" t="s">
        <v>590</v>
      </c>
      <c r="K8" s="20" t="s">
        <v>729</v>
      </c>
      <c r="L8" s="20" t="s">
        <v>729</v>
      </c>
      <c r="M8" s="20">
        <v>3.1999999999999999E-6</v>
      </c>
      <c r="N8" s="20">
        <v>3.1999999999999999E-6</v>
      </c>
      <c r="O8" s="20">
        <v>3.1999999999999999E-6</v>
      </c>
      <c r="P8" s="20">
        <v>3.1999999999999999E-6</v>
      </c>
      <c r="Q8" s="20">
        <v>3.1999999999999999E-6</v>
      </c>
      <c r="R8" s="20">
        <v>3.1999999999999999E-6</v>
      </c>
      <c r="S8" s="20">
        <f t="shared" si="0"/>
        <v>0</v>
      </c>
      <c r="T8" s="20">
        <f t="shared" si="1"/>
        <v>0</v>
      </c>
      <c r="U8" s="20">
        <f t="shared" si="2"/>
        <v>0</v>
      </c>
      <c r="V8" s="20">
        <f t="shared" si="3"/>
        <v>0</v>
      </c>
      <c r="W8" s="20">
        <f t="shared" si="4"/>
        <v>0</v>
      </c>
      <c r="X8" s="20">
        <f t="shared" si="5"/>
        <v>0</v>
      </c>
      <c r="Y8" s="20" t="s">
        <v>414</v>
      </c>
      <c r="Z8" s="25">
        <v>1</v>
      </c>
      <c r="AA8" s="25">
        <v>1</v>
      </c>
      <c r="AB8" s="25" t="s">
        <v>414</v>
      </c>
      <c r="AC8" s="20" t="s">
        <v>736</v>
      </c>
    </row>
    <row r="9" spans="1:29" ht="38.25">
      <c r="A9" s="20" t="s">
        <v>339</v>
      </c>
      <c r="B9" s="21" t="str">
        <f>'Lambda-UC_Diag'!A39</f>
        <v>Output 'Dig_Out2' stuck low</v>
      </c>
      <c r="C9" s="22">
        <f>'Lambda-UC_Diag'!B$31</f>
        <v>1.7731485820300208E-8</v>
      </c>
      <c r="D9" s="23">
        <f>'Lambda-UC_Diag'!C39</f>
        <v>0.03</v>
      </c>
      <c r="E9" s="20">
        <f>'Lambda-UC_Diag'!D39</f>
        <v>5.3194457460900624E-10</v>
      </c>
      <c r="F9" s="21" t="s">
        <v>412</v>
      </c>
      <c r="G9" s="21" t="s">
        <v>415</v>
      </c>
      <c r="H9" s="20" t="s">
        <v>43</v>
      </c>
      <c r="I9" s="20" t="s">
        <v>408</v>
      </c>
      <c r="J9" s="20" t="s">
        <v>590</v>
      </c>
      <c r="K9" s="20" t="s">
        <v>729</v>
      </c>
      <c r="L9" s="20" t="s">
        <v>729</v>
      </c>
      <c r="M9" s="20">
        <v>0</v>
      </c>
      <c r="N9" s="20">
        <v>0</v>
      </c>
      <c r="O9" s="20">
        <v>0</v>
      </c>
      <c r="P9" s="20">
        <v>0</v>
      </c>
      <c r="Q9" s="20">
        <v>0</v>
      </c>
      <c r="R9" s="20">
        <v>0</v>
      </c>
      <c r="S9" s="20">
        <f t="shared" si="0"/>
        <v>0</v>
      </c>
      <c r="T9" s="20">
        <f t="shared" si="1"/>
        <v>0</v>
      </c>
      <c r="U9" s="20">
        <f t="shared" si="2"/>
        <v>0</v>
      </c>
      <c r="V9" s="20">
        <f t="shared" si="3"/>
        <v>0</v>
      </c>
      <c r="W9" s="20">
        <f t="shared" si="4"/>
        <v>0</v>
      </c>
      <c r="X9" s="20">
        <f t="shared" si="5"/>
        <v>0</v>
      </c>
      <c r="Y9" s="20" t="s">
        <v>413</v>
      </c>
      <c r="Z9" s="25">
        <v>0</v>
      </c>
      <c r="AA9" s="25">
        <v>0</v>
      </c>
      <c r="AB9" s="25" t="s">
        <v>413</v>
      </c>
      <c r="AC9" s="20" t="s">
        <v>736</v>
      </c>
    </row>
    <row r="10" spans="1:29" ht="89.25">
      <c r="A10" s="20" t="s">
        <v>339</v>
      </c>
      <c r="B10" s="21" t="str">
        <f>'Lambda-UC_Diag'!A40</f>
        <v>Bidirectional Pin 'SPI' stuck low</v>
      </c>
      <c r="C10" s="22">
        <f>'Lambda-UC_Diag'!B$31</f>
        <v>1.7731485820300208E-8</v>
      </c>
      <c r="D10" s="23">
        <f>'Lambda-UC_Diag'!C40</f>
        <v>0.03</v>
      </c>
      <c r="E10" s="20">
        <f>'Lambda-UC_Diag'!D40</f>
        <v>5.3194457460900624E-10</v>
      </c>
      <c r="F10" s="21" t="s">
        <v>416</v>
      </c>
      <c r="G10" s="21" t="s">
        <v>424</v>
      </c>
      <c r="H10" s="20" t="s">
        <v>43</v>
      </c>
      <c r="I10" s="20" t="s">
        <v>45</v>
      </c>
      <c r="J10" s="20" t="s">
        <v>588</v>
      </c>
      <c r="K10" s="20" t="s">
        <v>728</v>
      </c>
      <c r="L10" s="20" t="s">
        <v>728</v>
      </c>
      <c r="M10" s="20">
        <v>3.2724899999999999</v>
      </c>
      <c r="N10" s="20">
        <v>3.2719999999999998</v>
      </c>
      <c r="O10" s="20">
        <v>3.2749999999999999</v>
      </c>
      <c r="P10" s="20">
        <v>4.3130000000000002E-2</v>
      </c>
      <c r="Q10" s="20">
        <v>4.095E-2</v>
      </c>
      <c r="R10" s="20">
        <v>4.53E-2</v>
      </c>
      <c r="S10" s="20">
        <f t="shared" si="0"/>
        <v>4092</v>
      </c>
      <c r="T10" s="20">
        <f t="shared" si="1"/>
        <v>4091</v>
      </c>
      <c r="U10" s="20">
        <f t="shared" si="2"/>
        <v>4095</v>
      </c>
      <c r="V10" s="20">
        <f t="shared" si="3"/>
        <v>54</v>
      </c>
      <c r="W10" s="20">
        <f t="shared" si="4"/>
        <v>51</v>
      </c>
      <c r="X10" s="20">
        <f t="shared" si="5"/>
        <v>57</v>
      </c>
      <c r="Y10" s="20" t="s">
        <v>417</v>
      </c>
      <c r="Z10" s="25">
        <v>0</v>
      </c>
      <c r="AA10" s="25">
        <v>1</v>
      </c>
      <c r="AB10" s="25" t="s">
        <v>417</v>
      </c>
      <c r="AC10" s="20" t="s">
        <v>741</v>
      </c>
    </row>
    <row r="11" spans="1:29" ht="102">
      <c r="A11" s="20" t="s">
        <v>339</v>
      </c>
      <c r="B11" s="21" t="str">
        <f>'Lambda-UC_Diag'!A41</f>
        <v>Output 'Dig_Out1' stuck high</v>
      </c>
      <c r="C11" s="22">
        <f>'Lambda-UC_Diag'!B$31</f>
        <v>1.7731485820300208E-8</v>
      </c>
      <c r="D11" s="23">
        <f>'Lambda-UC_Diag'!C41</f>
        <v>2.6666666666666668E-2</v>
      </c>
      <c r="E11" s="20">
        <f>'Lambda-UC_Diag'!D41</f>
        <v>4.7283962187467226E-10</v>
      </c>
      <c r="F11" s="21" t="s">
        <v>418</v>
      </c>
      <c r="G11" s="21" t="s">
        <v>473</v>
      </c>
      <c r="H11" s="20" t="s">
        <v>43</v>
      </c>
      <c r="I11" s="20" t="s">
        <v>408</v>
      </c>
      <c r="J11" s="20" t="s">
        <v>591</v>
      </c>
      <c r="K11" s="20" t="s">
        <v>729</v>
      </c>
      <c r="L11" s="20" t="s">
        <v>728</v>
      </c>
      <c r="M11" s="20">
        <v>3.27305</v>
      </c>
      <c r="N11" s="20">
        <v>3.2730299999999999</v>
      </c>
      <c r="O11" s="20">
        <v>3.2730600000000001</v>
      </c>
      <c r="P11" s="20">
        <v>3.2723450000000001</v>
      </c>
      <c r="Q11" s="20">
        <v>3.272335</v>
      </c>
      <c r="R11" s="20">
        <v>3.2723550000000001</v>
      </c>
      <c r="S11" s="20">
        <f t="shared" si="0"/>
        <v>4093</v>
      </c>
      <c r="T11" s="20">
        <f t="shared" si="1"/>
        <v>4093</v>
      </c>
      <c r="U11" s="20">
        <f t="shared" si="2"/>
        <v>4093</v>
      </c>
      <c r="V11" s="20">
        <f t="shared" si="3"/>
        <v>4092</v>
      </c>
      <c r="W11" s="20">
        <f t="shared" si="4"/>
        <v>4092</v>
      </c>
      <c r="X11" s="20">
        <f t="shared" si="5"/>
        <v>4092</v>
      </c>
      <c r="Y11" s="20" t="s">
        <v>422</v>
      </c>
      <c r="Z11" s="25">
        <v>0</v>
      </c>
      <c r="AA11" s="25">
        <v>1</v>
      </c>
      <c r="AB11" s="25" t="s">
        <v>417</v>
      </c>
      <c r="AC11" s="20" t="s">
        <v>736</v>
      </c>
    </row>
    <row r="12" spans="1:29" ht="51">
      <c r="A12" s="20" t="s">
        <v>339</v>
      </c>
      <c r="B12" s="21" t="str">
        <f>'Lambda-UC_Diag'!A42</f>
        <v>Output 'Dig_Out2' stuck high</v>
      </c>
      <c r="C12" s="22">
        <f>'Lambda-UC_Diag'!B$31</f>
        <v>1.7731485820300208E-8</v>
      </c>
      <c r="D12" s="23">
        <f>'Lambda-UC_Diag'!C42</f>
        <v>2.6666666666666668E-2</v>
      </c>
      <c r="E12" s="20">
        <f>'Lambda-UC_Diag'!D42</f>
        <v>4.7283962187467226E-10</v>
      </c>
      <c r="F12" s="24" t="s">
        <v>423</v>
      </c>
      <c r="G12" s="24" t="s">
        <v>472</v>
      </c>
      <c r="H12" s="25" t="s">
        <v>43</v>
      </c>
      <c r="I12" s="25" t="s">
        <v>408</v>
      </c>
      <c r="J12" s="20" t="s">
        <v>592</v>
      </c>
      <c r="K12" s="20" t="s">
        <v>728</v>
      </c>
      <c r="L12" s="20" t="s">
        <v>729</v>
      </c>
      <c r="M12" s="20">
        <v>3.2724899999999999</v>
      </c>
      <c r="N12" s="20">
        <v>3.2719999999999998</v>
      </c>
      <c r="O12" s="20">
        <v>3.2749999999999999</v>
      </c>
      <c r="P12" s="20">
        <v>4.3130000000000002E-2</v>
      </c>
      <c r="Q12" s="20">
        <v>4.095E-2</v>
      </c>
      <c r="R12" s="20">
        <v>4.53E-2</v>
      </c>
      <c r="S12" s="25">
        <f t="shared" si="0"/>
        <v>4092</v>
      </c>
      <c r="T12" s="25">
        <f t="shared" si="1"/>
        <v>4091</v>
      </c>
      <c r="U12" s="25">
        <f t="shared" si="2"/>
        <v>4095</v>
      </c>
      <c r="V12" s="25">
        <f t="shared" si="3"/>
        <v>54</v>
      </c>
      <c r="W12" s="25">
        <f t="shared" si="4"/>
        <v>51</v>
      </c>
      <c r="X12" s="25">
        <f t="shared" si="5"/>
        <v>57</v>
      </c>
      <c r="Y12" s="25" t="s">
        <v>425</v>
      </c>
      <c r="Z12" s="25">
        <v>1</v>
      </c>
      <c r="AA12" s="25">
        <v>1</v>
      </c>
      <c r="AB12" s="25" t="s">
        <v>414</v>
      </c>
      <c r="AC12" s="20" t="s">
        <v>736</v>
      </c>
    </row>
    <row r="13" spans="1:29" ht="89.25">
      <c r="A13" s="20" t="s">
        <v>339</v>
      </c>
      <c r="B13" s="21" t="str">
        <f>'Lambda-UC_Diag'!A43</f>
        <v>Bidirectional 'SPI' Pin stuck high</v>
      </c>
      <c r="C13" s="22">
        <f>'Lambda-UC_Diag'!B$31</f>
        <v>1.7731485820300208E-8</v>
      </c>
      <c r="D13" s="23">
        <f>'Lambda-UC_Diag'!C43</f>
        <v>2.6666666666666668E-2</v>
      </c>
      <c r="E13" s="20">
        <f>'Lambda-UC_Diag'!D43</f>
        <v>4.7283962187467226E-10</v>
      </c>
      <c r="F13" s="21" t="s">
        <v>416</v>
      </c>
      <c r="G13" s="21" t="s">
        <v>424</v>
      </c>
      <c r="H13" s="20" t="s">
        <v>43</v>
      </c>
      <c r="I13" s="20" t="s">
        <v>45</v>
      </c>
      <c r="J13" s="20" t="s">
        <v>588</v>
      </c>
      <c r="K13" s="20" t="s">
        <v>728</v>
      </c>
      <c r="L13" s="20" t="s">
        <v>728</v>
      </c>
      <c r="M13" s="20">
        <v>3.2724899999999999</v>
      </c>
      <c r="N13" s="20">
        <v>3.2719999999999998</v>
      </c>
      <c r="O13" s="20">
        <v>3.2749999999999999</v>
      </c>
      <c r="P13" s="20">
        <v>4.3130000000000002E-2</v>
      </c>
      <c r="Q13" s="20">
        <v>4.095E-2</v>
      </c>
      <c r="R13" s="20">
        <v>4.53E-2</v>
      </c>
      <c r="S13" s="20">
        <f t="shared" si="0"/>
        <v>4092</v>
      </c>
      <c r="T13" s="20">
        <f t="shared" si="1"/>
        <v>4091</v>
      </c>
      <c r="U13" s="20">
        <f t="shared" si="2"/>
        <v>4095</v>
      </c>
      <c r="V13" s="20">
        <f t="shared" si="3"/>
        <v>54</v>
      </c>
      <c r="W13" s="20">
        <f t="shared" si="4"/>
        <v>51</v>
      </c>
      <c r="X13" s="20">
        <f t="shared" si="5"/>
        <v>57</v>
      </c>
      <c r="Y13" s="20" t="s">
        <v>417</v>
      </c>
      <c r="Z13" s="25">
        <v>0</v>
      </c>
      <c r="AA13" s="25">
        <v>1</v>
      </c>
      <c r="AB13" s="25" t="s">
        <v>417</v>
      </c>
      <c r="AC13" s="20" t="s">
        <v>741</v>
      </c>
    </row>
    <row r="14" spans="1:29" ht="38.25">
      <c r="A14" s="20" t="s">
        <v>339</v>
      </c>
      <c r="B14" s="21" t="str">
        <f>'Lambda-UC_Diag'!A44</f>
        <v>Input 'Anal_In1' open</v>
      </c>
      <c r="C14" s="22">
        <f>'Lambda-UC_Diag'!B$31</f>
        <v>1.7731485820300208E-8</v>
      </c>
      <c r="D14" s="23">
        <f>'Lambda-UC_Diag'!C44</f>
        <v>0.12</v>
      </c>
      <c r="E14" s="20">
        <f>'Lambda-UC_Diag'!D44</f>
        <v>2.1277782984360249E-9</v>
      </c>
      <c r="F14" s="21" t="s">
        <v>426</v>
      </c>
      <c r="G14" s="21" t="s">
        <v>427</v>
      </c>
      <c r="H14" s="20" t="s">
        <v>43</v>
      </c>
      <c r="I14" s="20" t="s">
        <v>408</v>
      </c>
      <c r="J14" s="20" t="s">
        <v>591</v>
      </c>
      <c r="K14" s="20" t="s">
        <v>729</v>
      </c>
      <c r="L14" s="20" t="s">
        <v>728</v>
      </c>
      <c r="M14" s="20">
        <v>0.15290000000000001</v>
      </c>
      <c r="N14" s="20">
        <v>0.15290000000000001</v>
      </c>
      <c r="O14" s="20">
        <v>0.15290000000000001</v>
      </c>
      <c r="P14" s="20">
        <v>0.155</v>
      </c>
      <c r="Q14" s="20">
        <v>9.6000000000000002E-2</v>
      </c>
      <c r="R14" s="20">
        <v>0.252</v>
      </c>
      <c r="S14" s="20">
        <f t="shared" si="0"/>
        <v>191</v>
      </c>
      <c r="T14" s="20">
        <f t="shared" si="1"/>
        <v>191</v>
      </c>
      <c r="U14" s="20">
        <f t="shared" si="2"/>
        <v>191</v>
      </c>
      <c r="V14" s="20">
        <f t="shared" si="3"/>
        <v>194</v>
      </c>
      <c r="W14" s="20">
        <f t="shared" si="4"/>
        <v>120</v>
      </c>
      <c r="X14" s="20">
        <f t="shared" si="5"/>
        <v>315</v>
      </c>
      <c r="Y14" s="25" t="s">
        <v>428</v>
      </c>
      <c r="Z14" s="25">
        <v>0</v>
      </c>
      <c r="AA14" s="25">
        <v>1</v>
      </c>
      <c r="AB14" s="25" t="s">
        <v>417</v>
      </c>
      <c r="AC14" s="20" t="s">
        <v>736</v>
      </c>
    </row>
    <row r="15" spans="1:29" ht="102">
      <c r="A15" s="20" t="s">
        <v>339</v>
      </c>
      <c r="B15" s="21" t="str">
        <f>'Lambda-UC_Diag'!A45</f>
        <v>Input 'Dig_In1' open</v>
      </c>
      <c r="C15" s="22">
        <f>'Lambda-UC_Diag'!B$31</f>
        <v>1.7731485820300208E-8</v>
      </c>
      <c r="D15" s="23">
        <f>'Lambda-UC_Diag'!C45</f>
        <v>0.12</v>
      </c>
      <c r="E15" s="20">
        <f>'Lambda-UC_Diag'!D45</f>
        <v>2.1277782984360249E-9</v>
      </c>
      <c r="F15" s="21" t="s">
        <v>468</v>
      </c>
      <c r="G15" s="21" t="s">
        <v>469</v>
      </c>
      <c r="H15" s="20" t="s">
        <v>43</v>
      </c>
      <c r="I15" s="20" t="s">
        <v>45</v>
      </c>
      <c r="J15" s="20" t="s">
        <v>588</v>
      </c>
      <c r="K15" s="20" t="s">
        <v>728</v>
      </c>
      <c r="L15" s="20" t="s">
        <v>728</v>
      </c>
      <c r="M15" s="20">
        <v>3.2724899999999999</v>
      </c>
      <c r="N15" s="20">
        <v>3.2719999999999998</v>
      </c>
      <c r="O15" s="20">
        <v>3.2749999999999999</v>
      </c>
      <c r="P15" s="20">
        <v>4.3130000000000002E-2</v>
      </c>
      <c r="Q15" s="20">
        <v>4.095E-2</v>
      </c>
      <c r="R15" s="20">
        <v>4.53E-2</v>
      </c>
      <c r="S15" s="20">
        <f t="shared" ref="S15" si="6">ROUND(((M15-MIN($M$3:$R$212))/(MAX($M$3:$R$212)-MIN($M$3:$R$212)))*((2^12)-1), 0)</f>
        <v>4092</v>
      </c>
      <c r="T15" s="20">
        <f t="shared" ref="T15" si="7">ROUND(((N15-MIN($M$3:$R$212))/(MAX($M$3:$R$212)-MIN($M$3:$R$212)))*((2^12)-1), 0)</f>
        <v>4091</v>
      </c>
      <c r="U15" s="20">
        <f t="shared" ref="U15" si="8">ROUND(((O15-MIN($M$3:$R$212))/(MAX($M$3:$R$212)-MIN($M$3:$R$212)))*((2^12)-1), 0)</f>
        <v>4095</v>
      </c>
      <c r="V15" s="20">
        <f t="shared" ref="V15" si="9">ROUND(((P15-MIN($M$3:$R$212))/(MAX($M$3:$R$212)-MIN($M$3:$R$212)))*((2^12)-1), 0)</f>
        <v>54</v>
      </c>
      <c r="W15" s="20">
        <f t="shared" ref="W15" si="10">ROUND(((Q15-MIN($M$3:$R$212))/(MAX($M$3:$R$212)-MIN($M$3:$R$212)))*((2^12)-1), 0)</f>
        <v>51</v>
      </c>
      <c r="X15" s="20">
        <f t="shared" ref="X15" si="11">ROUND(((R15-MIN($M$3:$R$212))/(MAX($M$3:$R$212)-MIN($M$3:$R$212)))*((2^12)-1), 0)</f>
        <v>57</v>
      </c>
      <c r="Y15" s="25" t="s">
        <v>471</v>
      </c>
      <c r="Z15" s="25">
        <v>0</v>
      </c>
      <c r="AA15" s="25">
        <v>1</v>
      </c>
      <c r="AB15" s="25" t="s">
        <v>470</v>
      </c>
      <c r="AC15" s="25" t="s">
        <v>731</v>
      </c>
    </row>
    <row r="16" spans="1:29" ht="89.25">
      <c r="A16" s="20" t="s">
        <v>340</v>
      </c>
      <c r="B16" s="21" t="str">
        <f>'Lambda-Flash (All)'!A34</f>
        <v>Data bit loss</v>
      </c>
      <c r="C16" s="22">
        <f>'Lambda-Flash (All)'!B$31</f>
        <v>1.7732043349975445E-8</v>
      </c>
      <c r="D16" s="23">
        <f>'Lambda-Flash (All)'!C34</f>
        <v>0.34</v>
      </c>
      <c r="E16" s="20">
        <f>'Lambda-Flash (All)'!D34</f>
        <v>6.0288947389916522E-9</v>
      </c>
      <c r="F16" s="21" t="s">
        <v>474</v>
      </c>
      <c r="G16" s="21" t="s">
        <v>424</v>
      </c>
      <c r="H16" s="20" t="s">
        <v>43</v>
      </c>
      <c r="I16" s="20" t="s">
        <v>45</v>
      </c>
      <c r="J16" s="20" t="s">
        <v>588</v>
      </c>
      <c r="K16" s="20" t="s">
        <v>728</v>
      </c>
      <c r="L16" s="20" t="s">
        <v>728</v>
      </c>
      <c r="M16" s="20">
        <v>3.2724899999999999</v>
      </c>
      <c r="N16" s="20">
        <v>3.2719999999999998</v>
      </c>
      <c r="O16" s="20">
        <v>3.2749999999999999</v>
      </c>
      <c r="P16" s="20">
        <v>4.3130000000000002E-2</v>
      </c>
      <c r="Q16" s="20">
        <v>4.095E-2</v>
      </c>
      <c r="R16" s="20">
        <v>4.53E-2</v>
      </c>
      <c r="S16" s="20">
        <f t="shared" ref="S16:X17" si="12">ROUND(((M16-MIN($M$3:$R$212))/(MAX($M$3:$R$212)-MIN($M$3:$R$212)))*((2^12)-1), 0)</f>
        <v>4092</v>
      </c>
      <c r="T16" s="20">
        <f t="shared" si="12"/>
        <v>4091</v>
      </c>
      <c r="U16" s="20">
        <f t="shared" si="12"/>
        <v>4095</v>
      </c>
      <c r="V16" s="20">
        <f t="shared" si="12"/>
        <v>54</v>
      </c>
      <c r="W16" s="20">
        <f t="shared" si="12"/>
        <v>51</v>
      </c>
      <c r="X16" s="20">
        <f t="shared" si="12"/>
        <v>57</v>
      </c>
      <c r="Y16" s="20" t="s">
        <v>417</v>
      </c>
      <c r="Z16" s="25">
        <v>0</v>
      </c>
      <c r="AA16" s="25">
        <v>1</v>
      </c>
      <c r="AB16" s="25" t="s">
        <v>417</v>
      </c>
      <c r="AC16" s="20" t="s">
        <v>741</v>
      </c>
    </row>
    <row r="17" spans="1:29" ht="89.25">
      <c r="A17" s="20" t="s">
        <v>340</v>
      </c>
      <c r="B17" s="21" t="str">
        <f>'Lambda-Flash (All)'!A35</f>
        <v>Slow transfer of data</v>
      </c>
      <c r="C17" s="22">
        <f>'Lambda-Flash (All)'!B$31</f>
        <v>1.7732043349975445E-8</v>
      </c>
      <c r="D17" s="23">
        <f>'Lambda-Flash (All)'!C35</f>
        <v>0.17</v>
      </c>
      <c r="E17" s="20">
        <f>'Lambda-Flash (All)'!D35</f>
        <v>3.0144473694958261E-9</v>
      </c>
      <c r="F17" s="21" t="s">
        <v>474</v>
      </c>
      <c r="G17" s="21" t="s">
        <v>424</v>
      </c>
      <c r="H17" s="20" t="s">
        <v>43</v>
      </c>
      <c r="I17" s="20" t="s">
        <v>45</v>
      </c>
      <c r="J17" s="20" t="s">
        <v>588</v>
      </c>
      <c r="K17" s="20" t="s">
        <v>728</v>
      </c>
      <c r="L17" s="20" t="s">
        <v>728</v>
      </c>
      <c r="M17" s="20">
        <v>3.2724899999999999</v>
      </c>
      <c r="N17" s="20">
        <v>3.2719999999999998</v>
      </c>
      <c r="O17" s="20">
        <v>3.2749999999999999</v>
      </c>
      <c r="P17" s="20">
        <v>4.3130000000000002E-2</v>
      </c>
      <c r="Q17" s="20">
        <v>4.095E-2</v>
      </c>
      <c r="R17" s="20">
        <v>4.53E-2</v>
      </c>
      <c r="S17" s="20">
        <f t="shared" si="12"/>
        <v>4092</v>
      </c>
      <c r="T17" s="20">
        <f t="shared" si="12"/>
        <v>4091</v>
      </c>
      <c r="U17" s="20">
        <f t="shared" si="12"/>
        <v>4095</v>
      </c>
      <c r="V17" s="20">
        <f t="shared" si="12"/>
        <v>54</v>
      </c>
      <c r="W17" s="20">
        <f t="shared" si="12"/>
        <v>51</v>
      </c>
      <c r="X17" s="20">
        <f t="shared" si="12"/>
        <v>57</v>
      </c>
      <c r="Y17" s="20" t="s">
        <v>417</v>
      </c>
      <c r="Z17" s="25">
        <v>0</v>
      </c>
      <c r="AA17" s="25">
        <v>1</v>
      </c>
      <c r="AB17" s="25" t="s">
        <v>417</v>
      </c>
      <c r="AC17" s="20" t="s">
        <v>741</v>
      </c>
    </row>
    <row r="18" spans="1:29" ht="89.25">
      <c r="A18" s="20" t="s">
        <v>340</v>
      </c>
      <c r="B18" s="21" t="str">
        <f>'Lambda-Flash (All)'!A36</f>
        <v>Open</v>
      </c>
      <c r="C18" s="22">
        <f>'Lambda-Flash (All)'!B$31</f>
        <v>1.7732043349975445E-8</v>
      </c>
      <c r="D18" s="23">
        <f>'Lambda-Flash (All)'!C36</f>
        <v>0.23</v>
      </c>
      <c r="E18" s="20">
        <f>'Lambda-Flash (All)'!D36</f>
        <v>4.0783699704943524E-9</v>
      </c>
      <c r="F18" s="21" t="s">
        <v>474</v>
      </c>
      <c r="G18" s="21" t="s">
        <v>424</v>
      </c>
      <c r="H18" s="20" t="s">
        <v>43</v>
      </c>
      <c r="I18" s="20" t="s">
        <v>45</v>
      </c>
      <c r="J18" s="20" t="s">
        <v>588</v>
      </c>
      <c r="K18" s="20" t="s">
        <v>728</v>
      </c>
      <c r="L18" s="20" t="s">
        <v>728</v>
      </c>
      <c r="M18" s="20">
        <v>3.2724899999999999</v>
      </c>
      <c r="N18" s="20">
        <v>3.2719999999999998</v>
      </c>
      <c r="O18" s="20">
        <v>3.2749999999999999</v>
      </c>
      <c r="P18" s="20">
        <v>4.3130000000000002E-2</v>
      </c>
      <c r="Q18" s="20">
        <v>4.095E-2</v>
      </c>
      <c r="R18" s="20">
        <v>4.53E-2</v>
      </c>
      <c r="S18" s="20">
        <f t="shared" ref="S18:S24" si="13">ROUND(((M18-MIN($M$3:$R$212))/(MAX($M$3:$R$212)-MIN($M$3:$R$212)))*((2^12)-1), 0)</f>
        <v>4092</v>
      </c>
      <c r="T18" s="20">
        <f t="shared" ref="T18:T24" si="14">ROUND(((N18-MIN($M$3:$R$212))/(MAX($M$3:$R$212)-MIN($M$3:$R$212)))*((2^12)-1), 0)</f>
        <v>4091</v>
      </c>
      <c r="U18" s="20">
        <f t="shared" ref="U18:U24" si="15">ROUND(((O18-MIN($M$3:$R$212))/(MAX($M$3:$R$212)-MIN($M$3:$R$212)))*((2^12)-1), 0)</f>
        <v>4095</v>
      </c>
      <c r="V18" s="20">
        <f t="shared" ref="V18:V24" si="16">ROUND(((P18-MIN($M$3:$R$212))/(MAX($M$3:$R$212)-MIN($M$3:$R$212)))*((2^12)-1), 0)</f>
        <v>54</v>
      </c>
      <c r="W18" s="20">
        <f t="shared" ref="W18:W24" si="17">ROUND(((Q18-MIN($M$3:$R$212))/(MAX($M$3:$R$212)-MIN($M$3:$R$212)))*((2^12)-1), 0)</f>
        <v>51</v>
      </c>
      <c r="X18" s="20">
        <f t="shared" ref="X18:X24" si="18">ROUND(((R18-MIN($M$3:$R$212))/(MAX($M$3:$R$212)-MIN($M$3:$R$212)))*((2^12)-1), 0)</f>
        <v>57</v>
      </c>
      <c r="Y18" s="20" t="s">
        <v>417</v>
      </c>
      <c r="Z18" s="25">
        <v>0</v>
      </c>
      <c r="AA18" s="25">
        <v>1</v>
      </c>
      <c r="AB18" s="25" t="s">
        <v>417</v>
      </c>
      <c r="AC18" s="20" t="s">
        <v>741</v>
      </c>
    </row>
    <row r="19" spans="1:29" ht="89.25">
      <c r="A19" s="20" t="s">
        <v>340</v>
      </c>
      <c r="B19" s="21" t="str">
        <f>'Lambda-Flash (All)'!A37</f>
        <v>Short-circuit</v>
      </c>
      <c r="C19" s="22">
        <f>'Lambda-Flash (All)'!B$31</f>
        <v>1.7732043349975445E-8</v>
      </c>
      <c r="D19" s="23">
        <f>'Lambda-Flash (All)'!C37</f>
        <v>0.26</v>
      </c>
      <c r="E19" s="20">
        <f>'Lambda-Flash (All)'!D37</f>
        <v>4.6103312709936158E-9</v>
      </c>
      <c r="F19" s="21" t="s">
        <v>474</v>
      </c>
      <c r="G19" s="21" t="s">
        <v>424</v>
      </c>
      <c r="H19" s="20" t="s">
        <v>43</v>
      </c>
      <c r="I19" s="20" t="s">
        <v>45</v>
      </c>
      <c r="J19" s="20" t="s">
        <v>588</v>
      </c>
      <c r="K19" s="20" t="s">
        <v>728</v>
      </c>
      <c r="L19" s="20" t="s">
        <v>728</v>
      </c>
      <c r="M19" s="20">
        <v>3.2724899999999999</v>
      </c>
      <c r="N19" s="20">
        <v>3.2719999999999998</v>
      </c>
      <c r="O19" s="20">
        <v>3.2749999999999999</v>
      </c>
      <c r="P19" s="20">
        <v>4.3130000000000002E-2</v>
      </c>
      <c r="Q19" s="20">
        <v>4.095E-2</v>
      </c>
      <c r="R19" s="20">
        <v>4.53E-2</v>
      </c>
      <c r="S19" s="20">
        <f t="shared" si="13"/>
        <v>4092</v>
      </c>
      <c r="T19" s="20">
        <f t="shared" si="14"/>
        <v>4091</v>
      </c>
      <c r="U19" s="20">
        <f t="shared" si="15"/>
        <v>4095</v>
      </c>
      <c r="V19" s="20">
        <f t="shared" si="16"/>
        <v>54</v>
      </c>
      <c r="W19" s="20">
        <f t="shared" si="17"/>
        <v>51</v>
      </c>
      <c r="X19" s="20">
        <f t="shared" si="18"/>
        <v>57</v>
      </c>
      <c r="Y19" s="20" t="s">
        <v>417</v>
      </c>
      <c r="Z19" s="25">
        <v>0</v>
      </c>
      <c r="AA19" s="25">
        <v>1</v>
      </c>
      <c r="AB19" s="25" t="s">
        <v>417</v>
      </c>
      <c r="AC19" s="20" t="s">
        <v>741</v>
      </c>
    </row>
    <row r="20" spans="1:29" ht="89.25">
      <c r="A20" s="20" t="s">
        <v>460</v>
      </c>
      <c r="B20" s="21" t="str">
        <f>'Lambda-Resistor (All)'!A35</f>
        <v>Open</v>
      </c>
      <c r="C20" s="22">
        <f>'Lambda-Resistor (All)'!B$32</f>
        <v>4.1612004167966296E-9</v>
      </c>
      <c r="D20" s="23">
        <f>'Lambda-Resistor (All)'!C35</f>
        <v>0.59</v>
      </c>
      <c r="E20" s="20">
        <f>'Lambda-Resistor (All)'!D35</f>
        <v>2.4551082459100113E-9</v>
      </c>
      <c r="F20" s="21" t="s">
        <v>476</v>
      </c>
      <c r="G20" s="21" t="s">
        <v>475</v>
      </c>
      <c r="H20" s="20" t="s">
        <v>43</v>
      </c>
      <c r="I20" s="20" t="s">
        <v>408</v>
      </c>
      <c r="J20" s="20" t="s">
        <v>592</v>
      </c>
      <c r="K20" s="20" t="s">
        <v>728</v>
      </c>
      <c r="L20" s="20" t="s">
        <v>729</v>
      </c>
      <c r="M20" s="20">
        <v>3.2724899999999999</v>
      </c>
      <c r="N20" s="20">
        <v>3.2719999999999998</v>
      </c>
      <c r="O20" s="20">
        <v>3.2749999999999999</v>
      </c>
      <c r="P20" s="20">
        <v>4.3130000000000002E-2</v>
      </c>
      <c r="Q20" s="20">
        <v>4.095E-2</v>
      </c>
      <c r="R20" s="20">
        <v>4.53E-2</v>
      </c>
      <c r="S20" s="25">
        <f t="shared" si="13"/>
        <v>4092</v>
      </c>
      <c r="T20" s="25">
        <f t="shared" si="14"/>
        <v>4091</v>
      </c>
      <c r="U20" s="25">
        <f t="shared" si="15"/>
        <v>4095</v>
      </c>
      <c r="V20" s="25">
        <f t="shared" si="16"/>
        <v>54</v>
      </c>
      <c r="W20" s="25">
        <f t="shared" si="17"/>
        <v>51</v>
      </c>
      <c r="X20" s="25">
        <f t="shared" si="18"/>
        <v>57</v>
      </c>
      <c r="Y20" s="25" t="s">
        <v>425</v>
      </c>
      <c r="Z20" s="25">
        <v>1</v>
      </c>
      <c r="AA20" s="25">
        <v>1</v>
      </c>
      <c r="AB20" s="25" t="s">
        <v>414</v>
      </c>
      <c r="AC20" s="20" t="s">
        <v>736</v>
      </c>
    </row>
    <row r="21" spans="1:29" ht="89.25">
      <c r="A21" s="20" t="s">
        <v>460</v>
      </c>
      <c r="B21" s="21" t="str">
        <f>'Lambda-Resistor (All)'!A36</f>
        <v>Short-Circuit</v>
      </c>
      <c r="C21" s="22">
        <f>'Lambda-Resistor (All)'!B$32</f>
        <v>4.1612004167966296E-9</v>
      </c>
      <c r="D21" s="23">
        <f>'Lambda-Resistor (All)'!C36</f>
        <v>0.05</v>
      </c>
      <c r="E21" s="20">
        <f>'Lambda-Resistor (All)'!D36</f>
        <v>2.080600208398315E-10</v>
      </c>
      <c r="F21" s="21" t="s">
        <v>630</v>
      </c>
      <c r="G21" s="21" t="s">
        <v>475</v>
      </c>
      <c r="H21" s="20" t="s">
        <v>43</v>
      </c>
      <c r="I21" s="20" t="s">
        <v>408</v>
      </c>
      <c r="J21" s="20" t="s">
        <v>592</v>
      </c>
      <c r="K21" s="20" t="s">
        <v>728</v>
      </c>
      <c r="L21" s="20" t="s">
        <v>729</v>
      </c>
      <c r="M21" s="20">
        <v>3.2724899999999999</v>
      </c>
      <c r="N21" s="20">
        <v>3.2719999999999998</v>
      </c>
      <c r="O21" s="20">
        <v>3.2749999999999999</v>
      </c>
      <c r="P21" s="20">
        <v>4.3130000000000002E-2</v>
      </c>
      <c r="Q21" s="20">
        <v>4.095E-2</v>
      </c>
      <c r="R21" s="20">
        <v>4.53E-2</v>
      </c>
      <c r="S21" s="25">
        <f t="shared" si="13"/>
        <v>4092</v>
      </c>
      <c r="T21" s="25">
        <f t="shared" si="14"/>
        <v>4091</v>
      </c>
      <c r="U21" s="25">
        <f t="shared" si="15"/>
        <v>4095</v>
      </c>
      <c r="V21" s="25">
        <f t="shared" si="16"/>
        <v>54</v>
      </c>
      <c r="W21" s="25">
        <f t="shared" si="17"/>
        <v>51</v>
      </c>
      <c r="X21" s="25">
        <f t="shared" si="18"/>
        <v>57</v>
      </c>
      <c r="Y21" s="25" t="s">
        <v>425</v>
      </c>
      <c r="Z21" s="25">
        <v>1</v>
      </c>
      <c r="AA21" s="25">
        <v>1</v>
      </c>
      <c r="AB21" s="25" t="s">
        <v>414</v>
      </c>
      <c r="AC21" s="20" t="s">
        <v>736</v>
      </c>
    </row>
    <row r="22" spans="1:29" ht="51">
      <c r="A22" s="20" t="s">
        <v>460</v>
      </c>
      <c r="B22" s="24" t="str">
        <f>'Lambda-Resistor (All)'!A37</f>
        <v>Increase of Resistance Value</v>
      </c>
      <c r="C22" s="22">
        <f>'Lambda-Resistor (All)'!B$32</f>
        <v>4.1612004167966296E-9</v>
      </c>
      <c r="D22" s="23">
        <f>'Lambda-Resistor (All)'!C37</f>
        <v>0.18</v>
      </c>
      <c r="E22" s="20">
        <f>'Lambda-Resistor (All)'!D37</f>
        <v>7.4901607502339334E-10</v>
      </c>
      <c r="F22" s="21" t="s">
        <v>380</v>
      </c>
      <c r="G22" s="21" t="s">
        <v>380</v>
      </c>
      <c r="H22" s="20" t="s">
        <v>43</v>
      </c>
      <c r="I22" s="20" t="s">
        <v>408</v>
      </c>
      <c r="J22" s="20" t="s">
        <v>592</v>
      </c>
      <c r="K22" s="20" t="s">
        <v>728</v>
      </c>
      <c r="L22" s="20" t="s">
        <v>729</v>
      </c>
      <c r="M22" s="20">
        <v>3.2724899999999999</v>
      </c>
      <c r="N22" s="20">
        <v>3.2719999999999998</v>
      </c>
      <c r="O22" s="20">
        <v>3.2749999999999999</v>
      </c>
      <c r="P22" s="20">
        <v>4.3130000000000002E-2</v>
      </c>
      <c r="Q22" s="20">
        <v>4.095E-2</v>
      </c>
      <c r="R22" s="20">
        <v>4.53E-2</v>
      </c>
      <c r="S22" s="25">
        <f t="shared" si="13"/>
        <v>4092</v>
      </c>
      <c r="T22" s="25">
        <f t="shared" si="14"/>
        <v>4091</v>
      </c>
      <c r="U22" s="25">
        <f t="shared" si="15"/>
        <v>4095</v>
      </c>
      <c r="V22" s="25">
        <f t="shared" si="16"/>
        <v>54</v>
      </c>
      <c r="W22" s="25">
        <f t="shared" si="17"/>
        <v>51</v>
      </c>
      <c r="X22" s="25">
        <f t="shared" si="18"/>
        <v>57</v>
      </c>
      <c r="Y22" s="25" t="s">
        <v>425</v>
      </c>
      <c r="Z22" s="25">
        <v>1</v>
      </c>
      <c r="AA22" s="25">
        <v>1</v>
      </c>
      <c r="AB22" s="25" t="s">
        <v>414</v>
      </c>
      <c r="AC22" s="20" t="s">
        <v>736</v>
      </c>
    </row>
    <row r="23" spans="1:29" ht="51">
      <c r="A23" s="20" t="s">
        <v>460</v>
      </c>
      <c r="B23" s="24" t="str">
        <f>'Lambda-Resistor (All)'!A38</f>
        <v>Decrease of Resistance Value</v>
      </c>
      <c r="C23" s="22">
        <f>'Lambda-Resistor (All)'!B$32</f>
        <v>4.1612004167966296E-9</v>
      </c>
      <c r="D23" s="23">
        <f>'Lambda-Resistor (All)'!C38</f>
        <v>0.18</v>
      </c>
      <c r="E23" s="20">
        <f>'Lambda-Resistor (All)'!D38</f>
        <v>7.4901607502339334E-10</v>
      </c>
      <c r="F23" s="21" t="s">
        <v>381</v>
      </c>
      <c r="G23" s="21" t="s">
        <v>381</v>
      </c>
      <c r="H23" s="20" t="s">
        <v>43</v>
      </c>
      <c r="I23" s="20" t="s">
        <v>408</v>
      </c>
      <c r="J23" s="20" t="s">
        <v>592</v>
      </c>
      <c r="K23" s="20" t="s">
        <v>728</v>
      </c>
      <c r="L23" s="20" t="s">
        <v>729</v>
      </c>
      <c r="M23" s="20">
        <v>3.2724899999999999</v>
      </c>
      <c r="N23" s="20">
        <v>3.2719999999999998</v>
      </c>
      <c r="O23" s="20">
        <v>3.2749999999999999</v>
      </c>
      <c r="P23" s="20">
        <v>4.3130000000000002E-2</v>
      </c>
      <c r="Q23" s="20">
        <v>4.095E-2</v>
      </c>
      <c r="R23" s="20">
        <v>4.53E-2</v>
      </c>
      <c r="S23" s="25">
        <f t="shared" si="13"/>
        <v>4092</v>
      </c>
      <c r="T23" s="25">
        <f t="shared" si="14"/>
        <v>4091</v>
      </c>
      <c r="U23" s="25">
        <f t="shared" si="15"/>
        <v>4095</v>
      </c>
      <c r="V23" s="25">
        <f t="shared" si="16"/>
        <v>54</v>
      </c>
      <c r="W23" s="25">
        <f t="shared" si="17"/>
        <v>51</v>
      </c>
      <c r="X23" s="25">
        <f t="shared" si="18"/>
        <v>57</v>
      </c>
      <c r="Y23" s="25" t="s">
        <v>425</v>
      </c>
      <c r="Z23" s="25">
        <v>1</v>
      </c>
      <c r="AA23" s="25">
        <v>1</v>
      </c>
      <c r="AB23" s="25" t="s">
        <v>414</v>
      </c>
      <c r="AC23" s="20" t="s">
        <v>736</v>
      </c>
    </row>
    <row r="24" spans="1:29" ht="38.25">
      <c r="A24" s="20" t="s">
        <v>460</v>
      </c>
      <c r="B24" s="21" t="str">
        <f>'Lambda-Resistor (All)'!A39</f>
        <v>Short-Circuit to Casing</v>
      </c>
      <c r="C24" s="22">
        <f>'Lambda-Resistor (All)'!B$32</f>
        <v>4.1612004167966296E-9</v>
      </c>
      <c r="D24" s="23">
        <f>'Lambda-Resistor (All)'!C39</f>
        <v>0</v>
      </c>
      <c r="E24" s="20">
        <f>'Lambda-Resistor (All)'!D39</f>
        <v>0</v>
      </c>
      <c r="F24" s="21" t="s">
        <v>382</v>
      </c>
      <c r="G24" s="26" t="s">
        <v>382</v>
      </c>
      <c r="H24" s="20" t="s">
        <v>43</v>
      </c>
      <c r="I24" s="20" t="s">
        <v>409</v>
      </c>
      <c r="J24" s="20" t="s">
        <v>409</v>
      </c>
      <c r="K24" s="20" t="s">
        <v>730</v>
      </c>
      <c r="L24" s="20" t="s">
        <v>730</v>
      </c>
      <c r="M24" s="20">
        <v>3.2724899999999999</v>
      </c>
      <c r="N24" s="20">
        <v>3.2719999999999998</v>
      </c>
      <c r="O24" s="20">
        <v>3.2749999999999999</v>
      </c>
      <c r="P24" s="20">
        <v>4.3130000000000002E-2</v>
      </c>
      <c r="Q24" s="20">
        <v>4.095E-2</v>
      </c>
      <c r="R24" s="20">
        <v>4.53E-2</v>
      </c>
      <c r="S24" s="20">
        <f t="shared" si="13"/>
        <v>4092</v>
      </c>
      <c r="T24" s="20">
        <f t="shared" si="14"/>
        <v>4091</v>
      </c>
      <c r="U24" s="20">
        <f t="shared" si="15"/>
        <v>4095</v>
      </c>
      <c r="V24" s="20">
        <f t="shared" si="16"/>
        <v>54</v>
      </c>
      <c r="W24" s="20">
        <f t="shared" si="17"/>
        <v>51</v>
      </c>
      <c r="X24" s="20">
        <f t="shared" si="18"/>
        <v>57</v>
      </c>
      <c r="Y24" s="20" t="s">
        <v>417</v>
      </c>
      <c r="Z24" s="25">
        <v>0</v>
      </c>
      <c r="AA24" s="25">
        <v>1</v>
      </c>
      <c r="AB24" s="25" t="s">
        <v>417</v>
      </c>
      <c r="AC24" s="20" t="s">
        <v>736</v>
      </c>
    </row>
    <row r="25" spans="1:29" ht="89.25">
      <c r="A25" s="20" t="s">
        <v>461</v>
      </c>
      <c r="B25" s="21" t="str">
        <f>'Lambda-Optocoupler (All)'!A31</f>
        <v>Open diode</v>
      </c>
      <c r="C25" s="22">
        <f>'Lambda-Optocoupler (All)'!B$28</f>
        <v>8.4558640964896021E-8</v>
      </c>
      <c r="D25" s="23">
        <f>'Lambda-Optocoupler (All)'!C31</f>
        <v>8.3333329999999997E-2</v>
      </c>
      <c r="E25" s="20">
        <f>'Lambda-Optocoupler (All)'!D31</f>
        <v>7.0465531318791983E-9</v>
      </c>
      <c r="F25" s="21" t="s">
        <v>476</v>
      </c>
      <c r="G25" s="21" t="s">
        <v>475</v>
      </c>
      <c r="H25" s="20" t="s">
        <v>43</v>
      </c>
      <c r="I25" s="20" t="s">
        <v>408</v>
      </c>
      <c r="J25" s="20" t="s">
        <v>592</v>
      </c>
      <c r="K25" s="20" t="s">
        <v>728</v>
      </c>
      <c r="L25" s="20" t="s">
        <v>729</v>
      </c>
      <c r="M25" s="20">
        <v>3.2724899999999999</v>
      </c>
      <c r="N25" s="20">
        <v>3.2719999999999998</v>
      </c>
      <c r="O25" s="20">
        <v>3.2749999999999999</v>
      </c>
      <c r="P25" s="20">
        <v>4.3130000000000002E-2</v>
      </c>
      <c r="Q25" s="20">
        <v>4.095E-2</v>
      </c>
      <c r="R25" s="20">
        <v>4.53E-2</v>
      </c>
      <c r="S25" s="25">
        <f t="shared" ref="S25:S29" si="19">ROUND(((M25-MIN($M$3:$R$212))/(MAX($M$3:$R$212)-MIN($M$3:$R$212)))*((2^12)-1), 0)</f>
        <v>4092</v>
      </c>
      <c r="T25" s="25">
        <f t="shared" ref="T25:T29" si="20">ROUND(((N25-MIN($M$3:$R$212))/(MAX($M$3:$R$212)-MIN($M$3:$R$212)))*((2^12)-1), 0)</f>
        <v>4091</v>
      </c>
      <c r="U25" s="25">
        <f t="shared" ref="U25:U29" si="21">ROUND(((O25-MIN($M$3:$R$212))/(MAX($M$3:$R$212)-MIN($M$3:$R$212)))*((2^12)-1), 0)</f>
        <v>4095</v>
      </c>
      <c r="V25" s="25">
        <f t="shared" ref="V25:V29" si="22">ROUND(((P25-MIN($M$3:$R$212))/(MAX($M$3:$R$212)-MIN($M$3:$R$212)))*((2^12)-1), 0)</f>
        <v>54</v>
      </c>
      <c r="W25" s="25">
        <f t="shared" ref="W25:W29" si="23">ROUND(((Q25-MIN($M$3:$R$212))/(MAX($M$3:$R$212)-MIN($M$3:$R$212)))*((2^12)-1), 0)</f>
        <v>51</v>
      </c>
      <c r="X25" s="25">
        <f t="shared" ref="X25:X29" si="24">ROUND(((R25-MIN($M$3:$R$212))/(MAX($M$3:$R$212)-MIN($M$3:$R$212)))*((2^12)-1), 0)</f>
        <v>57</v>
      </c>
      <c r="Y25" s="25" t="s">
        <v>425</v>
      </c>
      <c r="Z25" s="25">
        <v>1</v>
      </c>
      <c r="AA25" s="25">
        <v>1</v>
      </c>
      <c r="AB25" s="25" t="s">
        <v>414</v>
      </c>
      <c r="AC25" s="20" t="s">
        <v>736</v>
      </c>
    </row>
    <row r="26" spans="1:29" ht="89.25">
      <c r="A26" s="20" t="s">
        <v>461</v>
      </c>
      <c r="B26" s="21" t="str">
        <f>'Lambda-Optocoupler (All)'!A32</f>
        <v>Open emitter</v>
      </c>
      <c r="C26" s="22">
        <f>'Lambda-Optocoupler (All)'!B$28</f>
        <v>8.4558640964896021E-8</v>
      </c>
      <c r="D26" s="23">
        <f>'Lambda-Optocoupler (All)'!C32</f>
        <v>8.3333329999999997E-2</v>
      </c>
      <c r="E26" s="20">
        <f>'Lambda-Optocoupler (All)'!D32</f>
        <v>7.0465531318791983E-9</v>
      </c>
      <c r="F26" s="21" t="s">
        <v>477</v>
      </c>
      <c r="G26" s="21" t="s">
        <v>475</v>
      </c>
      <c r="H26" s="20" t="s">
        <v>43</v>
      </c>
      <c r="I26" s="20" t="s">
        <v>408</v>
      </c>
      <c r="J26" s="20" t="s">
        <v>592</v>
      </c>
      <c r="K26" s="20" t="s">
        <v>728</v>
      </c>
      <c r="L26" s="20" t="s">
        <v>729</v>
      </c>
      <c r="M26" s="20">
        <v>3.2724899999999999</v>
      </c>
      <c r="N26" s="20">
        <v>3.2719999999999998</v>
      </c>
      <c r="O26" s="20">
        <v>3.2749999999999999</v>
      </c>
      <c r="P26" s="20">
        <v>4.3130000000000002E-2</v>
      </c>
      <c r="Q26" s="20">
        <v>4.095E-2</v>
      </c>
      <c r="R26" s="20">
        <v>4.53E-2</v>
      </c>
      <c r="S26" s="25">
        <f t="shared" si="19"/>
        <v>4092</v>
      </c>
      <c r="T26" s="25">
        <f t="shared" si="20"/>
        <v>4091</v>
      </c>
      <c r="U26" s="25">
        <f t="shared" si="21"/>
        <v>4095</v>
      </c>
      <c r="V26" s="25">
        <f t="shared" si="22"/>
        <v>54</v>
      </c>
      <c r="W26" s="25">
        <f t="shared" si="23"/>
        <v>51</v>
      </c>
      <c r="X26" s="25">
        <f t="shared" si="24"/>
        <v>57</v>
      </c>
      <c r="Y26" s="25" t="s">
        <v>425</v>
      </c>
      <c r="Z26" s="25">
        <v>1</v>
      </c>
      <c r="AA26" s="25">
        <v>1</v>
      </c>
      <c r="AB26" s="25" t="s">
        <v>414</v>
      </c>
      <c r="AC26" s="20" t="s">
        <v>736</v>
      </c>
    </row>
    <row r="27" spans="1:29" ht="89.25">
      <c r="A27" s="20" t="s">
        <v>461</v>
      </c>
      <c r="B27" s="21" t="str">
        <f>'Lambda-Optocoupler (All)'!A33</f>
        <v>Open collector</v>
      </c>
      <c r="C27" s="22">
        <f>'Lambda-Optocoupler (All)'!B$28</f>
        <v>8.4558640964896021E-8</v>
      </c>
      <c r="D27" s="23">
        <f>'Lambda-Optocoupler (All)'!C33</f>
        <v>8.3333329999999997E-2</v>
      </c>
      <c r="E27" s="20">
        <f>'Lambda-Optocoupler (All)'!D33</f>
        <v>7.0465531318791983E-9</v>
      </c>
      <c r="F27" s="21" t="s">
        <v>477</v>
      </c>
      <c r="G27" s="21" t="s">
        <v>475</v>
      </c>
      <c r="H27" s="20" t="s">
        <v>43</v>
      </c>
      <c r="I27" s="20" t="s">
        <v>408</v>
      </c>
      <c r="J27" s="20" t="s">
        <v>592</v>
      </c>
      <c r="K27" s="20" t="s">
        <v>728</v>
      </c>
      <c r="L27" s="20" t="s">
        <v>729</v>
      </c>
      <c r="M27" s="20">
        <v>3.2724899999999999</v>
      </c>
      <c r="N27" s="20">
        <v>3.2719999999999998</v>
      </c>
      <c r="O27" s="20">
        <v>3.2749999999999999</v>
      </c>
      <c r="P27" s="20">
        <v>4.3130000000000002E-2</v>
      </c>
      <c r="Q27" s="20">
        <v>4.095E-2</v>
      </c>
      <c r="R27" s="20">
        <v>4.53E-2</v>
      </c>
      <c r="S27" s="25">
        <f t="shared" si="19"/>
        <v>4092</v>
      </c>
      <c r="T27" s="25">
        <f t="shared" si="20"/>
        <v>4091</v>
      </c>
      <c r="U27" s="25">
        <f t="shared" si="21"/>
        <v>4095</v>
      </c>
      <c r="V27" s="25">
        <f t="shared" si="22"/>
        <v>54</v>
      </c>
      <c r="W27" s="25">
        <f t="shared" si="23"/>
        <v>51</v>
      </c>
      <c r="X27" s="25">
        <f t="shared" si="24"/>
        <v>57</v>
      </c>
      <c r="Y27" s="25" t="s">
        <v>425</v>
      </c>
      <c r="Z27" s="25">
        <v>1</v>
      </c>
      <c r="AA27" s="25">
        <v>1</v>
      </c>
      <c r="AB27" s="25" t="s">
        <v>414</v>
      </c>
      <c r="AC27" s="20" t="s">
        <v>736</v>
      </c>
    </row>
    <row r="28" spans="1:29" ht="38.25">
      <c r="A28" s="20" t="s">
        <v>461</v>
      </c>
      <c r="B28" s="21" t="str">
        <f>'Lambda-Optocoupler (All)'!A34</f>
        <v>Open base</v>
      </c>
      <c r="C28" s="22">
        <f>'Lambda-Optocoupler (All)'!B$28</f>
        <v>8.4558640964896021E-8</v>
      </c>
      <c r="D28" s="23">
        <f>'Lambda-Optocoupler (All)'!C34</f>
        <v>8.3333329999999997E-2</v>
      </c>
      <c r="E28" s="20">
        <f>'Lambda-Optocoupler (All)'!D34</f>
        <v>7.0465531318791983E-9</v>
      </c>
      <c r="F28" s="21" t="s">
        <v>479</v>
      </c>
      <c r="G28" s="21" t="s">
        <v>478</v>
      </c>
      <c r="H28" s="20" t="s">
        <v>43</v>
      </c>
      <c r="I28" s="20" t="s">
        <v>409</v>
      </c>
      <c r="J28" s="20" t="s">
        <v>409</v>
      </c>
      <c r="K28" s="20" t="s">
        <v>730</v>
      </c>
      <c r="L28" s="20" t="s">
        <v>730</v>
      </c>
      <c r="M28" s="20">
        <v>3.2724899999999999</v>
      </c>
      <c r="N28" s="20">
        <v>3.2719999999999998</v>
      </c>
      <c r="O28" s="20">
        <v>3.2749999999999999</v>
      </c>
      <c r="P28" s="20">
        <v>4.3130000000000002E-2</v>
      </c>
      <c r="Q28" s="20">
        <v>4.095E-2</v>
      </c>
      <c r="R28" s="20">
        <v>4.53E-2</v>
      </c>
      <c r="S28" s="20">
        <f t="shared" si="19"/>
        <v>4092</v>
      </c>
      <c r="T28" s="20">
        <f t="shared" si="20"/>
        <v>4091</v>
      </c>
      <c r="U28" s="20">
        <f t="shared" si="21"/>
        <v>4095</v>
      </c>
      <c r="V28" s="20">
        <f t="shared" si="22"/>
        <v>54</v>
      </c>
      <c r="W28" s="20">
        <f t="shared" si="23"/>
        <v>51</v>
      </c>
      <c r="X28" s="20">
        <f t="shared" si="24"/>
        <v>57</v>
      </c>
      <c r="Y28" s="20" t="s">
        <v>417</v>
      </c>
      <c r="Z28" s="25">
        <v>0</v>
      </c>
      <c r="AA28" s="25">
        <v>1</v>
      </c>
      <c r="AB28" s="25" t="s">
        <v>417</v>
      </c>
      <c r="AC28" s="20" t="s">
        <v>736</v>
      </c>
    </row>
    <row r="29" spans="1:29" ht="38.25">
      <c r="A29" s="20" t="s">
        <v>461</v>
      </c>
      <c r="B29" s="21" t="str">
        <f>'Lambda-Optocoupler (All)'!A35</f>
        <v>Increase of light sensitivity</v>
      </c>
      <c r="C29" s="22">
        <f>'Lambda-Optocoupler (All)'!B$28</f>
        <v>8.4558640964896021E-8</v>
      </c>
      <c r="D29" s="23">
        <f>'Lambda-Optocoupler (All)'!C35</f>
        <v>8.3333329999999997E-2</v>
      </c>
      <c r="E29" s="20">
        <f>'Lambda-Optocoupler (All)'!D35</f>
        <v>7.0465531318791983E-9</v>
      </c>
      <c r="F29" s="21" t="s">
        <v>657</v>
      </c>
      <c r="G29" s="21" t="s">
        <v>480</v>
      </c>
      <c r="H29" s="20" t="s">
        <v>43</v>
      </c>
      <c r="I29" s="20" t="s">
        <v>409</v>
      </c>
      <c r="J29" s="20" t="s">
        <v>409</v>
      </c>
      <c r="K29" s="20" t="s">
        <v>730</v>
      </c>
      <c r="L29" s="20" t="s">
        <v>730</v>
      </c>
      <c r="M29" s="20">
        <v>3.2724899999999999</v>
      </c>
      <c r="N29" s="20">
        <v>3.2719999999999998</v>
      </c>
      <c r="O29" s="20">
        <v>3.2749999999999999</v>
      </c>
      <c r="P29" s="20">
        <v>4.3130000000000002E-2</v>
      </c>
      <c r="Q29" s="20">
        <v>4.095E-2</v>
      </c>
      <c r="R29" s="20">
        <v>4.53E-2</v>
      </c>
      <c r="S29" s="20">
        <f t="shared" si="19"/>
        <v>4092</v>
      </c>
      <c r="T29" s="20">
        <f t="shared" si="20"/>
        <v>4091</v>
      </c>
      <c r="U29" s="20">
        <f t="shared" si="21"/>
        <v>4095</v>
      </c>
      <c r="V29" s="20">
        <f t="shared" si="22"/>
        <v>54</v>
      </c>
      <c r="W29" s="20">
        <f t="shared" si="23"/>
        <v>51</v>
      </c>
      <c r="X29" s="20">
        <f t="shared" si="24"/>
        <v>57</v>
      </c>
      <c r="Y29" s="20" t="s">
        <v>417</v>
      </c>
      <c r="Z29" s="25">
        <v>0</v>
      </c>
      <c r="AA29" s="25">
        <v>1</v>
      </c>
      <c r="AB29" s="25" t="s">
        <v>417</v>
      </c>
      <c r="AC29" s="20" t="s">
        <v>736</v>
      </c>
    </row>
    <row r="30" spans="1:29" ht="51">
      <c r="A30" s="20" t="s">
        <v>461</v>
      </c>
      <c r="B30" s="24" t="str">
        <f>'Lambda-Optocoupler (All)'!A36</f>
        <v>Decrease of light sensitivity</v>
      </c>
      <c r="C30" s="22">
        <f>'Lambda-Optocoupler (All)'!B$28</f>
        <v>8.4558640964896021E-8</v>
      </c>
      <c r="D30" s="23">
        <f>'Lambda-Optocoupler (All)'!C36</f>
        <v>8.3333329999999997E-2</v>
      </c>
      <c r="E30" s="20">
        <f>'Lambda-Optocoupler (All)'!D36</f>
        <v>7.0465531318791983E-9</v>
      </c>
      <c r="F30" s="21" t="s">
        <v>481</v>
      </c>
      <c r="G30" s="21" t="s">
        <v>481</v>
      </c>
      <c r="H30" s="20" t="s">
        <v>43</v>
      </c>
      <c r="I30" s="20" t="s">
        <v>408</v>
      </c>
      <c r="J30" s="20" t="s">
        <v>592</v>
      </c>
      <c r="K30" s="20" t="s">
        <v>728</v>
      </c>
      <c r="L30" s="20" t="s">
        <v>729</v>
      </c>
      <c r="M30" s="20">
        <v>3.2724899999999999</v>
      </c>
      <c r="N30" s="20">
        <v>3.2719999999999998</v>
      </c>
      <c r="O30" s="20">
        <v>3.2749999999999999</v>
      </c>
      <c r="P30" s="20">
        <v>4.3130000000000002E-2</v>
      </c>
      <c r="Q30" s="20">
        <v>4.095E-2</v>
      </c>
      <c r="R30" s="20">
        <v>4.53E-2</v>
      </c>
      <c r="S30" s="25">
        <f t="shared" ref="S30:X31" si="25">ROUND(((M30-MIN($M$3:$R$212))/(MAX($M$3:$R$212)-MIN($M$3:$R$212)))*((2^12)-1), 0)</f>
        <v>4092</v>
      </c>
      <c r="T30" s="25">
        <f t="shared" si="25"/>
        <v>4091</v>
      </c>
      <c r="U30" s="25">
        <f t="shared" si="25"/>
        <v>4095</v>
      </c>
      <c r="V30" s="25">
        <f t="shared" si="25"/>
        <v>54</v>
      </c>
      <c r="W30" s="25">
        <f t="shared" si="25"/>
        <v>51</v>
      </c>
      <c r="X30" s="25">
        <f t="shared" si="25"/>
        <v>57</v>
      </c>
      <c r="Y30" s="25" t="s">
        <v>425</v>
      </c>
      <c r="Z30" s="25">
        <v>1</v>
      </c>
      <c r="AA30" s="25">
        <v>1</v>
      </c>
      <c r="AB30" s="25" t="s">
        <v>414</v>
      </c>
      <c r="AC30" s="20" t="s">
        <v>736</v>
      </c>
    </row>
    <row r="31" spans="1:29" ht="89.25">
      <c r="A31" s="20" t="s">
        <v>461</v>
      </c>
      <c r="B31" s="24" t="str">
        <f>'Lambda-Optocoupler (All)'!A37</f>
        <v>Increase of leakage current</v>
      </c>
      <c r="C31" s="22">
        <f>'Lambda-Optocoupler (All)'!B$28</f>
        <v>8.4558640964896021E-8</v>
      </c>
      <c r="D31" s="23">
        <f>'Lambda-Optocoupler (All)'!C37</f>
        <v>0.125</v>
      </c>
      <c r="E31" s="20">
        <f>'Lambda-Optocoupler (All)'!D37</f>
        <v>1.0569830120612003E-8</v>
      </c>
      <c r="F31" s="24" t="s">
        <v>625</v>
      </c>
      <c r="G31" s="21" t="s">
        <v>475</v>
      </c>
      <c r="H31" s="20" t="s">
        <v>43</v>
      </c>
      <c r="I31" s="20" t="s">
        <v>408</v>
      </c>
      <c r="J31" s="20" t="s">
        <v>592</v>
      </c>
      <c r="K31" s="20" t="s">
        <v>728</v>
      </c>
      <c r="L31" s="20" t="s">
        <v>729</v>
      </c>
      <c r="M31" s="20">
        <v>3.2724899999999999</v>
      </c>
      <c r="N31" s="20">
        <v>3.2719999999999998</v>
      </c>
      <c r="O31" s="20">
        <v>3.2749999999999999</v>
      </c>
      <c r="P31" s="20">
        <v>4.3130000000000002E-2</v>
      </c>
      <c r="Q31" s="20">
        <v>4.095E-2</v>
      </c>
      <c r="R31" s="20">
        <v>4.53E-2</v>
      </c>
      <c r="S31" s="25">
        <f t="shared" si="25"/>
        <v>4092</v>
      </c>
      <c r="T31" s="25">
        <f t="shared" si="25"/>
        <v>4091</v>
      </c>
      <c r="U31" s="25">
        <f t="shared" si="25"/>
        <v>4095</v>
      </c>
      <c r="V31" s="25">
        <f t="shared" si="25"/>
        <v>54</v>
      </c>
      <c r="W31" s="25">
        <f t="shared" si="25"/>
        <v>51</v>
      </c>
      <c r="X31" s="25">
        <f t="shared" si="25"/>
        <v>57</v>
      </c>
      <c r="Y31" s="25" t="s">
        <v>425</v>
      </c>
      <c r="Z31" s="25">
        <v>1</v>
      </c>
      <c r="AA31" s="25">
        <v>1</v>
      </c>
      <c r="AB31" s="25" t="s">
        <v>414</v>
      </c>
      <c r="AC31" s="20" t="s">
        <v>736</v>
      </c>
    </row>
    <row r="32" spans="1:29" ht="267.75">
      <c r="A32" s="20" t="s">
        <v>461</v>
      </c>
      <c r="B32" s="24" t="str">
        <f>'Lambda-Optocoupler (All)'!A38</f>
        <v>Reduced insulation between input and output</v>
      </c>
      <c r="C32" s="22">
        <f>'Lambda-Optocoupler (All)'!B$28</f>
        <v>8.4558640964896021E-8</v>
      </c>
      <c r="D32" s="23">
        <f>'Lambda-Optocoupler (All)'!C38</f>
        <v>0.125</v>
      </c>
      <c r="E32" s="20">
        <f>'Lambda-Optocoupler (All)'!D38</f>
        <v>1.0569830120612003E-8</v>
      </c>
      <c r="F32" s="21" t="s">
        <v>482</v>
      </c>
      <c r="G32" s="21" t="s">
        <v>520</v>
      </c>
      <c r="H32" s="20" t="s">
        <v>43</v>
      </c>
      <c r="I32" s="20" t="s">
        <v>45</v>
      </c>
      <c r="J32" s="20" t="s">
        <v>588</v>
      </c>
      <c r="K32" s="20" t="s">
        <v>728</v>
      </c>
      <c r="L32" s="20" t="s">
        <v>728</v>
      </c>
      <c r="M32" s="20">
        <v>3.2724899999999999</v>
      </c>
      <c r="N32" s="20">
        <v>3.2719999999999998</v>
      </c>
      <c r="O32" s="20">
        <v>3.2749999999999999</v>
      </c>
      <c r="P32" s="20">
        <v>4.3130000000000002E-2</v>
      </c>
      <c r="Q32" s="20">
        <v>4.095E-2</v>
      </c>
      <c r="R32" s="20">
        <v>4.53E-2</v>
      </c>
      <c r="S32" s="25">
        <f t="shared" ref="S32" si="26">ROUND(((M32-MIN($M$3:$R$212))/(MAX($M$3:$R$212)-MIN($M$3:$R$212)))*((2^12)-1), 0)</f>
        <v>4092</v>
      </c>
      <c r="T32" s="25">
        <f t="shared" ref="T32" si="27">ROUND(((N32-MIN($M$3:$R$212))/(MAX($M$3:$R$212)-MIN($M$3:$R$212)))*((2^12)-1), 0)</f>
        <v>4091</v>
      </c>
      <c r="U32" s="25">
        <f t="shared" ref="U32" si="28">ROUND(((O32-MIN($M$3:$R$212))/(MAX($M$3:$R$212)-MIN($M$3:$R$212)))*((2^12)-1), 0)</f>
        <v>4095</v>
      </c>
      <c r="V32" s="25">
        <f t="shared" ref="V32" si="29">ROUND(((P32-MIN($M$3:$R$212))/(MAX($M$3:$R$212)-MIN($M$3:$R$212)))*((2^12)-1), 0)</f>
        <v>54</v>
      </c>
      <c r="W32" s="25">
        <f t="shared" ref="W32" si="30">ROUND(((Q32-MIN($M$3:$R$212))/(MAX($M$3:$R$212)-MIN($M$3:$R$212)))*((2^12)-1), 0)</f>
        <v>51</v>
      </c>
      <c r="X32" s="25">
        <f t="shared" ref="X32" si="31">ROUND(((R32-MIN($M$3:$R$212))/(MAX($M$3:$R$212)-MIN($M$3:$R$212)))*((2^12)-1), 0)</f>
        <v>57</v>
      </c>
      <c r="Y32" s="25" t="s">
        <v>425</v>
      </c>
      <c r="Z32" s="25">
        <v>0</v>
      </c>
      <c r="AA32" s="25">
        <v>1</v>
      </c>
      <c r="AB32" s="25" t="s">
        <v>470</v>
      </c>
      <c r="AC32" s="25" t="s">
        <v>731</v>
      </c>
    </row>
    <row r="33" spans="1:29" ht="114.75">
      <c r="A33" s="20" t="s">
        <v>461</v>
      </c>
      <c r="B33" s="24" t="str">
        <f>'Lambda-Optocoupler (All)'!A39</f>
        <v>Change on switching time</v>
      </c>
      <c r="C33" s="22">
        <f>'Lambda-Optocoupler (All)'!B$28</f>
        <v>8.4558640964896021E-8</v>
      </c>
      <c r="D33" s="23">
        <f>'Lambda-Optocoupler (All)'!C39</f>
        <v>8.3333329999999997E-2</v>
      </c>
      <c r="E33" s="20">
        <f>'Lambda-Optocoupler (All)'!D39</f>
        <v>7.0465531318791983E-9</v>
      </c>
      <c r="F33" s="21" t="s">
        <v>483</v>
      </c>
      <c r="G33" s="26" t="s">
        <v>723</v>
      </c>
      <c r="H33" s="20" t="s">
        <v>43</v>
      </c>
      <c r="I33" s="20" t="s">
        <v>45</v>
      </c>
      <c r="J33" s="20" t="s">
        <v>588</v>
      </c>
      <c r="K33" s="20" t="s">
        <v>728</v>
      </c>
      <c r="L33" s="20" t="s">
        <v>728</v>
      </c>
      <c r="M33" s="20">
        <v>3.2724899999999999</v>
      </c>
      <c r="N33" s="20">
        <v>3.2719999999999998</v>
      </c>
      <c r="O33" s="20">
        <v>3.2749999999999999</v>
      </c>
      <c r="P33" s="20">
        <v>4.3130000000000002E-2</v>
      </c>
      <c r="Q33" s="20">
        <v>4.095E-2</v>
      </c>
      <c r="R33" s="20">
        <v>4.53E-2</v>
      </c>
      <c r="S33" s="20">
        <f t="shared" ref="S33:X35" si="32">ROUND(((M33-MIN($M$3:$R$212))/(MAX($M$3:$R$212)-MIN($M$3:$R$212)))*((2^12)-1), 0)</f>
        <v>4092</v>
      </c>
      <c r="T33" s="20">
        <f t="shared" si="32"/>
        <v>4091</v>
      </c>
      <c r="U33" s="20">
        <f t="shared" si="32"/>
        <v>4095</v>
      </c>
      <c r="V33" s="20">
        <f t="shared" si="32"/>
        <v>54</v>
      </c>
      <c r="W33" s="20">
        <f t="shared" si="32"/>
        <v>51</v>
      </c>
      <c r="X33" s="20">
        <f t="shared" si="32"/>
        <v>57</v>
      </c>
      <c r="Y33" s="20" t="s">
        <v>417</v>
      </c>
      <c r="Z33" s="25">
        <v>1</v>
      </c>
      <c r="AA33" s="25">
        <v>0</v>
      </c>
      <c r="AB33" s="25" t="s">
        <v>484</v>
      </c>
      <c r="AC33" s="20" t="s">
        <v>731</v>
      </c>
    </row>
    <row r="34" spans="1:29" ht="38.25">
      <c r="A34" s="20" t="s">
        <v>461</v>
      </c>
      <c r="B34" s="21" t="str">
        <f>'Lambda-Optocoupler (All)'!A40</f>
        <v>Increase of current gain</v>
      </c>
      <c r="C34" s="22">
        <f>'Lambda-Optocoupler (All)'!B$28</f>
        <v>8.4558640964896021E-8</v>
      </c>
      <c r="D34" s="23">
        <f>'Lambda-Optocoupler (All)'!C40</f>
        <v>8.3333329999999997E-2</v>
      </c>
      <c r="E34" s="20">
        <f>'Lambda-Optocoupler (All)'!D40</f>
        <v>7.0465531318791983E-9</v>
      </c>
      <c r="F34" s="21" t="s">
        <v>657</v>
      </c>
      <c r="G34" s="21" t="s">
        <v>480</v>
      </c>
      <c r="H34" s="20" t="s">
        <v>43</v>
      </c>
      <c r="I34" s="20" t="s">
        <v>409</v>
      </c>
      <c r="J34" s="20" t="s">
        <v>409</v>
      </c>
      <c r="K34" s="20" t="s">
        <v>730</v>
      </c>
      <c r="L34" s="20" t="s">
        <v>730</v>
      </c>
      <c r="M34" s="20">
        <v>3.2724899999999999</v>
      </c>
      <c r="N34" s="20">
        <v>3.2719999999999998</v>
      </c>
      <c r="O34" s="20">
        <v>3.2749999999999999</v>
      </c>
      <c r="P34" s="20">
        <v>4.3130000000000002E-2</v>
      </c>
      <c r="Q34" s="20">
        <v>4.095E-2</v>
      </c>
      <c r="R34" s="20">
        <v>4.53E-2</v>
      </c>
      <c r="S34" s="20">
        <f t="shared" si="32"/>
        <v>4092</v>
      </c>
      <c r="T34" s="20">
        <f t="shared" si="32"/>
        <v>4091</v>
      </c>
      <c r="U34" s="20">
        <f t="shared" si="32"/>
        <v>4095</v>
      </c>
      <c r="V34" s="20">
        <f t="shared" si="32"/>
        <v>54</v>
      </c>
      <c r="W34" s="20">
        <f t="shared" si="32"/>
        <v>51</v>
      </c>
      <c r="X34" s="20">
        <f t="shared" si="32"/>
        <v>57</v>
      </c>
      <c r="Y34" s="20" t="s">
        <v>417</v>
      </c>
      <c r="Z34" s="25">
        <v>0</v>
      </c>
      <c r="AA34" s="25">
        <v>1</v>
      </c>
      <c r="AB34" s="25" t="s">
        <v>417</v>
      </c>
      <c r="AC34" s="20" t="s">
        <v>736</v>
      </c>
    </row>
    <row r="35" spans="1:29" ht="114.75">
      <c r="A35" s="20" t="s">
        <v>461</v>
      </c>
      <c r="B35" s="24" t="str">
        <f>'Lambda-Optocoupler (All)'!A41</f>
        <v>Decrease of current gain</v>
      </c>
      <c r="C35" s="22">
        <f>'Lambda-Optocoupler (All)'!B$28</f>
        <v>8.4558640964896021E-8</v>
      </c>
      <c r="D35" s="23">
        <f>'Lambda-Optocoupler (All)'!C41</f>
        <v>8.3333329999999997E-2</v>
      </c>
      <c r="E35" s="20">
        <f>'Lambda-Optocoupler (All)'!D41</f>
        <v>7.0465531318791983E-9</v>
      </c>
      <c r="F35" s="21" t="s">
        <v>485</v>
      </c>
      <c r="G35" s="21" t="s">
        <v>486</v>
      </c>
      <c r="H35" s="20" t="s">
        <v>43</v>
      </c>
      <c r="I35" s="20" t="s">
        <v>408</v>
      </c>
      <c r="J35" s="20" t="s">
        <v>592</v>
      </c>
      <c r="K35" s="20" t="s">
        <v>728</v>
      </c>
      <c r="L35" s="20" t="s">
        <v>729</v>
      </c>
      <c r="M35" s="20">
        <v>3.2724899999999999</v>
      </c>
      <c r="N35" s="20">
        <v>3.2719999999999998</v>
      </c>
      <c r="O35" s="20">
        <v>3.2749999999999999</v>
      </c>
      <c r="P35" s="20">
        <v>4.3130000000000002E-2</v>
      </c>
      <c r="Q35" s="20">
        <v>4.095E-2</v>
      </c>
      <c r="R35" s="20">
        <v>4.53E-2</v>
      </c>
      <c r="S35" s="25">
        <f t="shared" si="32"/>
        <v>4092</v>
      </c>
      <c r="T35" s="25">
        <f t="shared" si="32"/>
        <v>4091</v>
      </c>
      <c r="U35" s="25">
        <f t="shared" si="32"/>
        <v>4095</v>
      </c>
      <c r="V35" s="25">
        <f t="shared" si="32"/>
        <v>54</v>
      </c>
      <c r="W35" s="25">
        <f t="shared" si="32"/>
        <v>51</v>
      </c>
      <c r="X35" s="25">
        <f t="shared" si="32"/>
        <v>57</v>
      </c>
      <c r="Y35" s="25" t="s">
        <v>425</v>
      </c>
      <c r="Z35" s="25">
        <v>1</v>
      </c>
      <c r="AA35" s="25">
        <v>1</v>
      </c>
      <c r="AB35" s="25" t="s">
        <v>414</v>
      </c>
      <c r="AC35" s="20" t="s">
        <v>736</v>
      </c>
    </row>
    <row r="36" spans="1:29" ht="102">
      <c r="A36" s="20" t="s">
        <v>462</v>
      </c>
      <c r="B36" s="21" t="str">
        <f>'Lambda-Resistor (All)'!A35</f>
        <v>Open</v>
      </c>
      <c r="C36" s="22">
        <f>'Lambda-Resistor (All)'!B$32</f>
        <v>4.1612004167966296E-9</v>
      </c>
      <c r="D36" s="23">
        <f>'Lambda-Resistor (All)'!C35</f>
        <v>0.59</v>
      </c>
      <c r="E36" s="20">
        <f>'Lambda-Resistor (All)'!D35</f>
        <v>2.4551082459100113E-9</v>
      </c>
      <c r="F36" s="21" t="s">
        <v>487</v>
      </c>
      <c r="G36" s="21" t="s">
        <v>536</v>
      </c>
      <c r="H36" s="20" t="s">
        <v>43</v>
      </c>
      <c r="I36" s="20" t="s">
        <v>45</v>
      </c>
      <c r="J36" s="20" t="s">
        <v>588</v>
      </c>
      <c r="K36" s="20" t="s">
        <v>728</v>
      </c>
      <c r="L36" s="20" t="s">
        <v>728</v>
      </c>
      <c r="M36" s="20">
        <v>3.2724899999999999</v>
      </c>
      <c r="N36" s="20">
        <v>3.2719999999999998</v>
      </c>
      <c r="O36" s="20">
        <v>3.2749999999999999</v>
      </c>
      <c r="P36" s="20">
        <v>4.3130000000000002E-2</v>
      </c>
      <c r="Q36" s="20">
        <v>4.095E-2</v>
      </c>
      <c r="R36" s="20">
        <v>4.53E-2</v>
      </c>
      <c r="S36" s="20">
        <f t="shared" ref="S36:X40" si="33">ROUND(((M36-MIN($M$3:$R$212))/(MAX($M$3:$R$212)-MIN($M$3:$R$212)))*((2^12)-1), 0)</f>
        <v>4092</v>
      </c>
      <c r="T36" s="20">
        <f t="shared" si="33"/>
        <v>4091</v>
      </c>
      <c r="U36" s="20">
        <f t="shared" si="33"/>
        <v>4095</v>
      </c>
      <c r="V36" s="20">
        <f t="shared" si="33"/>
        <v>54</v>
      </c>
      <c r="W36" s="20">
        <f t="shared" si="33"/>
        <v>51</v>
      </c>
      <c r="X36" s="20">
        <f t="shared" si="33"/>
        <v>57</v>
      </c>
      <c r="Y36" s="25" t="s">
        <v>471</v>
      </c>
      <c r="Z36" s="25">
        <v>0</v>
      </c>
      <c r="AA36" s="25">
        <v>1</v>
      </c>
      <c r="AB36" s="25" t="s">
        <v>470</v>
      </c>
      <c r="AC36" s="20" t="s">
        <v>731</v>
      </c>
    </row>
    <row r="37" spans="1:29" ht="51">
      <c r="A37" s="20" t="s">
        <v>462</v>
      </c>
      <c r="B37" s="24" t="str">
        <f>'Lambda-Resistor (All)'!A36</f>
        <v>Short-Circuit</v>
      </c>
      <c r="C37" s="22">
        <f>'Lambda-Resistor (All)'!B$32</f>
        <v>4.1612004167966296E-9</v>
      </c>
      <c r="D37" s="23">
        <f>'Lambda-Resistor (All)'!C36</f>
        <v>0.05</v>
      </c>
      <c r="E37" s="20">
        <f>'Lambda-Resistor (All)'!D36</f>
        <v>2.080600208398315E-10</v>
      </c>
      <c r="F37" s="21" t="s">
        <v>488</v>
      </c>
      <c r="G37" s="21" t="s">
        <v>489</v>
      </c>
      <c r="H37" s="20" t="s">
        <v>43</v>
      </c>
      <c r="I37" s="25" t="s">
        <v>408</v>
      </c>
      <c r="J37" s="25" t="s">
        <v>521</v>
      </c>
      <c r="K37" s="25" t="s">
        <v>726</v>
      </c>
      <c r="L37" s="20" t="s">
        <v>729</v>
      </c>
      <c r="M37" s="20">
        <v>3.1999999999999999E-6</v>
      </c>
      <c r="N37" s="20">
        <v>3.1999999999999999E-6</v>
      </c>
      <c r="O37" s="20">
        <v>3.1999999999999999E-6</v>
      </c>
      <c r="P37" s="20">
        <v>3.1999999999999999E-6</v>
      </c>
      <c r="Q37" s="20">
        <v>3.1999999999999999E-6</v>
      </c>
      <c r="R37" s="20">
        <v>3.1999999999999999E-6</v>
      </c>
      <c r="S37" s="20">
        <f t="shared" si="33"/>
        <v>0</v>
      </c>
      <c r="T37" s="20">
        <f t="shared" si="33"/>
        <v>0</v>
      </c>
      <c r="U37" s="20">
        <f t="shared" si="33"/>
        <v>0</v>
      </c>
      <c r="V37" s="20">
        <f t="shared" si="33"/>
        <v>0</v>
      </c>
      <c r="W37" s="20">
        <f t="shared" si="33"/>
        <v>0</v>
      </c>
      <c r="X37" s="20">
        <f t="shared" si="33"/>
        <v>0</v>
      </c>
      <c r="Y37" s="20" t="s">
        <v>414</v>
      </c>
      <c r="Z37" s="25">
        <v>1</v>
      </c>
      <c r="AA37" s="25">
        <v>1</v>
      </c>
      <c r="AB37" s="25" t="s">
        <v>414</v>
      </c>
      <c r="AC37" s="20" t="s">
        <v>736</v>
      </c>
    </row>
    <row r="38" spans="1:29" ht="51">
      <c r="A38" s="20" t="s">
        <v>462</v>
      </c>
      <c r="B38" s="24" t="str">
        <f>'Lambda-Resistor (All)'!A37</f>
        <v>Increase of Resistance Value</v>
      </c>
      <c r="C38" s="22">
        <f>'Lambda-Resistor (All)'!B$32</f>
        <v>4.1612004167966296E-9</v>
      </c>
      <c r="D38" s="23">
        <f>'Lambda-Resistor (All)'!C37</f>
        <v>0.18</v>
      </c>
      <c r="E38" s="20">
        <f>'Lambda-Resistor (All)'!D37</f>
        <v>7.4901607502339334E-10</v>
      </c>
      <c r="F38" s="21" t="s">
        <v>380</v>
      </c>
      <c r="G38" s="21" t="s">
        <v>380</v>
      </c>
      <c r="H38" s="20" t="s">
        <v>43</v>
      </c>
      <c r="I38" s="20" t="s">
        <v>45</v>
      </c>
      <c r="J38" s="20" t="s">
        <v>588</v>
      </c>
      <c r="K38" s="20" t="s">
        <v>728</v>
      </c>
      <c r="L38" s="20" t="s">
        <v>728</v>
      </c>
      <c r="M38" s="20">
        <v>3.2724899999999999</v>
      </c>
      <c r="N38" s="20">
        <v>3.2719999999999998</v>
      </c>
      <c r="O38" s="20">
        <v>3.2749999999999999</v>
      </c>
      <c r="P38" s="20">
        <v>4.3130000000000002E-2</v>
      </c>
      <c r="Q38" s="20">
        <v>4.095E-2</v>
      </c>
      <c r="R38" s="20">
        <v>4.53E-2</v>
      </c>
      <c r="S38" s="20">
        <f t="shared" si="33"/>
        <v>4092</v>
      </c>
      <c r="T38" s="20">
        <f t="shared" si="33"/>
        <v>4091</v>
      </c>
      <c r="U38" s="20">
        <f t="shared" si="33"/>
        <v>4095</v>
      </c>
      <c r="V38" s="20">
        <f t="shared" si="33"/>
        <v>54</v>
      </c>
      <c r="W38" s="20">
        <f t="shared" si="33"/>
        <v>51</v>
      </c>
      <c r="X38" s="20">
        <f t="shared" si="33"/>
        <v>57</v>
      </c>
      <c r="Y38" s="25" t="s">
        <v>471</v>
      </c>
      <c r="Z38" s="25">
        <v>0</v>
      </c>
      <c r="AA38" s="25">
        <v>1</v>
      </c>
      <c r="AB38" s="25" t="s">
        <v>470</v>
      </c>
      <c r="AC38" s="20" t="s">
        <v>731</v>
      </c>
    </row>
    <row r="39" spans="1:29" ht="51">
      <c r="A39" s="20" t="s">
        <v>462</v>
      </c>
      <c r="B39" s="24" t="str">
        <f>'Lambda-Resistor (All)'!A38</f>
        <v>Decrease of Resistance Value</v>
      </c>
      <c r="C39" s="22">
        <f>'Lambda-Resistor (All)'!B$32</f>
        <v>4.1612004167966296E-9</v>
      </c>
      <c r="D39" s="23">
        <f>'Lambda-Resistor (All)'!C38</f>
        <v>0.18</v>
      </c>
      <c r="E39" s="20">
        <f>'Lambda-Resistor (All)'!D38</f>
        <v>7.4901607502339334E-10</v>
      </c>
      <c r="F39" s="21" t="s">
        <v>381</v>
      </c>
      <c r="G39" s="21" t="s">
        <v>381</v>
      </c>
      <c r="H39" s="20" t="s">
        <v>43</v>
      </c>
      <c r="I39" s="25" t="s">
        <v>408</v>
      </c>
      <c r="J39" s="25" t="s">
        <v>521</v>
      </c>
      <c r="K39" s="25" t="s">
        <v>726</v>
      </c>
      <c r="L39" s="20" t="s">
        <v>729</v>
      </c>
      <c r="M39" s="20">
        <v>3.1999999999999999E-6</v>
      </c>
      <c r="N39" s="20">
        <v>3.1999999999999999E-6</v>
      </c>
      <c r="O39" s="20">
        <v>3.1999999999999999E-6</v>
      </c>
      <c r="P39" s="20">
        <v>3.1999999999999999E-6</v>
      </c>
      <c r="Q39" s="20">
        <v>3.1999999999999999E-6</v>
      </c>
      <c r="R39" s="20">
        <v>3.1999999999999999E-6</v>
      </c>
      <c r="S39" s="20">
        <f t="shared" si="33"/>
        <v>0</v>
      </c>
      <c r="T39" s="20">
        <f t="shared" si="33"/>
        <v>0</v>
      </c>
      <c r="U39" s="20">
        <f t="shared" si="33"/>
        <v>0</v>
      </c>
      <c r="V39" s="20">
        <f t="shared" si="33"/>
        <v>0</v>
      </c>
      <c r="W39" s="20">
        <f t="shared" si="33"/>
        <v>0</v>
      </c>
      <c r="X39" s="20">
        <f t="shared" si="33"/>
        <v>0</v>
      </c>
      <c r="Y39" s="20" t="s">
        <v>414</v>
      </c>
      <c r="Z39" s="25">
        <v>1</v>
      </c>
      <c r="AA39" s="25">
        <v>1</v>
      </c>
      <c r="AB39" s="25" t="s">
        <v>414</v>
      </c>
      <c r="AC39" s="20" t="s">
        <v>736</v>
      </c>
    </row>
    <row r="40" spans="1:29" ht="38.25">
      <c r="A40" s="20" t="s">
        <v>462</v>
      </c>
      <c r="B40" s="21" t="str">
        <f>'Lambda-Resistor (All)'!A39</f>
        <v>Short-Circuit to Casing</v>
      </c>
      <c r="C40" s="22">
        <f>'Lambda-Resistor (All)'!B$32</f>
        <v>4.1612004167966296E-9</v>
      </c>
      <c r="D40" s="23">
        <f>'Lambda-Resistor (All)'!C39</f>
        <v>0</v>
      </c>
      <c r="E40" s="20">
        <f>'Lambda-Resistor (All)'!D39</f>
        <v>0</v>
      </c>
      <c r="F40" s="21" t="s">
        <v>382</v>
      </c>
      <c r="G40" s="26" t="s">
        <v>382</v>
      </c>
      <c r="H40" s="20" t="s">
        <v>43</v>
      </c>
      <c r="I40" s="20" t="s">
        <v>409</v>
      </c>
      <c r="J40" s="20" t="s">
        <v>409</v>
      </c>
      <c r="K40" s="20" t="s">
        <v>730</v>
      </c>
      <c r="L40" s="20" t="s">
        <v>730</v>
      </c>
      <c r="M40" s="20">
        <v>3.2724899999999999</v>
      </c>
      <c r="N40" s="20">
        <v>3.2719999999999998</v>
      </c>
      <c r="O40" s="20">
        <v>3.2749999999999999</v>
      </c>
      <c r="P40" s="20">
        <v>4.3130000000000002E-2</v>
      </c>
      <c r="Q40" s="20">
        <v>4.095E-2</v>
      </c>
      <c r="R40" s="20">
        <v>4.53E-2</v>
      </c>
      <c r="S40" s="20">
        <f t="shared" si="33"/>
        <v>4092</v>
      </c>
      <c r="T40" s="20">
        <f t="shared" si="33"/>
        <v>4091</v>
      </c>
      <c r="U40" s="20">
        <f t="shared" si="33"/>
        <v>4095</v>
      </c>
      <c r="V40" s="20">
        <f t="shared" si="33"/>
        <v>54</v>
      </c>
      <c r="W40" s="20">
        <f t="shared" si="33"/>
        <v>51</v>
      </c>
      <c r="X40" s="20">
        <f t="shared" si="33"/>
        <v>57</v>
      </c>
      <c r="Y40" s="20" t="s">
        <v>417</v>
      </c>
      <c r="Z40" s="25">
        <v>0</v>
      </c>
      <c r="AA40" s="25">
        <v>1</v>
      </c>
      <c r="AB40" s="25" t="s">
        <v>417</v>
      </c>
      <c r="AC40" s="20" t="s">
        <v>736</v>
      </c>
    </row>
    <row r="41" spans="1:29" ht="38.25">
      <c r="A41" s="20" t="s">
        <v>341</v>
      </c>
      <c r="B41" s="21" t="str">
        <f>'Lambda-DC DC Converter (All)'!A34</f>
        <v>No Output</v>
      </c>
      <c r="C41" s="22">
        <f>'Lambda-DC DC Converter (All)'!B$31</f>
        <v>2.1388134027995368E-8</v>
      </c>
      <c r="D41" s="23">
        <f>'Lambda-DC DC Converter (All)'!C34</f>
        <v>0.23</v>
      </c>
      <c r="E41" s="20">
        <f>'Lambda-DC DC Converter (All)'!D34</f>
        <v>4.9192708264389344E-9</v>
      </c>
      <c r="F41" s="21" t="s">
        <v>490</v>
      </c>
      <c r="G41" s="21" t="s">
        <v>491</v>
      </c>
      <c r="H41" s="20" t="s">
        <v>43</v>
      </c>
      <c r="I41" s="20" t="s">
        <v>408</v>
      </c>
      <c r="J41" s="20" t="s">
        <v>590</v>
      </c>
      <c r="K41" s="20" t="s">
        <v>492</v>
      </c>
      <c r="L41" s="20" t="s">
        <v>492</v>
      </c>
      <c r="M41" s="20" t="s">
        <v>492</v>
      </c>
      <c r="N41" s="20" t="s">
        <v>492</v>
      </c>
      <c r="O41" s="20" t="s">
        <v>492</v>
      </c>
      <c r="P41" s="20" t="s">
        <v>492</v>
      </c>
      <c r="Q41" s="20" t="s">
        <v>492</v>
      </c>
      <c r="R41" s="20" t="s">
        <v>492</v>
      </c>
      <c r="S41" s="20" t="s">
        <v>492</v>
      </c>
      <c r="T41" s="20" t="s">
        <v>492</v>
      </c>
      <c r="U41" s="20" t="s">
        <v>492</v>
      </c>
      <c r="V41" s="20" t="s">
        <v>492</v>
      </c>
      <c r="W41" s="20" t="s">
        <v>492</v>
      </c>
      <c r="X41" s="20" t="s">
        <v>492</v>
      </c>
      <c r="Y41" s="20" t="s">
        <v>595</v>
      </c>
      <c r="Z41" s="25" t="s">
        <v>492</v>
      </c>
      <c r="AA41" s="25" t="s">
        <v>492</v>
      </c>
      <c r="AB41" s="25" t="s">
        <v>493</v>
      </c>
      <c r="AC41" s="20" t="s">
        <v>736</v>
      </c>
    </row>
    <row r="42" spans="1:29" ht="102">
      <c r="A42" s="20" t="s">
        <v>341</v>
      </c>
      <c r="B42" s="24" t="str">
        <f>'Lambda-DC DC Converter (All)'!A35</f>
        <v>Increase in Output Voltage</v>
      </c>
      <c r="C42" s="22">
        <f>'Lambda-DC DC Converter (All)'!B$31</f>
        <v>2.1388134027995368E-8</v>
      </c>
      <c r="D42" s="23">
        <f>'Lambda-DC DC Converter (All)'!C35</f>
        <v>0.25666666666666665</v>
      </c>
      <c r="E42" s="20">
        <f>'Lambda-DC DC Converter (All)'!D35</f>
        <v>5.4896210671854778E-9</v>
      </c>
      <c r="F42" s="21" t="s">
        <v>678</v>
      </c>
      <c r="G42" s="26" t="s">
        <v>679</v>
      </c>
      <c r="H42" s="20" t="s">
        <v>43</v>
      </c>
      <c r="I42" s="20" t="s">
        <v>408</v>
      </c>
      <c r="J42" s="25" t="s">
        <v>521</v>
      </c>
      <c r="K42" s="25" t="s">
        <v>726</v>
      </c>
      <c r="L42" s="20" t="s">
        <v>728</v>
      </c>
      <c r="M42" s="20">
        <v>3.1999999999999999E-6</v>
      </c>
      <c r="N42" s="20">
        <v>3.1999999999999999E-6</v>
      </c>
      <c r="O42" s="20">
        <v>3.1999999999999999E-6</v>
      </c>
      <c r="P42" s="20">
        <v>3.1999999999999999E-6</v>
      </c>
      <c r="Q42" s="20">
        <v>3.1999999999999999E-6</v>
      </c>
      <c r="R42" s="20">
        <v>3.1999999999999999E-6</v>
      </c>
      <c r="S42" s="20">
        <f t="shared" ref="S42:X44" si="34">ROUND(((M42-MIN($M$3:$R$212))/(MAX($M$3:$R$212)-MIN($M$3:$R$212)))*((2^12)-1), 0)</f>
        <v>0</v>
      </c>
      <c r="T42" s="20">
        <f t="shared" si="34"/>
        <v>0</v>
      </c>
      <c r="U42" s="20">
        <f t="shared" si="34"/>
        <v>0</v>
      </c>
      <c r="V42" s="20">
        <f t="shared" si="34"/>
        <v>0</v>
      </c>
      <c r="W42" s="20">
        <f t="shared" si="34"/>
        <v>0</v>
      </c>
      <c r="X42" s="20">
        <f t="shared" si="34"/>
        <v>0</v>
      </c>
      <c r="Y42" s="20" t="s">
        <v>414</v>
      </c>
      <c r="Z42" s="25">
        <v>0</v>
      </c>
      <c r="AA42" s="25">
        <v>1</v>
      </c>
      <c r="AB42" s="25" t="s">
        <v>417</v>
      </c>
      <c r="AC42" s="20" t="s">
        <v>736</v>
      </c>
    </row>
    <row r="43" spans="1:29" ht="102">
      <c r="A43" s="20" t="s">
        <v>341</v>
      </c>
      <c r="B43" s="24" t="str">
        <f>'Lambda-DC DC Converter (All)'!A36</f>
        <v>Decrease in Output Voltage</v>
      </c>
      <c r="C43" s="22">
        <f>'Lambda-DC DC Converter (All)'!B$31</f>
        <v>2.1388134027995368E-8</v>
      </c>
      <c r="D43" s="23">
        <f>'Lambda-DC DC Converter (All)'!C36</f>
        <v>0.25666666666666665</v>
      </c>
      <c r="E43" s="20">
        <f>'Lambda-DC DC Converter (All)'!D36</f>
        <v>5.4896210671854778E-9</v>
      </c>
      <c r="F43" s="21" t="s">
        <v>680</v>
      </c>
      <c r="G43" s="26" t="s">
        <v>679</v>
      </c>
      <c r="H43" s="20" t="s">
        <v>43</v>
      </c>
      <c r="I43" s="20" t="s">
        <v>408</v>
      </c>
      <c r="J43" s="25" t="s">
        <v>521</v>
      </c>
      <c r="K43" s="25" t="s">
        <v>726</v>
      </c>
      <c r="L43" s="20" t="s">
        <v>728</v>
      </c>
      <c r="M43" s="20">
        <v>3.1999999999999999E-6</v>
      </c>
      <c r="N43" s="20">
        <v>3.1999999999999999E-6</v>
      </c>
      <c r="O43" s="20">
        <v>3.1999999999999999E-6</v>
      </c>
      <c r="P43" s="20">
        <v>3.1999999999999999E-6</v>
      </c>
      <c r="Q43" s="20">
        <v>3.1999999999999999E-6</v>
      </c>
      <c r="R43" s="20">
        <v>3.1999999999999999E-6</v>
      </c>
      <c r="S43" s="20">
        <f t="shared" ref="S43" si="35">ROUND(((M43-MIN($M$3:$R$212))/(MAX($M$3:$R$212)-MIN($M$3:$R$212)))*((2^12)-1), 0)</f>
        <v>0</v>
      </c>
      <c r="T43" s="20">
        <f t="shared" ref="T43" si="36">ROUND(((N43-MIN($M$3:$R$212))/(MAX($M$3:$R$212)-MIN($M$3:$R$212)))*((2^12)-1), 0)</f>
        <v>0</v>
      </c>
      <c r="U43" s="20">
        <f t="shared" ref="U43" si="37">ROUND(((O43-MIN($M$3:$R$212))/(MAX($M$3:$R$212)-MIN($M$3:$R$212)))*((2^12)-1), 0)</f>
        <v>0</v>
      </c>
      <c r="V43" s="20">
        <f t="shared" ref="V43" si="38">ROUND(((P43-MIN($M$3:$R$212))/(MAX($M$3:$R$212)-MIN($M$3:$R$212)))*((2^12)-1), 0)</f>
        <v>0</v>
      </c>
      <c r="W43" s="20">
        <f t="shared" ref="W43" si="39">ROUND(((Q43-MIN($M$3:$R$212))/(MAX($M$3:$R$212)-MIN($M$3:$R$212)))*((2^12)-1), 0)</f>
        <v>0</v>
      </c>
      <c r="X43" s="20">
        <f t="shared" ref="X43" si="40">ROUND(((R43-MIN($M$3:$R$212))/(MAX($M$3:$R$212)-MIN($M$3:$R$212)))*((2^12)-1), 0)</f>
        <v>0</v>
      </c>
      <c r="Y43" s="20" t="s">
        <v>414</v>
      </c>
      <c r="Z43" s="25">
        <v>0</v>
      </c>
      <c r="AA43" s="25">
        <v>1</v>
      </c>
      <c r="AB43" s="25" t="s">
        <v>417</v>
      </c>
      <c r="AC43" s="20" t="s">
        <v>736</v>
      </c>
    </row>
    <row r="44" spans="1:29" ht="102">
      <c r="A44" s="20" t="s">
        <v>341</v>
      </c>
      <c r="B44" s="24" t="str">
        <f>'Lambda-DC DC Converter (All)'!A37</f>
        <v>Noisy Output</v>
      </c>
      <c r="C44" s="22">
        <f>'Lambda-DC DC Converter (All)'!B$31</f>
        <v>2.1388134027995368E-8</v>
      </c>
      <c r="D44" s="23">
        <f>'Lambda-DC DC Converter (All)'!C37</f>
        <v>0.25666666666666665</v>
      </c>
      <c r="E44" s="20">
        <f>'Lambda-DC DC Converter (All)'!D37</f>
        <v>5.4896210671854778E-9</v>
      </c>
      <c r="F44" s="21" t="s">
        <v>494</v>
      </c>
      <c r="G44" s="26" t="s">
        <v>523</v>
      </c>
      <c r="H44" s="20" t="s">
        <v>43</v>
      </c>
      <c r="I44" s="20" t="s">
        <v>408</v>
      </c>
      <c r="J44" s="25" t="s">
        <v>521</v>
      </c>
      <c r="K44" s="25" t="s">
        <v>726</v>
      </c>
      <c r="L44" s="20" t="s">
        <v>728</v>
      </c>
      <c r="M44" s="20">
        <v>3.1999999999999999E-6</v>
      </c>
      <c r="N44" s="20">
        <v>3.1999999999999999E-6</v>
      </c>
      <c r="O44" s="20">
        <v>3.1999999999999999E-6</v>
      </c>
      <c r="P44" s="20">
        <v>3.1999999999999999E-6</v>
      </c>
      <c r="Q44" s="20">
        <v>3.1999999999999999E-6</v>
      </c>
      <c r="R44" s="20">
        <v>3.1999999999999999E-6</v>
      </c>
      <c r="S44" s="20">
        <f t="shared" si="34"/>
        <v>0</v>
      </c>
      <c r="T44" s="20">
        <f t="shared" si="34"/>
        <v>0</v>
      </c>
      <c r="U44" s="20">
        <f t="shared" si="34"/>
        <v>0</v>
      </c>
      <c r="V44" s="20">
        <f t="shared" si="34"/>
        <v>0</v>
      </c>
      <c r="W44" s="20">
        <f t="shared" si="34"/>
        <v>0</v>
      </c>
      <c r="X44" s="20">
        <f t="shared" si="34"/>
        <v>0</v>
      </c>
      <c r="Y44" s="20" t="s">
        <v>414</v>
      </c>
      <c r="Z44" s="25">
        <v>0</v>
      </c>
      <c r="AA44" s="25">
        <v>1</v>
      </c>
      <c r="AB44" s="25" t="s">
        <v>417</v>
      </c>
      <c r="AC44" s="20" t="s">
        <v>736</v>
      </c>
    </row>
    <row r="45" spans="1:29" ht="102">
      <c r="A45" s="20" t="s">
        <v>373</v>
      </c>
      <c r="B45" s="21" t="str">
        <f>'Lambda-Resistor (All)'!A35</f>
        <v>Open</v>
      </c>
      <c r="C45" s="22">
        <f>'Lambda-Resistor (All)'!B$32</f>
        <v>4.1612004167966296E-9</v>
      </c>
      <c r="D45" s="23">
        <f>'Lambda-Resistor (All)'!C35</f>
        <v>0.59</v>
      </c>
      <c r="E45" s="20">
        <f>'Lambda-Resistor (All)'!D35</f>
        <v>2.4551082459100113E-9</v>
      </c>
      <c r="F45" s="21" t="s">
        <v>495</v>
      </c>
      <c r="G45" s="21" t="s">
        <v>473</v>
      </c>
      <c r="H45" s="20" t="s">
        <v>43</v>
      </c>
      <c r="I45" s="20" t="s">
        <v>408</v>
      </c>
      <c r="J45" s="20" t="s">
        <v>591</v>
      </c>
      <c r="K45" s="20" t="s">
        <v>729</v>
      </c>
      <c r="L45" s="20" t="s">
        <v>728</v>
      </c>
      <c r="M45" s="20">
        <v>3.27305</v>
      </c>
      <c r="N45" s="20">
        <v>3.2730299999999999</v>
      </c>
      <c r="O45" s="20">
        <v>3.2730600000000001</v>
      </c>
      <c r="P45" s="20">
        <v>3.2723450000000001</v>
      </c>
      <c r="Q45" s="20">
        <v>3.272335</v>
      </c>
      <c r="R45" s="20">
        <v>3.2723550000000001</v>
      </c>
      <c r="S45" s="20">
        <f t="shared" ref="S45:X49" si="41">ROUND(((M45-MIN($M$3:$R$212))/(MAX($M$3:$R$212)-MIN($M$3:$R$212)))*((2^12)-1), 0)</f>
        <v>4093</v>
      </c>
      <c r="T45" s="20">
        <f t="shared" si="41"/>
        <v>4093</v>
      </c>
      <c r="U45" s="20">
        <f t="shared" si="41"/>
        <v>4093</v>
      </c>
      <c r="V45" s="20">
        <f t="shared" si="41"/>
        <v>4092</v>
      </c>
      <c r="W45" s="20">
        <f t="shared" si="41"/>
        <v>4092</v>
      </c>
      <c r="X45" s="20">
        <f t="shared" si="41"/>
        <v>4092</v>
      </c>
      <c r="Y45" s="20" t="s">
        <v>422</v>
      </c>
      <c r="Z45" s="25">
        <v>0</v>
      </c>
      <c r="AA45" s="25">
        <v>1</v>
      </c>
      <c r="AB45" s="25" t="s">
        <v>417</v>
      </c>
      <c r="AC45" s="20" t="s">
        <v>736</v>
      </c>
    </row>
    <row r="46" spans="1:29" ht="63.75">
      <c r="A46" s="20" t="s">
        <v>373</v>
      </c>
      <c r="B46" s="21" t="str">
        <f>'Lambda-Resistor (All)'!A36</f>
        <v>Short-Circuit</v>
      </c>
      <c r="C46" s="22">
        <f>'Lambda-Resistor (All)'!B$32</f>
        <v>4.1612004167966296E-9</v>
      </c>
      <c r="D46" s="23">
        <f>'Lambda-Resistor (All)'!C36</f>
        <v>0.05</v>
      </c>
      <c r="E46" s="20">
        <f>'Lambda-Resistor (All)'!D36</f>
        <v>2.080600208398315E-10</v>
      </c>
      <c r="F46" s="21" t="s">
        <v>496</v>
      </c>
      <c r="G46" s="21" t="s">
        <v>497</v>
      </c>
      <c r="H46" s="20" t="s">
        <v>43</v>
      </c>
      <c r="I46" s="20" t="s">
        <v>408</v>
      </c>
      <c r="J46" s="20" t="s">
        <v>590</v>
      </c>
      <c r="K46" s="20" t="s">
        <v>729</v>
      </c>
      <c r="L46" s="20" t="s">
        <v>728</v>
      </c>
      <c r="M46" s="20">
        <v>3.1999999999999999E-6</v>
      </c>
      <c r="N46" s="20">
        <v>3.1999999999999999E-6</v>
      </c>
      <c r="O46" s="20">
        <v>3.1999999999999999E-6</v>
      </c>
      <c r="P46" s="20">
        <v>3.1999999999999999E-6</v>
      </c>
      <c r="Q46" s="20">
        <v>3.1999999999999999E-6</v>
      </c>
      <c r="R46" s="20">
        <v>3.1999999999999999E-6</v>
      </c>
      <c r="S46" s="20">
        <f t="shared" si="41"/>
        <v>0</v>
      </c>
      <c r="T46" s="20">
        <f t="shared" si="41"/>
        <v>0</v>
      </c>
      <c r="U46" s="20">
        <f t="shared" si="41"/>
        <v>0</v>
      </c>
      <c r="V46" s="20">
        <f t="shared" si="41"/>
        <v>0</v>
      </c>
      <c r="W46" s="20">
        <f t="shared" si="41"/>
        <v>0</v>
      </c>
      <c r="X46" s="20">
        <f t="shared" si="41"/>
        <v>0</v>
      </c>
      <c r="Y46" s="20" t="s">
        <v>414</v>
      </c>
      <c r="Z46" s="25">
        <v>0</v>
      </c>
      <c r="AA46" s="25">
        <v>1</v>
      </c>
      <c r="AB46" s="25" t="s">
        <v>417</v>
      </c>
      <c r="AC46" s="20" t="s">
        <v>736</v>
      </c>
    </row>
    <row r="47" spans="1:29" ht="51">
      <c r="A47" s="20" t="s">
        <v>373</v>
      </c>
      <c r="B47" s="24" t="str">
        <f>'Lambda-Resistor (All)'!A37</f>
        <v>Increase of Resistance Value</v>
      </c>
      <c r="C47" s="22">
        <f>'Lambda-Resistor (All)'!B$32</f>
        <v>4.1612004167966296E-9</v>
      </c>
      <c r="D47" s="23">
        <f>'Lambda-Resistor (All)'!C37</f>
        <v>0.18</v>
      </c>
      <c r="E47" s="20">
        <f>'Lambda-Resistor (All)'!D37</f>
        <v>7.4901607502339334E-10</v>
      </c>
      <c r="F47" s="21" t="s">
        <v>380</v>
      </c>
      <c r="G47" s="21" t="s">
        <v>682</v>
      </c>
      <c r="H47" s="20" t="s">
        <v>43</v>
      </c>
      <c r="I47" s="20" t="s">
        <v>408</v>
      </c>
      <c r="J47" s="20" t="s">
        <v>591</v>
      </c>
      <c r="K47" s="20" t="s">
        <v>725</v>
      </c>
      <c r="L47" s="20" t="s">
        <v>728</v>
      </c>
      <c r="M47" s="20">
        <v>3.27305</v>
      </c>
      <c r="N47" s="20">
        <v>3.2730299999999999</v>
      </c>
      <c r="O47" s="20">
        <v>3.2730600000000001</v>
      </c>
      <c r="P47" s="20">
        <v>4.3130000000000002E-2</v>
      </c>
      <c r="Q47" s="20">
        <v>4.095E-2</v>
      </c>
      <c r="R47" s="20">
        <v>3.2723550000000001</v>
      </c>
      <c r="S47" s="20">
        <f t="shared" si="41"/>
        <v>4093</v>
      </c>
      <c r="T47" s="20">
        <f t="shared" si="41"/>
        <v>4093</v>
      </c>
      <c r="U47" s="20">
        <f t="shared" si="41"/>
        <v>4093</v>
      </c>
      <c r="V47" s="20">
        <f t="shared" si="41"/>
        <v>54</v>
      </c>
      <c r="W47" s="20">
        <f t="shared" si="41"/>
        <v>51</v>
      </c>
      <c r="X47" s="20">
        <f t="shared" si="41"/>
        <v>4092</v>
      </c>
      <c r="Y47" s="20" t="s">
        <v>484</v>
      </c>
      <c r="Z47" s="25">
        <v>0</v>
      </c>
      <c r="AA47" s="25">
        <v>1</v>
      </c>
      <c r="AB47" s="25" t="s">
        <v>417</v>
      </c>
      <c r="AC47" s="25" t="s">
        <v>734</v>
      </c>
    </row>
    <row r="48" spans="1:29" ht="51">
      <c r="A48" s="20" t="s">
        <v>373</v>
      </c>
      <c r="B48" s="24" t="str">
        <f>'Lambda-Resistor (All)'!A38</f>
        <v>Decrease of Resistance Value</v>
      </c>
      <c r="C48" s="22">
        <f>'Lambda-Resistor (All)'!B$32</f>
        <v>4.1612004167966296E-9</v>
      </c>
      <c r="D48" s="23">
        <f>'Lambda-Resistor (All)'!C38</f>
        <v>0.18</v>
      </c>
      <c r="E48" s="20">
        <f>'Lambda-Resistor (All)'!D38</f>
        <v>7.4901607502339334E-10</v>
      </c>
      <c r="F48" s="21" t="s">
        <v>381</v>
      </c>
      <c r="G48" s="21" t="s">
        <v>681</v>
      </c>
      <c r="H48" s="20" t="s">
        <v>43</v>
      </c>
      <c r="I48" s="20" t="s">
        <v>408</v>
      </c>
      <c r="J48" s="20" t="s">
        <v>590</v>
      </c>
      <c r="K48" s="20" t="s">
        <v>725</v>
      </c>
      <c r="L48" s="20" t="s">
        <v>728</v>
      </c>
      <c r="M48" s="20">
        <f>3.27303*0.93</f>
        <v>3.0439178999999998</v>
      </c>
      <c r="N48" s="20">
        <v>3.1999999999999999E-6</v>
      </c>
      <c r="O48" s="20">
        <v>3.2730600000000001</v>
      </c>
      <c r="P48" s="20">
        <v>3.1999999999999999E-6</v>
      </c>
      <c r="Q48" s="20">
        <v>3.1999999999999999E-6</v>
      </c>
      <c r="R48" s="20">
        <v>3.1999999999999999E-6</v>
      </c>
      <c r="S48" s="20">
        <f t="shared" si="41"/>
        <v>3806</v>
      </c>
      <c r="T48" s="20">
        <f t="shared" si="41"/>
        <v>0</v>
      </c>
      <c r="U48" s="20">
        <f t="shared" si="41"/>
        <v>4093</v>
      </c>
      <c r="V48" s="20">
        <f t="shared" si="41"/>
        <v>0</v>
      </c>
      <c r="W48" s="20">
        <f t="shared" si="41"/>
        <v>0</v>
      </c>
      <c r="X48" s="20">
        <f t="shared" si="41"/>
        <v>0</v>
      </c>
      <c r="Y48" s="20" t="s">
        <v>414</v>
      </c>
      <c r="Z48" s="25">
        <v>0</v>
      </c>
      <c r="AA48" s="25">
        <v>1</v>
      </c>
      <c r="AB48" s="25" t="s">
        <v>417</v>
      </c>
      <c r="AC48" s="25" t="s">
        <v>734</v>
      </c>
    </row>
    <row r="49" spans="1:29" ht="38.25">
      <c r="A49" s="20" t="s">
        <v>373</v>
      </c>
      <c r="B49" s="21" t="str">
        <f>'Lambda-Resistor (All)'!A39</f>
        <v>Short-Circuit to Casing</v>
      </c>
      <c r="C49" s="22">
        <f>'Lambda-Resistor (All)'!B$32</f>
        <v>4.1612004167966296E-9</v>
      </c>
      <c r="D49" s="23">
        <f>'Lambda-Resistor (All)'!C39</f>
        <v>0</v>
      </c>
      <c r="E49" s="20">
        <f>'Lambda-Resistor (All)'!D39</f>
        <v>0</v>
      </c>
      <c r="F49" s="21" t="s">
        <v>382</v>
      </c>
      <c r="G49" s="26" t="s">
        <v>382</v>
      </c>
      <c r="H49" s="20" t="s">
        <v>43</v>
      </c>
      <c r="I49" s="20" t="s">
        <v>409</v>
      </c>
      <c r="J49" s="20" t="s">
        <v>409</v>
      </c>
      <c r="K49" s="20" t="s">
        <v>730</v>
      </c>
      <c r="L49" s="20" t="s">
        <v>730</v>
      </c>
      <c r="M49" s="20">
        <v>3.2724899999999999</v>
      </c>
      <c r="N49" s="20">
        <v>3.2719999999999998</v>
      </c>
      <c r="O49" s="20">
        <v>3.2749999999999999</v>
      </c>
      <c r="P49" s="20">
        <v>4.3130000000000002E-2</v>
      </c>
      <c r="Q49" s="20">
        <v>4.095E-2</v>
      </c>
      <c r="R49" s="20">
        <v>4.53E-2</v>
      </c>
      <c r="S49" s="20">
        <f t="shared" si="41"/>
        <v>4092</v>
      </c>
      <c r="T49" s="20">
        <f t="shared" si="41"/>
        <v>4091</v>
      </c>
      <c r="U49" s="20">
        <f t="shared" si="41"/>
        <v>4095</v>
      </c>
      <c r="V49" s="20">
        <f t="shared" si="41"/>
        <v>54</v>
      </c>
      <c r="W49" s="20">
        <f t="shared" si="41"/>
        <v>51</v>
      </c>
      <c r="X49" s="20">
        <f t="shared" si="41"/>
        <v>57</v>
      </c>
      <c r="Y49" s="20" t="s">
        <v>417</v>
      </c>
      <c r="Z49" s="25">
        <v>0</v>
      </c>
      <c r="AA49" s="25">
        <v>1</v>
      </c>
      <c r="AB49" s="25" t="s">
        <v>417</v>
      </c>
      <c r="AC49" s="20" t="s">
        <v>736</v>
      </c>
    </row>
    <row r="50" spans="1:29" ht="38.25">
      <c r="A50" s="20" t="s">
        <v>346</v>
      </c>
      <c r="B50" s="21" t="str">
        <f>'Lambda-Optocoupler (All)'!A31</f>
        <v>Open diode</v>
      </c>
      <c r="C50" s="22">
        <f>'Lambda-Optocoupler (All)'!B$28</f>
        <v>8.4558640964896021E-8</v>
      </c>
      <c r="D50" s="23">
        <f>'Lambda-Optocoupler (All)'!C31</f>
        <v>8.3333329999999997E-2</v>
      </c>
      <c r="E50" s="20">
        <f>'Lambda-Optocoupler (All)'!D31</f>
        <v>7.0465531318791983E-9</v>
      </c>
      <c r="F50" s="21" t="s">
        <v>504</v>
      </c>
      <c r="G50" s="21" t="s">
        <v>411</v>
      </c>
      <c r="H50" s="20" t="s">
        <v>43</v>
      </c>
      <c r="I50" s="20" t="s">
        <v>408</v>
      </c>
      <c r="J50" s="20" t="s">
        <v>590</v>
      </c>
      <c r="K50" s="20" t="s">
        <v>729</v>
      </c>
      <c r="L50" s="20" t="s">
        <v>728</v>
      </c>
      <c r="M50" s="20">
        <v>3.1999999999999999E-6</v>
      </c>
      <c r="N50" s="20">
        <v>3.1999999999999999E-6</v>
      </c>
      <c r="O50" s="20">
        <v>3.1999999999999999E-6</v>
      </c>
      <c r="P50" s="20">
        <v>3.1999999999999999E-6</v>
      </c>
      <c r="Q50" s="20">
        <v>3.1999999999999999E-6</v>
      </c>
      <c r="R50" s="20">
        <v>3.1999999999999999E-6</v>
      </c>
      <c r="S50" s="20">
        <f t="shared" ref="S50:X51" si="42">ROUND(((M50-MIN($M$3:$R$212))/(MAX($M$3:$R$212)-MIN($M$3:$R$212)))*((2^12)-1), 0)</f>
        <v>0</v>
      </c>
      <c r="T50" s="20">
        <f t="shared" si="42"/>
        <v>0</v>
      </c>
      <c r="U50" s="20">
        <f t="shared" si="42"/>
        <v>0</v>
      </c>
      <c r="V50" s="20">
        <f t="shared" si="42"/>
        <v>0</v>
      </c>
      <c r="W50" s="20">
        <f t="shared" si="42"/>
        <v>0</v>
      </c>
      <c r="X50" s="20">
        <f t="shared" si="42"/>
        <v>0</v>
      </c>
      <c r="Y50" s="20" t="s">
        <v>414</v>
      </c>
      <c r="Z50" s="25">
        <v>0</v>
      </c>
      <c r="AA50" s="25">
        <v>1</v>
      </c>
      <c r="AB50" s="25" t="s">
        <v>417</v>
      </c>
      <c r="AC50" s="20" t="s">
        <v>736</v>
      </c>
    </row>
    <row r="51" spans="1:29" ht="38.25">
      <c r="A51" s="20" t="s">
        <v>346</v>
      </c>
      <c r="B51" s="21" t="str">
        <f>'Lambda-Optocoupler (All)'!A32</f>
        <v>Open emitter</v>
      </c>
      <c r="C51" s="22">
        <f>'Lambda-Optocoupler (All)'!B$28</f>
        <v>8.4558640964896021E-8</v>
      </c>
      <c r="D51" s="23">
        <f>'Lambda-Optocoupler (All)'!C32</f>
        <v>8.3333329999999997E-2</v>
      </c>
      <c r="E51" s="20">
        <f>'Lambda-Optocoupler (All)'!D32</f>
        <v>7.0465531318791983E-9</v>
      </c>
      <c r="F51" s="21" t="s">
        <v>505</v>
      </c>
      <c r="G51" s="21" t="s">
        <v>411</v>
      </c>
      <c r="H51" s="20" t="s">
        <v>43</v>
      </c>
      <c r="I51" s="20" t="s">
        <v>408</v>
      </c>
      <c r="J51" s="20" t="s">
        <v>590</v>
      </c>
      <c r="K51" s="20" t="s">
        <v>729</v>
      </c>
      <c r="L51" s="20" t="s">
        <v>728</v>
      </c>
      <c r="M51" s="20">
        <v>3.1999999999999999E-6</v>
      </c>
      <c r="N51" s="20">
        <v>3.1999999999999999E-6</v>
      </c>
      <c r="O51" s="20">
        <v>3.1999999999999999E-6</v>
      </c>
      <c r="P51" s="20">
        <v>3.1999999999999999E-6</v>
      </c>
      <c r="Q51" s="20">
        <v>3.1999999999999999E-6</v>
      </c>
      <c r="R51" s="20">
        <v>3.1999999999999999E-6</v>
      </c>
      <c r="S51" s="20">
        <f t="shared" si="42"/>
        <v>0</v>
      </c>
      <c r="T51" s="20">
        <f t="shared" si="42"/>
        <v>0</v>
      </c>
      <c r="U51" s="20">
        <f t="shared" si="42"/>
        <v>0</v>
      </c>
      <c r="V51" s="20">
        <f t="shared" si="42"/>
        <v>0</v>
      </c>
      <c r="W51" s="20">
        <f t="shared" si="42"/>
        <v>0</v>
      </c>
      <c r="X51" s="20">
        <f t="shared" si="42"/>
        <v>0</v>
      </c>
      <c r="Y51" s="20" t="s">
        <v>414</v>
      </c>
      <c r="Z51" s="25">
        <v>0</v>
      </c>
      <c r="AA51" s="25">
        <v>1</v>
      </c>
      <c r="AB51" s="25" t="s">
        <v>417</v>
      </c>
      <c r="AC51" s="20" t="s">
        <v>736</v>
      </c>
    </row>
    <row r="52" spans="1:29" ht="38.25">
      <c r="A52" s="20" t="s">
        <v>346</v>
      </c>
      <c r="B52" s="21" t="str">
        <f>'Lambda-Optocoupler (All)'!A33</f>
        <v>Open collector</v>
      </c>
      <c r="C52" s="22">
        <f>'Lambda-Optocoupler (All)'!B$28</f>
        <v>8.4558640964896021E-8</v>
      </c>
      <c r="D52" s="23">
        <f>'Lambda-Optocoupler (All)'!C33</f>
        <v>8.3333329999999997E-2</v>
      </c>
      <c r="E52" s="20">
        <f>'Lambda-Optocoupler (All)'!D33</f>
        <v>7.0465531318791983E-9</v>
      </c>
      <c r="F52" s="21" t="s">
        <v>505</v>
      </c>
      <c r="G52" s="21" t="s">
        <v>411</v>
      </c>
      <c r="H52" s="20" t="s">
        <v>43</v>
      </c>
      <c r="I52" s="20" t="s">
        <v>408</v>
      </c>
      <c r="J52" s="20" t="s">
        <v>590</v>
      </c>
      <c r="K52" s="20" t="s">
        <v>729</v>
      </c>
      <c r="L52" s="20" t="s">
        <v>728</v>
      </c>
      <c r="M52" s="20">
        <v>3.1999999999999999E-6</v>
      </c>
      <c r="N52" s="20">
        <v>3.1999999999999999E-6</v>
      </c>
      <c r="O52" s="20">
        <v>3.1999999999999999E-6</v>
      </c>
      <c r="P52" s="20">
        <v>3.1999999999999999E-6</v>
      </c>
      <c r="Q52" s="20">
        <v>3.1999999999999999E-6</v>
      </c>
      <c r="R52" s="20">
        <v>3.1999999999999999E-6</v>
      </c>
      <c r="S52" s="20">
        <f t="shared" ref="S52:S59" si="43">ROUND(((M52-MIN($M$3:$R$212))/(MAX($M$3:$R$212)-MIN($M$3:$R$212)))*((2^12)-1), 0)</f>
        <v>0</v>
      </c>
      <c r="T52" s="20">
        <f t="shared" ref="T52:T59" si="44">ROUND(((N52-MIN($M$3:$R$212))/(MAX($M$3:$R$212)-MIN($M$3:$R$212)))*((2^12)-1), 0)</f>
        <v>0</v>
      </c>
      <c r="U52" s="20">
        <f t="shared" ref="U52:U59" si="45">ROUND(((O52-MIN($M$3:$R$212))/(MAX($M$3:$R$212)-MIN($M$3:$R$212)))*((2^12)-1), 0)</f>
        <v>0</v>
      </c>
      <c r="V52" s="20">
        <f t="shared" ref="V52:V59" si="46">ROUND(((P52-MIN($M$3:$R$212))/(MAX($M$3:$R$212)-MIN($M$3:$R$212)))*((2^12)-1), 0)</f>
        <v>0</v>
      </c>
      <c r="W52" s="20">
        <f t="shared" ref="W52:W59" si="47">ROUND(((Q52-MIN($M$3:$R$212))/(MAX($M$3:$R$212)-MIN($M$3:$R$212)))*((2^12)-1), 0)</f>
        <v>0</v>
      </c>
      <c r="X52" s="20">
        <f t="shared" ref="X52:X59" si="48">ROUND(((R52-MIN($M$3:$R$212))/(MAX($M$3:$R$212)-MIN($M$3:$R$212)))*((2^12)-1), 0)</f>
        <v>0</v>
      </c>
      <c r="Y52" s="20" t="s">
        <v>414</v>
      </c>
      <c r="Z52" s="25">
        <v>0</v>
      </c>
      <c r="AA52" s="25">
        <v>1</v>
      </c>
      <c r="AB52" s="25" t="s">
        <v>417</v>
      </c>
      <c r="AC52" s="20" t="s">
        <v>736</v>
      </c>
    </row>
    <row r="53" spans="1:29" ht="38.25">
      <c r="A53" s="20" t="s">
        <v>346</v>
      </c>
      <c r="B53" s="21" t="str">
        <f>'Lambda-Optocoupler (All)'!A34</f>
        <v>Open base</v>
      </c>
      <c r="C53" s="22">
        <f>'Lambda-Optocoupler (All)'!B$28</f>
        <v>8.4558640964896021E-8</v>
      </c>
      <c r="D53" s="23">
        <f>'Lambda-Optocoupler (All)'!C34</f>
        <v>8.3333329999999997E-2</v>
      </c>
      <c r="E53" s="20">
        <f>'Lambda-Optocoupler (All)'!D34</f>
        <v>7.0465531318791983E-9</v>
      </c>
      <c r="F53" s="21" t="s">
        <v>498</v>
      </c>
      <c r="G53" s="21" t="s">
        <v>498</v>
      </c>
      <c r="H53" s="20" t="s">
        <v>43</v>
      </c>
      <c r="I53" s="20" t="s">
        <v>409</v>
      </c>
      <c r="J53" s="20" t="s">
        <v>409</v>
      </c>
      <c r="K53" s="20" t="s">
        <v>730</v>
      </c>
      <c r="L53" s="20" t="s">
        <v>730</v>
      </c>
      <c r="M53" s="20">
        <v>3.2724899999999999</v>
      </c>
      <c r="N53" s="20">
        <v>3.2719999999999998</v>
      </c>
      <c r="O53" s="20">
        <v>3.2749999999999999</v>
      </c>
      <c r="P53" s="20">
        <v>4.3130000000000002E-2</v>
      </c>
      <c r="Q53" s="20">
        <v>4.095E-2</v>
      </c>
      <c r="R53" s="20">
        <v>4.53E-2</v>
      </c>
      <c r="S53" s="20">
        <f t="shared" si="43"/>
        <v>4092</v>
      </c>
      <c r="T53" s="20">
        <f t="shared" si="44"/>
        <v>4091</v>
      </c>
      <c r="U53" s="20">
        <f t="shared" si="45"/>
        <v>4095</v>
      </c>
      <c r="V53" s="20">
        <f t="shared" si="46"/>
        <v>54</v>
      </c>
      <c r="W53" s="20">
        <f t="shared" si="47"/>
        <v>51</v>
      </c>
      <c r="X53" s="20">
        <f t="shared" si="48"/>
        <v>57</v>
      </c>
      <c r="Y53" s="20" t="s">
        <v>417</v>
      </c>
      <c r="Z53" s="25">
        <v>0</v>
      </c>
      <c r="AA53" s="25">
        <v>1</v>
      </c>
      <c r="AB53" s="25" t="s">
        <v>417</v>
      </c>
      <c r="AC53" s="20" t="s">
        <v>736</v>
      </c>
    </row>
    <row r="54" spans="1:29" ht="38.25">
      <c r="A54" s="20" t="s">
        <v>346</v>
      </c>
      <c r="B54" s="21" t="str">
        <f>'Lambda-Optocoupler (All)'!A35</f>
        <v>Increase of light sensitivity</v>
      </c>
      <c r="C54" s="22">
        <f>'Lambda-Optocoupler (All)'!B$28</f>
        <v>8.4558640964896021E-8</v>
      </c>
      <c r="D54" s="23">
        <f>'Lambda-Optocoupler (All)'!C35</f>
        <v>8.3333329999999997E-2</v>
      </c>
      <c r="E54" s="20">
        <f>'Lambda-Optocoupler (All)'!D35</f>
        <v>7.0465531318791983E-9</v>
      </c>
      <c r="F54" s="21" t="s">
        <v>658</v>
      </c>
      <c r="G54" s="21" t="s">
        <v>480</v>
      </c>
      <c r="H54" s="20" t="s">
        <v>43</v>
      </c>
      <c r="I54" s="20" t="s">
        <v>409</v>
      </c>
      <c r="J54" s="20" t="s">
        <v>409</v>
      </c>
      <c r="K54" s="20" t="s">
        <v>730</v>
      </c>
      <c r="L54" s="20" t="s">
        <v>730</v>
      </c>
      <c r="M54" s="20">
        <v>3.2724899999999999</v>
      </c>
      <c r="N54" s="20">
        <v>3.2719999999999998</v>
      </c>
      <c r="O54" s="20">
        <v>3.2749999999999999</v>
      </c>
      <c r="P54" s="20">
        <v>4.3130000000000002E-2</v>
      </c>
      <c r="Q54" s="20">
        <v>4.095E-2</v>
      </c>
      <c r="R54" s="20">
        <v>4.53E-2</v>
      </c>
      <c r="S54" s="20">
        <f t="shared" si="43"/>
        <v>4092</v>
      </c>
      <c r="T54" s="20">
        <f t="shared" si="44"/>
        <v>4091</v>
      </c>
      <c r="U54" s="20">
        <f t="shared" si="45"/>
        <v>4095</v>
      </c>
      <c r="V54" s="20">
        <f t="shared" si="46"/>
        <v>54</v>
      </c>
      <c r="W54" s="20">
        <f t="shared" si="47"/>
        <v>51</v>
      </c>
      <c r="X54" s="20">
        <f t="shared" si="48"/>
        <v>57</v>
      </c>
      <c r="Y54" s="20" t="s">
        <v>417</v>
      </c>
      <c r="Z54" s="25">
        <v>0</v>
      </c>
      <c r="AA54" s="25">
        <v>1</v>
      </c>
      <c r="AB54" s="25" t="s">
        <v>417</v>
      </c>
      <c r="AC54" s="20" t="s">
        <v>736</v>
      </c>
    </row>
    <row r="55" spans="1:29" ht="51">
      <c r="A55" s="20" t="s">
        <v>346</v>
      </c>
      <c r="B55" s="24" t="str">
        <f>'Lambda-Optocoupler (All)'!A36</f>
        <v>Decrease of light sensitivity</v>
      </c>
      <c r="C55" s="22">
        <f>'Lambda-Optocoupler (All)'!B$28</f>
        <v>8.4558640964896021E-8</v>
      </c>
      <c r="D55" s="23">
        <f>'Lambda-Optocoupler (All)'!C36</f>
        <v>8.3333329999999997E-2</v>
      </c>
      <c r="E55" s="20">
        <f>'Lambda-Optocoupler (All)'!D36</f>
        <v>7.0465531318791983E-9</v>
      </c>
      <c r="F55" s="21" t="s">
        <v>481</v>
      </c>
      <c r="G55" s="21" t="s">
        <v>481</v>
      </c>
      <c r="H55" s="20" t="s">
        <v>43</v>
      </c>
      <c r="I55" s="20" t="s">
        <v>408</v>
      </c>
      <c r="J55" s="20" t="s">
        <v>590</v>
      </c>
      <c r="K55" s="20" t="s">
        <v>725</v>
      </c>
      <c r="L55" s="20" t="s">
        <v>728</v>
      </c>
      <c r="M55" s="20">
        <v>1.63</v>
      </c>
      <c r="N55" s="20">
        <v>3.1999999999999999E-6</v>
      </c>
      <c r="O55" s="20">
        <v>3.2719999999999998</v>
      </c>
      <c r="P55" s="20">
        <v>3.1999999999999999E-6</v>
      </c>
      <c r="Q55" s="20">
        <v>3.1999999999999999E-6</v>
      </c>
      <c r="R55" s="20">
        <v>3.1999999999999999E-6</v>
      </c>
      <c r="S55" s="20">
        <f t="shared" si="43"/>
        <v>2038</v>
      </c>
      <c r="T55" s="20">
        <f t="shared" si="44"/>
        <v>0</v>
      </c>
      <c r="U55" s="20">
        <f t="shared" si="45"/>
        <v>4091</v>
      </c>
      <c r="V55" s="20">
        <f t="shared" si="46"/>
        <v>0</v>
      </c>
      <c r="W55" s="20">
        <f t="shared" si="47"/>
        <v>0</v>
      </c>
      <c r="X55" s="20">
        <f t="shared" si="48"/>
        <v>0</v>
      </c>
      <c r="Y55" s="20" t="s">
        <v>414</v>
      </c>
      <c r="Z55" s="25">
        <v>0</v>
      </c>
      <c r="AA55" s="25">
        <v>1</v>
      </c>
      <c r="AB55" s="25" t="s">
        <v>417</v>
      </c>
      <c r="AC55" s="25" t="s">
        <v>734</v>
      </c>
    </row>
    <row r="56" spans="1:29" ht="51">
      <c r="A56" s="20" t="s">
        <v>346</v>
      </c>
      <c r="B56" s="24" t="str">
        <f>'Lambda-Optocoupler (All)'!A37</f>
        <v>Increase of leakage current</v>
      </c>
      <c r="C56" s="22">
        <f>'Lambda-Optocoupler (All)'!B$28</f>
        <v>8.4558640964896021E-8</v>
      </c>
      <c r="D56" s="23">
        <f>'Lambda-Optocoupler (All)'!C37</f>
        <v>0.125</v>
      </c>
      <c r="E56" s="20">
        <f>'Lambda-Optocoupler (All)'!D37</f>
        <v>1.0569830120612003E-8</v>
      </c>
      <c r="F56" s="21" t="s">
        <v>624</v>
      </c>
      <c r="G56" s="21" t="s">
        <v>411</v>
      </c>
      <c r="H56" s="20" t="s">
        <v>43</v>
      </c>
      <c r="I56" s="20" t="s">
        <v>408</v>
      </c>
      <c r="J56" s="20" t="s">
        <v>590</v>
      </c>
      <c r="K56" s="20" t="s">
        <v>725</v>
      </c>
      <c r="L56" s="20" t="s">
        <v>728</v>
      </c>
      <c r="M56" s="20">
        <v>1.63</v>
      </c>
      <c r="N56" s="20">
        <v>3.1999999999999999E-6</v>
      </c>
      <c r="O56" s="20">
        <v>3.2719999999999998</v>
      </c>
      <c r="P56" s="20">
        <v>3.1999999999999999E-6</v>
      </c>
      <c r="Q56" s="20">
        <v>3.1999999999999999E-6</v>
      </c>
      <c r="R56" s="20">
        <v>3.1999999999999999E-6</v>
      </c>
      <c r="S56" s="20">
        <f t="shared" si="43"/>
        <v>2038</v>
      </c>
      <c r="T56" s="20">
        <f t="shared" si="44"/>
        <v>0</v>
      </c>
      <c r="U56" s="20">
        <f t="shared" si="45"/>
        <v>4091</v>
      </c>
      <c r="V56" s="20">
        <f t="shared" si="46"/>
        <v>0</v>
      </c>
      <c r="W56" s="20">
        <f t="shared" si="47"/>
        <v>0</v>
      </c>
      <c r="X56" s="20">
        <f t="shared" si="48"/>
        <v>0</v>
      </c>
      <c r="Y56" s="20" t="s">
        <v>414</v>
      </c>
      <c r="Z56" s="25">
        <v>0</v>
      </c>
      <c r="AA56" s="25">
        <v>1</v>
      </c>
      <c r="AB56" s="25" t="s">
        <v>417</v>
      </c>
      <c r="AC56" s="25" t="s">
        <v>734</v>
      </c>
    </row>
    <row r="57" spans="1:29" ht="51">
      <c r="A57" s="20" t="s">
        <v>346</v>
      </c>
      <c r="B57" s="24" t="str">
        <f>'Lambda-Optocoupler (All)'!A38</f>
        <v>Reduced insulation between input and output</v>
      </c>
      <c r="C57" s="22">
        <f>'Lambda-Optocoupler (All)'!B$28</f>
        <v>8.4558640964896021E-8</v>
      </c>
      <c r="D57" s="23">
        <f>'Lambda-Optocoupler (All)'!C38</f>
        <v>0.125</v>
      </c>
      <c r="E57" s="20">
        <f>'Lambda-Optocoupler (All)'!D38</f>
        <v>1.0569830120612003E-8</v>
      </c>
      <c r="F57" s="21" t="s">
        <v>506</v>
      </c>
      <c r="G57" s="21" t="s">
        <v>507</v>
      </c>
      <c r="H57" s="20" t="s">
        <v>43</v>
      </c>
      <c r="I57" s="20" t="s">
        <v>408</v>
      </c>
      <c r="J57" s="20" t="s">
        <v>593</v>
      </c>
      <c r="K57" s="20" t="s">
        <v>729</v>
      </c>
      <c r="L57" s="20" t="s">
        <v>728</v>
      </c>
      <c r="M57" s="20">
        <v>3.1999999999999999E-6</v>
      </c>
      <c r="N57" s="20">
        <v>3.1999999999999999E-6</v>
      </c>
      <c r="O57" s="20">
        <v>3.1999999999999999E-6</v>
      </c>
      <c r="P57" s="20">
        <v>3.1999999999999999E-6</v>
      </c>
      <c r="Q57" s="20">
        <v>3.1999999999999999E-6</v>
      </c>
      <c r="R57" s="20">
        <v>3.1999999999999999E-6</v>
      </c>
      <c r="S57" s="20">
        <f t="shared" si="43"/>
        <v>0</v>
      </c>
      <c r="T57" s="20">
        <f t="shared" si="44"/>
        <v>0</v>
      </c>
      <c r="U57" s="20">
        <f t="shared" si="45"/>
        <v>0</v>
      </c>
      <c r="V57" s="20">
        <f t="shared" si="46"/>
        <v>0</v>
      </c>
      <c r="W57" s="20">
        <f t="shared" si="47"/>
        <v>0</v>
      </c>
      <c r="X57" s="20">
        <f t="shared" si="48"/>
        <v>0</v>
      </c>
      <c r="Y57" s="20" t="s">
        <v>414</v>
      </c>
      <c r="Z57" s="25">
        <v>0</v>
      </c>
      <c r="AA57" s="25">
        <v>1</v>
      </c>
      <c r="AB57" s="25" t="s">
        <v>417</v>
      </c>
      <c r="AC57" s="20" t="s">
        <v>736</v>
      </c>
    </row>
    <row r="58" spans="1:29" ht="127.5">
      <c r="A58" s="20" t="s">
        <v>346</v>
      </c>
      <c r="B58" s="24" t="str">
        <f>'Lambda-Optocoupler (All)'!A39</f>
        <v>Change on switching time</v>
      </c>
      <c r="C58" s="22">
        <f>'Lambda-Optocoupler (All)'!B$28</f>
        <v>8.4558640964896021E-8</v>
      </c>
      <c r="D58" s="23">
        <f>'Lambda-Optocoupler (All)'!C39</f>
        <v>8.3333329999999997E-2</v>
      </c>
      <c r="E58" s="20">
        <f>'Lambda-Optocoupler (All)'!D39</f>
        <v>7.0465531318791983E-9</v>
      </c>
      <c r="F58" s="21" t="s">
        <v>515</v>
      </c>
      <c r="G58" s="24" t="s">
        <v>664</v>
      </c>
      <c r="H58" s="20" t="s">
        <v>43</v>
      </c>
      <c r="I58" s="20" t="s">
        <v>408</v>
      </c>
      <c r="J58" s="20" t="s">
        <v>591</v>
      </c>
      <c r="K58" s="20" t="s">
        <v>729</v>
      </c>
      <c r="L58" s="20" t="s">
        <v>728</v>
      </c>
      <c r="M58" s="20">
        <v>3.27305</v>
      </c>
      <c r="N58" s="20">
        <v>3.2730299999999999</v>
      </c>
      <c r="O58" s="20">
        <v>3.2730600000000001</v>
      </c>
      <c r="P58" s="20">
        <v>3.2723450000000001</v>
      </c>
      <c r="Q58" s="20">
        <v>3.272335</v>
      </c>
      <c r="R58" s="20">
        <v>3.2723550000000001</v>
      </c>
      <c r="S58" s="20">
        <f t="shared" si="43"/>
        <v>4093</v>
      </c>
      <c r="T58" s="20">
        <f t="shared" si="44"/>
        <v>4093</v>
      </c>
      <c r="U58" s="20">
        <f t="shared" si="45"/>
        <v>4093</v>
      </c>
      <c r="V58" s="20">
        <f t="shared" si="46"/>
        <v>4092</v>
      </c>
      <c r="W58" s="20">
        <f t="shared" si="47"/>
        <v>4092</v>
      </c>
      <c r="X58" s="20">
        <f t="shared" si="48"/>
        <v>4092</v>
      </c>
      <c r="Y58" s="20" t="s">
        <v>665</v>
      </c>
      <c r="Z58" s="25">
        <v>0</v>
      </c>
      <c r="AA58" s="25">
        <v>1</v>
      </c>
      <c r="AB58" s="25" t="s">
        <v>417</v>
      </c>
      <c r="AC58" s="20" t="s">
        <v>736</v>
      </c>
    </row>
    <row r="59" spans="1:29" ht="38.25">
      <c r="A59" s="20" t="s">
        <v>346</v>
      </c>
      <c r="B59" s="21" t="str">
        <f>'Lambda-Optocoupler (All)'!A40</f>
        <v>Increase of current gain</v>
      </c>
      <c r="C59" s="22">
        <f>'Lambda-Optocoupler (All)'!B$28</f>
        <v>8.4558640964896021E-8</v>
      </c>
      <c r="D59" s="23">
        <f>'Lambda-Optocoupler (All)'!C40</f>
        <v>8.3333329999999997E-2</v>
      </c>
      <c r="E59" s="20">
        <f>'Lambda-Optocoupler (All)'!D40</f>
        <v>7.0465531318791983E-9</v>
      </c>
      <c r="F59" s="21" t="s">
        <v>659</v>
      </c>
      <c r="G59" s="21" t="s">
        <v>480</v>
      </c>
      <c r="H59" s="20" t="s">
        <v>43</v>
      </c>
      <c r="I59" s="20" t="s">
        <v>409</v>
      </c>
      <c r="J59" s="20" t="s">
        <v>409</v>
      </c>
      <c r="K59" s="20" t="s">
        <v>730</v>
      </c>
      <c r="L59" s="20" t="s">
        <v>730</v>
      </c>
      <c r="M59" s="20">
        <v>3.2724899999999999</v>
      </c>
      <c r="N59" s="20">
        <v>3.2719999999999998</v>
      </c>
      <c r="O59" s="20">
        <v>3.2749999999999999</v>
      </c>
      <c r="P59" s="20">
        <v>4.3130000000000002E-2</v>
      </c>
      <c r="Q59" s="20">
        <v>4.095E-2</v>
      </c>
      <c r="R59" s="20">
        <v>4.53E-2</v>
      </c>
      <c r="S59" s="20">
        <f t="shared" si="43"/>
        <v>4092</v>
      </c>
      <c r="T59" s="20">
        <f t="shared" si="44"/>
        <v>4091</v>
      </c>
      <c r="U59" s="20">
        <f t="shared" si="45"/>
        <v>4095</v>
      </c>
      <c r="V59" s="20">
        <f t="shared" si="46"/>
        <v>54</v>
      </c>
      <c r="W59" s="20">
        <f t="shared" si="47"/>
        <v>51</v>
      </c>
      <c r="X59" s="20">
        <f t="shared" si="48"/>
        <v>57</v>
      </c>
      <c r="Y59" s="20" t="s">
        <v>417</v>
      </c>
      <c r="Z59" s="25">
        <v>0</v>
      </c>
      <c r="AA59" s="25">
        <v>1</v>
      </c>
      <c r="AB59" s="25" t="s">
        <v>417</v>
      </c>
      <c r="AC59" s="20" t="s">
        <v>736</v>
      </c>
    </row>
    <row r="60" spans="1:29" ht="89.25">
      <c r="A60" s="20" t="s">
        <v>346</v>
      </c>
      <c r="B60" s="24" t="str">
        <f>'Lambda-Optocoupler (All)'!A41</f>
        <v>Decrease of current gain</v>
      </c>
      <c r="C60" s="22">
        <f>'Lambda-Optocoupler (All)'!B$28</f>
        <v>8.4558640964896021E-8</v>
      </c>
      <c r="D60" s="23">
        <f>'Lambda-Optocoupler (All)'!C41</f>
        <v>8.3333329999999997E-2</v>
      </c>
      <c r="E60" s="20">
        <f>'Lambda-Optocoupler (All)'!D41</f>
        <v>7.0465531318791983E-9</v>
      </c>
      <c r="F60" s="21" t="s">
        <v>502</v>
      </c>
      <c r="G60" s="21" t="s">
        <v>676</v>
      </c>
      <c r="H60" s="20" t="s">
        <v>43</v>
      </c>
      <c r="I60" s="20" t="s">
        <v>408</v>
      </c>
      <c r="J60" s="20" t="s">
        <v>591</v>
      </c>
      <c r="K60" s="20" t="s">
        <v>725</v>
      </c>
      <c r="L60" s="20" t="s">
        <v>728</v>
      </c>
      <c r="M60" s="20">
        <v>3.27305</v>
      </c>
      <c r="N60" s="20">
        <v>4.3699999999999998E-3</v>
      </c>
      <c r="O60" s="20">
        <v>3.2730600000000001</v>
      </c>
      <c r="P60" s="20">
        <v>3.2723450000000001</v>
      </c>
      <c r="Q60" s="20">
        <v>3.272335</v>
      </c>
      <c r="R60" s="20">
        <v>3.2723550000000001</v>
      </c>
      <c r="S60" s="20">
        <f t="shared" ref="S60:X61" si="49">ROUND(((M60-MIN($M$3:$R$212))/(MAX($M$3:$R$212)-MIN($M$3:$R$212)))*((2^12)-1), 0)</f>
        <v>4093</v>
      </c>
      <c r="T60" s="20">
        <f t="shared" si="49"/>
        <v>5</v>
      </c>
      <c r="U60" s="20">
        <f t="shared" si="49"/>
        <v>4093</v>
      </c>
      <c r="V60" s="20">
        <f t="shared" si="49"/>
        <v>4092</v>
      </c>
      <c r="W60" s="20">
        <f t="shared" si="49"/>
        <v>4092</v>
      </c>
      <c r="X60" s="20">
        <f t="shared" si="49"/>
        <v>4092</v>
      </c>
      <c r="Y60" s="20" t="s">
        <v>484</v>
      </c>
      <c r="Z60" s="25">
        <v>0</v>
      </c>
      <c r="AA60" s="25">
        <v>1</v>
      </c>
      <c r="AB60" s="25" t="s">
        <v>417</v>
      </c>
      <c r="AC60" s="25" t="s">
        <v>734</v>
      </c>
    </row>
    <row r="61" spans="1:29" ht="89.25">
      <c r="A61" s="20" t="s">
        <v>374</v>
      </c>
      <c r="B61" s="24" t="str">
        <f>'Lambda-Resistor (All)'!A35</f>
        <v>Open</v>
      </c>
      <c r="C61" s="22">
        <f>'Lambda-Resistor (All)'!B$32</f>
        <v>4.1612004167966296E-9</v>
      </c>
      <c r="D61" s="23">
        <f>'Lambda-Resistor (All)'!C35</f>
        <v>0.59</v>
      </c>
      <c r="E61" s="20">
        <f>'Lambda-Resistor (All)'!D35</f>
        <v>2.4551082459100113E-9</v>
      </c>
      <c r="F61" s="21" t="s">
        <v>512</v>
      </c>
      <c r="G61" s="21" t="s">
        <v>530</v>
      </c>
      <c r="H61" s="20" t="s">
        <v>43</v>
      </c>
      <c r="I61" s="20" t="s">
        <v>408</v>
      </c>
      <c r="J61" s="25" t="s">
        <v>524</v>
      </c>
      <c r="K61" s="20" t="s">
        <v>727</v>
      </c>
      <c r="L61" s="20" t="s">
        <v>728</v>
      </c>
      <c r="M61" s="20">
        <v>3.1999999999999999E-6</v>
      </c>
      <c r="N61" s="20">
        <v>3.1999999999999999E-6</v>
      </c>
      <c r="O61" s="20">
        <v>3.1999999999999999E-6</v>
      </c>
      <c r="P61" s="20">
        <v>3.1999999999999999E-6</v>
      </c>
      <c r="Q61" s="20">
        <v>3.1999999999999999E-6</v>
      </c>
      <c r="R61" s="20">
        <v>3.1999999999999999E-6</v>
      </c>
      <c r="S61" s="20">
        <f t="shared" si="49"/>
        <v>0</v>
      </c>
      <c r="T61" s="20">
        <f t="shared" si="49"/>
        <v>0</v>
      </c>
      <c r="U61" s="20">
        <f t="shared" si="49"/>
        <v>0</v>
      </c>
      <c r="V61" s="20">
        <f t="shared" si="49"/>
        <v>0</v>
      </c>
      <c r="W61" s="20">
        <f t="shared" si="49"/>
        <v>0</v>
      </c>
      <c r="X61" s="20">
        <f t="shared" si="49"/>
        <v>0</v>
      </c>
      <c r="Y61" s="20" t="s">
        <v>414</v>
      </c>
      <c r="Z61" s="25">
        <v>0</v>
      </c>
      <c r="AA61" s="25">
        <v>1</v>
      </c>
      <c r="AB61" s="25" t="s">
        <v>417</v>
      </c>
      <c r="AC61" s="20" t="s">
        <v>736</v>
      </c>
    </row>
    <row r="62" spans="1:29" ht="63.75">
      <c r="A62" s="20" t="s">
        <v>374</v>
      </c>
      <c r="B62" s="21" t="str">
        <f>'Lambda-Resistor (All)'!A36</f>
        <v>Short-Circuit</v>
      </c>
      <c r="C62" s="22">
        <f>'Lambda-Resistor (All)'!B$32</f>
        <v>4.1612004167966296E-9</v>
      </c>
      <c r="D62" s="23">
        <f>'Lambda-Resistor (All)'!C36</f>
        <v>0.05</v>
      </c>
      <c r="E62" s="20">
        <f>'Lambda-Resistor (All)'!D36</f>
        <v>2.080600208398315E-10</v>
      </c>
      <c r="F62" s="21" t="s">
        <v>508</v>
      </c>
      <c r="G62" s="21" t="s">
        <v>497</v>
      </c>
      <c r="H62" s="20" t="s">
        <v>43</v>
      </c>
      <c r="I62" s="20" t="s">
        <v>408</v>
      </c>
      <c r="J62" s="20" t="s">
        <v>590</v>
      </c>
      <c r="K62" s="20" t="s">
        <v>729</v>
      </c>
      <c r="L62" s="20" t="s">
        <v>728</v>
      </c>
      <c r="M62" s="20">
        <v>3.1999999999999999E-6</v>
      </c>
      <c r="N62" s="20">
        <v>3.1999999999999999E-6</v>
      </c>
      <c r="O62" s="20">
        <v>3.1999999999999999E-6</v>
      </c>
      <c r="P62" s="20">
        <v>3.1999999999999999E-6</v>
      </c>
      <c r="Q62" s="20">
        <v>3.1999999999999999E-6</v>
      </c>
      <c r="R62" s="20">
        <v>3.1999999999999999E-6</v>
      </c>
      <c r="S62" s="20">
        <f t="shared" ref="S62:X66" si="50">ROUND(((M62-MIN($M$3:$R$212))/(MAX($M$3:$R$212)-MIN($M$3:$R$212)))*((2^12)-1), 0)</f>
        <v>0</v>
      </c>
      <c r="T62" s="20">
        <f t="shared" si="50"/>
        <v>0</v>
      </c>
      <c r="U62" s="20">
        <f t="shared" si="50"/>
        <v>0</v>
      </c>
      <c r="V62" s="20">
        <f t="shared" si="50"/>
        <v>0</v>
      </c>
      <c r="W62" s="20">
        <f t="shared" si="50"/>
        <v>0</v>
      </c>
      <c r="X62" s="20">
        <f t="shared" si="50"/>
        <v>0</v>
      </c>
      <c r="Y62" s="20" t="s">
        <v>414</v>
      </c>
      <c r="Z62" s="25">
        <v>0</v>
      </c>
      <c r="AA62" s="25">
        <v>1</v>
      </c>
      <c r="AB62" s="25" t="s">
        <v>417</v>
      </c>
      <c r="AC62" s="20" t="s">
        <v>736</v>
      </c>
    </row>
    <row r="63" spans="1:29" ht="51">
      <c r="A63" s="20" t="s">
        <v>374</v>
      </c>
      <c r="B63" s="24" t="str">
        <f>'Lambda-Resistor (All)'!A37</f>
        <v>Increase of Resistance Value</v>
      </c>
      <c r="C63" s="22">
        <f>'Lambda-Resistor (All)'!B$32</f>
        <v>4.1612004167966296E-9</v>
      </c>
      <c r="D63" s="23">
        <f>'Lambda-Resistor (All)'!C37</f>
        <v>0.18</v>
      </c>
      <c r="E63" s="20">
        <f>'Lambda-Resistor (All)'!D37</f>
        <v>7.4901607502339334E-10</v>
      </c>
      <c r="F63" s="21" t="s">
        <v>380</v>
      </c>
      <c r="G63" s="21" t="s">
        <v>380</v>
      </c>
      <c r="H63" s="20" t="s">
        <v>43</v>
      </c>
      <c r="I63" s="20" t="s">
        <v>408</v>
      </c>
      <c r="J63" s="25" t="s">
        <v>524</v>
      </c>
      <c r="K63" s="20" t="s">
        <v>727</v>
      </c>
      <c r="L63" s="20" t="s">
        <v>728</v>
      </c>
      <c r="M63" s="20">
        <v>3.1999999999999999E-6</v>
      </c>
      <c r="N63" s="20">
        <v>3.1999999999999999E-6</v>
      </c>
      <c r="O63" s="20">
        <v>3.1999999999999999E-6</v>
      </c>
      <c r="P63" s="20">
        <v>3.1999999999999999E-6</v>
      </c>
      <c r="Q63" s="20">
        <v>3.1999999999999999E-6</v>
      </c>
      <c r="R63" s="20">
        <v>3.1999999999999999E-6</v>
      </c>
      <c r="S63" s="20">
        <f t="shared" si="50"/>
        <v>0</v>
      </c>
      <c r="T63" s="20">
        <f t="shared" si="50"/>
        <v>0</v>
      </c>
      <c r="U63" s="20">
        <f t="shared" si="50"/>
        <v>0</v>
      </c>
      <c r="V63" s="20">
        <f t="shared" si="50"/>
        <v>0</v>
      </c>
      <c r="W63" s="20">
        <f t="shared" si="50"/>
        <v>0</v>
      </c>
      <c r="X63" s="20">
        <f t="shared" si="50"/>
        <v>0</v>
      </c>
      <c r="Y63" s="20" t="s">
        <v>414</v>
      </c>
      <c r="Z63" s="25">
        <v>0</v>
      </c>
      <c r="AA63" s="25">
        <v>1</v>
      </c>
      <c r="AB63" s="25" t="s">
        <v>417</v>
      </c>
      <c r="AC63" s="20" t="s">
        <v>736</v>
      </c>
    </row>
    <row r="64" spans="1:29" ht="38.25">
      <c r="A64" s="20" t="s">
        <v>374</v>
      </c>
      <c r="B64" s="24" t="str">
        <f>'Lambda-Resistor (All)'!A38</f>
        <v>Decrease of Resistance Value</v>
      </c>
      <c r="C64" s="22">
        <f>'Lambda-Resistor (All)'!B$32</f>
        <v>4.1612004167966296E-9</v>
      </c>
      <c r="D64" s="23">
        <f>'Lambda-Resistor (All)'!C38</f>
        <v>0.18</v>
      </c>
      <c r="E64" s="20">
        <f>'Lambda-Resistor (All)'!D38</f>
        <v>7.4901607502339334E-10</v>
      </c>
      <c r="F64" s="21" t="s">
        <v>381</v>
      </c>
      <c r="G64" s="21" t="s">
        <v>381</v>
      </c>
      <c r="H64" s="20" t="s">
        <v>43</v>
      </c>
      <c r="I64" s="20" t="s">
        <v>408</v>
      </c>
      <c r="J64" s="20" t="s">
        <v>590</v>
      </c>
      <c r="K64" s="20" t="s">
        <v>729</v>
      </c>
      <c r="L64" s="20" t="s">
        <v>728</v>
      </c>
      <c r="M64" s="20">
        <v>3.1999999999999999E-6</v>
      </c>
      <c r="N64" s="20">
        <v>3.1999999999999999E-6</v>
      </c>
      <c r="O64" s="20">
        <v>3.1999999999999999E-6</v>
      </c>
      <c r="P64" s="20">
        <v>3.1999999999999999E-6</v>
      </c>
      <c r="Q64" s="20">
        <v>3.1999999999999999E-6</v>
      </c>
      <c r="R64" s="20">
        <v>3.1999999999999999E-6</v>
      </c>
      <c r="S64" s="20">
        <f t="shared" si="50"/>
        <v>0</v>
      </c>
      <c r="T64" s="20">
        <f t="shared" si="50"/>
        <v>0</v>
      </c>
      <c r="U64" s="20">
        <f t="shared" si="50"/>
        <v>0</v>
      </c>
      <c r="V64" s="20">
        <f t="shared" si="50"/>
        <v>0</v>
      </c>
      <c r="W64" s="20">
        <f t="shared" si="50"/>
        <v>0</v>
      </c>
      <c r="X64" s="20">
        <f t="shared" si="50"/>
        <v>0</v>
      </c>
      <c r="Y64" s="20" t="s">
        <v>414</v>
      </c>
      <c r="Z64" s="25">
        <v>0</v>
      </c>
      <c r="AA64" s="25">
        <v>1</v>
      </c>
      <c r="AB64" s="25" t="s">
        <v>417</v>
      </c>
      <c r="AC64" s="20" t="s">
        <v>736</v>
      </c>
    </row>
    <row r="65" spans="1:29" ht="38.25">
      <c r="A65" s="20" t="s">
        <v>374</v>
      </c>
      <c r="B65" s="21" t="str">
        <f>'Lambda-Resistor (All)'!A39</f>
        <v>Short-Circuit to Casing</v>
      </c>
      <c r="C65" s="22">
        <f>'Lambda-Resistor (All)'!B$32</f>
        <v>4.1612004167966296E-9</v>
      </c>
      <c r="D65" s="23">
        <f>'Lambda-Resistor (All)'!C39</f>
        <v>0</v>
      </c>
      <c r="E65" s="20">
        <f>'Lambda-Resistor (All)'!D39</f>
        <v>0</v>
      </c>
      <c r="F65" s="21" t="s">
        <v>382</v>
      </c>
      <c r="G65" s="26" t="s">
        <v>382</v>
      </c>
      <c r="H65" s="20" t="s">
        <v>43</v>
      </c>
      <c r="I65" s="20" t="s">
        <v>409</v>
      </c>
      <c r="J65" s="20" t="s">
        <v>409</v>
      </c>
      <c r="K65" s="20" t="s">
        <v>730</v>
      </c>
      <c r="L65" s="20" t="s">
        <v>730</v>
      </c>
      <c r="M65" s="20">
        <v>3.2724899999999999</v>
      </c>
      <c r="N65" s="20">
        <v>3.2719999999999998</v>
      </c>
      <c r="O65" s="20">
        <v>3.2749999999999999</v>
      </c>
      <c r="P65" s="20">
        <v>4.3130000000000002E-2</v>
      </c>
      <c r="Q65" s="20">
        <v>4.095E-2</v>
      </c>
      <c r="R65" s="20">
        <v>4.53E-2</v>
      </c>
      <c r="S65" s="20">
        <f t="shared" si="50"/>
        <v>4092</v>
      </c>
      <c r="T65" s="20">
        <f t="shared" si="50"/>
        <v>4091</v>
      </c>
      <c r="U65" s="20">
        <f t="shared" si="50"/>
        <v>4095</v>
      </c>
      <c r="V65" s="20">
        <f t="shared" si="50"/>
        <v>54</v>
      </c>
      <c r="W65" s="20">
        <f t="shared" si="50"/>
        <v>51</v>
      </c>
      <c r="X65" s="20">
        <f t="shared" si="50"/>
        <v>57</v>
      </c>
      <c r="Y65" s="20" t="s">
        <v>417</v>
      </c>
      <c r="Z65" s="25">
        <v>0</v>
      </c>
      <c r="AA65" s="25">
        <v>1</v>
      </c>
      <c r="AB65" s="25" t="s">
        <v>417</v>
      </c>
      <c r="AC65" s="20" t="s">
        <v>736</v>
      </c>
    </row>
    <row r="66" spans="1:29" ht="38.25">
      <c r="A66" s="20" t="s">
        <v>347</v>
      </c>
      <c r="B66" s="21" t="str">
        <f>'Lambda-Optocoupler (All)'!A31</f>
        <v>Open diode</v>
      </c>
      <c r="C66" s="22">
        <f>'Lambda-Optocoupler (All)'!B$28</f>
        <v>8.4558640964896021E-8</v>
      </c>
      <c r="D66" s="23">
        <f>'Lambda-Optocoupler (All)'!C31</f>
        <v>8.3333329999999997E-2</v>
      </c>
      <c r="E66" s="20">
        <f>'Lambda-Optocoupler (All)'!D31</f>
        <v>7.0465531318791983E-9</v>
      </c>
      <c r="F66" s="21" t="s">
        <v>509</v>
      </c>
      <c r="G66" s="21" t="s">
        <v>411</v>
      </c>
      <c r="H66" s="20" t="s">
        <v>43</v>
      </c>
      <c r="I66" s="20" t="s">
        <v>408</v>
      </c>
      <c r="J66" s="20" t="s">
        <v>590</v>
      </c>
      <c r="K66" s="20" t="s">
        <v>729</v>
      </c>
      <c r="L66" s="20" t="s">
        <v>728</v>
      </c>
      <c r="M66" s="20">
        <v>3.1999999999999999E-6</v>
      </c>
      <c r="N66" s="20">
        <v>3.1999999999999999E-6</v>
      </c>
      <c r="O66" s="20">
        <v>3.1999999999999999E-6</v>
      </c>
      <c r="P66" s="20">
        <v>3.1999999999999999E-6</v>
      </c>
      <c r="Q66" s="20">
        <v>3.1999999999999999E-6</v>
      </c>
      <c r="R66" s="20">
        <v>3.1999999999999999E-6</v>
      </c>
      <c r="S66" s="20">
        <f t="shared" si="50"/>
        <v>0</v>
      </c>
      <c r="T66" s="20">
        <f t="shared" si="50"/>
        <v>0</v>
      </c>
      <c r="U66" s="20">
        <f t="shared" si="50"/>
        <v>0</v>
      </c>
      <c r="V66" s="20">
        <f t="shared" si="50"/>
        <v>0</v>
      </c>
      <c r="W66" s="20">
        <f t="shared" si="50"/>
        <v>0</v>
      </c>
      <c r="X66" s="20">
        <f t="shared" si="50"/>
        <v>0</v>
      </c>
      <c r="Y66" s="20" t="s">
        <v>414</v>
      </c>
      <c r="Z66" s="25">
        <v>0</v>
      </c>
      <c r="AA66" s="25">
        <v>1</v>
      </c>
      <c r="AB66" s="25" t="s">
        <v>417</v>
      </c>
      <c r="AC66" s="20" t="s">
        <v>736</v>
      </c>
    </row>
    <row r="67" spans="1:29" ht="38.25">
      <c r="A67" s="20" t="s">
        <v>347</v>
      </c>
      <c r="B67" s="21" t="str">
        <f>'Lambda-Optocoupler (All)'!A32</f>
        <v>Open emitter</v>
      </c>
      <c r="C67" s="22">
        <f>'Lambda-Optocoupler (All)'!B$28</f>
        <v>8.4558640964896021E-8</v>
      </c>
      <c r="D67" s="23">
        <f>'Lambda-Optocoupler (All)'!C32</f>
        <v>8.3333329999999997E-2</v>
      </c>
      <c r="E67" s="20">
        <f>'Lambda-Optocoupler (All)'!D32</f>
        <v>7.0465531318791983E-9</v>
      </c>
      <c r="F67" s="21" t="s">
        <v>510</v>
      </c>
      <c r="G67" s="21" t="s">
        <v>411</v>
      </c>
      <c r="H67" s="20" t="s">
        <v>43</v>
      </c>
      <c r="I67" s="20" t="s">
        <v>408</v>
      </c>
      <c r="J67" s="20" t="s">
        <v>590</v>
      </c>
      <c r="K67" s="20" t="s">
        <v>729</v>
      </c>
      <c r="L67" s="20" t="s">
        <v>728</v>
      </c>
      <c r="M67" s="20">
        <v>3.1999999999999999E-6</v>
      </c>
      <c r="N67" s="20">
        <v>3.1999999999999999E-6</v>
      </c>
      <c r="O67" s="20">
        <v>3.1999999999999999E-6</v>
      </c>
      <c r="P67" s="20">
        <v>3.1999999999999999E-6</v>
      </c>
      <c r="Q67" s="20">
        <v>3.1999999999999999E-6</v>
      </c>
      <c r="R67" s="20">
        <v>3.1999999999999999E-6</v>
      </c>
      <c r="S67" s="20">
        <f t="shared" ref="S67:S72" si="51">ROUND(((M67-MIN($M$3:$R$212))/(MAX($M$3:$R$212)-MIN($M$3:$R$212)))*((2^12)-1), 0)</f>
        <v>0</v>
      </c>
      <c r="T67" s="20">
        <f t="shared" ref="T67:T72" si="52">ROUND(((N67-MIN($M$3:$R$212))/(MAX($M$3:$R$212)-MIN($M$3:$R$212)))*((2^12)-1), 0)</f>
        <v>0</v>
      </c>
      <c r="U67" s="20">
        <f t="shared" ref="U67:U72" si="53">ROUND(((O67-MIN($M$3:$R$212))/(MAX($M$3:$R$212)-MIN($M$3:$R$212)))*((2^12)-1), 0)</f>
        <v>0</v>
      </c>
      <c r="V67" s="20">
        <f t="shared" ref="V67:V72" si="54">ROUND(((P67-MIN($M$3:$R$212))/(MAX($M$3:$R$212)-MIN($M$3:$R$212)))*((2^12)-1), 0)</f>
        <v>0</v>
      </c>
      <c r="W67" s="20">
        <f t="shared" ref="W67:W72" si="55">ROUND(((Q67-MIN($M$3:$R$212))/(MAX($M$3:$R$212)-MIN($M$3:$R$212)))*((2^12)-1), 0)</f>
        <v>0</v>
      </c>
      <c r="X67" s="20">
        <f t="shared" ref="X67:X72" si="56">ROUND(((R67-MIN($M$3:$R$212))/(MAX($M$3:$R$212)-MIN($M$3:$R$212)))*((2^12)-1), 0)</f>
        <v>0</v>
      </c>
      <c r="Y67" s="20" t="s">
        <v>414</v>
      </c>
      <c r="Z67" s="25">
        <v>0</v>
      </c>
      <c r="AA67" s="25">
        <v>1</v>
      </c>
      <c r="AB67" s="25" t="s">
        <v>417</v>
      </c>
      <c r="AC67" s="20" t="s">
        <v>736</v>
      </c>
    </row>
    <row r="68" spans="1:29" ht="38.25">
      <c r="A68" s="20" t="s">
        <v>347</v>
      </c>
      <c r="B68" s="21" t="str">
        <f>'Lambda-Optocoupler (All)'!A33</f>
        <v>Open collector</v>
      </c>
      <c r="C68" s="22">
        <f>'Lambda-Optocoupler (All)'!B$28</f>
        <v>8.4558640964896021E-8</v>
      </c>
      <c r="D68" s="23">
        <f>'Lambda-Optocoupler (All)'!C33</f>
        <v>8.3333329999999997E-2</v>
      </c>
      <c r="E68" s="20">
        <f>'Lambda-Optocoupler (All)'!D33</f>
        <v>7.0465531318791983E-9</v>
      </c>
      <c r="F68" s="21" t="s">
        <v>510</v>
      </c>
      <c r="G68" s="21" t="s">
        <v>411</v>
      </c>
      <c r="H68" s="20" t="s">
        <v>43</v>
      </c>
      <c r="I68" s="20" t="s">
        <v>408</v>
      </c>
      <c r="J68" s="20" t="s">
        <v>590</v>
      </c>
      <c r="K68" s="20" t="s">
        <v>729</v>
      </c>
      <c r="L68" s="20" t="s">
        <v>728</v>
      </c>
      <c r="M68" s="20">
        <v>3.1999999999999999E-6</v>
      </c>
      <c r="N68" s="20">
        <v>3.1999999999999999E-6</v>
      </c>
      <c r="O68" s="20">
        <v>3.1999999999999999E-6</v>
      </c>
      <c r="P68" s="20">
        <v>3.1999999999999999E-6</v>
      </c>
      <c r="Q68" s="20">
        <v>3.1999999999999999E-6</v>
      </c>
      <c r="R68" s="20">
        <v>3.1999999999999999E-6</v>
      </c>
      <c r="S68" s="20">
        <f t="shared" si="51"/>
        <v>0</v>
      </c>
      <c r="T68" s="20">
        <f t="shared" si="52"/>
        <v>0</v>
      </c>
      <c r="U68" s="20">
        <f t="shared" si="53"/>
        <v>0</v>
      </c>
      <c r="V68" s="20">
        <f t="shared" si="54"/>
        <v>0</v>
      </c>
      <c r="W68" s="20">
        <f t="shared" si="55"/>
        <v>0</v>
      </c>
      <c r="X68" s="20">
        <f t="shared" si="56"/>
        <v>0</v>
      </c>
      <c r="Y68" s="20" t="s">
        <v>414</v>
      </c>
      <c r="Z68" s="25">
        <v>0</v>
      </c>
      <c r="AA68" s="25">
        <v>1</v>
      </c>
      <c r="AB68" s="25" t="s">
        <v>417</v>
      </c>
      <c r="AC68" s="20" t="s">
        <v>736</v>
      </c>
    </row>
    <row r="69" spans="1:29" ht="38.25">
      <c r="A69" s="20" t="s">
        <v>347</v>
      </c>
      <c r="B69" s="21" t="str">
        <f>'Lambda-Optocoupler (All)'!A34</f>
        <v>Open base</v>
      </c>
      <c r="C69" s="22">
        <f>'Lambda-Optocoupler (All)'!B$28</f>
        <v>8.4558640964896021E-8</v>
      </c>
      <c r="D69" s="23">
        <f>'Lambda-Optocoupler (All)'!C34</f>
        <v>8.3333329999999997E-2</v>
      </c>
      <c r="E69" s="20">
        <f>'Lambda-Optocoupler (All)'!D34</f>
        <v>7.0465531318791983E-9</v>
      </c>
      <c r="F69" s="21" t="s">
        <v>499</v>
      </c>
      <c r="G69" s="21" t="s">
        <v>499</v>
      </c>
      <c r="H69" s="20" t="s">
        <v>43</v>
      </c>
      <c r="I69" s="20" t="s">
        <v>409</v>
      </c>
      <c r="J69" s="20" t="s">
        <v>409</v>
      </c>
      <c r="K69" s="20" t="s">
        <v>730</v>
      </c>
      <c r="L69" s="20" t="s">
        <v>730</v>
      </c>
      <c r="M69" s="20">
        <v>3.2724899999999999</v>
      </c>
      <c r="N69" s="20">
        <v>3.2719999999999998</v>
      </c>
      <c r="O69" s="20">
        <v>3.2749999999999999</v>
      </c>
      <c r="P69" s="20">
        <v>4.3130000000000002E-2</v>
      </c>
      <c r="Q69" s="20">
        <v>4.095E-2</v>
      </c>
      <c r="R69" s="20">
        <v>4.53E-2</v>
      </c>
      <c r="S69" s="20">
        <f t="shared" si="51"/>
        <v>4092</v>
      </c>
      <c r="T69" s="20">
        <f t="shared" si="52"/>
        <v>4091</v>
      </c>
      <c r="U69" s="20">
        <f t="shared" si="53"/>
        <v>4095</v>
      </c>
      <c r="V69" s="20">
        <f t="shared" si="54"/>
        <v>54</v>
      </c>
      <c r="W69" s="20">
        <f t="shared" si="55"/>
        <v>51</v>
      </c>
      <c r="X69" s="20">
        <f t="shared" si="56"/>
        <v>57</v>
      </c>
      <c r="Y69" s="20" t="s">
        <v>417</v>
      </c>
      <c r="Z69" s="25">
        <v>0</v>
      </c>
      <c r="AA69" s="25">
        <v>1</v>
      </c>
      <c r="AB69" s="25" t="s">
        <v>417</v>
      </c>
      <c r="AC69" s="20" t="s">
        <v>736</v>
      </c>
    </row>
    <row r="70" spans="1:29" ht="38.25">
      <c r="A70" s="20" t="s">
        <v>347</v>
      </c>
      <c r="B70" s="21" t="str">
        <f>'Lambda-Optocoupler (All)'!A35</f>
        <v>Increase of light sensitivity</v>
      </c>
      <c r="C70" s="22">
        <f>'Lambda-Optocoupler (All)'!B$28</f>
        <v>8.4558640964896021E-8</v>
      </c>
      <c r="D70" s="23">
        <f>'Lambda-Optocoupler (All)'!C35</f>
        <v>8.3333329999999997E-2</v>
      </c>
      <c r="E70" s="20">
        <f>'Lambda-Optocoupler (All)'!D35</f>
        <v>7.0465531318791983E-9</v>
      </c>
      <c r="F70" s="21" t="s">
        <v>660</v>
      </c>
      <c r="G70" s="21" t="s">
        <v>480</v>
      </c>
      <c r="H70" s="20" t="s">
        <v>43</v>
      </c>
      <c r="I70" s="20" t="s">
        <v>409</v>
      </c>
      <c r="J70" s="20" t="s">
        <v>409</v>
      </c>
      <c r="K70" s="20" t="s">
        <v>730</v>
      </c>
      <c r="L70" s="20" t="s">
        <v>730</v>
      </c>
      <c r="M70" s="20">
        <v>3.2724899999999999</v>
      </c>
      <c r="N70" s="20">
        <v>3.2719999999999998</v>
      </c>
      <c r="O70" s="20">
        <v>3.2749999999999999</v>
      </c>
      <c r="P70" s="20">
        <v>4.3130000000000002E-2</v>
      </c>
      <c r="Q70" s="20">
        <v>4.095E-2</v>
      </c>
      <c r="R70" s="20">
        <v>4.53E-2</v>
      </c>
      <c r="S70" s="20">
        <f t="shared" si="51"/>
        <v>4092</v>
      </c>
      <c r="T70" s="20">
        <f t="shared" si="52"/>
        <v>4091</v>
      </c>
      <c r="U70" s="20">
        <f t="shared" si="53"/>
        <v>4095</v>
      </c>
      <c r="V70" s="20">
        <f t="shared" si="54"/>
        <v>54</v>
      </c>
      <c r="W70" s="20">
        <f t="shared" si="55"/>
        <v>51</v>
      </c>
      <c r="X70" s="20">
        <f t="shared" si="56"/>
        <v>57</v>
      </c>
      <c r="Y70" s="20" t="s">
        <v>417</v>
      </c>
      <c r="Z70" s="25">
        <v>0</v>
      </c>
      <c r="AA70" s="25">
        <v>1</v>
      </c>
      <c r="AB70" s="25" t="s">
        <v>417</v>
      </c>
      <c r="AC70" s="20" t="s">
        <v>736</v>
      </c>
    </row>
    <row r="71" spans="1:29" ht="38.25">
      <c r="A71" s="20" t="s">
        <v>347</v>
      </c>
      <c r="B71" s="24" t="str">
        <f>'Lambda-Optocoupler (All)'!A36</f>
        <v>Decrease of light sensitivity</v>
      </c>
      <c r="C71" s="22">
        <f>'Lambda-Optocoupler (All)'!B$28</f>
        <v>8.4558640964896021E-8</v>
      </c>
      <c r="D71" s="23">
        <f>'Lambda-Optocoupler (All)'!C36</f>
        <v>8.3333329999999997E-2</v>
      </c>
      <c r="E71" s="20">
        <f>'Lambda-Optocoupler (All)'!D36</f>
        <v>7.0465531318791983E-9</v>
      </c>
      <c r="F71" s="21" t="s">
        <v>481</v>
      </c>
      <c r="G71" s="21" t="s">
        <v>481</v>
      </c>
      <c r="H71" s="20" t="s">
        <v>43</v>
      </c>
      <c r="I71" s="20" t="s">
        <v>408</v>
      </c>
      <c r="J71" s="20" t="s">
        <v>590</v>
      </c>
      <c r="K71" s="20" t="s">
        <v>729</v>
      </c>
      <c r="L71" s="20" t="s">
        <v>728</v>
      </c>
      <c r="M71" s="20">
        <v>3.1999999999999999E-6</v>
      </c>
      <c r="N71" s="20">
        <v>3.1999999999999999E-6</v>
      </c>
      <c r="O71" s="20">
        <v>3.1999999999999999E-6</v>
      </c>
      <c r="P71" s="20">
        <v>3.1999999999999999E-6</v>
      </c>
      <c r="Q71" s="20">
        <v>3.1999999999999999E-6</v>
      </c>
      <c r="R71" s="20">
        <v>3.1999999999999999E-6</v>
      </c>
      <c r="S71" s="20">
        <f t="shared" si="51"/>
        <v>0</v>
      </c>
      <c r="T71" s="20">
        <f t="shared" si="52"/>
        <v>0</v>
      </c>
      <c r="U71" s="20">
        <f t="shared" si="53"/>
        <v>0</v>
      </c>
      <c r="V71" s="20">
        <f t="shared" si="54"/>
        <v>0</v>
      </c>
      <c r="W71" s="20">
        <f t="shared" si="55"/>
        <v>0</v>
      </c>
      <c r="X71" s="20">
        <f t="shared" si="56"/>
        <v>0</v>
      </c>
      <c r="Y71" s="20" t="s">
        <v>414</v>
      </c>
      <c r="Z71" s="25">
        <v>0</v>
      </c>
      <c r="AA71" s="25">
        <v>1</v>
      </c>
      <c r="AB71" s="25" t="s">
        <v>417</v>
      </c>
      <c r="AC71" s="20" t="s">
        <v>736</v>
      </c>
    </row>
    <row r="72" spans="1:29" ht="38.25">
      <c r="A72" s="20" t="s">
        <v>347</v>
      </c>
      <c r="B72" s="24" t="str">
        <f>'Lambda-Optocoupler (All)'!A37</f>
        <v>Increase of leakage current</v>
      </c>
      <c r="C72" s="22">
        <f>'Lambda-Optocoupler (All)'!B$28</f>
        <v>8.4558640964896021E-8</v>
      </c>
      <c r="D72" s="23">
        <f>'Lambda-Optocoupler (All)'!C37</f>
        <v>0.125</v>
      </c>
      <c r="E72" s="20">
        <f>'Lambda-Optocoupler (All)'!D37</f>
        <v>1.0569830120612003E-8</v>
      </c>
      <c r="F72" s="24" t="s">
        <v>626</v>
      </c>
      <c r="G72" s="21" t="s">
        <v>411</v>
      </c>
      <c r="H72" s="20" t="s">
        <v>43</v>
      </c>
      <c r="I72" s="20" t="s">
        <v>408</v>
      </c>
      <c r="J72" s="20" t="s">
        <v>590</v>
      </c>
      <c r="K72" s="20" t="s">
        <v>729</v>
      </c>
      <c r="L72" s="20" t="s">
        <v>728</v>
      </c>
      <c r="M72" s="20">
        <v>3.1999999999999999E-6</v>
      </c>
      <c r="N72" s="20">
        <v>3.1999999999999999E-6</v>
      </c>
      <c r="O72" s="20">
        <v>3.1999999999999999E-6</v>
      </c>
      <c r="P72" s="20">
        <v>3.1999999999999999E-6</v>
      </c>
      <c r="Q72" s="20">
        <v>3.1999999999999999E-6</v>
      </c>
      <c r="R72" s="20">
        <v>3.1999999999999999E-6</v>
      </c>
      <c r="S72" s="20">
        <f t="shared" si="51"/>
        <v>0</v>
      </c>
      <c r="T72" s="20">
        <f t="shared" si="52"/>
        <v>0</v>
      </c>
      <c r="U72" s="20">
        <f t="shared" si="53"/>
        <v>0</v>
      </c>
      <c r="V72" s="20">
        <f t="shared" si="54"/>
        <v>0</v>
      </c>
      <c r="W72" s="20">
        <f t="shared" si="55"/>
        <v>0</v>
      </c>
      <c r="X72" s="20">
        <f t="shared" si="56"/>
        <v>0</v>
      </c>
      <c r="Y72" s="20" t="s">
        <v>414</v>
      </c>
      <c r="Z72" s="25">
        <v>0</v>
      </c>
      <c r="AA72" s="25">
        <v>1</v>
      </c>
      <c r="AB72" s="25" t="s">
        <v>417</v>
      </c>
      <c r="AC72" s="20" t="s">
        <v>736</v>
      </c>
    </row>
    <row r="73" spans="1:29" ht="89.25">
      <c r="A73" s="20" t="s">
        <v>347</v>
      </c>
      <c r="B73" s="24" t="str">
        <f>'Lambda-Optocoupler (All)'!A38</f>
        <v>Reduced insulation between input and output</v>
      </c>
      <c r="C73" s="22">
        <f>'Lambda-Optocoupler (All)'!B$28</f>
        <v>8.4558640964896021E-8</v>
      </c>
      <c r="D73" s="23">
        <f>'Lambda-Optocoupler (All)'!C38</f>
        <v>0.125</v>
      </c>
      <c r="E73" s="20">
        <f>'Lambda-Optocoupler (All)'!D38</f>
        <v>1.0569830120612003E-8</v>
      </c>
      <c r="F73" s="21" t="s">
        <v>511</v>
      </c>
      <c r="G73" s="21" t="s">
        <v>513</v>
      </c>
      <c r="H73" s="20" t="s">
        <v>43</v>
      </c>
      <c r="I73" s="20" t="s">
        <v>408</v>
      </c>
      <c r="J73" s="25" t="s">
        <v>521</v>
      </c>
      <c r="K73" s="25" t="s">
        <v>726</v>
      </c>
      <c r="L73" s="20" t="s">
        <v>728</v>
      </c>
      <c r="M73" s="20">
        <v>3.1999999999999999E-6</v>
      </c>
      <c r="N73" s="20">
        <v>3.1999999999999999E-6</v>
      </c>
      <c r="O73" s="20">
        <v>3.1999999999999999E-6</v>
      </c>
      <c r="P73" s="20">
        <v>3.1999999999999999E-6</v>
      </c>
      <c r="Q73" s="20">
        <v>3.1999999999999999E-6</v>
      </c>
      <c r="R73" s="20">
        <v>3.1999999999999999E-6</v>
      </c>
      <c r="S73" s="20">
        <f t="shared" ref="S73:S81" si="57">ROUND(((M73-MIN($M$3:$R$212))/(MAX($M$3:$R$212)-MIN($M$3:$R$212)))*((2^12)-1), 0)</f>
        <v>0</v>
      </c>
      <c r="T73" s="20">
        <f t="shared" ref="T73:T81" si="58">ROUND(((N73-MIN($M$3:$R$212))/(MAX($M$3:$R$212)-MIN($M$3:$R$212)))*((2^12)-1), 0)</f>
        <v>0</v>
      </c>
      <c r="U73" s="20">
        <f t="shared" ref="U73:U81" si="59">ROUND(((O73-MIN($M$3:$R$212))/(MAX($M$3:$R$212)-MIN($M$3:$R$212)))*((2^12)-1), 0)</f>
        <v>0</v>
      </c>
      <c r="V73" s="20">
        <f t="shared" ref="V73:V81" si="60">ROUND(((P73-MIN($M$3:$R$212))/(MAX($M$3:$R$212)-MIN($M$3:$R$212)))*((2^12)-1), 0)</f>
        <v>0</v>
      </c>
      <c r="W73" s="20">
        <f t="shared" ref="W73:W81" si="61">ROUND(((Q73-MIN($M$3:$R$212))/(MAX($M$3:$R$212)-MIN($M$3:$R$212)))*((2^12)-1), 0)</f>
        <v>0</v>
      </c>
      <c r="X73" s="20">
        <f t="shared" ref="X73:X81" si="62">ROUND(((R73-MIN($M$3:$R$212))/(MAX($M$3:$R$212)-MIN($M$3:$R$212)))*((2^12)-1), 0)</f>
        <v>0</v>
      </c>
      <c r="Y73" s="20" t="s">
        <v>514</v>
      </c>
      <c r="Z73" s="25">
        <v>0</v>
      </c>
      <c r="AA73" s="25">
        <v>1</v>
      </c>
      <c r="AB73" s="25" t="s">
        <v>417</v>
      </c>
      <c r="AC73" s="20" t="s">
        <v>736</v>
      </c>
    </row>
    <row r="74" spans="1:29" ht="89.25">
      <c r="A74" s="20" t="s">
        <v>347</v>
      </c>
      <c r="B74" s="24" t="str">
        <f>'Lambda-Optocoupler (All)'!A39</f>
        <v>Change on switching time</v>
      </c>
      <c r="C74" s="22">
        <f>'Lambda-Optocoupler (All)'!B$28</f>
        <v>8.4558640964896021E-8</v>
      </c>
      <c r="D74" s="23">
        <f>'Lambda-Optocoupler (All)'!C39</f>
        <v>8.3333329999999997E-2</v>
      </c>
      <c r="E74" s="20">
        <f>'Lambda-Optocoupler (All)'!D39</f>
        <v>7.0465531318791983E-9</v>
      </c>
      <c r="F74" s="21" t="s">
        <v>516</v>
      </c>
      <c r="G74" s="21" t="s">
        <v>531</v>
      </c>
      <c r="H74" s="20" t="s">
        <v>43</v>
      </c>
      <c r="I74" s="20" t="s">
        <v>408</v>
      </c>
      <c r="J74" s="25" t="s">
        <v>524</v>
      </c>
      <c r="K74" s="20" t="s">
        <v>727</v>
      </c>
      <c r="L74" s="20" t="s">
        <v>728</v>
      </c>
      <c r="M74" s="20">
        <v>3.1999999999999999E-6</v>
      </c>
      <c r="N74" s="20">
        <v>3.1999999999999999E-6</v>
      </c>
      <c r="O74" s="20">
        <v>3.1999999999999999E-6</v>
      </c>
      <c r="P74" s="20">
        <v>3.1999999999999999E-6</v>
      </c>
      <c r="Q74" s="20">
        <v>3.1999999999999999E-6</v>
      </c>
      <c r="R74" s="20">
        <v>3.1999999999999999E-6</v>
      </c>
      <c r="S74" s="20">
        <f t="shared" si="57"/>
        <v>0</v>
      </c>
      <c r="T74" s="20">
        <f t="shared" si="58"/>
        <v>0</v>
      </c>
      <c r="U74" s="20">
        <f t="shared" si="59"/>
        <v>0</v>
      </c>
      <c r="V74" s="20">
        <f t="shared" si="60"/>
        <v>0</v>
      </c>
      <c r="W74" s="20">
        <f t="shared" si="61"/>
        <v>0</v>
      </c>
      <c r="X74" s="20">
        <f t="shared" si="62"/>
        <v>0</v>
      </c>
      <c r="Y74" s="20" t="s">
        <v>414</v>
      </c>
      <c r="Z74" s="25">
        <v>0</v>
      </c>
      <c r="AA74" s="25">
        <v>1</v>
      </c>
      <c r="AB74" s="25" t="s">
        <v>417</v>
      </c>
      <c r="AC74" s="20" t="s">
        <v>736</v>
      </c>
    </row>
    <row r="75" spans="1:29" ht="38.25">
      <c r="A75" s="20" t="s">
        <v>347</v>
      </c>
      <c r="B75" s="21" t="str">
        <f>'Lambda-Optocoupler (All)'!A40</f>
        <v>Increase of current gain</v>
      </c>
      <c r="C75" s="22">
        <f>'Lambda-Optocoupler (All)'!B$28</f>
        <v>8.4558640964896021E-8</v>
      </c>
      <c r="D75" s="23">
        <f>'Lambda-Optocoupler (All)'!C40</f>
        <v>8.3333329999999997E-2</v>
      </c>
      <c r="E75" s="20">
        <f>'Lambda-Optocoupler (All)'!D40</f>
        <v>7.0465531318791983E-9</v>
      </c>
      <c r="F75" s="21" t="s">
        <v>661</v>
      </c>
      <c r="G75" s="21" t="s">
        <v>480</v>
      </c>
      <c r="H75" s="20" t="s">
        <v>43</v>
      </c>
      <c r="I75" s="20" t="s">
        <v>409</v>
      </c>
      <c r="J75" s="20" t="s">
        <v>409</v>
      </c>
      <c r="K75" s="20" t="s">
        <v>730</v>
      </c>
      <c r="L75" s="20" t="s">
        <v>730</v>
      </c>
      <c r="M75" s="20">
        <v>3.2724899999999999</v>
      </c>
      <c r="N75" s="20">
        <v>3.2719999999999998</v>
      </c>
      <c r="O75" s="20">
        <v>3.2749999999999999</v>
      </c>
      <c r="P75" s="20">
        <v>4.3130000000000002E-2</v>
      </c>
      <c r="Q75" s="20">
        <v>4.095E-2</v>
      </c>
      <c r="R75" s="20">
        <v>4.53E-2</v>
      </c>
      <c r="S75" s="20">
        <f t="shared" si="57"/>
        <v>4092</v>
      </c>
      <c r="T75" s="20">
        <f t="shared" si="58"/>
        <v>4091</v>
      </c>
      <c r="U75" s="20">
        <f t="shared" si="59"/>
        <v>4095</v>
      </c>
      <c r="V75" s="20">
        <f t="shared" si="60"/>
        <v>54</v>
      </c>
      <c r="W75" s="20">
        <f t="shared" si="61"/>
        <v>51</v>
      </c>
      <c r="X75" s="20">
        <f t="shared" si="62"/>
        <v>57</v>
      </c>
      <c r="Y75" s="20" t="s">
        <v>417</v>
      </c>
      <c r="Z75" s="25">
        <v>0</v>
      </c>
      <c r="AA75" s="25">
        <v>1</v>
      </c>
      <c r="AB75" s="25" t="s">
        <v>417</v>
      </c>
      <c r="AC75" s="20" t="s">
        <v>736</v>
      </c>
    </row>
    <row r="76" spans="1:29" ht="127.5">
      <c r="A76" s="20" t="s">
        <v>347</v>
      </c>
      <c r="B76" s="24" t="str">
        <f>'Lambda-Optocoupler (All)'!A41</f>
        <v>Decrease of current gain</v>
      </c>
      <c r="C76" s="22">
        <f>'Lambda-Optocoupler (All)'!B$28</f>
        <v>8.4558640964896021E-8</v>
      </c>
      <c r="D76" s="23">
        <f>'Lambda-Optocoupler (All)'!C41</f>
        <v>8.3333329999999997E-2</v>
      </c>
      <c r="E76" s="20">
        <f>'Lambda-Optocoupler (All)'!D41</f>
        <v>7.0465531318791983E-9</v>
      </c>
      <c r="F76" s="21" t="s">
        <v>501</v>
      </c>
      <c r="G76" s="21" t="s">
        <v>532</v>
      </c>
      <c r="H76" s="20" t="s">
        <v>43</v>
      </c>
      <c r="I76" s="20" t="s">
        <v>408</v>
      </c>
      <c r="J76" s="25" t="s">
        <v>524</v>
      </c>
      <c r="K76" s="20" t="s">
        <v>727</v>
      </c>
      <c r="L76" s="20" t="s">
        <v>728</v>
      </c>
      <c r="M76" s="20">
        <v>3.1999999999999999E-6</v>
      </c>
      <c r="N76" s="20">
        <v>3.1999999999999999E-6</v>
      </c>
      <c r="O76" s="20">
        <v>3.1999999999999999E-6</v>
      </c>
      <c r="P76" s="20">
        <v>3.1999999999999999E-6</v>
      </c>
      <c r="Q76" s="20">
        <v>3.1999999999999999E-6</v>
      </c>
      <c r="R76" s="20">
        <v>3.1999999999999999E-6</v>
      </c>
      <c r="S76" s="20">
        <f t="shared" si="57"/>
        <v>0</v>
      </c>
      <c r="T76" s="20">
        <f t="shared" si="58"/>
        <v>0</v>
      </c>
      <c r="U76" s="20">
        <f t="shared" si="59"/>
        <v>0</v>
      </c>
      <c r="V76" s="20">
        <f t="shared" si="60"/>
        <v>0</v>
      </c>
      <c r="W76" s="20">
        <f t="shared" si="61"/>
        <v>0</v>
      </c>
      <c r="X76" s="20">
        <f t="shared" si="62"/>
        <v>0</v>
      </c>
      <c r="Y76" s="20" t="s">
        <v>414</v>
      </c>
      <c r="Z76" s="25">
        <v>0</v>
      </c>
      <c r="AA76" s="25">
        <v>1</v>
      </c>
      <c r="AB76" s="25" t="s">
        <v>417</v>
      </c>
      <c r="AC76" s="20" t="s">
        <v>736</v>
      </c>
    </row>
    <row r="77" spans="1:29" ht="38.25">
      <c r="A77" s="20" t="s">
        <v>375</v>
      </c>
      <c r="B77" s="21" t="str">
        <f>'Lambda-Resistor (All)'!A35</f>
        <v>Open</v>
      </c>
      <c r="C77" s="22">
        <f>'Lambda-Resistor (All)'!B$32</f>
        <v>4.1612004167966296E-9</v>
      </c>
      <c r="D77" s="23">
        <f>'Lambda-Resistor (All)'!C35</f>
        <v>0.59</v>
      </c>
      <c r="E77" s="20">
        <f>'Lambda-Resistor (All)'!D35</f>
        <v>2.4551082459100113E-9</v>
      </c>
      <c r="F77" s="21" t="s">
        <v>517</v>
      </c>
      <c r="G77" s="21" t="s">
        <v>491</v>
      </c>
      <c r="H77" s="20" t="s">
        <v>43</v>
      </c>
      <c r="I77" s="20" t="s">
        <v>408</v>
      </c>
      <c r="J77" s="20" t="s">
        <v>590</v>
      </c>
      <c r="K77" s="20" t="s">
        <v>729</v>
      </c>
      <c r="L77" s="20" t="s">
        <v>729</v>
      </c>
      <c r="M77" s="20">
        <v>0</v>
      </c>
      <c r="N77" s="20">
        <v>0</v>
      </c>
      <c r="O77" s="20">
        <v>0</v>
      </c>
      <c r="P77" s="20">
        <v>0</v>
      </c>
      <c r="Q77" s="20">
        <v>0</v>
      </c>
      <c r="R77" s="20">
        <v>0</v>
      </c>
      <c r="S77" s="20">
        <f t="shared" si="57"/>
        <v>0</v>
      </c>
      <c r="T77" s="20">
        <f t="shared" si="58"/>
        <v>0</v>
      </c>
      <c r="U77" s="20">
        <f t="shared" si="59"/>
        <v>0</v>
      </c>
      <c r="V77" s="20">
        <f t="shared" si="60"/>
        <v>0</v>
      </c>
      <c r="W77" s="20">
        <f t="shared" si="61"/>
        <v>0</v>
      </c>
      <c r="X77" s="20">
        <f t="shared" si="62"/>
        <v>0</v>
      </c>
      <c r="Y77" s="20" t="s">
        <v>413</v>
      </c>
      <c r="Z77" s="25">
        <v>0</v>
      </c>
      <c r="AA77" s="25">
        <v>0</v>
      </c>
      <c r="AB77" s="25" t="s">
        <v>413</v>
      </c>
      <c r="AC77" s="20" t="s">
        <v>736</v>
      </c>
    </row>
    <row r="78" spans="1:29" ht="63.75">
      <c r="A78" s="20" t="s">
        <v>375</v>
      </c>
      <c r="B78" s="24" t="str">
        <f>'Lambda-Resistor (All)'!A36</f>
        <v>Short-Circuit</v>
      </c>
      <c r="C78" s="22">
        <f>'Lambda-Resistor (All)'!B$32</f>
        <v>4.1612004167966296E-9</v>
      </c>
      <c r="D78" s="23">
        <f>'Lambda-Resistor (All)'!C36</f>
        <v>0.05</v>
      </c>
      <c r="E78" s="20">
        <f>'Lambda-Resistor (All)'!D36</f>
        <v>2.080600208398315E-10</v>
      </c>
      <c r="F78" s="21" t="s">
        <v>518</v>
      </c>
      <c r="G78" s="21" t="s">
        <v>533</v>
      </c>
      <c r="H78" s="20" t="s">
        <v>43</v>
      </c>
      <c r="I78" s="20" t="s">
        <v>408</v>
      </c>
      <c r="J78" s="20" t="s">
        <v>592</v>
      </c>
      <c r="K78" s="20" t="s">
        <v>728</v>
      </c>
      <c r="L78" s="20" t="s">
        <v>729</v>
      </c>
      <c r="M78" s="20">
        <v>3.2724899999999999</v>
      </c>
      <c r="N78" s="20">
        <v>3.2719999999999998</v>
      </c>
      <c r="O78" s="20">
        <v>3.2749999999999999</v>
      </c>
      <c r="P78" s="20">
        <v>4.3130000000000002E-2</v>
      </c>
      <c r="Q78" s="20">
        <v>4.095E-2</v>
      </c>
      <c r="R78" s="20">
        <v>4.53E-2</v>
      </c>
      <c r="S78" s="25">
        <f t="shared" si="57"/>
        <v>4092</v>
      </c>
      <c r="T78" s="25">
        <f t="shared" si="58"/>
        <v>4091</v>
      </c>
      <c r="U78" s="25">
        <f t="shared" si="59"/>
        <v>4095</v>
      </c>
      <c r="V78" s="25">
        <f t="shared" si="60"/>
        <v>54</v>
      </c>
      <c r="W78" s="25">
        <f t="shared" si="61"/>
        <v>51</v>
      </c>
      <c r="X78" s="25">
        <f t="shared" si="62"/>
        <v>57</v>
      </c>
      <c r="Y78" s="25" t="s">
        <v>425</v>
      </c>
      <c r="Z78" s="25">
        <v>1</v>
      </c>
      <c r="AA78" s="25">
        <v>1</v>
      </c>
      <c r="AB78" s="25" t="s">
        <v>414</v>
      </c>
      <c r="AC78" s="20" t="s">
        <v>736</v>
      </c>
    </row>
    <row r="79" spans="1:29" ht="38.25">
      <c r="A79" s="20" t="s">
        <v>375</v>
      </c>
      <c r="B79" s="24" t="str">
        <f>'Lambda-Resistor (All)'!A37</f>
        <v>Increase of Resistance Value</v>
      </c>
      <c r="C79" s="22">
        <f>'Lambda-Resistor (All)'!B$32</f>
        <v>4.1612004167966296E-9</v>
      </c>
      <c r="D79" s="23">
        <f>'Lambda-Resistor (All)'!C37</f>
        <v>0.18</v>
      </c>
      <c r="E79" s="20">
        <f>'Lambda-Resistor (All)'!D37</f>
        <v>7.4901607502339334E-10</v>
      </c>
      <c r="F79" s="21" t="s">
        <v>380</v>
      </c>
      <c r="G79" s="21" t="s">
        <v>380</v>
      </c>
      <c r="H79" s="20" t="s">
        <v>43</v>
      </c>
      <c r="I79" s="20" t="s">
        <v>408</v>
      </c>
      <c r="J79" s="20" t="s">
        <v>590</v>
      </c>
      <c r="K79" s="20" t="s">
        <v>729</v>
      </c>
      <c r="L79" s="20" t="s">
        <v>729</v>
      </c>
      <c r="M79" s="20">
        <v>0</v>
      </c>
      <c r="N79" s="20">
        <v>0</v>
      </c>
      <c r="O79" s="20">
        <v>0</v>
      </c>
      <c r="P79" s="20">
        <v>0</v>
      </c>
      <c r="Q79" s="20">
        <v>0</v>
      </c>
      <c r="R79" s="20">
        <v>0</v>
      </c>
      <c r="S79" s="20">
        <f t="shared" si="57"/>
        <v>0</v>
      </c>
      <c r="T79" s="20">
        <f t="shared" si="58"/>
        <v>0</v>
      </c>
      <c r="U79" s="20">
        <f t="shared" si="59"/>
        <v>0</v>
      </c>
      <c r="V79" s="20">
        <f t="shared" si="60"/>
        <v>0</v>
      </c>
      <c r="W79" s="20">
        <f t="shared" si="61"/>
        <v>0</v>
      </c>
      <c r="X79" s="20">
        <f t="shared" si="62"/>
        <v>0</v>
      </c>
      <c r="Y79" s="20" t="s">
        <v>413</v>
      </c>
      <c r="Z79" s="25">
        <v>0</v>
      </c>
      <c r="AA79" s="25">
        <v>0</v>
      </c>
      <c r="AB79" s="25" t="s">
        <v>413</v>
      </c>
      <c r="AC79" s="20" t="s">
        <v>736</v>
      </c>
    </row>
    <row r="80" spans="1:29" ht="51">
      <c r="A80" s="20" t="s">
        <v>375</v>
      </c>
      <c r="B80" s="24" t="str">
        <f>'Lambda-Resistor (All)'!A38</f>
        <v>Decrease of Resistance Value</v>
      </c>
      <c r="C80" s="22">
        <f>'Lambda-Resistor (All)'!B$32</f>
        <v>4.1612004167966296E-9</v>
      </c>
      <c r="D80" s="23">
        <f>'Lambda-Resistor (All)'!C38</f>
        <v>0.18</v>
      </c>
      <c r="E80" s="20">
        <f>'Lambda-Resistor (All)'!D38</f>
        <v>7.4901607502339334E-10</v>
      </c>
      <c r="F80" s="21" t="s">
        <v>381</v>
      </c>
      <c r="G80" s="21" t="s">
        <v>381</v>
      </c>
      <c r="H80" s="20" t="s">
        <v>43</v>
      </c>
      <c r="I80" s="20" t="s">
        <v>408</v>
      </c>
      <c r="J80" s="20" t="s">
        <v>592</v>
      </c>
      <c r="K80" s="20" t="s">
        <v>728</v>
      </c>
      <c r="L80" s="20" t="s">
        <v>729</v>
      </c>
      <c r="M80" s="20">
        <v>3.2724899999999999</v>
      </c>
      <c r="N80" s="20">
        <v>3.2719999999999998</v>
      </c>
      <c r="O80" s="20">
        <v>3.2749999999999999</v>
      </c>
      <c r="P80" s="20">
        <v>4.3130000000000002E-2</v>
      </c>
      <c r="Q80" s="20">
        <v>4.095E-2</v>
      </c>
      <c r="R80" s="20">
        <v>4.53E-2</v>
      </c>
      <c r="S80" s="25">
        <f t="shared" si="57"/>
        <v>4092</v>
      </c>
      <c r="T80" s="25">
        <f t="shared" si="58"/>
        <v>4091</v>
      </c>
      <c r="U80" s="25">
        <f t="shared" si="59"/>
        <v>4095</v>
      </c>
      <c r="V80" s="25">
        <f t="shared" si="60"/>
        <v>54</v>
      </c>
      <c r="W80" s="25">
        <f t="shared" si="61"/>
        <v>51</v>
      </c>
      <c r="X80" s="25">
        <f t="shared" si="62"/>
        <v>57</v>
      </c>
      <c r="Y80" s="25" t="s">
        <v>425</v>
      </c>
      <c r="Z80" s="25">
        <v>1</v>
      </c>
      <c r="AA80" s="25">
        <v>1</v>
      </c>
      <c r="AB80" s="25" t="s">
        <v>414</v>
      </c>
      <c r="AC80" s="20" t="s">
        <v>736</v>
      </c>
    </row>
    <row r="81" spans="1:29" ht="38.25">
      <c r="A81" s="20" t="s">
        <v>375</v>
      </c>
      <c r="B81" s="21" t="str">
        <f>'Lambda-Resistor (All)'!A39</f>
        <v>Short-Circuit to Casing</v>
      </c>
      <c r="C81" s="22">
        <f>'Lambda-Resistor (All)'!B$32</f>
        <v>4.1612004167966296E-9</v>
      </c>
      <c r="D81" s="23">
        <f>'Lambda-Resistor (All)'!C39</f>
        <v>0</v>
      </c>
      <c r="E81" s="20">
        <f>'Lambda-Resistor (All)'!D39</f>
        <v>0</v>
      </c>
      <c r="F81" s="21" t="s">
        <v>382</v>
      </c>
      <c r="G81" s="26" t="s">
        <v>382</v>
      </c>
      <c r="H81" s="20" t="s">
        <v>43</v>
      </c>
      <c r="I81" s="20" t="s">
        <v>409</v>
      </c>
      <c r="J81" s="20" t="s">
        <v>409</v>
      </c>
      <c r="K81" s="20" t="s">
        <v>730</v>
      </c>
      <c r="L81" s="20" t="s">
        <v>730</v>
      </c>
      <c r="M81" s="20">
        <v>3.2724899999999999</v>
      </c>
      <c r="N81" s="20">
        <v>3.2719999999999998</v>
      </c>
      <c r="O81" s="20">
        <v>3.2749999999999999</v>
      </c>
      <c r="P81" s="20">
        <v>4.3130000000000002E-2</v>
      </c>
      <c r="Q81" s="20">
        <v>4.095E-2</v>
      </c>
      <c r="R81" s="20">
        <v>4.53E-2</v>
      </c>
      <c r="S81" s="20">
        <f t="shared" si="57"/>
        <v>4092</v>
      </c>
      <c r="T81" s="20">
        <f t="shared" si="58"/>
        <v>4091</v>
      </c>
      <c r="U81" s="20">
        <f t="shared" si="59"/>
        <v>4095</v>
      </c>
      <c r="V81" s="20">
        <f t="shared" si="60"/>
        <v>54</v>
      </c>
      <c r="W81" s="20">
        <f t="shared" si="61"/>
        <v>51</v>
      </c>
      <c r="X81" s="20">
        <f t="shared" si="62"/>
        <v>57</v>
      </c>
      <c r="Y81" s="20" t="s">
        <v>417</v>
      </c>
      <c r="Z81" s="25">
        <v>0</v>
      </c>
      <c r="AA81" s="25">
        <v>1</v>
      </c>
      <c r="AB81" s="25" t="s">
        <v>417</v>
      </c>
      <c r="AC81" s="20" t="s">
        <v>736</v>
      </c>
    </row>
    <row r="82" spans="1:29" ht="51">
      <c r="A82" s="20" t="s">
        <v>348</v>
      </c>
      <c r="B82" s="21" t="str">
        <f>'Lambda-Optocoupler (All)'!A31</f>
        <v>Open diode</v>
      </c>
      <c r="C82" s="22">
        <f>'Lambda-Optocoupler (All)'!B$28</f>
        <v>8.4558640964896021E-8</v>
      </c>
      <c r="D82" s="23">
        <f>'Lambda-Optocoupler (All)'!C31</f>
        <v>8.3333329999999997E-2</v>
      </c>
      <c r="E82" s="20">
        <f>'Lambda-Optocoupler (All)'!D31</f>
        <v>7.0465531318791983E-9</v>
      </c>
      <c r="F82" s="21" t="s">
        <v>525</v>
      </c>
      <c r="G82" s="21" t="s">
        <v>534</v>
      </c>
      <c r="H82" s="20" t="s">
        <v>43</v>
      </c>
      <c r="I82" s="20" t="s">
        <v>408</v>
      </c>
      <c r="J82" s="20" t="s">
        <v>590</v>
      </c>
      <c r="K82" s="20" t="s">
        <v>729</v>
      </c>
      <c r="L82" s="20" t="s">
        <v>729</v>
      </c>
      <c r="M82" s="20">
        <v>0</v>
      </c>
      <c r="N82" s="20">
        <v>0</v>
      </c>
      <c r="O82" s="20">
        <v>0</v>
      </c>
      <c r="P82" s="20">
        <v>0</v>
      </c>
      <c r="Q82" s="20">
        <v>0</v>
      </c>
      <c r="R82" s="20">
        <v>0</v>
      </c>
      <c r="S82" s="20">
        <f t="shared" ref="S82:X86" si="63">ROUND(((M82-MIN($M$3:$R$212))/(MAX($M$3:$R$212)-MIN($M$3:$R$212)))*((2^12)-1), 0)</f>
        <v>0</v>
      </c>
      <c r="T82" s="20">
        <f t="shared" si="63"/>
        <v>0</v>
      </c>
      <c r="U82" s="20">
        <f t="shared" si="63"/>
        <v>0</v>
      </c>
      <c r="V82" s="20">
        <f t="shared" si="63"/>
        <v>0</v>
      </c>
      <c r="W82" s="20">
        <f t="shared" si="63"/>
        <v>0</v>
      </c>
      <c r="X82" s="20">
        <f t="shared" si="63"/>
        <v>0</v>
      </c>
      <c r="Y82" s="20" t="s">
        <v>413</v>
      </c>
      <c r="Z82" s="25">
        <v>0</v>
      </c>
      <c r="AA82" s="25">
        <v>0</v>
      </c>
      <c r="AB82" s="25" t="s">
        <v>413</v>
      </c>
      <c r="AC82" s="20" t="s">
        <v>736</v>
      </c>
    </row>
    <row r="83" spans="1:29" ht="38.25">
      <c r="A83" s="20" t="s">
        <v>348</v>
      </c>
      <c r="B83" s="21" t="str">
        <f>'Lambda-Optocoupler (All)'!A32</f>
        <v>Open emitter</v>
      </c>
      <c r="C83" s="22">
        <f>'Lambda-Optocoupler (All)'!B$28</f>
        <v>8.4558640964896021E-8</v>
      </c>
      <c r="D83" s="23">
        <f>'Lambda-Optocoupler (All)'!C32</f>
        <v>8.3333329999999997E-2</v>
      </c>
      <c r="E83" s="20">
        <f>'Lambda-Optocoupler (All)'!D32</f>
        <v>7.0465531318791983E-9</v>
      </c>
      <c r="F83" s="21" t="s">
        <v>517</v>
      </c>
      <c r="G83" s="21" t="s">
        <v>526</v>
      </c>
      <c r="H83" s="20" t="s">
        <v>43</v>
      </c>
      <c r="I83" s="20" t="s">
        <v>408</v>
      </c>
      <c r="J83" s="20" t="s">
        <v>590</v>
      </c>
      <c r="K83" s="20" t="s">
        <v>729</v>
      </c>
      <c r="L83" s="20" t="s">
        <v>729</v>
      </c>
      <c r="M83" s="20">
        <v>0</v>
      </c>
      <c r="N83" s="20">
        <v>0</v>
      </c>
      <c r="O83" s="20">
        <v>0</v>
      </c>
      <c r="P83" s="20">
        <v>0</v>
      </c>
      <c r="Q83" s="20">
        <v>0</v>
      </c>
      <c r="R83" s="20">
        <v>0</v>
      </c>
      <c r="S83" s="20">
        <f t="shared" si="63"/>
        <v>0</v>
      </c>
      <c r="T83" s="20">
        <f t="shared" si="63"/>
        <v>0</v>
      </c>
      <c r="U83" s="20">
        <f t="shared" si="63"/>
        <v>0</v>
      </c>
      <c r="V83" s="20">
        <f t="shared" si="63"/>
        <v>0</v>
      </c>
      <c r="W83" s="20">
        <f t="shared" si="63"/>
        <v>0</v>
      </c>
      <c r="X83" s="20">
        <f t="shared" si="63"/>
        <v>0</v>
      </c>
      <c r="Y83" s="20" t="s">
        <v>413</v>
      </c>
      <c r="Z83" s="25">
        <v>0</v>
      </c>
      <c r="AA83" s="25">
        <v>0</v>
      </c>
      <c r="AB83" s="25" t="s">
        <v>413</v>
      </c>
      <c r="AC83" s="20" t="s">
        <v>736</v>
      </c>
    </row>
    <row r="84" spans="1:29" ht="38.25">
      <c r="A84" s="20" t="s">
        <v>348</v>
      </c>
      <c r="B84" s="21" t="str">
        <f>'Lambda-Optocoupler (All)'!A33</f>
        <v>Open collector</v>
      </c>
      <c r="C84" s="22">
        <f>'Lambda-Optocoupler (All)'!B$28</f>
        <v>8.4558640964896021E-8</v>
      </c>
      <c r="D84" s="23">
        <f>'Lambda-Optocoupler (All)'!C33</f>
        <v>8.3333329999999997E-2</v>
      </c>
      <c r="E84" s="20">
        <f>'Lambda-Optocoupler (All)'!D33</f>
        <v>7.0465531318791983E-9</v>
      </c>
      <c r="F84" s="21" t="s">
        <v>517</v>
      </c>
      <c r="G84" s="21" t="s">
        <v>526</v>
      </c>
      <c r="H84" s="20" t="s">
        <v>43</v>
      </c>
      <c r="I84" s="20" t="s">
        <v>408</v>
      </c>
      <c r="J84" s="20" t="s">
        <v>590</v>
      </c>
      <c r="K84" s="20" t="s">
        <v>729</v>
      </c>
      <c r="L84" s="20" t="s">
        <v>729</v>
      </c>
      <c r="M84" s="20">
        <v>0</v>
      </c>
      <c r="N84" s="20">
        <v>0</v>
      </c>
      <c r="O84" s="20">
        <v>0</v>
      </c>
      <c r="P84" s="20">
        <v>0</v>
      </c>
      <c r="Q84" s="20">
        <v>0</v>
      </c>
      <c r="R84" s="20">
        <v>0</v>
      </c>
      <c r="S84" s="20">
        <f t="shared" si="63"/>
        <v>0</v>
      </c>
      <c r="T84" s="20">
        <f t="shared" si="63"/>
        <v>0</v>
      </c>
      <c r="U84" s="20">
        <f t="shared" si="63"/>
        <v>0</v>
      </c>
      <c r="V84" s="20">
        <f t="shared" si="63"/>
        <v>0</v>
      </c>
      <c r="W84" s="20">
        <f t="shared" si="63"/>
        <v>0</v>
      </c>
      <c r="X84" s="20">
        <f t="shared" si="63"/>
        <v>0</v>
      </c>
      <c r="Y84" s="20" t="s">
        <v>413</v>
      </c>
      <c r="Z84" s="25">
        <v>0</v>
      </c>
      <c r="AA84" s="25">
        <v>0</v>
      </c>
      <c r="AB84" s="25" t="s">
        <v>413</v>
      </c>
      <c r="AC84" s="20" t="s">
        <v>736</v>
      </c>
    </row>
    <row r="85" spans="1:29" ht="38.25">
      <c r="A85" s="20" t="s">
        <v>348</v>
      </c>
      <c r="B85" s="21" t="str">
        <f>'Lambda-Optocoupler (All)'!A34</f>
        <v>Open base</v>
      </c>
      <c r="C85" s="22">
        <f>'Lambda-Optocoupler (All)'!B$28</f>
        <v>8.4558640964896021E-8</v>
      </c>
      <c r="D85" s="23">
        <f>'Lambda-Optocoupler (All)'!C34</f>
        <v>8.3333329999999997E-2</v>
      </c>
      <c r="E85" s="20">
        <f>'Lambda-Optocoupler (All)'!D34</f>
        <v>7.0465531318791983E-9</v>
      </c>
      <c r="F85" s="21" t="s">
        <v>500</v>
      </c>
      <c r="G85" s="21" t="s">
        <v>500</v>
      </c>
      <c r="H85" s="20" t="s">
        <v>43</v>
      </c>
      <c r="I85" s="20" t="s">
        <v>409</v>
      </c>
      <c r="J85" s="20" t="s">
        <v>409</v>
      </c>
      <c r="K85" s="20" t="s">
        <v>730</v>
      </c>
      <c r="L85" s="20" t="s">
        <v>730</v>
      </c>
      <c r="M85" s="20">
        <v>3.2724899999999999</v>
      </c>
      <c r="N85" s="20">
        <v>3.2719999999999998</v>
      </c>
      <c r="O85" s="20">
        <v>3.2749999999999999</v>
      </c>
      <c r="P85" s="20">
        <v>4.3130000000000002E-2</v>
      </c>
      <c r="Q85" s="20">
        <v>4.095E-2</v>
      </c>
      <c r="R85" s="20">
        <v>4.53E-2</v>
      </c>
      <c r="S85" s="20">
        <f t="shared" si="63"/>
        <v>4092</v>
      </c>
      <c r="T85" s="20">
        <f t="shared" si="63"/>
        <v>4091</v>
      </c>
      <c r="U85" s="20">
        <f t="shared" si="63"/>
        <v>4095</v>
      </c>
      <c r="V85" s="20">
        <f t="shared" si="63"/>
        <v>54</v>
      </c>
      <c r="W85" s="20">
        <f t="shared" si="63"/>
        <v>51</v>
      </c>
      <c r="X85" s="20">
        <f t="shared" si="63"/>
        <v>57</v>
      </c>
      <c r="Y85" s="20" t="s">
        <v>417</v>
      </c>
      <c r="Z85" s="25">
        <v>0</v>
      </c>
      <c r="AA85" s="25">
        <v>1</v>
      </c>
      <c r="AB85" s="25" t="s">
        <v>417</v>
      </c>
      <c r="AC85" s="20" t="s">
        <v>736</v>
      </c>
    </row>
    <row r="86" spans="1:29" ht="38.25">
      <c r="A86" s="20" t="s">
        <v>348</v>
      </c>
      <c r="B86" s="24" t="str">
        <f>'Lambda-Optocoupler (All)'!A35</f>
        <v>Increase of light sensitivity</v>
      </c>
      <c r="C86" s="22">
        <f>'Lambda-Optocoupler (All)'!B$28</f>
        <v>8.4558640964896021E-8</v>
      </c>
      <c r="D86" s="23">
        <f>'Lambda-Optocoupler (All)'!C35</f>
        <v>8.3333329999999997E-2</v>
      </c>
      <c r="E86" s="20">
        <f>'Lambda-Optocoupler (All)'!D35</f>
        <v>7.0465531318791983E-9</v>
      </c>
      <c r="F86" s="21" t="s">
        <v>662</v>
      </c>
      <c r="G86" s="21" t="s">
        <v>480</v>
      </c>
      <c r="H86" s="20" t="s">
        <v>43</v>
      </c>
      <c r="I86" s="20" t="s">
        <v>409</v>
      </c>
      <c r="J86" s="20" t="s">
        <v>409</v>
      </c>
      <c r="K86" s="20" t="s">
        <v>730</v>
      </c>
      <c r="L86" s="20" t="s">
        <v>730</v>
      </c>
      <c r="M86" s="20">
        <v>3.2724899999999999</v>
      </c>
      <c r="N86" s="20">
        <v>3.2719999999999998</v>
      </c>
      <c r="O86" s="20">
        <v>3.2749999999999999</v>
      </c>
      <c r="P86" s="20">
        <v>4.3130000000000002E-2</v>
      </c>
      <c r="Q86" s="20">
        <v>4.095E-2</v>
      </c>
      <c r="R86" s="20">
        <v>4.53E-2</v>
      </c>
      <c r="S86" s="20">
        <f t="shared" si="63"/>
        <v>4092</v>
      </c>
      <c r="T86" s="20">
        <f t="shared" si="63"/>
        <v>4091</v>
      </c>
      <c r="U86" s="20">
        <f t="shared" si="63"/>
        <v>4095</v>
      </c>
      <c r="V86" s="20">
        <f t="shared" si="63"/>
        <v>54</v>
      </c>
      <c r="W86" s="20">
        <f t="shared" si="63"/>
        <v>51</v>
      </c>
      <c r="X86" s="20">
        <f t="shared" si="63"/>
        <v>57</v>
      </c>
      <c r="Y86" s="20" t="s">
        <v>417</v>
      </c>
      <c r="Z86" s="25">
        <v>0</v>
      </c>
      <c r="AA86" s="25">
        <v>1</v>
      </c>
      <c r="AB86" s="25" t="s">
        <v>417</v>
      </c>
      <c r="AC86" s="20" t="s">
        <v>736</v>
      </c>
    </row>
    <row r="87" spans="1:29" ht="38.25">
      <c r="A87" s="20" t="s">
        <v>348</v>
      </c>
      <c r="B87" s="24" t="str">
        <f>'Lambda-Optocoupler (All)'!A36</f>
        <v>Decrease of light sensitivity</v>
      </c>
      <c r="C87" s="22">
        <f>'Lambda-Optocoupler (All)'!B$28</f>
        <v>8.4558640964896021E-8</v>
      </c>
      <c r="D87" s="23">
        <f>'Lambda-Optocoupler (All)'!C36</f>
        <v>8.3333329999999997E-2</v>
      </c>
      <c r="E87" s="20">
        <f>'Lambda-Optocoupler (All)'!D36</f>
        <v>7.0465531318791983E-9</v>
      </c>
      <c r="F87" s="21" t="s">
        <v>481</v>
      </c>
      <c r="G87" s="21" t="s">
        <v>481</v>
      </c>
      <c r="H87" s="20" t="s">
        <v>43</v>
      </c>
      <c r="I87" s="20" t="s">
        <v>408</v>
      </c>
      <c r="J87" s="20" t="s">
        <v>590</v>
      </c>
      <c r="K87" s="20" t="s">
        <v>729</v>
      </c>
      <c r="L87" s="20" t="s">
        <v>729</v>
      </c>
      <c r="M87" s="20">
        <v>0</v>
      </c>
      <c r="N87" s="20">
        <v>0</v>
      </c>
      <c r="O87" s="20">
        <v>0</v>
      </c>
      <c r="P87" s="20">
        <v>0</v>
      </c>
      <c r="Q87" s="20">
        <v>0</v>
      </c>
      <c r="R87" s="20">
        <v>0</v>
      </c>
      <c r="S87" s="20">
        <f t="shared" ref="S87:X91" si="64">ROUND(((M87-MIN($M$3:$R$212))/(MAX($M$3:$R$212)-MIN($M$3:$R$212)))*((2^12)-1), 0)</f>
        <v>0</v>
      </c>
      <c r="T87" s="20">
        <f t="shared" si="64"/>
        <v>0</v>
      </c>
      <c r="U87" s="20">
        <f t="shared" si="64"/>
        <v>0</v>
      </c>
      <c r="V87" s="20">
        <f t="shared" si="64"/>
        <v>0</v>
      </c>
      <c r="W87" s="20">
        <f t="shared" si="64"/>
        <v>0</v>
      </c>
      <c r="X87" s="20">
        <f t="shared" si="64"/>
        <v>0</v>
      </c>
      <c r="Y87" s="20" t="s">
        <v>413</v>
      </c>
      <c r="Z87" s="25">
        <v>0</v>
      </c>
      <c r="AA87" s="25">
        <v>0</v>
      </c>
      <c r="AB87" s="25" t="s">
        <v>413</v>
      </c>
      <c r="AC87" s="20" t="s">
        <v>736</v>
      </c>
    </row>
    <row r="88" spans="1:29" ht="51">
      <c r="A88" s="20" t="s">
        <v>348</v>
      </c>
      <c r="B88" s="24" t="str">
        <f>'Lambda-Optocoupler (All)'!A37</f>
        <v>Increase of leakage current</v>
      </c>
      <c r="C88" s="22">
        <f>'Lambda-Optocoupler (All)'!B$28</f>
        <v>8.4558640964896021E-8</v>
      </c>
      <c r="D88" s="23">
        <f>'Lambda-Optocoupler (All)'!C37</f>
        <v>0.125</v>
      </c>
      <c r="E88" s="20">
        <f>'Lambda-Optocoupler (All)'!D37</f>
        <v>1.0569830120612003E-8</v>
      </c>
      <c r="F88" s="24" t="s">
        <v>627</v>
      </c>
      <c r="G88" s="21" t="s">
        <v>534</v>
      </c>
      <c r="H88" s="20" t="s">
        <v>43</v>
      </c>
      <c r="I88" s="20" t="s">
        <v>408</v>
      </c>
      <c r="J88" s="20" t="s">
        <v>590</v>
      </c>
      <c r="K88" s="20" t="s">
        <v>729</v>
      </c>
      <c r="L88" s="20" t="s">
        <v>729</v>
      </c>
      <c r="M88" s="20">
        <v>0</v>
      </c>
      <c r="N88" s="20">
        <v>0</v>
      </c>
      <c r="O88" s="20">
        <v>0</v>
      </c>
      <c r="P88" s="20">
        <v>0</v>
      </c>
      <c r="Q88" s="20">
        <v>0</v>
      </c>
      <c r="R88" s="20">
        <v>0</v>
      </c>
      <c r="S88" s="20">
        <f t="shared" si="64"/>
        <v>0</v>
      </c>
      <c r="T88" s="20">
        <f t="shared" si="64"/>
        <v>0</v>
      </c>
      <c r="U88" s="20">
        <f t="shared" si="64"/>
        <v>0</v>
      </c>
      <c r="V88" s="20">
        <f t="shared" si="64"/>
        <v>0</v>
      </c>
      <c r="W88" s="20">
        <f t="shared" si="64"/>
        <v>0</v>
      </c>
      <c r="X88" s="20">
        <f t="shared" si="64"/>
        <v>0</v>
      </c>
      <c r="Y88" s="20" t="s">
        <v>413</v>
      </c>
      <c r="Z88" s="25">
        <v>0</v>
      </c>
      <c r="AA88" s="25">
        <v>0</v>
      </c>
      <c r="AB88" s="25" t="s">
        <v>413</v>
      </c>
      <c r="AC88" s="20" t="s">
        <v>736</v>
      </c>
    </row>
    <row r="89" spans="1:29" ht="63.75">
      <c r="A89" s="20" t="s">
        <v>348</v>
      </c>
      <c r="B89" s="24" t="str">
        <f>'Lambda-Optocoupler (All)'!A38</f>
        <v>Reduced insulation between input and output</v>
      </c>
      <c r="C89" s="22">
        <f>'Lambda-Optocoupler (All)'!B$28</f>
        <v>8.4558640964896021E-8</v>
      </c>
      <c r="D89" s="23">
        <f>'Lambda-Optocoupler (All)'!C38</f>
        <v>0.125</v>
      </c>
      <c r="E89" s="20">
        <f>'Lambda-Optocoupler (All)'!D38</f>
        <v>1.0569830120612003E-8</v>
      </c>
      <c r="F89" s="21" t="s">
        <v>527</v>
      </c>
      <c r="G89" s="21" t="s">
        <v>528</v>
      </c>
      <c r="H89" s="20" t="s">
        <v>43</v>
      </c>
      <c r="I89" s="20" t="s">
        <v>408</v>
      </c>
      <c r="J89" s="20" t="s">
        <v>592</v>
      </c>
      <c r="K89" s="20" t="s">
        <v>728</v>
      </c>
      <c r="L89" s="20" t="s">
        <v>729</v>
      </c>
      <c r="M89" s="20">
        <v>3.2724899999999999</v>
      </c>
      <c r="N89" s="20">
        <v>3.2719999999999998</v>
      </c>
      <c r="O89" s="20">
        <v>3.2749999999999999</v>
      </c>
      <c r="P89" s="20">
        <v>4.3130000000000002E-2</v>
      </c>
      <c r="Q89" s="20">
        <v>4.095E-2</v>
      </c>
      <c r="R89" s="20">
        <v>4.53E-2</v>
      </c>
      <c r="S89" s="25">
        <f t="shared" si="64"/>
        <v>4092</v>
      </c>
      <c r="T89" s="25">
        <f t="shared" si="64"/>
        <v>4091</v>
      </c>
      <c r="U89" s="25">
        <f t="shared" si="64"/>
        <v>4095</v>
      </c>
      <c r="V89" s="25">
        <f t="shared" si="64"/>
        <v>54</v>
      </c>
      <c r="W89" s="25">
        <f t="shared" si="64"/>
        <v>51</v>
      </c>
      <c r="X89" s="25">
        <f t="shared" si="64"/>
        <v>57</v>
      </c>
      <c r="Y89" s="25" t="s">
        <v>425</v>
      </c>
      <c r="Z89" s="25">
        <v>0</v>
      </c>
      <c r="AA89" s="25">
        <v>0</v>
      </c>
      <c r="AB89" s="25" t="s">
        <v>413</v>
      </c>
      <c r="AC89" s="20" t="s">
        <v>736</v>
      </c>
    </row>
    <row r="90" spans="1:29" ht="140.25">
      <c r="A90" s="20" t="s">
        <v>348</v>
      </c>
      <c r="B90" s="24" t="str">
        <f>'Lambda-Optocoupler (All)'!A39</f>
        <v>Change on switching time</v>
      </c>
      <c r="C90" s="22">
        <f>'Lambda-Optocoupler (All)'!B$28</f>
        <v>8.4558640964896021E-8</v>
      </c>
      <c r="D90" s="23">
        <f>'Lambda-Optocoupler (All)'!C39</f>
        <v>8.3333329999999997E-2</v>
      </c>
      <c r="E90" s="20">
        <f>'Lambda-Optocoupler (All)'!D39</f>
        <v>7.0465531318791983E-9</v>
      </c>
      <c r="F90" s="21" t="s">
        <v>529</v>
      </c>
      <c r="G90" s="26" t="s">
        <v>724</v>
      </c>
      <c r="H90" s="20" t="s">
        <v>43</v>
      </c>
      <c r="I90" s="20" t="s">
        <v>45</v>
      </c>
      <c r="J90" s="20" t="s">
        <v>588</v>
      </c>
      <c r="K90" s="20" t="s">
        <v>728</v>
      </c>
      <c r="L90" s="20" t="s">
        <v>728</v>
      </c>
      <c r="M90" s="20">
        <v>3.2724899999999999</v>
      </c>
      <c r="N90" s="20">
        <v>3.2719999999999998</v>
      </c>
      <c r="O90" s="20">
        <v>3.2749999999999999</v>
      </c>
      <c r="P90" s="20">
        <v>4.3130000000000002E-2</v>
      </c>
      <c r="Q90" s="20">
        <v>4.095E-2</v>
      </c>
      <c r="R90" s="20">
        <v>4.53E-2</v>
      </c>
      <c r="S90" s="25">
        <f t="shared" si="64"/>
        <v>4092</v>
      </c>
      <c r="T90" s="25">
        <f t="shared" si="64"/>
        <v>4091</v>
      </c>
      <c r="U90" s="25">
        <f t="shared" si="64"/>
        <v>4095</v>
      </c>
      <c r="V90" s="25">
        <f t="shared" si="64"/>
        <v>54</v>
      </c>
      <c r="W90" s="25">
        <f t="shared" si="64"/>
        <v>51</v>
      </c>
      <c r="X90" s="25">
        <f t="shared" si="64"/>
        <v>57</v>
      </c>
      <c r="Y90" s="25" t="s">
        <v>425</v>
      </c>
      <c r="Z90" s="25">
        <v>1</v>
      </c>
      <c r="AA90" s="25">
        <v>0</v>
      </c>
      <c r="AB90" s="25" t="s">
        <v>484</v>
      </c>
      <c r="AC90" s="20" t="s">
        <v>731</v>
      </c>
    </row>
    <row r="91" spans="1:29" ht="38.25">
      <c r="A91" s="20" t="s">
        <v>348</v>
      </c>
      <c r="B91" s="21" t="str">
        <f>'Lambda-Optocoupler (All)'!A40</f>
        <v>Increase of current gain</v>
      </c>
      <c r="C91" s="22">
        <f>'Lambda-Optocoupler (All)'!B$28</f>
        <v>8.4558640964896021E-8</v>
      </c>
      <c r="D91" s="23">
        <f>'Lambda-Optocoupler (All)'!C40</f>
        <v>8.3333329999999997E-2</v>
      </c>
      <c r="E91" s="20">
        <f>'Lambda-Optocoupler (All)'!D40</f>
        <v>7.0465531318791983E-9</v>
      </c>
      <c r="F91" s="21" t="s">
        <v>663</v>
      </c>
      <c r="G91" s="21" t="s">
        <v>480</v>
      </c>
      <c r="H91" s="20" t="s">
        <v>43</v>
      </c>
      <c r="I91" s="20" t="s">
        <v>409</v>
      </c>
      <c r="J91" s="20" t="s">
        <v>409</v>
      </c>
      <c r="K91" s="20" t="s">
        <v>730</v>
      </c>
      <c r="L91" s="20" t="s">
        <v>730</v>
      </c>
      <c r="M91" s="20">
        <v>3.2724899999999999</v>
      </c>
      <c r="N91" s="20">
        <v>3.2719999999999998</v>
      </c>
      <c r="O91" s="20">
        <v>3.2749999999999999</v>
      </c>
      <c r="P91" s="20">
        <v>4.3130000000000002E-2</v>
      </c>
      <c r="Q91" s="20">
        <v>4.095E-2</v>
      </c>
      <c r="R91" s="20">
        <v>4.53E-2</v>
      </c>
      <c r="S91" s="20">
        <f t="shared" si="64"/>
        <v>4092</v>
      </c>
      <c r="T91" s="20">
        <f t="shared" si="64"/>
        <v>4091</v>
      </c>
      <c r="U91" s="20">
        <f t="shared" si="64"/>
        <v>4095</v>
      </c>
      <c r="V91" s="20">
        <f t="shared" si="64"/>
        <v>54</v>
      </c>
      <c r="W91" s="20">
        <f t="shared" si="64"/>
        <v>51</v>
      </c>
      <c r="X91" s="20">
        <f t="shared" si="64"/>
        <v>57</v>
      </c>
      <c r="Y91" s="20" t="s">
        <v>417</v>
      </c>
      <c r="Z91" s="25">
        <v>0</v>
      </c>
      <c r="AA91" s="25">
        <v>1</v>
      </c>
      <c r="AB91" s="25" t="s">
        <v>417</v>
      </c>
      <c r="AC91" s="20" t="s">
        <v>736</v>
      </c>
    </row>
    <row r="92" spans="1:29" ht="76.5">
      <c r="A92" s="20" t="s">
        <v>348</v>
      </c>
      <c r="B92" s="24" t="str">
        <f>'Lambda-Optocoupler (All)'!A41</f>
        <v>Decrease of current gain</v>
      </c>
      <c r="C92" s="22">
        <f>'Lambda-Optocoupler (All)'!B$28</f>
        <v>8.4558640964896021E-8</v>
      </c>
      <c r="D92" s="23">
        <f>'Lambda-Optocoupler (All)'!C41</f>
        <v>8.3333329999999997E-2</v>
      </c>
      <c r="E92" s="20">
        <f>'Lambda-Optocoupler (All)'!D41</f>
        <v>7.0465531318791983E-9</v>
      </c>
      <c r="F92" s="21" t="s">
        <v>503</v>
      </c>
      <c r="G92" s="21" t="s">
        <v>535</v>
      </c>
      <c r="H92" s="20" t="s">
        <v>43</v>
      </c>
      <c r="I92" s="20" t="s">
        <v>408</v>
      </c>
      <c r="J92" s="25" t="s">
        <v>521</v>
      </c>
      <c r="K92" s="25" t="s">
        <v>726</v>
      </c>
      <c r="L92" s="20" t="s">
        <v>728</v>
      </c>
      <c r="M92" s="20">
        <v>3.1999999999999999E-6</v>
      </c>
      <c r="N92" s="20">
        <v>3.1999999999999999E-6</v>
      </c>
      <c r="O92" s="20">
        <v>3.1999999999999999E-6</v>
      </c>
      <c r="P92" s="20">
        <v>3.1999999999999999E-6</v>
      </c>
      <c r="Q92" s="20">
        <v>3.1999999999999999E-6</v>
      </c>
      <c r="R92" s="20">
        <v>3.1999999999999999E-6</v>
      </c>
      <c r="S92" s="20">
        <f t="shared" ref="S92:S101" si="65">ROUND(((M92-MIN($M$3:$R$212))/(MAX($M$3:$R$212)-MIN($M$3:$R$212)))*((2^12)-1), 0)</f>
        <v>0</v>
      </c>
      <c r="T92" s="20">
        <f t="shared" ref="T92:T101" si="66">ROUND(((N92-MIN($M$3:$R$212))/(MAX($M$3:$R$212)-MIN($M$3:$R$212)))*((2^12)-1), 0)</f>
        <v>0</v>
      </c>
      <c r="U92" s="20">
        <f t="shared" ref="U92:U101" si="67">ROUND(((O92-MIN($M$3:$R$212))/(MAX($M$3:$R$212)-MIN($M$3:$R$212)))*((2^12)-1), 0)</f>
        <v>0</v>
      </c>
      <c r="V92" s="20">
        <f t="shared" ref="V92:V101" si="68">ROUND(((P92-MIN($M$3:$R$212))/(MAX($M$3:$R$212)-MIN($M$3:$R$212)))*((2^12)-1), 0)</f>
        <v>0</v>
      </c>
      <c r="W92" s="20">
        <f t="shared" ref="W92:W101" si="69">ROUND(((Q92-MIN($M$3:$R$212))/(MAX($M$3:$R$212)-MIN($M$3:$R$212)))*((2^12)-1), 0)</f>
        <v>0</v>
      </c>
      <c r="X92" s="20">
        <f t="shared" ref="X92:X101" si="70">ROUND(((R92-MIN($M$3:$R$212))/(MAX($M$3:$R$212)-MIN($M$3:$R$212)))*((2^12)-1), 0)</f>
        <v>0</v>
      </c>
      <c r="Y92" s="20" t="s">
        <v>414</v>
      </c>
      <c r="Z92" s="25">
        <v>0</v>
      </c>
      <c r="AA92" s="25">
        <v>1</v>
      </c>
      <c r="AB92" s="25" t="s">
        <v>470</v>
      </c>
      <c r="AC92" s="20" t="s">
        <v>736</v>
      </c>
    </row>
    <row r="93" spans="1:29" ht="76.5">
      <c r="A93" s="20" t="s">
        <v>372</v>
      </c>
      <c r="B93" s="24" t="str">
        <f>'Lambda-Diode'!A35</f>
        <v>Open</v>
      </c>
      <c r="C93" s="22">
        <f>'Lambda-Diode'!B$32</f>
        <v>2.8907408251299462E-7</v>
      </c>
      <c r="D93" s="23">
        <f>'Lambda-Diode'!C35</f>
        <v>0.28999999999999998</v>
      </c>
      <c r="E93" s="20">
        <f>'Lambda-Diode'!D35</f>
        <v>8.3831483928768434E-8</v>
      </c>
      <c r="F93" s="21" t="s">
        <v>537</v>
      </c>
      <c r="G93" s="21" t="s">
        <v>542</v>
      </c>
      <c r="H93" s="20" t="s">
        <v>43</v>
      </c>
      <c r="I93" s="20" t="s">
        <v>408</v>
      </c>
      <c r="J93" s="20" t="s">
        <v>592</v>
      </c>
      <c r="K93" s="20" t="s">
        <v>728</v>
      </c>
      <c r="L93" s="20" t="s">
        <v>729</v>
      </c>
      <c r="M93" s="20">
        <v>3.2724899999999999</v>
      </c>
      <c r="N93" s="20">
        <v>3.2719999999999998</v>
      </c>
      <c r="O93" s="20">
        <v>3.2749999999999999</v>
      </c>
      <c r="P93" s="20">
        <v>4.3130000000000002E-2</v>
      </c>
      <c r="Q93" s="20">
        <v>4.095E-2</v>
      </c>
      <c r="R93" s="20">
        <v>4.53E-2</v>
      </c>
      <c r="S93" s="25">
        <f t="shared" si="65"/>
        <v>4092</v>
      </c>
      <c r="T93" s="25">
        <f t="shared" si="66"/>
        <v>4091</v>
      </c>
      <c r="U93" s="25">
        <f t="shared" si="67"/>
        <v>4095</v>
      </c>
      <c r="V93" s="25">
        <f t="shared" si="68"/>
        <v>54</v>
      </c>
      <c r="W93" s="25">
        <f t="shared" si="69"/>
        <v>51</v>
      </c>
      <c r="X93" s="25">
        <f t="shared" si="70"/>
        <v>57</v>
      </c>
      <c r="Y93" s="25" t="s">
        <v>425</v>
      </c>
      <c r="Z93" s="25">
        <v>1</v>
      </c>
      <c r="AA93" s="25">
        <v>1</v>
      </c>
      <c r="AB93" s="25" t="s">
        <v>414</v>
      </c>
      <c r="AC93" s="20" t="s">
        <v>736</v>
      </c>
    </row>
    <row r="94" spans="1:29" ht="38.25">
      <c r="A94" s="20" t="s">
        <v>372</v>
      </c>
      <c r="B94" s="24" t="str">
        <f>'Lambda-Diode'!A36</f>
        <v>Short-Circuit</v>
      </c>
      <c r="C94" s="22">
        <f>'Lambda-Diode'!B$32</f>
        <v>2.8907408251299462E-7</v>
      </c>
      <c r="D94" s="23">
        <f>'Lambda-Diode'!C36</f>
        <v>0.51</v>
      </c>
      <c r="E94" s="20">
        <f>'Lambda-Diode'!D36</f>
        <v>1.4742778208162726E-7</v>
      </c>
      <c r="F94" s="21" t="s">
        <v>517</v>
      </c>
      <c r="G94" s="21" t="s">
        <v>491</v>
      </c>
      <c r="H94" s="20" t="s">
        <v>43</v>
      </c>
      <c r="I94" s="20" t="s">
        <v>408</v>
      </c>
      <c r="J94" s="20" t="s">
        <v>590</v>
      </c>
      <c r="K94" s="20" t="s">
        <v>729</v>
      </c>
      <c r="L94" s="20" t="s">
        <v>729</v>
      </c>
      <c r="M94" s="20">
        <v>0</v>
      </c>
      <c r="N94" s="20">
        <v>0</v>
      </c>
      <c r="O94" s="20">
        <v>0</v>
      </c>
      <c r="P94" s="20">
        <v>0</v>
      </c>
      <c r="Q94" s="20">
        <v>0</v>
      </c>
      <c r="R94" s="20">
        <v>0</v>
      </c>
      <c r="S94" s="20">
        <f t="shared" si="65"/>
        <v>0</v>
      </c>
      <c r="T94" s="20">
        <f t="shared" si="66"/>
        <v>0</v>
      </c>
      <c r="U94" s="20">
        <f t="shared" si="67"/>
        <v>0</v>
      </c>
      <c r="V94" s="20">
        <f t="shared" si="68"/>
        <v>0</v>
      </c>
      <c r="W94" s="20">
        <f t="shared" si="69"/>
        <v>0</v>
      </c>
      <c r="X94" s="20">
        <f t="shared" si="70"/>
        <v>0</v>
      </c>
      <c r="Y94" s="20" t="s">
        <v>413</v>
      </c>
      <c r="Z94" s="25">
        <v>0</v>
      </c>
      <c r="AA94" s="25">
        <v>0</v>
      </c>
      <c r="AB94" s="25" t="s">
        <v>413</v>
      </c>
      <c r="AC94" s="20" t="s">
        <v>736</v>
      </c>
    </row>
    <row r="95" spans="1:29" ht="38.25">
      <c r="A95" s="20" t="s">
        <v>372</v>
      </c>
      <c r="B95" s="24" t="str">
        <f>'Lambda-Diode'!A37</f>
        <v>Increase of Reverse Current</v>
      </c>
      <c r="C95" s="22">
        <f>'Lambda-Diode'!B$32</f>
        <v>2.8907408251299462E-7</v>
      </c>
      <c r="D95" s="23">
        <f>'Lambda-Diode'!C37</f>
        <v>3.3333333333333333E-2</v>
      </c>
      <c r="E95" s="20">
        <f>'Lambda-Diode'!D37</f>
        <v>9.6358027504331533E-9</v>
      </c>
      <c r="F95" s="21" t="s">
        <v>381</v>
      </c>
      <c r="G95" s="21" t="s">
        <v>381</v>
      </c>
      <c r="H95" s="20" t="s">
        <v>43</v>
      </c>
      <c r="I95" s="20" t="s">
        <v>408</v>
      </c>
      <c r="J95" s="20" t="s">
        <v>590</v>
      </c>
      <c r="K95" s="20" t="s">
        <v>729</v>
      </c>
      <c r="L95" s="20" t="s">
        <v>729</v>
      </c>
      <c r="M95" s="20">
        <v>0</v>
      </c>
      <c r="N95" s="20">
        <v>0</v>
      </c>
      <c r="O95" s="20">
        <v>0</v>
      </c>
      <c r="P95" s="20">
        <v>0</v>
      </c>
      <c r="Q95" s="20">
        <v>0</v>
      </c>
      <c r="R95" s="20">
        <v>0</v>
      </c>
      <c r="S95" s="20">
        <f t="shared" si="65"/>
        <v>0</v>
      </c>
      <c r="T95" s="20">
        <f t="shared" si="66"/>
        <v>0</v>
      </c>
      <c r="U95" s="20">
        <f t="shared" si="67"/>
        <v>0</v>
      </c>
      <c r="V95" s="20">
        <f t="shared" si="68"/>
        <v>0</v>
      </c>
      <c r="W95" s="20">
        <f t="shared" si="69"/>
        <v>0</v>
      </c>
      <c r="X95" s="20">
        <f t="shared" si="70"/>
        <v>0</v>
      </c>
      <c r="Y95" s="20" t="s">
        <v>413</v>
      </c>
      <c r="Z95" s="25">
        <v>0</v>
      </c>
      <c r="AA95" s="25">
        <v>0</v>
      </c>
      <c r="AB95" s="25" t="s">
        <v>413</v>
      </c>
      <c r="AC95" s="20" t="s">
        <v>736</v>
      </c>
    </row>
    <row r="96" spans="1:29" ht="38.25">
      <c r="A96" s="20" t="s">
        <v>372</v>
      </c>
      <c r="B96" s="24" t="str">
        <f>'Lambda-Diode'!A38</f>
        <v>Decrease of Reverse Breakdown Voltage</v>
      </c>
      <c r="C96" s="22">
        <f>'Lambda-Diode'!B$32</f>
        <v>2.8907408251299462E-7</v>
      </c>
      <c r="D96" s="23">
        <f>'Lambda-Diode'!C38</f>
        <v>3.3333333333333333E-2</v>
      </c>
      <c r="E96" s="20">
        <f>'Lambda-Diode'!D38</f>
        <v>9.6358027504331533E-9</v>
      </c>
      <c r="F96" s="21" t="s">
        <v>381</v>
      </c>
      <c r="G96" s="21" t="s">
        <v>381</v>
      </c>
      <c r="H96" s="20" t="s">
        <v>43</v>
      </c>
      <c r="I96" s="20" t="s">
        <v>408</v>
      </c>
      <c r="J96" s="20" t="s">
        <v>590</v>
      </c>
      <c r="K96" s="20" t="s">
        <v>729</v>
      </c>
      <c r="L96" s="20" t="s">
        <v>729</v>
      </c>
      <c r="M96" s="20">
        <v>0</v>
      </c>
      <c r="N96" s="20">
        <v>0</v>
      </c>
      <c r="O96" s="20">
        <v>0</v>
      </c>
      <c r="P96" s="20">
        <v>0</v>
      </c>
      <c r="Q96" s="20">
        <v>0</v>
      </c>
      <c r="R96" s="20">
        <v>0</v>
      </c>
      <c r="S96" s="20">
        <f t="shared" si="65"/>
        <v>0</v>
      </c>
      <c r="T96" s="20">
        <f t="shared" si="66"/>
        <v>0</v>
      </c>
      <c r="U96" s="20">
        <f t="shared" si="67"/>
        <v>0</v>
      </c>
      <c r="V96" s="20">
        <f t="shared" si="68"/>
        <v>0</v>
      </c>
      <c r="W96" s="20">
        <f t="shared" si="69"/>
        <v>0</v>
      </c>
      <c r="X96" s="20">
        <f t="shared" si="70"/>
        <v>0</v>
      </c>
      <c r="Y96" s="20" t="s">
        <v>413</v>
      </c>
      <c r="Z96" s="25">
        <v>0</v>
      </c>
      <c r="AA96" s="25">
        <v>0</v>
      </c>
      <c r="AB96" s="25" t="s">
        <v>413</v>
      </c>
      <c r="AC96" s="20" t="s">
        <v>736</v>
      </c>
    </row>
    <row r="97" spans="1:29" ht="51">
      <c r="A97" s="20" t="s">
        <v>372</v>
      </c>
      <c r="B97" s="24" t="str">
        <f>'Lambda-Diode'!A39</f>
        <v>Increase of Conducting-State Voltage</v>
      </c>
      <c r="C97" s="22">
        <f>'Lambda-Diode'!B$32</f>
        <v>2.8907408251299462E-7</v>
      </c>
      <c r="D97" s="23">
        <f>'Lambda-Diode'!C39</f>
        <v>3.3333333333333333E-2</v>
      </c>
      <c r="E97" s="20">
        <f>'Lambda-Diode'!D39</f>
        <v>9.6358027504331533E-9</v>
      </c>
      <c r="F97" s="21" t="s">
        <v>380</v>
      </c>
      <c r="G97" s="21" t="s">
        <v>380</v>
      </c>
      <c r="H97" s="20" t="s">
        <v>43</v>
      </c>
      <c r="I97" s="20" t="s">
        <v>408</v>
      </c>
      <c r="J97" s="20" t="s">
        <v>592</v>
      </c>
      <c r="K97" s="20" t="s">
        <v>728</v>
      </c>
      <c r="L97" s="20" t="s">
        <v>729</v>
      </c>
      <c r="M97" s="20">
        <v>3.2724899999999999</v>
      </c>
      <c r="N97" s="20">
        <v>3.2719999999999998</v>
      </c>
      <c r="O97" s="20">
        <v>3.2749999999999999</v>
      </c>
      <c r="P97" s="20">
        <v>4.3130000000000002E-2</v>
      </c>
      <c r="Q97" s="20">
        <v>4.095E-2</v>
      </c>
      <c r="R97" s="20">
        <v>4.53E-2</v>
      </c>
      <c r="S97" s="25">
        <f t="shared" si="65"/>
        <v>4092</v>
      </c>
      <c r="T97" s="25">
        <f t="shared" si="66"/>
        <v>4091</v>
      </c>
      <c r="U97" s="25">
        <f t="shared" si="67"/>
        <v>4095</v>
      </c>
      <c r="V97" s="25">
        <f t="shared" si="68"/>
        <v>54</v>
      </c>
      <c r="W97" s="25">
        <f t="shared" si="69"/>
        <v>51</v>
      </c>
      <c r="X97" s="25">
        <f t="shared" si="70"/>
        <v>57</v>
      </c>
      <c r="Y97" s="25" t="s">
        <v>425</v>
      </c>
      <c r="Z97" s="25">
        <v>1</v>
      </c>
      <c r="AA97" s="25">
        <v>1</v>
      </c>
      <c r="AB97" s="25" t="s">
        <v>414</v>
      </c>
      <c r="AC97" s="20" t="s">
        <v>736</v>
      </c>
    </row>
    <row r="98" spans="1:29" ht="38.25">
      <c r="A98" s="20" t="s">
        <v>372</v>
      </c>
      <c r="B98" s="24" t="str">
        <f>'Lambda-Diode'!A40</f>
        <v>Decrease of Conducting-State Voltage</v>
      </c>
      <c r="C98" s="22">
        <f>'Lambda-Diode'!B$32</f>
        <v>2.8907408251299462E-7</v>
      </c>
      <c r="D98" s="23">
        <f>'Lambda-Diode'!C40</f>
        <v>3.3333333333333333E-2</v>
      </c>
      <c r="E98" s="20">
        <f>'Lambda-Diode'!D40</f>
        <v>9.6358027504331533E-9</v>
      </c>
      <c r="F98" s="21" t="s">
        <v>381</v>
      </c>
      <c r="G98" s="21" t="s">
        <v>381</v>
      </c>
      <c r="H98" s="20" t="s">
        <v>43</v>
      </c>
      <c r="I98" s="20" t="s">
        <v>408</v>
      </c>
      <c r="J98" s="20" t="s">
        <v>590</v>
      </c>
      <c r="K98" s="20" t="s">
        <v>729</v>
      </c>
      <c r="L98" s="20" t="s">
        <v>729</v>
      </c>
      <c r="M98" s="20">
        <v>0</v>
      </c>
      <c r="N98" s="20">
        <v>0</v>
      </c>
      <c r="O98" s="20">
        <v>0</v>
      </c>
      <c r="P98" s="20">
        <v>0</v>
      </c>
      <c r="Q98" s="20">
        <v>0</v>
      </c>
      <c r="R98" s="20">
        <v>0</v>
      </c>
      <c r="S98" s="20">
        <f t="shared" si="65"/>
        <v>0</v>
      </c>
      <c r="T98" s="20">
        <f t="shared" si="66"/>
        <v>0</v>
      </c>
      <c r="U98" s="20">
        <f t="shared" si="67"/>
        <v>0</v>
      </c>
      <c r="V98" s="20">
        <f t="shared" si="68"/>
        <v>0</v>
      </c>
      <c r="W98" s="20">
        <f t="shared" si="69"/>
        <v>0</v>
      </c>
      <c r="X98" s="20">
        <f t="shared" si="70"/>
        <v>0</v>
      </c>
      <c r="Y98" s="20" t="s">
        <v>413</v>
      </c>
      <c r="Z98" s="25">
        <v>0</v>
      </c>
      <c r="AA98" s="25">
        <v>0</v>
      </c>
      <c r="AB98" s="25" t="s">
        <v>413</v>
      </c>
      <c r="AC98" s="20" t="s">
        <v>736</v>
      </c>
    </row>
    <row r="99" spans="1:29" ht="51">
      <c r="A99" s="20" t="s">
        <v>372</v>
      </c>
      <c r="B99" s="24" t="str">
        <f>'Lambda-Diode'!A41</f>
        <v>Increase of Threshold Voltage</v>
      </c>
      <c r="C99" s="22">
        <f>'Lambda-Diode'!B$32</f>
        <v>2.8907408251299462E-7</v>
      </c>
      <c r="D99" s="23">
        <f>'Lambda-Diode'!C41</f>
        <v>3.3333333333333333E-2</v>
      </c>
      <c r="E99" s="20">
        <f>'Lambda-Diode'!D41</f>
        <v>9.6358027504331533E-9</v>
      </c>
      <c r="F99" s="21" t="s">
        <v>380</v>
      </c>
      <c r="G99" s="21" t="s">
        <v>380</v>
      </c>
      <c r="H99" s="20" t="s">
        <v>43</v>
      </c>
      <c r="I99" s="20" t="s">
        <v>408</v>
      </c>
      <c r="J99" s="20" t="s">
        <v>592</v>
      </c>
      <c r="K99" s="20" t="s">
        <v>728</v>
      </c>
      <c r="L99" s="20" t="s">
        <v>729</v>
      </c>
      <c r="M99" s="20">
        <v>3.2724899999999999</v>
      </c>
      <c r="N99" s="20">
        <v>3.2719999999999998</v>
      </c>
      <c r="O99" s="20">
        <v>3.2749999999999999</v>
      </c>
      <c r="P99" s="20">
        <v>4.3130000000000002E-2</v>
      </c>
      <c r="Q99" s="20">
        <v>4.095E-2</v>
      </c>
      <c r="R99" s="20">
        <v>4.53E-2</v>
      </c>
      <c r="S99" s="25">
        <f t="shared" si="65"/>
        <v>4092</v>
      </c>
      <c r="T99" s="25">
        <f t="shared" si="66"/>
        <v>4091</v>
      </c>
      <c r="U99" s="25">
        <f t="shared" si="67"/>
        <v>4095</v>
      </c>
      <c r="V99" s="25">
        <f t="shared" si="68"/>
        <v>54</v>
      </c>
      <c r="W99" s="25">
        <f t="shared" si="69"/>
        <v>51</v>
      </c>
      <c r="X99" s="25">
        <f t="shared" si="70"/>
        <v>57</v>
      </c>
      <c r="Y99" s="25" t="s">
        <v>425</v>
      </c>
      <c r="Z99" s="25">
        <v>1</v>
      </c>
      <c r="AA99" s="25">
        <v>1</v>
      </c>
      <c r="AB99" s="25" t="s">
        <v>414</v>
      </c>
      <c r="AC99" s="20" t="s">
        <v>736</v>
      </c>
    </row>
    <row r="100" spans="1:29" ht="38.25">
      <c r="A100" s="20" t="s">
        <v>372</v>
      </c>
      <c r="B100" s="24" t="str">
        <f>'Lambda-Diode'!A42</f>
        <v>Decrease of Threshold Voltage</v>
      </c>
      <c r="C100" s="22">
        <f>'Lambda-Diode'!B$32</f>
        <v>2.8907408251299462E-7</v>
      </c>
      <c r="D100" s="23">
        <f>'Lambda-Diode'!C42</f>
        <v>3.3333333333333333E-2</v>
      </c>
      <c r="E100" s="20">
        <f>'Lambda-Diode'!D42</f>
        <v>9.6358027504331533E-9</v>
      </c>
      <c r="F100" s="21" t="s">
        <v>381</v>
      </c>
      <c r="G100" s="21" t="s">
        <v>381</v>
      </c>
      <c r="H100" s="20" t="s">
        <v>43</v>
      </c>
      <c r="I100" s="20" t="s">
        <v>408</v>
      </c>
      <c r="J100" s="20" t="s">
        <v>590</v>
      </c>
      <c r="K100" s="20" t="s">
        <v>729</v>
      </c>
      <c r="L100" s="20" t="s">
        <v>729</v>
      </c>
      <c r="M100" s="20">
        <v>0</v>
      </c>
      <c r="N100" s="20">
        <v>0</v>
      </c>
      <c r="O100" s="20">
        <v>0</v>
      </c>
      <c r="P100" s="20">
        <v>0</v>
      </c>
      <c r="Q100" s="20">
        <v>0</v>
      </c>
      <c r="R100" s="20">
        <v>0</v>
      </c>
      <c r="S100" s="20">
        <f t="shared" si="65"/>
        <v>0</v>
      </c>
      <c r="T100" s="20">
        <f t="shared" si="66"/>
        <v>0</v>
      </c>
      <c r="U100" s="20">
        <f t="shared" si="67"/>
        <v>0</v>
      </c>
      <c r="V100" s="20">
        <f t="shared" si="68"/>
        <v>0</v>
      </c>
      <c r="W100" s="20">
        <f t="shared" si="69"/>
        <v>0</v>
      </c>
      <c r="X100" s="20">
        <f t="shared" si="70"/>
        <v>0</v>
      </c>
      <c r="Y100" s="20" t="s">
        <v>413</v>
      </c>
      <c r="Z100" s="25">
        <v>0</v>
      </c>
      <c r="AA100" s="25">
        <v>0</v>
      </c>
      <c r="AB100" s="25" t="s">
        <v>413</v>
      </c>
      <c r="AC100" s="20" t="s">
        <v>736</v>
      </c>
    </row>
    <row r="101" spans="1:29" ht="38.25">
      <c r="A101" s="20" t="s">
        <v>372</v>
      </c>
      <c r="B101" s="24" t="str">
        <f>'Lambda-Diode'!A43</f>
        <v>Short-Circuit to Conductive Casing</v>
      </c>
      <c r="C101" s="22">
        <f>'Lambda-Diode'!B$32</f>
        <v>2.8907408251299462E-7</v>
      </c>
      <c r="D101" s="23">
        <f>'Lambda-Diode'!C43</f>
        <v>0</v>
      </c>
      <c r="E101" s="20">
        <f>'Lambda-Diode'!D43</f>
        <v>0</v>
      </c>
      <c r="F101" s="21" t="s">
        <v>382</v>
      </c>
      <c r="G101" s="21" t="s">
        <v>382</v>
      </c>
      <c r="H101" s="20" t="s">
        <v>43</v>
      </c>
      <c r="I101" s="20" t="s">
        <v>409</v>
      </c>
      <c r="J101" s="20" t="s">
        <v>409</v>
      </c>
      <c r="K101" s="20" t="s">
        <v>730</v>
      </c>
      <c r="L101" s="20" t="s">
        <v>730</v>
      </c>
      <c r="M101" s="20">
        <v>3.2724899999999999</v>
      </c>
      <c r="N101" s="20">
        <v>3.2719999999999998</v>
      </c>
      <c r="O101" s="20">
        <v>3.2749999999999999</v>
      </c>
      <c r="P101" s="20">
        <v>4.3130000000000002E-2</v>
      </c>
      <c r="Q101" s="20">
        <v>4.095E-2</v>
      </c>
      <c r="R101" s="20">
        <v>4.53E-2</v>
      </c>
      <c r="S101" s="20">
        <f t="shared" si="65"/>
        <v>4092</v>
      </c>
      <c r="T101" s="20">
        <f t="shared" si="66"/>
        <v>4091</v>
      </c>
      <c r="U101" s="20">
        <f t="shared" si="67"/>
        <v>4095</v>
      </c>
      <c r="V101" s="20">
        <f t="shared" si="68"/>
        <v>54</v>
      </c>
      <c r="W101" s="20">
        <f t="shared" si="69"/>
        <v>51</v>
      </c>
      <c r="X101" s="20">
        <f t="shared" si="70"/>
        <v>57</v>
      </c>
      <c r="Y101" s="20" t="s">
        <v>417</v>
      </c>
      <c r="Z101" s="25">
        <v>0</v>
      </c>
      <c r="AA101" s="25">
        <v>1</v>
      </c>
      <c r="AB101" s="25" t="s">
        <v>417</v>
      </c>
      <c r="AC101" s="20" t="s">
        <v>736</v>
      </c>
    </row>
    <row r="102" spans="1:29" ht="38.25">
      <c r="A102" s="20" t="s">
        <v>376</v>
      </c>
      <c r="B102" s="24" t="str">
        <f>'Lambda-Relay'!A31</f>
        <v>Interruption of any coil</v>
      </c>
      <c r="C102" s="22">
        <f>'Lambda-Relay'!B$28</f>
        <v>4.0085551309765821E-6</v>
      </c>
      <c r="D102" s="23">
        <f>'Lambda-Relay'!C31</f>
        <v>7.8571428571428584E-2</v>
      </c>
      <c r="E102" s="20">
        <f>'Lambda-Relay'!D31</f>
        <v>3.1495790314816006E-7</v>
      </c>
      <c r="F102" s="21" t="s">
        <v>517</v>
      </c>
      <c r="G102" s="21" t="s">
        <v>491</v>
      </c>
      <c r="H102" s="20" t="s">
        <v>43</v>
      </c>
      <c r="I102" s="20" t="s">
        <v>408</v>
      </c>
      <c r="J102" s="20" t="s">
        <v>590</v>
      </c>
      <c r="K102" s="20" t="s">
        <v>729</v>
      </c>
      <c r="L102" s="20" t="s">
        <v>729</v>
      </c>
      <c r="M102" s="20">
        <v>0</v>
      </c>
      <c r="N102" s="20">
        <v>0</v>
      </c>
      <c r="O102" s="20">
        <v>0</v>
      </c>
      <c r="P102" s="20">
        <v>0</v>
      </c>
      <c r="Q102" s="20">
        <v>0</v>
      </c>
      <c r="R102" s="20">
        <v>0</v>
      </c>
      <c r="S102" s="20">
        <f t="shared" ref="S102:X109" si="71">ROUND(((M102-MIN($M$3:$R$212))/(MAX($M$3:$R$212)-MIN($M$3:$R$212)))*((2^12)-1), 0)</f>
        <v>0</v>
      </c>
      <c r="T102" s="20">
        <f t="shared" si="71"/>
        <v>0</v>
      </c>
      <c r="U102" s="20">
        <f t="shared" si="71"/>
        <v>0</v>
      </c>
      <c r="V102" s="20">
        <f t="shared" si="71"/>
        <v>0</v>
      </c>
      <c r="W102" s="20">
        <f t="shared" si="71"/>
        <v>0</v>
      </c>
      <c r="X102" s="20">
        <f t="shared" si="71"/>
        <v>0</v>
      </c>
      <c r="Y102" s="20" t="s">
        <v>413</v>
      </c>
      <c r="Z102" s="25">
        <v>0</v>
      </c>
      <c r="AA102" s="25">
        <v>0</v>
      </c>
      <c r="AB102" s="25" t="s">
        <v>413</v>
      </c>
      <c r="AC102" s="20" t="s">
        <v>736</v>
      </c>
    </row>
    <row r="103" spans="1:29" ht="63.75">
      <c r="A103" s="20" t="s">
        <v>376</v>
      </c>
      <c r="B103" s="24" t="str">
        <f>'Lambda-Relay'!A32</f>
        <v>Interruption of NO contact</v>
      </c>
      <c r="C103" s="22">
        <f>'Lambda-Relay'!B$28</f>
        <v>4.0085551309765821E-6</v>
      </c>
      <c r="D103" s="23">
        <f>'Lambda-Relay'!C32</f>
        <v>1.4444444444444446E-2</v>
      </c>
      <c r="E103" s="20">
        <f>'Lambda-Relay'!D32</f>
        <v>5.790135189188397E-8</v>
      </c>
      <c r="F103" s="21" t="s">
        <v>548</v>
      </c>
      <c r="G103" s="21" t="s">
        <v>491</v>
      </c>
      <c r="H103" s="20" t="s">
        <v>43</v>
      </c>
      <c r="I103" s="20" t="s">
        <v>408</v>
      </c>
      <c r="J103" s="20" t="s">
        <v>590</v>
      </c>
      <c r="K103" s="20" t="s">
        <v>729</v>
      </c>
      <c r="L103" s="20" t="s">
        <v>729</v>
      </c>
      <c r="M103" s="20">
        <v>0</v>
      </c>
      <c r="N103" s="20">
        <v>0</v>
      </c>
      <c r="O103" s="20">
        <v>0</v>
      </c>
      <c r="P103" s="20">
        <v>0</v>
      </c>
      <c r="Q103" s="20">
        <v>0</v>
      </c>
      <c r="R103" s="20">
        <v>0</v>
      </c>
      <c r="S103" s="20">
        <f t="shared" si="71"/>
        <v>0</v>
      </c>
      <c r="T103" s="20">
        <f t="shared" si="71"/>
        <v>0</v>
      </c>
      <c r="U103" s="20">
        <f t="shared" si="71"/>
        <v>0</v>
      </c>
      <c r="V103" s="20">
        <f t="shared" si="71"/>
        <v>0</v>
      </c>
      <c r="W103" s="20">
        <f t="shared" si="71"/>
        <v>0</v>
      </c>
      <c r="X103" s="20">
        <f t="shared" si="71"/>
        <v>0</v>
      </c>
      <c r="Y103" s="20" t="s">
        <v>413</v>
      </c>
      <c r="Z103" s="25">
        <v>0</v>
      </c>
      <c r="AA103" s="25">
        <v>0</v>
      </c>
      <c r="AB103" s="25" t="s">
        <v>413</v>
      </c>
      <c r="AC103" s="20" t="s">
        <v>736</v>
      </c>
    </row>
    <row r="104" spans="1:29" ht="89.25">
      <c r="A104" s="20" t="s">
        <v>376</v>
      </c>
      <c r="B104" s="24" t="str">
        <f>'Lambda-Relay'!A33</f>
        <v>Interruption of NC contact</v>
      </c>
      <c r="C104" s="22">
        <f>'Lambda-Relay'!B$28</f>
        <v>4.0085551309765821E-6</v>
      </c>
      <c r="D104" s="23">
        <f>'Lambda-Relay'!C33</f>
        <v>1.4444444444444446E-2</v>
      </c>
      <c r="E104" s="20">
        <f>'Lambda-Relay'!D33</f>
        <v>5.790135189188397E-8</v>
      </c>
      <c r="F104" s="21" t="s">
        <v>547</v>
      </c>
      <c r="G104" s="21" t="s">
        <v>475</v>
      </c>
      <c r="H104" s="20" t="s">
        <v>43</v>
      </c>
      <c r="I104" s="20" t="s">
        <v>408</v>
      </c>
      <c r="J104" s="20" t="s">
        <v>592</v>
      </c>
      <c r="K104" s="20" t="s">
        <v>728</v>
      </c>
      <c r="L104" s="20" t="s">
        <v>729</v>
      </c>
      <c r="M104" s="20">
        <v>3.2724899999999999</v>
      </c>
      <c r="N104" s="20">
        <v>3.2719999999999998</v>
      </c>
      <c r="O104" s="20">
        <v>3.2749999999999999</v>
      </c>
      <c r="P104" s="20">
        <v>4.3130000000000002E-2</v>
      </c>
      <c r="Q104" s="20">
        <v>4.095E-2</v>
      </c>
      <c r="R104" s="20">
        <v>4.53E-2</v>
      </c>
      <c r="S104" s="25">
        <f t="shared" si="71"/>
        <v>4092</v>
      </c>
      <c r="T104" s="25">
        <f t="shared" si="71"/>
        <v>4091</v>
      </c>
      <c r="U104" s="25">
        <f t="shared" si="71"/>
        <v>4095</v>
      </c>
      <c r="V104" s="25">
        <f t="shared" si="71"/>
        <v>54</v>
      </c>
      <c r="W104" s="25">
        <f t="shared" si="71"/>
        <v>51</v>
      </c>
      <c r="X104" s="25">
        <f t="shared" si="71"/>
        <v>57</v>
      </c>
      <c r="Y104" s="25" t="s">
        <v>425</v>
      </c>
      <c r="Z104" s="25">
        <v>1</v>
      </c>
      <c r="AA104" s="25">
        <v>1</v>
      </c>
      <c r="AB104" s="25" t="s">
        <v>414</v>
      </c>
      <c r="AC104" s="20" t="s">
        <v>736</v>
      </c>
    </row>
    <row r="105" spans="1:29" ht="89.25">
      <c r="A105" s="20" t="s">
        <v>376</v>
      </c>
      <c r="B105" s="24" t="str">
        <f>'Lambda-Relay'!A34</f>
        <v>Short-circuit or decrease of insulation resistance across open contacts</v>
      </c>
      <c r="C105" s="22">
        <f>'Lambda-Relay'!B$28</f>
        <v>4.0085551309765821E-6</v>
      </c>
      <c r="D105" s="23">
        <f>'Lambda-Relay'!C34</f>
        <v>6.3333333333333339E-2</v>
      </c>
      <c r="E105" s="20">
        <f>'Lambda-Relay'!D34</f>
        <v>2.5387515829518358E-7</v>
      </c>
      <c r="F105" s="21" t="s">
        <v>544</v>
      </c>
      <c r="G105" s="21" t="s">
        <v>475</v>
      </c>
      <c r="H105" s="20" t="s">
        <v>43</v>
      </c>
      <c r="I105" s="20" t="s">
        <v>408</v>
      </c>
      <c r="J105" s="20" t="s">
        <v>592</v>
      </c>
      <c r="K105" s="20" t="s">
        <v>728</v>
      </c>
      <c r="L105" s="20" t="s">
        <v>729</v>
      </c>
      <c r="M105" s="20">
        <v>3.2724899999999999</v>
      </c>
      <c r="N105" s="20">
        <v>3.2719999999999998</v>
      </c>
      <c r="O105" s="20">
        <v>3.2749999999999999</v>
      </c>
      <c r="P105" s="20">
        <v>4.3130000000000002E-2</v>
      </c>
      <c r="Q105" s="20">
        <v>4.095E-2</v>
      </c>
      <c r="R105" s="20">
        <v>4.53E-2</v>
      </c>
      <c r="S105" s="25">
        <f t="shared" si="71"/>
        <v>4092</v>
      </c>
      <c r="T105" s="25">
        <f t="shared" si="71"/>
        <v>4091</v>
      </c>
      <c r="U105" s="25">
        <f t="shared" si="71"/>
        <v>4095</v>
      </c>
      <c r="V105" s="25">
        <f t="shared" si="71"/>
        <v>54</v>
      </c>
      <c r="W105" s="25">
        <f t="shared" si="71"/>
        <v>51</v>
      </c>
      <c r="X105" s="25">
        <f t="shared" si="71"/>
        <v>57</v>
      </c>
      <c r="Y105" s="25" t="s">
        <v>425</v>
      </c>
      <c r="Z105" s="25">
        <v>1</v>
      </c>
      <c r="AA105" s="25">
        <v>1</v>
      </c>
      <c r="AB105" s="25" t="s">
        <v>414</v>
      </c>
      <c r="AC105" s="20" t="s">
        <v>736</v>
      </c>
    </row>
    <row r="106" spans="1:29" ht="38.25">
      <c r="A106" s="20" t="s">
        <v>376</v>
      </c>
      <c r="B106" s="24" t="str">
        <f>'Lambda-Relay'!A35</f>
        <v>Short-circuit or decrease of insulation resistance between coil and coil</v>
      </c>
      <c r="C106" s="22">
        <f>'Lambda-Relay'!B$28</f>
        <v>4.0085551309765821E-6</v>
      </c>
      <c r="D106" s="23">
        <f>'Lambda-Relay'!C35</f>
        <v>0</v>
      </c>
      <c r="E106" s="20">
        <f>'Lambda-Relay'!D35</f>
        <v>0</v>
      </c>
      <c r="F106" s="21" t="s">
        <v>545</v>
      </c>
      <c r="G106" s="21" t="s">
        <v>545</v>
      </c>
      <c r="H106" s="20" t="s">
        <v>43</v>
      </c>
      <c r="I106" s="20" t="s">
        <v>409</v>
      </c>
      <c r="J106" s="20" t="s">
        <v>409</v>
      </c>
      <c r="K106" s="20" t="s">
        <v>730</v>
      </c>
      <c r="L106" s="20" t="s">
        <v>730</v>
      </c>
      <c r="M106" s="20">
        <v>3.2724899999999999</v>
      </c>
      <c r="N106" s="20">
        <v>3.2719999999999998</v>
      </c>
      <c r="O106" s="20">
        <v>3.2749999999999999</v>
      </c>
      <c r="P106" s="20">
        <v>4.3130000000000002E-2</v>
      </c>
      <c r="Q106" s="20">
        <v>4.095E-2</v>
      </c>
      <c r="R106" s="20">
        <v>4.53E-2</v>
      </c>
      <c r="S106" s="20">
        <f t="shared" si="71"/>
        <v>4092</v>
      </c>
      <c r="T106" s="20">
        <f t="shared" si="71"/>
        <v>4091</v>
      </c>
      <c r="U106" s="20">
        <f t="shared" si="71"/>
        <v>4095</v>
      </c>
      <c r="V106" s="20">
        <f t="shared" si="71"/>
        <v>54</v>
      </c>
      <c r="W106" s="20">
        <f t="shared" si="71"/>
        <v>51</v>
      </c>
      <c r="X106" s="20">
        <f t="shared" si="71"/>
        <v>57</v>
      </c>
      <c r="Y106" s="20" t="s">
        <v>417</v>
      </c>
      <c r="Z106" s="25">
        <v>0</v>
      </c>
      <c r="AA106" s="25">
        <v>1</v>
      </c>
      <c r="AB106" s="25" t="s">
        <v>417</v>
      </c>
      <c r="AC106" s="20" t="s">
        <v>736</v>
      </c>
    </row>
    <row r="107" spans="1:29" ht="374.25" customHeight="1">
      <c r="A107" s="20" t="s">
        <v>376</v>
      </c>
      <c r="B107" s="24" t="str">
        <f>'Lambda-Relay'!A36</f>
        <v>Short-circuit or decrease of insulation resistance between coil and contact</v>
      </c>
      <c r="C107" s="22">
        <f>'Lambda-Relay'!B$28</f>
        <v>4.0085551309765821E-6</v>
      </c>
      <c r="D107" s="23">
        <f>'Lambda-Relay'!C36</f>
        <v>6.3333333333333339E-2</v>
      </c>
      <c r="E107" s="20">
        <f>'Lambda-Relay'!D36</f>
        <v>2.5387515829518358E-7</v>
      </c>
      <c r="F107" s="24" t="s">
        <v>666</v>
      </c>
      <c r="G107" s="24" t="s">
        <v>668</v>
      </c>
      <c r="H107" s="25" t="s">
        <v>43</v>
      </c>
      <c r="I107" s="20" t="s">
        <v>408</v>
      </c>
      <c r="J107" s="20" t="s">
        <v>592</v>
      </c>
      <c r="K107" s="20" t="s">
        <v>728</v>
      </c>
      <c r="L107" s="20" t="s">
        <v>729</v>
      </c>
      <c r="M107" s="20">
        <v>3.2724899999999999</v>
      </c>
      <c r="N107" s="20">
        <v>3.2719999999999998</v>
      </c>
      <c r="O107" s="20">
        <v>3.2749999999999999</v>
      </c>
      <c r="P107" s="20">
        <v>4.3130000000000002E-2</v>
      </c>
      <c r="Q107" s="20">
        <v>4.095E-2</v>
      </c>
      <c r="R107" s="20">
        <v>4.53E-2</v>
      </c>
      <c r="S107" s="20">
        <f t="shared" si="71"/>
        <v>4092</v>
      </c>
      <c r="T107" s="20">
        <f t="shared" si="71"/>
        <v>4091</v>
      </c>
      <c r="U107" s="20">
        <f t="shared" si="71"/>
        <v>4095</v>
      </c>
      <c r="V107" s="20">
        <f t="shared" si="71"/>
        <v>54</v>
      </c>
      <c r="W107" s="20">
        <f t="shared" si="71"/>
        <v>51</v>
      </c>
      <c r="X107" s="20">
        <f t="shared" si="71"/>
        <v>57</v>
      </c>
      <c r="Y107" s="20" t="s">
        <v>413</v>
      </c>
      <c r="Z107" s="25">
        <v>0</v>
      </c>
      <c r="AA107" s="25">
        <v>0</v>
      </c>
      <c r="AB107" s="25" t="s">
        <v>413</v>
      </c>
      <c r="AC107" s="20" t="s">
        <v>736</v>
      </c>
    </row>
    <row r="108" spans="1:29" ht="38.25">
      <c r="A108" s="20" t="s">
        <v>376</v>
      </c>
      <c r="B108" s="24" t="str">
        <f>'Lambda-Relay'!A37</f>
        <v>Short-circuit or decrease of insulation resistance between coil and case</v>
      </c>
      <c r="C108" s="22">
        <f>'Lambda-Relay'!B$28</f>
        <v>4.0085551309765821E-6</v>
      </c>
      <c r="D108" s="23">
        <f>'Lambda-Relay'!C37</f>
        <v>0</v>
      </c>
      <c r="E108" s="20">
        <f>'Lambda-Relay'!D37</f>
        <v>0</v>
      </c>
      <c r="F108" s="21" t="s">
        <v>382</v>
      </c>
      <c r="G108" s="21" t="s">
        <v>382</v>
      </c>
      <c r="H108" s="20" t="s">
        <v>43</v>
      </c>
      <c r="I108" s="20" t="s">
        <v>409</v>
      </c>
      <c r="J108" s="20" t="s">
        <v>409</v>
      </c>
      <c r="K108" s="20" t="s">
        <v>730</v>
      </c>
      <c r="L108" s="20" t="s">
        <v>730</v>
      </c>
      <c r="M108" s="20">
        <v>3.2724899999999999</v>
      </c>
      <c r="N108" s="20">
        <v>3.2719999999999998</v>
      </c>
      <c r="O108" s="20">
        <v>3.2749999999999999</v>
      </c>
      <c r="P108" s="20">
        <v>4.3130000000000002E-2</v>
      </c>
      <c r="Q108" s="20">
        <v>4.095E-2</v>
      </c>
      <c r="R108" s="20">
        <v>4.53E-2</v>
      </c>
      <c r="S108" s="20">
        <f t="shared" si="71"/>
        <v>4092</v>
      </c>
      <c r="T108" s="20">
        <f t="shared" si="71"/>
        <v>4091</v>
      </c>
      <c r="U108" s="20">
        <f t="shared" si="71"/>
        <v>4095</v>
      </c>
      <c r="V108" s="20">
        <f t="shared" si="71"/>
        <v>54</v>
      </c>
      <c r="W108" s="20">
        <f t="shared" si="71"/>
        <v>51</v>
      </c>
      <c r="X108" s="20">
        <f t="shared" si="71"/>
        <v>57</v>
      </c>
      <c r="Y108" s="20" t="s">
        <v>417</v>
      </c>
      <c r="Z108" s="25">
        <v>0</v>
      </c>
      <c r="AA108" s="25">
        <v>1</v>
      </c>
      <c r="AB108" s="25" t="s">
        <v>417</v>
      </c>
      <c r="AC108" s="20" t="s">
        <v>736</v>
      </c>
    </row>
    <row r="109" spans="1:29" ht="51">
      <c r="A109" s="20" t="s">
        <v>376</v>
      </c>
      <c r="B109" s="24" t="str">
        <f>'Lambda-Relay'!A38</f>
        <v>Short-circuit or decrease of insulation resistance between contact and contact</v>
      </c>
      <c r="C109" s="22">
        <f>'Lambda-Relay'!B$28</f>
        <v>4.0085551309765821E-6</v>
      </c>
      <c r="D109" s="23">
        <f>'Lambda-Relay'!C38</f>
        <v>6.3333333333333339E-2</v>
      </c>
      <c r="E109" s="20">
        <f>'Lambda-Relay'!D38</f>
        <v>2.5387515829518358E-7</v>
      </c>
      <c r="F109" s="21" t="s">
        <v>546</v>
      </c>
      <c r="G109" s="21" t="s">
        <v>667</v>
      </c>
      <c r="H109" s="20" t="s">
        <v>43</v>
      </c>
      <c r="I109" s="20" t="s">
        <v>408</v>
      </c>
      <c r="J109" s="25" t="s">
        <v>521</v>
      </c>
      <c r="K109" s="25" t="s">
        <v>726</v>
      </c>
      <c r="L109" s="20" t="s">
        <v>728</v>
      </c>
      <c r="M109" s="20">
        <v>3.1999999999999999E-6</v>
      </c>
      <c r="N109" s="20">
        <v>3.1999999999999999E-6</v>
      </c>
      <c r="O109" s="20">
        <v>3.1999999999999999E-6</v>
      </c>
      <c r="P109" s="20">
        <v>3.1999999999999999E-6</v>
      </c>
      <c r="Q109" s="20">
        <v>3.1999999999999999E-6</v>
      </c>
      <c r="R109" s="20">
        <v>3.1999999999999999E-6</v>
      </c>
      <c r="S109" s="20">
        <f t="shared" si="71"/>
        <v>0</v>
      </c>
      <c r="T109" s="20">
        <f t="shared" si="71"/>
        <v>0</v>
      </c>
      <c r="U109" s="20">
        <f t="shared" si="71"/>
        <v>0</v>
      </c>
      <c r="V109" s="20">
        <f t="shared" si="71"/>
        <v>0</v>
      </c>
      <c r="W109" s="20">
        <f t="shared" si="71"/>
        <v>0</v>
      </c>
      <c r="X109" s="20">
        <f t="shared" si="71"/>
        <v>0</v>
      </c>
      <c r="Y109" s="20" t="s">
        <v>414</v>
      </c>
      <c r="Z109" s="25">
        <v>0</v>
      </c>
      <c r="AA109" s="25">
        <v>1</v>
      </c>
      <c r="AB109" s="25" t="s">
        <v>417</v>
      </c>
      <c r="AC109" s="20" t="s">
        <v>736</v>
      </c>
    </row>
    <row r="110" spans="1:29" ht="38.25">
      <c r="A110" s="20" t="s">
        <v>376</v>
      </c>
      <c r="B110" s="24" t="str">
        <f>'Lambda-Relay'!A39</f>
        <v>Short-circuit or decrease of insulation resistance between contact and case</v>
      </c>
      <c r="C110" s="22">
        <f>'Lambda-Relay'!B$28</f>
        <v>4.0085551309765821E-6</v>
      </c>
      <c r="D110" s="23">
        <f>'Lambda-Relay'!C39</f>
        <v>0</v>
      </c>
      <c r="E110" s="20">
        <f>'Lambda-Relay'!D39</f>
        <v>0</v>
      </c>
      <c r="F110" s="21" t="s">
        <v>382</v>
      </c>
      <c r="G110" s="21" t="s">
        <v>382</v>
      </c>
      <c r="H110" s="20" t="s">
        <v>43</v>
      </c>
      <c r="I110" s="20" t="s">
        <v>409</v>
      </c>
      <c r="J110" s="20" t="s">
        <v>409</v>
      </c>
      <c r="K110" s="20" t="s">
        <v>730</v>
      </c>
      <c r="L110" s="20" t="s">
        <v>730</v>
      </c>
      <c r="M110" s="20">
        <v>3.2724899999999999</v>
      </c>
      <c r="N110" s="20">
        <v>3.2719999999999998</v>
      </c>
      <c r="O110" s="20">
        <v>3.2749999999999999</v>
      </c>
      <c r="P110" s="20">
        <v>4.3130000000000002E-2</v>
      </c>
      <c r="Q110" s="20">
        <v>4.095E-2</v>
      </c>
      <c r="R110" s="20">
        <v>4.53E-2</v>
      </c>
      <c r="S110" s="20">
        <f t="shared" ref="S110:X111" si="72">ROUND(((M110-MIN($M$3:$R$212))/(MAX($M$3:$R$212)-MIN($M$3:$R$212)))*((2^12)-1), 0)</f>
        <v>4092</v>
      </c>
      <c r="T110" s="20">
        <f t="shared" si="72"/>
        <v>4091</v>
      </c>
      <c r="U110" s="20">
        <f t="shared" si="72"/>
        <v>4095</v>
      </c>
      <c r="V110" s="20">
        <f t="shared" si="72"/>
        <v>54</v>
      </c>
      <c r="W110" s="20">
        <f t="shared" si="72"/>
        <v>51</v>
      </c>
      <c r="X110" s="20">
        <f t="shared" si="72"/>
        <v>57</v>
      </c>
      <c r="Y110" s="20" t="s">
        <v>417</v>
      </c>
      <c r="Z110" s="25">
        <v>0</v>
      </c>
      <c r="AA110" s="25">
        <v>1</v>
      </c>
      <c r="AB110" s="25" t="s">
        <v>417</v>
      </c>
      <c r="AC110" s="20" t="s">
        <v>736</v>
      </c>
    </row>
    <row r="111" spans="1:29" ht="63.75">
      <c r="A111" s="20" t="s">
        <v>376</v>
      </c>
      <c r="B111" s="24" t="str">
        <f>'Lambda-Relay'!A40</f>
        <v>Welding of NO contacts</v>
      </c>
      <c r="C111" s="22">
        <f>'Lambda-Relay'!B$28</f>
        <v>4.0085551309765821E-6</v>
      </c>
      <c r="D111" s="23">
        <f>'Lambda-Relay'!C40</f>
        <v>1.4444444444444446E-2</v>
      </c>
      <c r="E111" s="20">
        <f>'Lambda-Relay'!D40</f>
        <v>5.790135189188397E-8</v>
      </c>
      <c r="F111" s="21" t="s">
        <v>557</v>
      </c>
      <c r="G111" s="21" t="s">
        <v>569</v>
      </c>
      <c r="H111" s="20" t="s">
        <v>43</v>
      </c>
      <c r="I111" s="20" t="s">
        <v>408</v>
      </c>
      <c r="J111" s="20" t="s">
        <v>592</v>
      </c>
      <c r="K111" s="20" t="s">
        <v>728</v>
      </c>
      <c r="L111" s="20" t="s">
        <v>729</v>
      </c>
      <c r="M111" s="20">
        <v>3.2724899999999999</v>
      </c>
      <c r="N111" s="20">
        <v>3.2719999999999998</v>
      </c>
      <c r="O111" s="20">
        <v>3.2749999999999999</v>
      </c>
      <c r="P111" s="20">
        <v>4.3130000000000002E-2</v>
      </c>
      <c r="Q111" s="20">
        <v>4.095E-2</v>
      </c>
      <c r="R111" s="20">
        <v>4.53E-2</v>
      </c>
      <c r="S111" s="25">
        <f t="shared" si="72"/>
        <v>4092</v>
      </c>
      <c r="T111" s="25">
        <f t="shared" si="72"/>
        <v>4091</v>
      </c>
      <c r="U111" s="25">
        <f t="shared" si="72"/>
        <v>4095</v>
      </c>
      <c r="V111" s="25">
        <f t="shared" si="72"/>
        <v>54</v>
      </c>
      <c r="W111" s="25">
        <f t="shared" si="72"/>
        <v>51</v>
      </c>
      <c r="X111" s="25">
        <f t="shared" si="72"/>
        <v>57</v>
      </c>
      <c r="Y111" s="25" t="s">
        <v>425</v>
      </c>
      <c r="Z111" s="25">
        <v>1</v>
      </c>
      <c r="AA111" s="25">
        <v>1</v>
      </c>
      <c r="AB111" s="25" t="s">
        <v>414</v>
      </c>
      <c r="AC111" s="20" t="s">
        <v>736</v>
      </c>
    </row>
    <row r="112" spans="1:29" ht="63.75">
      <c r="A112" s="20" t="s">
        <v>376</v>
      </c>
      <c r="B112" s="24" t="str">
        <f>'Lambda-Relay'!A41</f>
        <v>Welding of NC contacts</v>
      </c>
      <c r="C112" s="22">
        <f>'Lambda-Relay'!B$28</f>
        <v>4.0085551309765821E-6</v>
      </c>
      <c r="D112" s="23">
        <f>'Lambda-Relay'!C41</f>
        <v>1.4444444444444446E-2</v>
      </c>
      <c r="E112" s="20">
        <f>'Lambda-Relay'!D41</f>
        <v>5.790135189188397E-8</v>
      </c>
      <c r="F112" s="21" t="s">
        <v>558</v>
      </c>
      <c r="G112" s="21" t="s">
        <v>558</v>
      </c>
      <c r="H112" s="20" t="s">
        <v>43</v>
      </c>
      <c r="I112" s="20" t="s">
        <v>408</v>
      </c>
      <c r="J112" s="20" t="s">
        <v>590</v>
      </c>
      <c r="K112" s="20" t="s">
        <v>729</v>
      </c>
      <c r="L112" s="20" t="s">
        <v>729</v>
      </c>
      <c r="M112" s="20">
        <v>0</v>
      </c>
      <c r="N112" s="20">
        <v>0</v>
      </c>
      <c r="O112" s="20">
        <v>0</v>
      </c>
      <c r="P112" s="20">
        <v>0</v>
      </c>
      <c r="Q112" s="20">
        <v>0</v>
      </c>
      <c r="R112" s="20">
        <v>0</v>
      </c>
      <c r="S112" s="20">
        <f t="shared" ref="S112:S129" si="73">ROUND(((M112-MIN($M$3:$R$212))/(MAX($M$3:$R$212)-MIN($M$3:$R$212)))*((2^12)-1), 0)</f>
        <v>0</v>
      </c>
      <c r="T112" s="20">
        <f t="shared" ref="T112:T129" si="74">ROUND(((N112-MIN($M$3:$R$212))/(MAX($M$3:$R$212)-MIN($M$3:$R$212)))*((2^12)-1), 0)</f>
        <v>0</v>
      </c>
      <c r="U112" s="20">
        <f t="shared" ref="U112:U129" si="75">ROUND(((O112-MIN($M$3:$R$212))/(MAX($M$3:$R$212)-MIN($M$3:$R$212)))*((2^12)-1), 0)</f>
        <v>0</v>
      </c>
      <c r="V112" s="20">
        <f t="shared" ref="V112:V129" si="76">ROUND(((P112-MIN($M$3:$R$212))/(MAX($M$3:$R$212)-MIN($M$3:$R$212)))*((2^12)-1), 0)</f>
        <v>0</v>
      </c>
      <c r="W112" s="20">
        <f t="shared" ref="W112:W129" si="77">ROUND(((Q112-MIN($M$3:$R$212))/(MAX($M$3:$R$212)-MIN($M$3:$R$212)))*((2^12)-1), 0)</f>
        <v>0</v>
      </c>
      <c r="X112" s="20">
        <f t="shared" ref="X112:X129" si="78">ROUND(((R112-MIN($M$3:$R$212))/(MAX($M$3:$R$212)-MIN($M$3:$R$212)))*((2^12)-1), 0)</f>
        <v>0</v>
      </c>
      <c r="Y112" s="20" t="s">
        <v>413</v>
      </c>
      <c r="Z112" s="25">
        <v>0</v>
      </c>
      <c r="AA112" s="25">
        <v>0</v>
      </c>
      <c r="AB112" s="25" t="s">
        <v>413</v>
      </c>
      <c r="AC112" s="20" t="s">
        <v>736</v>
      </c>
    </row>
    <row r="113" spans="1:29" ht="38.25">
      <c r="A113" s="20" t="s">
        <v>376</v>
      </c>
      <c r="B113" s="24" t="str">
        <f>'Lambda-Relay'!A42</f>
        <v>Increase of NO contact resistance</v>
      </c>
      <c r="C113" s="22">
        <f>'Lambda-Relay'!B$28</f>
        <v>4.0085551309765821E-6</v>
      </c>
      <c r="D113" s="23">
        <f>'Lambda-Relay'!C42</f>
        <v>1.4444444444444446E-2</v>
      </c>
      <c r="E113" s="20">
        <f>'Lambda-Relay'!D42</f>
        <v>5.790135189188397E-8</v>
      </c>
      <c r="F113" s="21" t="s">
        <v>561</v>
      </c>
      <c r="G113" s="21" t="s">
        <v>559</v>
      </c>
      <c r="H113" s="20" t="s">
        <v>43</v>
      </c>
      <c r="I113" s="20" t="s">
        <v>408</v>
      </c>
      <c r="J113" s="20" t="s">
        <v>590</v>
      </c>
      <c r="K113" s="20" t="s">
        <v>729</v>
      </c>
      <c r="L113" s="20" t="s">
        <v>729</v>
      </c>
      <c r="M113" s="20">
        <v>0</v>
      </c>
      <c r="N113" s="20">
        <v>0</v>
      </c>
      <c r="O113" s="20">
        <v>0</v>
      </c>
      <c r="P113" s="20">
        <v>0</v>
      </c>
      <c r="Q113" s="20">
        <v>0</v>
      </c>
      <c r="R113" s="20">
        <v>0</v>
      </c>
      <c r="S113" s="20">
        <f t="shared" si="73"/>
        <v>0</v>
      </c>
      <c r="T113" s="20">
        <f t="shared" si="74"/>
        <v>0</v>
      </c>
      <c r="U113" s="20">
        <f t="shared" si="75"/>
        <v>0</v>
      </c>
      <c r="V113" s="20">
        <f t="shared" si="76"/>
        <v>0</v>
      </c>
      <c r="W113" s="20">
        <f t="shared" si="77"/>
        <v>0</v>
      </c>
      <c r="X113" s="20">
        <f t="shared" si="78"/>
        <v>0</v>
      </c>
      <c r="Y113" s="20" t="s">
        <v>413</v>
      </c>
      <c r="Z113" s="25">
        <v>0</v>
      </c>
      <c r="AA113" s="25">
        <v>0</v>
      </c>
      <c r="AB113" s="25" t="s">
        <v>413</v>
      </c>
      <c r="AC113" s="20" t="s">
        <v>736</v>
      </c>
    </row>
    <row r="114" spans="1:29" ht="51">
      <c r="A114" s="20" t="s">
        <v>376</v>
      </c>
      <c r="B114" s="24" t="str">
        <f>'Lambda-Relay'!A43</f>
        <v>Increase of NC contact resistance</v>
      </c>
      <c r="C114" s="22">
        <f>'Lambda-Relay'!B$28</f>
        <v>4.0085551309765821E-6</v>
      </c>
      <c r="D114" s="23">
        <f>'Lambda-Relay'!C43</f>
        <v>1.4444444444444446E-2</v>
      </c>
      <c r="E114" s="20">
        <f>'Lambda-Relay'!D43</f>
        <v>5.790135189188397E-8</v>
      </c>
      <c r="F114" s="21" t="s">
        <v>562</v>
      </c>
      <c r="G114" s="21" t="s">
        <v>560</v>
      </c>
      <c r="H114" s="20" t="s">
        <v>43</v>
      </c>
      <c r="I114" s="20" t="s">
        <v>408</v>
      </c>
      <c r="J114" s="20" t="s">
        <v>592</v>
      </c>
      <c r="K114" s="20" t="s">
        <v>728</v>
      </c>
      <c r="L114" s="20" t="s">
        <v>729</v>
      </c>
      <c r="M114" s="20">
        <v>3.2724899999999999</v>
      </c>
      <c r="N114" s="20">
        <v>3.2719999999999998</v>
      </c>
      <c r="O114" s="20">
        <v>3.2749999999999999</v>
      </c>
      <c r="P114" s="20">
        <v>4.3130000000000002E-2</v>
      </c>
      <c r="Q114" s="20">
        <v>4.095E-2</v>
      </c>
      <c r="R114" s="20">
        <v>4.53E-2</v>
      </c>
      <c r="S114" s="25">
        <f t="shared" si="73"/>
        <v>4092</v>
      </c>
      <c r="T114" s="25">
        <f t="shared" si="74"/>
        <v>4091</v>
      </c>
      <c r="U114" s="25">
        <f t="shared" si="75"/>
        <v>4095</v>
      </c>
      <c r="V114" s="25">
        <f t="shared" si="76"/>
        <v>54</v>
      </c>
      <c r="W114" s="25">
        <f t="shared" si="77"/>
        <v>51</v>
      </c>
      <c r="X114" s="25">
        <f t="shared" si="78"/>
        <v>57</v>
      </c>
      <c r="Y114" s="25" t="s">
        <v>425</v>
      </c>
      <c r="Z114" s="25">
        <v>1</v>
      </c>
      <c r="AA114" s="25">
        <v>1</v>
      </c>
      <c r="AB114" s="25" t="s">
        <v>414</v>
      </c>
      <c r="AC114" s="20" t="s">
        <v>736</v>
      </c>
    </row>
    <row r="115" spans="1:29" ht="51">
      <c r="A115" s="20" t="s">
        <v>376</v>
      </c>
      <c r="B115" s="24" t="str">
        <f>'Lambda-Relay'!A44</f>
        <v>Contact chatter</v>
      </c>
      <c r="C115" s="22">
        <f>'Lambda-Relay'!B$28</f>
        <v>4.0085551309765821E-6</v>
      </c>
      <c r="D115" s="23">
        <f>'Lambda-Relay'!C44</f>
        <v>2.8888888888888891E-2</v>
      </c>
      <c r="E115" s="20">
        <f>'Lambda-Relay'!D44</f>
        <v>1.1580270378376794E-7</v>
      </c>
      <c r="F115" s="21" t="s">
        <v>563</v>
      </c>
      <c r="G115" s="21" t="s">
        <v>564</v>
      </c>
      <c r="H115" s="20" t="s">
        <v>43</v>
      </c>
      <c r="I115" s="25" t="s">
        <v>408</v>
      </c>
      <c r="J115" s="25" t="s">
        <v>521</v>
      </c>
      <c r="K115" s="25" t="s">
        <v>726</v>
      </c>
      <c r="L115" s="20" t="s">
        <v>728</v>
      </c>
      <c r="M115" s="20">
        <v>3.1999999999999999E-6</v>
      </c>
      <c r="N115" s="20">
        <v>3.1999999999999999E-6</v>
      </c>
      <c r="O115" s="20">
        <v>3.1999999999999999E-6</v>
      </c>
      <c r="P115" s="20">
        <v>3.1999999999999999E-6</v>
      </c>
      <c r="Q115" s="20">
        <v>3.1999999999999999E-6</v>
      </c>
      <c r="R115" s="20">
        <v>3.1999999999999999E-6</v>
      </c>
      <c r="S115" s="20">
        <f t="shared" si="73"/>
        <v>0</v>
      </c>
      <c r="T115" s="20">
        <f t="shared" si="74"/>
        <v>0</v>
      </c>
      <c r="U115" s="20">
        <f t="shared" si="75"/>
        <v>0</v>
      </c>
      <c r="V115" s="20">
        <f t="shared" si="76"/>
        <v>0</v>
      </c>
      <c r="W115" s="20">
        <f t="shared" si="77"/>
        <v>0</v>
      </c>
      <c r="X115" s="20">
        <f t="shared" si="78"/>
        <v>0</v>
      </c>
      <c r="Y115" s="20" t="s">
        <v>414</v>
      </c>
      <c r="Z115" s="25">
        <v>0</v>
      </c>
      <c r="AA115" s="25">
        <v>1</v>
      </c>
      <c r="AB115" s="25" t="s">
        <v>470</v>
      </c>
      <c r="AC115" s="20" t="s">
        <v>736</v>
      </c>
    </row>
    <row r="116" spans="1:29" ht="38.25">
      <c r="A116" s="20" t="s">
        <v>376</v>
      </c>
      <c r="B116" s="24" t="str">
        <f>'Lambda-Relay'!A45</f>
        <v>Increase of pick-up current</v>
      </c>
      <c r="C116" s="22">
        <f>'Lambda-Relay'!B$28</f>
        <v>4.0085551309765821E-6</v>
      </c>
      <c r="D116" s="23">
        <f>'Lambda-Relay'!C45</f>
        <v>7.8571428571428584E-2</v>
      </c>
      <c r="E116" s="20">
        <f>'Lambda-Relay'!D45</f>
        <v>3.1495790314816006E-7</v>
      </c>
      <c r="F116" s="21" t="s">
        <v>565</v>
      </c>
      <c r="G116" s="21" t="s">
        <v>565</v>
      </c>
      <c r="H116" s="20" t="s">
        <v>43</v>
      </c>
      <c r="I116" s="20" t="s">
        <v>408</v>
      </c>
      <c r="J116" s="20" t="s">
        <v>590</v>
      </c>
      <c r="K116" s="20" t="s">
        <v>729</v>
      </c>
      <c r="L116" s="20" t="s">
        <v>729</v>
      </c>
      <c r="M116" s="20">
        <v>0</v>
      </c>
      <c r="N116" s="20">
        <v>0</v>
      </c>
      <c r="O116" s="20">
        <v>0</v>
      </c>
      <c r="P116" s="20">
        <v>0</v>
      </c>
      <c r="Q116" s="20">
        <v>0</v>
      </c>
      <c r="R116" s="20">
        <v>0</v>
      </c>
      <c r="S116" s="20">
        <f t="shared" si="73"/>
        <v>0</v>
      </c>
      <c r="T116" s="20">
        <f t="shared" si="74"/>
        <v>0</v>
      </c>
      <c r="U116" s="20">
        <f t="shared" si="75"/>
        <v>0</v>
      </c>
      <c r="V116" s="20">
        <f t="shared" si="76"/>
        <v>0</v>
      </c>
      <c r="W116" s="20">
        <f t="shared" si="77"/>
        <v>0</v>
      </c>
      <c r="X116" s="20">
        <f t="shared" si="78"/>
        <v>0</v>
      </c>
      <c r="Y116" s="20" t="s">
        <v>413</v>
      </c>
      <c r="Z116" s="25">
        <v>0</v>
      </c>
      <c r="AA116" s="25">
        <v>0</v>
      </c>
      <c r="AB116" s="25" t="s">
        <v>413</v>
      </c>
      <c r="AC116" s="20" t="s">
        <v>736</v>
      </c>
    </row>
    <row r="117" spans="1:29" ht="38.25">
      <c r="A117" s="20" t="s">
        <v>376</v>
      </c>
      <c r="B117" s="24" t="str">
        <f>'Lambda-Relay'!A46</f>
        <v>Decrease of pick-up current</v>
      </c>
      <c r="C117" s="22">
        <f>'Lambda-Relay'!B$28</f>
        <v>4.0085551309765821E-6</v>
      </c>
      <c r="D117" s="23">
        <f>'Lambda-Relay'!C46</f>
        <v>2.8888888888888891E-2</v>
      </c>
      <c r="E117" s="20">
        <f>'Lambda-Relay'!D46</f>
        <v>1.1580270378376794E-7</v>
      </c>
      <c r="F117" s="21" t="s">
        <v>566</v>
      </c>
      <c r="G117" s="21" t="s">
        <v>566</v>
      </c>
      <c r="H117" s="20" t="s">
        <v>43</v>
      </c>
      <c r="I117" s="20" t="s">
        <v>409</v>
      </c>
      <c r="J117" s="20" t="s">
        <v>409</v>
      </c>
      <c r="K117" s="20" t="s">
        <v>730</v>
      </c>
      <c r="L117" s="20" t="s">
        <v>730</v>
      </c>
      <c r="M117" s="20">
        <v>3.2724899999999999</v>
      </c>
      <c r="N117" s="20">
        <v>3.2719999999999998</v>
      </c>
      <c r="O117" s="20">
        <v>3.2749999999999999</v>
      </c>
      <c r="P117" s="20">
        <v>4.3130000000000002E-2</v>
      </c>
      <c r="Q117" s="20">
        <v>4.095E-2</v>
      </c>
      <c r="R117" s="20">
        <v>4.53E-2</v>
      </c>
      <c r="S117" s="20">
        <f t="shared" si="73"/>
        <v>4092</v>
      </c>
      <c r="T117" s="20">
        <f t="shared" si="74"/>
        <v>4091</v>
      </c>
      <c r="U117" s="20">
        <f t="shared" si="75"/>
        <v>4095</v>
      </c>
      <c r="V117" s="20">
        <f t="shared" si="76"/>
        <v>54</v>
      </c>
      <c r="W117" s="20">
        <f t="shared" si="77"/>
        <v>51</v>
      </c>
      <c r="X117" s="20">
        <f t="shared" si="78"/>
        <v>57</v>
      </c>
      <c r="Y117" s="20" t="s">
        <v>417</v>
      </c>
      <c r="Z117" s="25">
        <v>0</v>
      </c>
      <c r="AA117" s="25">
        <v>1</v>
      </c>
      <c r="AB117" s="25" t="s">
        <v>417</v>
      </c>
      <c r="AC117" s="20" t="s">
        <v>736</v>
      </c>
    </row>
    <row r="118" spans="1:29" ht="38.25">
      <c r="A118" s="20" t="s">
        <v>376</v>
      </c>
      <c r="B118" s="24" t="str">
        <f>'Lambda-Relay'!A47</f>
        <v>Increase of drop-away current</v>
      </c>
      <c r="C118" s="22">
        <f>'Lambda-Relay'!B$28</f>
        <v>4.0085551309765821E-6</v>
      </c>
      <c r="D118" s="23">
        <f>'Lambda-Relay'!C47</f>
        <v>7.8571428571428584E-2</v>
      </c>
      <c r="E118" s="20">
        <f>'Lambda-Relay'!D47</f>
        <v>3.1495790314816006E-7</v>
      </c>
      <c r="F118" s="21" t="s">
        <v>566</v>
      </c>
      <c r="G118" s="21" t="s">
        <v>566</v>
      </c>
      <c r="H118" s="20" t="s">
        <v>43</v>
      </c>
      <c r="I118" s="20" t="s">
        <v>409</v>
      </c>
      <c r="J118" s="20" t="s">
        <v>409</v>
      </c>
      <c r="K118" s="20" t="s">
        <v>730</v>
      </c>
      <c r="L118" s="20" t="s">
        <v>730</v>
      </c>
      <c r="M118" s="20">
        <v>3.2724899999999999</v>
      </c>
      <c r="N118" s="20">
        <v>3.2719999999999998</v>
      </c>
      <c r="O118" s="20">
        <v>3.2749999999999999</v>
      </c>
      <c r="P118" s="20">
        <v>4.3130000000000002E-2</v>
      </c>
      <c r="Q118" s="20">
        <v>4.095E-2</v>
      </c>
      <c r="R118" s="20">
        <v>4.53E-2</v>
      </c>
      <c r="S118" s="20">
        <f t="shared" si="73"/>
        <v>4092</v>
      </c>
      <c r="T118" s="20">
        <f t="shared" si="74"/>
        <v>4091</v>
      </c>
      <c r="U118" s="20">
        <f t="shared" si="75"/>
        <v>4095</v>
      </c>
      <c r="V118" s="20">
        <f t="shared" si="76"/>
        <v>54</v>
      </c>
      <c r="W118" s="20">
        <f t="shared" si="77"/>
        <v>51</v>
      </c>
      <c r="X118" s="20">
        <f t="shared" si="78"/>
        <v>57</v>
      </c>
      <c r="Y118" s="20" t="s">
        <v>417</v>
      </c>
      <c r="Z118" s="25">
        <v>0</v>
      </c>
      <c r="AA118" s="25">
        <v>1</v>
      </c>
      <c r="AB118" s="25" t="s">
        <v>417</v>
      </c>
      <c r="AC118" s="20" t="s">
        <v>736</v>
      </c>
    </row>
    <row r="119" spans="1:29" ht="51">
      <c r="A119" s="20" t="s">
        <v>376</v>
      </c>
      <c r="B119" s="24" t="str">
        <f>'Lambda-Relay'!A48</f>
        <v>Decrease of drop-away current</v>
      </c>
      <c r="C119" s="22">
        <f>'Lambda-Relay'!B$28</f>
        <v>4.0085551309765821E-6</v>
      </c>
      <c r="D119" s="23">
        <f>'Lambda-Relay'!C48</f>
        <v>2.8888888888888891E-2</v>
      </c>
      <c r="E119" s="20">
        <f>'Lambda-Relay'!D48</f>
        <v>1.1580270378376794E-7</v>
      </c>
      <c r="F119" s="21" t="s">
        <v>567</v>
      </c>
      <c r="G119" s="21" t="s">
        <v>568</v>
      </c>
      <c r="H119" s="20" t="s">
        <v>43</v>
      </c>
      <c r="I119" s="20" t="s">
        <v>408</v>
      </c>
      <c r="J119" s="20" t="s">
        <v>592</v>
      </c>
      <c r="K119" s="20" t="s">
        <v>728</v>
      </c>
      <c r="L119" s="20" t="s">
        <v>729</v>
      </c>
      <c r="M119" s="20">
        <v>3.2724899999999999</v>
      </c>
      <c r="N119" s="20">
        <v>3.2719999999999998</v>
      </c>
      <c r="O119" s="20">
        <v>3.2749999999999999</v>
      </c>
      <c r="P119" s="20">
        <v>4.3130000000000002E-2</v>
      </c>
      <c r="Q119" s="20">
        <v>4.095E-2</v>
      </c>
      <c r="R119" s="20">
        <v>4.53E-2</v>
      </c>
      <c r="S119" s="20">
        <f t="shared" si="73"/>
        <v>4092</v>
      </c>
      <c r="T119" s="20">
        <f t="shared" si="74"/>
        <v>4091</v>
      </c>
      <c r="U119" s="20">
        <f t="shared" si="75"/>
        <v>4095</v>
      </c>
      <c r="V119" s="20">
        <f t="shared" si="76"/>
        <v>54</v>
      </c>
      <c r="W119" s="20">
        <f t="shared" si="77"/>
        <v>51</v>
      </c>
      <c r="X119" s="20">
        <f t="shared" si="78"/>
        <v>57</v>
      </c>
      <c r="Y119" s="20" t="s">
        <v>417</v>
      </c>
      <c r="Z119" s="25">
        <v>1</v>
      </c>
      <c r="AA119" s="25">
        <v>1</v>
      </c>
      <c r="AB119" s="25" t="s">
        <v>414</v>
      </c>
      <c r="AC119" s="20" t="s">
        <v>736</v>
      </c>
    </row>
    <row r="120" spans="1:29" ht="38.25">
      <c r="A120" s="20" t="s">
        <v>376</v>
      </c>
      <c r="B120" s="24" t="str">
        <f>'Lambda-Relay'!A49</f>
        <v>Change of pick-up to drop-away ratio</v>
      </c>
      <c r="C120" s="22">
        <f>'Lambda-Relay'!B$28</f>
        <v>4.0085551309765821E-6</v>
      </c>
      <c r="D120" s="23">
        <f>'Lambda-Relay'!C49</f>
        <v>2.8888888888888891E-2</v>
      </c>
      <c r="E120" s="20">
        <f>'Lambda-Relay'!D49</f>
        <v>1.1580270378376794E-7</v>
      </c>
      <c r="F120" s="21" t="s">
        <v>566</v>
      </c>
      <c r="G120" s="21" t="s">
        <v>566</v>
      </c>
      <c r="H120" s="20" t="s">
        <v>43</v>
      </c>
      <c r="I120" s="20" t="s">
        <v>409</v>
      </c>
      <c r="J120" s="20" t="s">
        <v>409</v>
      </c>
      <c r="K120" s="20" t="s">
        <v>730</v>
      </c>
      <c r="L120" s="20" t="s">
        <v>730</v>
      </c>
      <c r="M120" s="20">
        <v>3.2724899999999999</v>
      </c>
      <c r="N120" s="20">
        <v>3.2719999999999998</v>
      </c>
      <c r="O120" s="20">
        <v>3.2749999999999999</v>
      </c>
      <c r="P120" s="20">
        <v>4.3130000000000002E-2</v>
      </c>
      <c r="Q120" s="20">
        <v>4.095E-2</v>
      </c>
      <c r="R120" s="20">
        <v>4.53E-2</v>
      </c>
      <c r="S120" s="20">
        <f t="shared" si="73"/>
        <v>4092</v>
      </c>
      <c r="T120" s="20">
        <f t="shared" si="74"/>
        <v>4091</v>
      </c>
      <c r="U120" s="20">
        <f t="shared" si="75"/>
        <v>4095</v>
      </c>
      <c r="V120" s="20">
        <f t="shared" si="76"/>
        <v>54</v>
      </c>
      <c r="W120" s="20">
        <f t="shared" si="77"/>
        <v>51</v>
      </c>
      <c r="X120" s="20">
        <f t="shared" si="78"/>
        <v>57</v>
      </c>
      <c r="Y120" s="20" t="s">
        <v>417</v>
      </c>
      <c r="Z120" s="25">
        <v>0</v>
      </c>
      <c r="AA120" s="25">
        <v>1</v>
      </c>
      <c r="AB120" s="25" t="s">
        <v>417</v>
      </c>
      <c r="AC120" s="20" t="s">
        <v>736</v>
      </c>
    </row>
    <row r="121" spans="1:29" ht="63.75">
      <c r="A121" s="20" t="s">
        <v>376</v>
      </c>
      <c r="B121" s="24" t="str">
        <f>'Lambda-Relay'!A50</f>
        <v>Increase of pick-up time</v>
      </c>
      <c r="C121" s="22">
        <f>'Lambda-Relay'!B$28</f>
        <v>4.0085551309765821E-6</v>
      </c>
      <c r="D121" s="23">
        <f>'Lambda-Relay'!C50</f>
        <v>7.8571428571428584E-2</v>
      </c>
      <c r="E121" s="20">
        <f>'Lambda-Relay'!D50</f>
        <v>3.1495790314816006E-7</v>
      </c>
      <c r="F121" s="21" t="s">
        <v>570</v>
      </c>
      <c r="G121" s="21" t="s">
        <v>571</v>
      </c>
      <c r="H121" s="20" t="s">
        <v>43</v>
      </c>
      <c r="I121" s="25" t="s">
        <v>408</v>
      </c>
      <c r="J121" s="25" t="s">
        <v>521</v>
      </c>
      <c r="K121" s="25" t="s">
        <v>726</v>
      </c>
      <c r="L121" s="20" t="s">
        <v>728</v>
      </c>
      <c r="M121" s="20">
        <v>3.1999999999999999E-6</v>
      </c>
      <c r="N121" s="20">
        <v>3.1999999999999999E-6</v>
      </c>
      <c r="O121" s="20">
        <v>3.1999999999999999E-6</v>
      </c>
      <c r="P121" s="20">
        <v>3.1999999999999999E-6</v>
      </c>
      <c r="Q121" s="20">
        <v>3.1999999999999999E-6</v>
      </c>
      <c r="R121" s="20">
        <v>3.1999999999999999E-6</v>
      </c>
      <c r="S121" s="20">
        <f t="shared" si="73"/>
        <v>0</v>
      </c>
      <c r="T121" s="20">
        <f t="shared" si="74"/>
        <v>0</v>
      </c>
      <c r="U121" s="20">
        <f t="shared" si="75"/>
        <v>0</v>
      </c>
      <c r="V121" s="20">
        <f t="shared" si="76"/>
        <v>0</v>
      </c>
      <c r="W121" s="20">
        <f t="shared" si="77"/>
        <v>0</v>
      </c>
      <c r="X121" s="20">
        <f t="shared" si="78"/>
        <v>0</v>
      </c>
      <c r="Y121" s="20" t="s">
        <v>414</v>
      </c>
      <c r="Z121" s="25">
        <v>0</v>
      </c>
      <c r="AA121" s="25">
        <v>1</v>
      </c>
      <c r="AB121" s="25" t="s">
        <v>470</v>
      </c>
      <c r="AC121" s="20" t="s">
        <v>736</v>
      </c>
    </row>
    <row r="122" spans="1:29" ht="38.25">
      <c r="A122" s="20" t="s">
        <v>376</v>
      </c>
      <c r="B122" s="24" t="str">
        <f>'Lambda-Relay'!A51</f>
        <v>Decrease of pick-up time</v>
      </c>
      <c r="C122" s="22">
        <f>'Lambda-Relay'!B$28</f>
        <v>4.0085551309765821E-6</v>
      </c>
      <c r="D122" s="23">
        <f>'Lambda-Relay'!C51</f>
        <v>2.8888888888888891E-2</v>
      </c>
      <c r="E122" s="20">
        <f>'Lambda-Relay'!D51</f>
        <v>1.1580270378376794E-7</v>
      </c>
      <c r="F122" s="21" t="s">
        <v>480</v>
      </c>
      <c r="G122" s="21" t="s">
        <v>480</v>
      </c>
      <c r="H122" s="20" t="s">
        <v>43</v>
      </c>
      <c r="I122" s="20" t="s">
        <v>409</v>
      </c>
      <c r="J122" s="20" t="s">
        <v>409</v>
      </c>
      <c r="K122" s="20" t="s">
        <v>730</v>
      </c>
      <c r="L122" s="20" t="s">
        <v>730</v>
      </c>
      <c r="M122" s="20">
        <v>3.2724899999999999</v>
      </c>
      <c r="N122" s="20">
        <v>3.2719999999999998</v>
      </c>
      <c r="O122" s="20">
        <v>3.2749999999999999</v>
      </c>
      <c r="P122" s="20">
        <v>4.3130000000000002E-2</v>
      </c>
      <c r="Q122" s="20">
        <v>4.095E-2</v>
      </c>
      <c r="R122" s="20">
        <v>4.53E-2</v>
      </c>
      <c r="S122" s="20">
        <f t="shared" si="73"/>
        <v>4092</v>
      </c>
      <c r="T122" s="20">
        <f t="shared" si="74"/>
        <v>4091</v>
      </c>
      <c r="U122" s="20">
        <f t="shared" si="75"/>
        <v>4095</v>
      </c>
      <c r="V122" s="20">
        <f t="shared" si="76"/>
        <v>54</v>
      </c>
      <c r="W122" s="20">
        <f t="shared" si="77"/>
        <v>51</v>
      </c>
      <c r="X122" s="20">
        <f t="shared" si="78"/>
        <v>57</v>
      </c>
      <c r="Y122" s="20" t="s">
        <v>417</v>
      </c>
      <c r="Z122" s="25">
        <v>0</v>
      </c>
      <c r="AA122" s="25">
        <v>1</v>
      </c>
      <c r="AB122" s="25" t="s">
        <v>417</v>
      </c>
      <c r="AC122" s="20" t="s">
        <v>736</v>
      </c>
    </row>
    <row r="123" spans="1:29" ht="51">
      <c r="A123" s="20" t="s">
        <v>376</v>
      </c>
      <c r="B123" s="24" t="str">
        <f>'Lambda-Relay'!A52</f>
        <v>Increase of drop-away time</v>
      </c>
      <c r="C123" s="22">
        <f>'Lambda-Relay'!B$28</f>
        <v>4.0085551309765821E-6</v>
      </c>
      <c r="D123" s="23">
        <f>'Lambda-Relay'!C52</f>
        <v>7.8571428571428584E-2</v>
      </c>
      <c r="E123" s="20">
        <f>'Lambda-Relay'!D52</f>
        <v>3.1495790314816006E-7</v>
      </c>
      <c r="F123" s="21" t="s">
        <v>572</v>
      </c>
      <c r="G123" s="21" t="s">
        <v>573</v>
      </c>
      <c r="H123" s="20" t="s">
        <v>43</v>
      </c>
      <c r="I123" s="20" t="s">
        <v>408</v>
      </c>
      <c r="J123" s="20" t="s">
        <v>592</v>
      </c>
      <c r="K123" s="20" t="s">
        <v>728</v>
      </c>
      <c r="L123" s="20" t="s">
        <v>729</v>
      </c>
      <c r="M123" s="20">
        <v>3.2724899999999999</v>
      </c>
      <c r="N123" s="20">
        <v>3.2719999999999998</v>
      </c>
      <c r="O123" s="20">
        <v>3.2749999999999999</v>
      </c>
      <c r="P123" s="20">
        <v>4.3130000000000002E-2</v>
      </c>
      <c r="Q123" s="20">
        <v>4.095E-2</v>
      </c>
      <c r="R123" s="20">
        <v>4.53E-2</v>
      </c>
      <c r="S123" s="20">
        <f t="shared" si="73"/>
        <v>4092</v>
      </c>
      <c r="T123" s="20">
        <f t="shared" si="74"/>
        <v>4091</v>
      </c>
      <c r="U123" s="20">
        <f t="shared" si="75"/>
        <v>4095</v>
      </c>
      <c r="V123" s="20">
        <f t="shared" si="76"/>
        <v>54</v>
      </c>
      <c r="W123" s="20">
        <f t="shared" si="77"/>
        <v>51</v>
      </c>
      <c r="X123" s="20">
        <f t="shared" si="78"/>
        <v>57</v>
      </c>
      <c r="Y123" s="20" t="s">
        <v>417</v>
      </c>
      <c r="Z123" s="25">
        <v>1</v>
      </c>
      <c r="AA123" s="25">
        <v>1</v>
      </c>
      <c r="AB123" s="25" t="s">
        <v>414</v>
      </c>
      <c r="AC123" s="20" t="s">
        <v>736</v>
      </c>
    </row>
    <row r="124" spans="1:29" ht="38.25">
      <c r="A124" s="20" t="s">
        <v>376</v>
      </c>
      <c r="B124" s="24" t="str">
        <f>'Lambda-Relay'!A53</f>
        <v>Decrease of drop-away time</v>
      </c>
      <c r="C124" s="22">
        <f>'Lambda-Relay'!B$28</f>
        <v>4.0085551309765821E-6</v>
      </c>
      <c r="D124" s="23">
        <f>'Lambda-Relay'!C53</f>
        <v>2.8888888888888891E-2</v>
      </c>
      <c r="E124" s="20">
        <f>'Lambda-Relay'!D53</f>
        <v>1.1580270378376794E-7</v>
      </c>
      <c r="F124" s="21" t="s">
        <v>480</v>
      </c>
      <c r="G124" s="21" t="s">
        <v>480</v>
      </c>
      <c r="H124" s="20" t="s">
        <v>43</v>
      </c>
      <c r="I124" s="20" t="s">
        <v>409</v>
      </c>
      <c r="J124" s="20" t="s">
        <v>409</v>
      </c>
      <c r="K124" s="20" t="s">
        <v>730</v>
      </c>
      <c r="L124" s="20" t="s">
        <v>730</v>
      </c>
      <c r="M124" s="20">
        <v>3.2724899999999999</v>
      </c>
      <c r="N124" s="20">
        <v>3.2719999999999998</v>
      </c>
      <c r="O124" s="20">
        <v>3.2749999999999999</v>
      </c>
      <c r="P124" s="20">
        <v>4.3130000000000002E-2</v>
      </c>
      <c r="Q124" s="20">
        <v>4.095E-2</v>
      </c>
      <c r="R124" s="20">
        <v>4.53E-2</v>
      </c>
      <c r="S124" s="20">
        <f t="shared" si="73"/>
        <v>4092</v>
      </c>
      <c r="T124" s="20">
        <f t="shared" si="74"/>
        <v>4091</v>
      </c>
      <c r="U124" s="20">
        <f t="shared" si="75"/>
        <v>4095</v>
      </c>
      <c r="V124" s="20">
        <f t="shared" si="76"/>
        <v>54</v>
      </c>
      <c r="W124" s="20">
        <f t="shared" si="77"/>
        <v>51</v>
      </c>
      <c r="X124" s="20">
        <f t="shared" si="78"/>
        <v>57</v>
      </c>
      <c r="Y124" s="20" t="s">
        <v>417</v>
      </c>
      <c r="Z124" s="25">
        <v>0</v>
      </c>
      <c r="AA124" s="25">
        <v>1</v>
      </c>
      <c r="AB124" s="25" t="s">
        <v>417</v>
      </c>
      <c r="AC124" s="20" t="s">
        <v>736</v>
      </c>
    </row>
    <row r="125" spans="1:29" ht="38.25">
      <c r="A125" s="20" t="s">
        <v>376</v>
      </c>
      <c r="B125" s="24" t="str">
        <f>'Lambda-Relay'!A54</f>
        <v>Relay does not pick up</v>
      </c>
      <c r="C125" s="22">
        <f>'Lambda-Relay'!B$28</f>
        <v>4.0085551309765821E-6</v>
      </c>
      <c r="D125" s="23">
        <f>'Lambda-Relay'!C54</f>
        <v>7.8571428571428584E-2</v>
      </c>
      <c r="E125" s="20">
        <f>'Lambda-Relay'!D54</f>
        <v>3.1495790314816006E-7</v>
      </c>
      <c r="F125" s="21" t="s">
        <v>517</v>
      </c>
      <c r="G125" s="21" t="s">
        <v>491</v>
      </c>
      <c r="H125" s="20" t="s">
        <v>43</v>
      </c>
      <c r="I125" s="20" t="s">
        <v>408</v>
      </c>
      <c r="J125" s="20" t="s">
        <v>590</v>
      </c>
      <c r="K125" s="20" t="s">
        <v>729</v>
      </c>
      <c r="L125" s="20" t="s">
        <v>729</v>
      </c>
      <c r="M125" s="20">
        <v>0</v>
      </c>
      <c r="N125" s="20">
        <v>0</v>
      </c>
      <c r="O125" s="20">
        <v>0</v>
      </c>
      <c r="P125" s="20">
        <v>0</v>
      </c>
      <c r="Q125" s="20">
        <v>0</v>
      </c>
      <c r="R125" s="20">
        <v>0</v>
      </c>
      <c r="S125" s="20">
        <f t="shared" si="73"/>
        <v>0</v>
      </c>
      <c r="T125" s="20">
        <f t="shared" si="74"/>
        <v>0</v>
      </c>
      <c r="U125" s="20">
        <f t="shared" si="75"/>
        <v>0</v>
      </c>
      <c r="V125" s="20">
        <f t="shared" si="76"/>
        <v>0</v>
      </c>
      <c r="W125" s="20">
        <f t="shared" si="77"/>
        <v>0</v>
      </c>
      <c r="X125" s="20">
        <f t="shared" si="78"/>
        <v>0</v>
      </c>
      <c r="Y125" s="20" t="s">
        <v>413</v>
      </c>
      <c r="Z125" s="25">
        <v>0</v>
      </c>
      <c r="AA125" s="25">
        <v>0</v>
      </c>
      <c r="AB125" s="25" t="s">
        <v>413</v>
      </c>
      <c r="AC125" s="20" t="s">
        <v>736</v>
      </c>
    </row>
    <row r="126" spans="1:29" ht="63.75">
      <c r="A126" s="20" t="s">
        <v>376</v>
      </c>
      <c r="B126" s="24" t="str">
        <f>'Lambda-Relay'!A55</f>
        <v>Relay does not drop away</v>
      </c>
      <c r="C126" s="22">
        <f>'Lambda-Relay'!B$28</f>
        <v>4.0085551309765821E-6</v>
      </c>
      <c r="D126" s="23">
        <f>'Lambda-Relay'!C55</f>
        <v>7.8571428571428584E-2</v>
      </c>
      <c r="E126" s="20">
        <f>'Lambda-Relay'!D55</f>
        <v>3.1495790314816006E-7</v>
      </c>
      <c r="F126" s="21" t="s">
        <v>574</v>
      </c>
      <c r="G126" s="21" t="s">
        <v>594</v>
      </c>
      <c r="H126" s="20" t="s">
        <v>43</v>
      </c>
      <c r="I126" s="20" t="s">
        <v>408</v>
      </c>
      <c r="J126" s="20" t="s">
        <v>592</v>
      </c>
      <c r="K126" s="20" t="s">
        <v>728</v>
      </c>
      <c r="L126" s="20" t="s">
        <v>729</v>
      </c>
      <c r="M126" s="20">
        <v>3.2724899999999999</v>
      </c>
      <c r="N126" s="20">
        <v>3.2719999999999998</v>
      </c>
      <c r="O126" s="20">
        <v>3.2749999999999999</v>
      </c>
      <c r="P126" s="20">
        <v>4.3130000000000002E-2</v>
      </c>
      <c r="Q126" s="20">
        <v>4.095E-2</v>
      </c>
      <c r="R126" s="20">
        <v>4.53E-2</v>
      </c>
      <c r="S126" s="20">
        <f t="shared" si="73"/>
        <v>4092</v>
      </c>
      <c r="T126" s="20">
        <f t="shared" si="74"/>
        <v>4091</v>
      </c>
      <c r="U126" s="20">
        <f t="shared" si="75"/>
        <v>4095</v>
      </c>
      <c r="V126" s="20">
        <f t="shared" si="76"/>
        <v>54</v>
      </c>
      <c r="W126" s="20">
        <f t="shared" si="77"/>
        <v>51</v>
      </c>
      <c r="X126" s="20">
        <f t="shared" si="78"/>
        <v>57</v>
      </c>
      <c r="Y126" s="20" t="s">
        <v>417</v>
      </c>
      <c r="Z126" s="25">
        <v>1</v>
      </c>
      <c r="AA126" s="25">
        <v>1</v>
      </c>
      <c r="AB126" s="25" t="s">
        <v>414</v>
      </c>
      <c r="AC126" s="20" t="s">
        <v>736</v>
      </c>
    </row>
    <row r="127" spans="1:29" ht="51">
      <c r="A127" s="20" t="s">
        <v>376</v>
      </c>
      <c r="B127" s="24" t="str">
        <f>'Lambda-Relay'!A56</f>
        <v>Closure of any front contact at the same time as any back contact (transient or continuous)</v>
      </c>
      <c r="C127" s="22">
        <f>'Lambda-Relay'!B$28</f>
        <v>4.0085551309765821E-6</v>
      </c>
      <c r="D127" s="23">
        <f>'Lambda-Relay'!C56</f>
        <v>0</v>
      </c>
      <c r="E127" s="20">
        <f>'Lambda-Relay'!D56</f>
        <v>0</v>
      </c>
      <c r="F127" s="21" t="s">
        <v>575</v>
      </c>
      <c r="G127" s="21" t="s">
        <v>575</v>
      </c>
      <c r="H127" s="20" t="s">
        <v>43</v>
      </c>
      <c r="I127" s="20" t="s">
        <v>409</v>
      </c>
      <c r="J127" s="20" t="s">
        <v>409</v>
      </c>
      <c r="K127" s="20" t="s">
        <v>730</v>
      </c>
      <c r="L127" s="20" t="s">
        <v>730</v>
      </c>
      <c r="M127" s="20">
        <v>3.2724899999999999</v>
      </c>
      <c r="N127" s="20">
        <v>3.2719999999999998</v>
      </c>
      <c r="O127" s="20">
        <v>3.2749999999999999</v>
      </c>
      <c r="P127" s="20">
        <v>4.3130000000000002E-2</v>
      </c>
      <c r="Q127" s="20">
        <v>4.095E-2</v>
      </c>
      <c r="R127" s="20">
        <v>4.53E-2</v>
      </c>
      <c r="S127" s="20">
        <f t="shared" si="73"/>
        <v>4092</v>
      </c>
      <c r="T127" s="20">
        <f t="shared" si="74"/>
        <v>4091</v>
      </c>
      <c r="U127" s="20">
        <f t="shared" si="75"/>
        <v>4095</v>
      </c>
      <c r="V127" s="20">
        <f t="shared" si="76"/>
        <v>54</v>
      </c>
      <c r="W127" s="20">
        <f t="shared" si="77"/>
        <v>51</v>
      </c>
      <c r="X127" s="20">
        <f t="shared" si="78"/>
        <v>57</v>
      </c>
      <c r="Y127" s="20" t="s">
        <v>417</v>
      </c>
      <c r="Z127" s="25">
        <v>0</v>
      </c>
      <c r="AA127" s="25">
        <v>1</v>
      </c>
      <c r="AB127" s="25" t="s">
        <v>417</v>
      </c>
      <c r="AC127" s="20" t="s">
        <v>736</v>
      </c>
    </row>
    <row r="128" spans="1:29" ht="51">
      <c r="A128" s="20" t="s">
        <v>376</v>
      </c>
      <c r="B128" s="24" t="str">
        <f>'Lambda-Relay'!A57</f>
        <v>Non-correspondence between front contacts</v>
      </c>
      <c r="C128" s="22">
        <f>'Lambda-Relay'!B$28</f>
        <v>4.0085551309765821E-6</v>
      </c>
      <c r="D128" s="23">
        <f>'Lambda-Relay'!C57</f>
        <v>0</v>
      </c>
      <c r="E128" s="20">
        <f>'Lambda-Relay'!D57</f>
        <v>0</v>
      </c>
      <c r="F128" s="21" t="s">
        <v>575</v>
      </c>
      <c r="G128" s="21" t="s">
        <v>575</v>
      </c>
      <c r="H128" s="20" t="s">
        <v>43</v>
      </c>
      <c r="I128" s="20" t="s">
        <v>409</v>
      </c>
      <c r="J128" s="20" t="s">
        <v>409</v>
      </c>
      <c r="K128" s="20" t="s">
        <v>730</v>
      </c>
      <c r="L128" s="20" t="s">
        <v>730</v>
      </c>
      <c r="M128" s="20">
        <v>3.2724899999999999</v>
      </c>
      <c r="N128" s="20">
        <v>3.2719999999999998</v>
      </c>
      <c r="O128" s="20">
        <v>3.2749999999999999</v>
      </c>
      <c r="P128" s="20">
        <v>4.3130000000000002E-2</v>
      </c>
      <c r="Q128" s="20">
        <v>4.095E-2</v>
      </c>
      <c r="R128" s="20">
        <v>4.53E-2</v>
      </c>
      <c r="S128" s="20">
        <f t="shared" si="73"/>
        <v>4092</v>
      </c>
      <c r="T128" s="20">
        <f t="shared" si="74"/>
        <v>4091</v>
      </c>
      <c r="U128" s="20">
        <f t="shared" si="75"/>
        <v>4095</v>
      </c>
      <c r="V128" s="20">
        <f t="shared" si="76"/>
        <v>54</v>
      </c>
      <c r="W128" s="20">
        <f t="shared" si="77"/>
        <v>51</v>
      </c>
      <c r="X128" s="20">
        <f t="shared" si="78"/>
        <v>57</v>
      </c>
      <c r="Y128" s="20" t="s">
        <v>417</v>
      </c>
      <c r="Z128" s="25">
        <v>0</v>
      </c>
      <c r="AA128" s="25">
        <v>1</v>
      </c>
      <c r="AB128" s="25" t="s">
        <v>417</v>
      </c>
      <c r="AC128" s="20" t="s">
        <v>736</v>
      </c>
    </row>
    <row r="129" spans="1:29" ht="51">
      <c r="A129" s="20" t="s">
        <v>376</v>
      </c>
      <c r="B129" s="24" t="str">
        <f>'Lambda-Relay'!A58</f>
        <v>Non-correspondence between back contacts</v>
      </c>
      <c r="C129" s="22">
        <f>'Lambda-Relay'!B$28</f>
        <v>4.0085551309765821E-6</v>
      </c>
      <c r="D129" s="23">
        <f>'Lambda-Relay'!C58</f>
        <v>0</v>
      </c>
      <c r="E129" s="20">
        <f>'Lambda-Relay'!D58</f>
        <v>0</v>
      </c>
      <c r="F129" s="21" t="s">
        <v>575</v>
      </c>
      <c r="G129" s="21" t="s">
        <v>575</v>
      </c>
      <c r="H129" s="20" t="s">
        <v>43</v>
      </c>
      <c r="I129" s="20" t="s">
        <v>409</v>
      </c>
      <c r="J129" s="20" t="s">
        <v>409</v>
      </c>
      <c r="K129" s="20" t="s">
        <v>730</v>
      </c>
      <c r="L129" s="20" t="s">
        <v>730</v>
      </c>
      <c r="M129" s="20">
        <v>3.2724899999999999</v>
      </c>
      <c r="N129" s="20">
        <v>3.2719999999999998</v>
      </c>
      <c r="O129" s="20">
        <v>3.2749999999999999</v>
      </c>
      <c r="P129" s="20">
        <v>4.3130000000000002E-2</v>
      </c>
      <c r="Q129" s="20">
        <v>4.095E-2</v>
      </c>
      <c r="R129" s="20">
        <v>4.53E-2</v>
      </c>
      <c r="S129" s="20">
        <f t="shared" si="73"/>
        <v>4092</v>
      </c>
      <c r="T129" s="20">
        <f t="shared" si="74"/>
        <v>4091</v>
      </c>
      <c r="U129" s="20">
        <f t="shared" si="75"/>
        <v>4095</v>
      </c>
      <c r="V129" s="20">
        <f t="shared" si="76"/>
        <v>54</v>
      </c>
      <c r="W129" s="20">
        <f t="shared" si="77"/>
        <v>51</v>
      </c>
      <c r="X129" s="20">
        <f t="shared" si="78"/>
        <v>57</v>
      </c>
      <c r="Y129" s="20" t="s">
        <v>417</v>
      </c>
      <c r="Z129" s="25">
        <v>0</v>
      </c>
      <c r="AA129" s="25">
        <v>1</v>
      </c>
      <c r="AB129" s="25" t="s">
        <v>417</v>
      </c>
      <c r="AC129" s="20" t="s">
        <v>736</v>
      </c>
    </row>
    <row r="130" spans="1:29" ht="76.5">
      <c r="A130" s="20" t="s">
        <v>345</v>
      </c>
      <c r="B130" s="24" t="str">
        <f>'Lambda-OR Gate'!A34</f>
        <v>VCC Supply open</v>
      </c>
      <c r="C130" s="22">
        <f>'Lambda-OR Gate'!B$31</f>
        <v>1.4113349307798921E-8</v>
      </c>
      <c r="D130" s="23">
        <f>'Lambda-OR Gate'!C34</f>
        <v>0.06</v>
      </c>
      <c r="E130" s="20">
        <f>'Lambda-OR Gate'!D34</f>
        <v>8.468009584679352E-10</v>
      </c>
      <c r="F130" s="21" t="s">
        <v>584</v>
      </c>
      <c r="G130" s="21" t="s">
        <v>586</v>
      </c>
      <c r="H130" s="25" t="s">
        <v>43</v>
      </c>
      <c r="I130" s="20" t="s">
        <v>408</v>
      </c>
      <c r="J130" s="20" t="s">
        <v>591</v>
      </c>
      <c r="K130" s="20" t="s">
        <v>729</v>
      </c>
      <c r="L130" s="20" t="s">
        <v>728</v>
      </c>
      <c r="M130" s="20">
        <v>3.27305</v>
      </c>
      <c r="N130" s="20">
        <v>3.2730299999999999</v>
      </c>
      <c r="O130" s="20">
        <v>3.2730600000000001</v>
      </c>
      <c r="P130" s="20">
        <v>3.2723450000000001</v>
      </c>
      <c r="Q130" s="20">
        <v>3.272335</v>
      </c>
      <c r="R130" s="20">
        <v>3.2723550000000001</v>
      </c>
      <c r="S130" s="20">
        <f t="shared" ref="S130:S131" si="79">ROUND(((M130-MIN($M$3:$R$212))/(MAX($M$3:$R$212)-MIN($M$3:$R$212)))*((2^12)-1), 0)</f>
        <v>4093</v>
      </c>
      <c r="T130" s="20">
        <f t="shared" ref="T130:T131" si="80">ROUND(((N130-MIN($M$3:$R$212))/(MAX($M$3:$R$212)-MIN($M$3:$R$212)))*((2^12)-1), 0)</f>
        <v>4093</v>
      </c>
      <c r="U130" s="20">
        <f t="shared" ref="U130:U131" si="81">ROUND(((O130-MIN($M$3:$R$212))/(MAX($M$3:$R$212)-MIN($M$3:$R$212)))*((2^12)-1), 0)</f>
        <v>4093</v>
      </c>
      <c r="V130" s="20">
        <f t="shared" ref="V130:V131" si="82">ROUND(((P130-MIN($M$3:$R$212))/(MAX($M$3:$R$212)-MIN($M$3:$R$212)))*((2^12)-1), 0)</f>
        <v>4092</v>
      </c>
      <c r="W130" s="20">
        <f t="shared" ref="W130:W131" si="83">ROUND(((Q130-MIN($M$3:$R$212))/(MAX($M$3:$R$212)-MIN($M$3:$R$212)))*((2^12)-1), 0)</f>
        <v>4092</v>
      </c>
      <c r="X130" s="20">
        <f t="shared" ref="X130:X131" si="84">ROUND(((R130-MIN($M$3:$R$212))/(MAX($M$3:$R$212)-MIN($M$3:$R$212)))*((2^12)-1), 0)</f>
        <v>4092</v>
      </c>
      <c r="Y130" s="20" t="s">
        <v>484</v>
      </c>
      <c r="Z130" s="25">
        <v>0</v>
      </c>
      <c r="AA130" s="25">
        <v>1</v>
      </c>
      <c r="AB130" s="25" t="s">
        <v>417</v>
      </c>
      <c r="AC130" s="20" t="s">
        <v>736</v>
      </c>
    </row>
    <row r="131" spans="1:29" ht="76.5">
      <c r="A131" s="20" t="s">
        <v>345</v>
      </c>
      <c r="B131" s="24" t="str">
        <f>'Lambda-OR Gate'!A35</f>
        <v>GND Supply open</v>
      </c>
      <c r="C131" s="22">
        <f>'Lambda-OR Gate'!B$31</f>
        <v>1.4113349307798921E-8</v>
      </c>
      <c r="D131" s="23">
        <f>'Lambda-OR Gate'!C35</f>
        <v>0.06</v>
      </c>
      <c r="E131" s="20">
        <f>'Lambda-OR Gate'!D35</f>
        <v>8.468009584679352E-10</v>
      </c>
      <c r="F131" s="21" t="s">
        <v>585</v>
      </c>
      <c r="G131" s="21" t="s">
        <v>587</v>
      </c>
      <c r="H131" s="20" t="s">
        <v>43</v>
      </c>
      <c r="I131" s="20" t="s">
        <v>408</v>
      </c>
      <c r="J131" s="20" t="s">
        <v>589</v>
      </c>
      <c r="K131" s="20" t="s">
        <v>729</v>
      </c>
      <c r="L131" s="20" t="s">
        <v>728</v>
      </c>
      <c r="M131" s="20">
        <v>3.1999999999999999E-6</v>
      </c>
      <c r="N131" s="20">
        <v>3.1999999999999999E-6</v>
      </c>
      <c r="O131" s="20">
        <v>3.1999999999999999E-6</v>
      </c>
      <c r="P131" s="20">
        <v>3.1999999999999999E-6</v>
      </c>
      <c r="Q131" s="20">
        <v>3.1999999999999999E-6</v>
      </c>
      <c r="R131" s="20">
        <v>3.1999999999999999E-6</v>
      </c>
      <c r="S131" s="20">
        <f t="shared" si="79"/>
        <v>0</v>
      </c>
      <c r="T131" s="20">
        <f t="shared" si="80"/>
        <v>0</v>
      </c>
      <c r="U131" s="20">
        <f t="shared" si="81"/>
        <v>0</v>
      </c>
      <c r="V131" s="20">
        <f t="shared" si="82"/>
        <v>0</v>
      </c>
      <c r="W131" s="20">
        <f t="shared" si="83"/>
        <v>0</v>
      </c>
      <c r="X131" s="20">
        <f t="shared" si="84"/>
        <v>0</v>
      </c>
      <c r="Y131" s="20" t="s">
        <v>414</v>
      </c>
      <c r="Z131" s="25">
        <v>0</v>
      </c>
      <c r="AA131" s="25">
        <v>1</v>
      </c>
      <c r="AB131" s="25" t="s">
        <v>417</v>
      </c>
      <c r="AC131" s="20" t="s">
        <v>736</v>
      </c>
    </row>
    <row r="132" spans="1:29" ht="76.5">
      <c r="A132" s="20" t="s">
        <v>345</v>
      </c>
      <c r="B132" s="24" t="str">
        <f>'Lambda-OR Gate'!A36</f>
        <v>Output 'Y' open</v>
      </c>
      <c r="C132" s="22">
        <f>'Lambda-OR Gate'!B$31</f>
        <v>1.4113349307798921E-8</v>
      </c>
      <c r="D132" s="23">
        <f>'Lambda-OR Gate'!C36</f>
        <v>0.36</v>
      </c>
      <c r="E132" s="20">
        <f>'Lambda-OR Gate'!D36</f>
        <v>5.0808057508076114E-9</v>
      </c>
      <c r="F132" s="21" t="s">
        <v>597</v>
      </c>
      <c r="G132" s="21" t="s">
        <v>586</v>
      </c>
      <c r="H132" s="25" t="s">
        <v>43</v>
      </c>
      <c r="I132" s="20" t="s">
        <v>408</v>
      </c>
      <c r="J132" s="20" t="s">
        <v>591</v>
      </c>
      <c r="K132" s="20" t="s">
        <v>729</v>
      </c>
      <c r="L132" s="20" t="s">
        <v>728</v>
      </c>
      <c r="M132" s="20">
        <v>3.27305</v>
      </c>
      <c r="N132" s="20">
        <v>3.2730299999999999</v>
      </c>
      <c r="O132" s="20">
        <v>3.2730600000000001</v>
      </c>
      <c r="P132" s="20">
        <v>3.2723450000000001</v>
      </c>
      <c r="Q132" s="20">
        <v>3.272335</v>
      </c>
      <c r="R132" s="20">
        <v>3.2723550000000001</v>
      </c>
      <c r="S132" s="20">
        <f t="shared" ref="S132:X138" si="85">ROUND(((M132-MIN($M$3:$R$212))/(MAX($M$3:$R$212)-MIN($M$3:$R$212)))*((2^12)-1), 0)</f>
        <v>4093</v>
      </c>
      <c r="T132" s="20">
        <f t="shared" si="85"/>
        <v>4093</v>
      </c>
      <c r="U132" s="20">
        <f t="shared" si="85"/>
        <v>4093</v>
      </c>
      <c r="V132" s="20">
        <f t="shared" si="85"/>
        <v>4092</v>
      </c>
      <c r="W132" s="20">
        <f t="shared" si="85"/>
        <v>4092</v>
      </c>
      <c r="X132" s="20">
        <f t="shared" si="85"/>
        <v>4092</v>
      </c>
      <c r="Y132" s="20" t="s">
        <v>484</v>
      </c>
      <c r="Z132" s="25">
        <v>0</v>
      </c>
      <c r="AA132" s="25">
        <v>1</v>
      </c>
      <c r="AB132" s="25" t="s">
        <v>417</v>
      </c>
      <c r="AC132" s="20" t="s">
        <v>736</v>
      </c>
    </row>
    <row r="133" spans="1:29" ht="76.5">
      <c r="A133" s="20" t="s">
        <v>345</v>
      </c>
      <c r="B133" s="24" t="str">
        <f>'Lambda-OR Gate'!A37</f>
        <v>Output 'Y' stuck low</v>
      </c>
      <c r="C133" s="22">
        <f>'Lambda-OR Gate'!B$31</f>
        <v>1.4113349307798921E-8</v>
      </c>
      <c r="D133" s="23">
        <f>'Lambda-OR Gate'!C37</f>
        <v>0.09</v>
      </c>
      <c r="E133" s="20">
        <f>'Lambda-OR Gate'!D37</f>
        <v>1.2702014377019029E-9</v>
      </c>
      <c r="F133" s="21" t="s">
        <v>596</v>
      </c>
      <c r="G133" s="21" t="s">
        <v>586</v>
      </c>
      <c r="H133" s="25" t="s">
        <v>43</v>
      </c>
      <c r="I133" s="20" t="s">
        <v>408</v>
      </c>
      <c r="J133" s="20" t="s">
        <v>591</v>
      </c>
      <c r="K133" s="20" t="s">
        <v>729</v>
      </c>
      <c r="L133" s="20" t="s">
        <v>728</v>
      </c>
      <c r="M133" s="20">
        <v>3.27305</v>
      </c>
      <c r="N133" s="20">
        <v>3.2730299999999999</v>
      </c>
      <c r="O133" s="20">
        <v>3.2730600000000001</v>
      </c>
      <c r="P133" s="20">
        <v>3.2723450000000001</v>
      </c>
      <c r="Q133" s="20">
        <v>3.272335</v>
      </c>
      <c r="R133" s="20">
        <v>3.2723550000000001</v>
      </c>
      <c r="S133" s="20">
        <f t="shared" si="85"/>
        <v>4093</v>
      </c>
      <c r="T133" s="20">
        <f t="shared" si="85"/>
        <v>4093</v>
      </c>
      <c r="U133" s="20">
        <f t="shared" si="85"/>
        <v>4093</v>
      </c>
      <c r="V133" s="20">
        <f t="shared" si="85"/>
        <v>4092</v>
      </c>
      <c r="W133" s="20">
        <f t="shared" si="85"/>
        <v>4092</v>
      </c>
      <c r="X133" s="20">
        <f t="shared" si="85"/>
        <v>4092</v>
      </c>
      <c r="Y133" s="20" t="s">
        <v>484</v>
      </c>
      <c r="Z133" s="25">
        <v>0</v>
      </c>
      <c r="AA133" s="25">
        <v>1</v>
      </c>
      <c r="AB133" s="25" t="s">
        <v>417</v>
      </c>
      <c r="AC133" s="20" t="s">
        <v>736</v>
      </c>
    </row>
    <row r="134" spans="1:29" ht="38.25">
      <c r="A134" s="20" t="s">
        <v>345</v>
      </c>
      <c r="B134" s="24" t="str">
        <f>'Lambda-OR Gate'!A38</f>
        <v>Output 'Y' stuck high</v>
      </c>
      <c r="C134" s="22">
        <f>'Lambda-OR Gate'!B$31</f>
        <v>1.4113349307798921E-8</v>
      </c>
      <c r="D134" s="23">
        <f>'Lambda-OR Gate'!C38</f>
        <v>0.08</v>
      </c>
      <c r="E134" s="20">
        <f>'Lambda-OR Gate'!D38</f>
        <v>1.1290679446239138E-9</v>
      </c>
      <c r="F134" s="21" t="s">
        <v>598</v>
      </c>
      <c r="G134" s="21" t="s">
        <v>411</v>
      </c>
      <c r="H134" s="20" t="s">
        <v>43</v>
      </c>
      <c r="I134" s="20" t="s">
        <v>408</v>
      </c>
      <c r="J134" s="20" t="s">
        <v>590</v>
      </c>
      <c r="K134" s="20" t="s">
        <v>729</v>
      </c>
      <c r="L134" s="20" t="s">
        <v>728</v>
      </c>
      <c r="M134" s="20">
        <v>3.1999999999999999E-6</v>
      </c>
      <c r="N134" s="20">
        <v>3.1999999999999999E-6</v>
      </c>
      <c r="O134" s="20">
        <v>3.1999999999999999E-6</v>
      </c>
      <c r="P134" s="20">
        <v>3.1999999999999999E-6</v>
      </c>
      <c r="Q134" s="20">
        <v>3.1999999999999999E-6</v>
      </c>
      <c r="R134" s="20">
        <v>3.1999999999999999E-6</v>
      </c>
      <c r="S134" s="20">
        <f t="shared" si="85"/>
        <v>0</v>
      </c>
      <c r="T134" s="20">
        <f t="shared" si="85"/>
        <v>0</v>
      </c>
      <c r="U134" s="20">
        <f t="shared" si="85"/>
        <v>0</v>
      </c>
      <c r="V134" s="20">
        <f t="shared" si="85"/>
        <v>0</v>
      </c>
      <c r="W134" s="20">
        <f t="shared" si="85"/>
        <v>0</v>
      </c>
      <c r="X134" s="20">
        <f t="shared" si="85"/>
        <v>0</v>
      </c>
      <c r="Y134" s="20" t="s">
        <v>414</v>
      </c>
      <c r="Z134" s="25">
        <v>0</v>
      </c>
      <c r="AA134" s="25">
        <v>1</v>
      </c>
      <c r="AB134" s="25" t="s">
        <v>417</v>
      </c>
      <c r="AC134" s="20" t="s">
        <v>736</v>
      </c>
    </row>
    <row r="135" spans="1:29" ht="76.5">
      <c r="A135" s="20" t="s">
        <v>345</v>
      </c>
      <c r="B135" s="24" t="str">
        <f>'Lambda-OR Gate'!A39</f>
        <v>Input 'A' open</v>
      </c>
      <c r="C135" s="22">
        <f>'Lambda-OR Gate'!B$31</f>
        <v>1.4113349307798921E-8</v>
      </c>
      <c r="D135" s="23">
        <f>'Lambda-OR Gate'!C39</f>
        <v>0.12</v>
      </c>
      <c r="E135" s="20">
        <f>'Lambda-OR Gate'!D39</f>
        <v>1.6936019169358704E-9</v>
      </c>
      <c r="F135" s="21" t="s">
        <v>599</v>
      </c>
      <c r="G135" s="21" t="s">
        <v>600</v>
      </c>
      <c r="H135" s="25" t="s">
        <v>43</v>
      </c>
      <c r="I135" s="20" t="s">
        <v>408</v>
      </c>
      <c r="J135" s="20" t="s">
        <v>591</v>
      </c>
      <c r="K135" s="20" t="s">
        <v>729</v>
      </c>
      <c r="L135" s="20" t="s">
        <v>728</v>
      </c>
      <c r="M135" s="20">
        <v>3.27305</v>
      </c>
      <c r="N135" s="20">
        <v>3.2730299999999999</v>
      </c>
      <c r="O135" s="20">
        <v>3.2730600000000001</v>
      </c>
      <c r="P135" s="20">
        <v>3.2723450000000001</v>
      </c>
      <c r="Q135" s="20">
        <v>3.272335</v>
      </c>
      <c r="R135" s="20">
        <v>3.2723550000000001</v>
      </c>
      <c r="S135" s="20">
        <f t="shared" si="85"/>
        <v>4093</v>
      </c>
      <c r="T135" s="20">
        <f t="shared" si="85"/>
        <v>4093</v>
      </c>
      <c r="U135" s="20">
        <f t="shared" si="85"/>
        <v>4093</v>
      </c>
      <c r="V135" s="20">
        <f t="shared" si="85"/>
        <v>4092</v>
      </c>
      <c r="W135" s="20">
        <f t="shared" si="85"/>
        <v>4092</v>
      </c>
      <c r="X135" s="20">
        <f t="shared" si="85"/>
        <v>4092</v>
      </c>
      <c r="Y135" s="20" t="s">
        <v>484</v>
      </c>
      <c r="Z135" s="25">
        <v>0</v>
      </c>
      <c r="AA135" s="25">
        <v>1</v>
      </c>
      <c r="AB135" s="25" t="s">
        <v>417</v>
      </c>
      <c r="AC135" s="20" t="s">
        <v>736</v>
      </c>
    </row>
    <row r="136" spans="1:29" ht="76.5">
      <c r="A136" s="20" t="s">
        <v>345</v>
      </c>
      <c r="B136" s="24" t="str">
        <f>'Lambda-OR Gate'!A40</f>
        <v>Input 'B' open</v>
      </c>
      <c r="C136" s="22">
        <f>'Lambda-OR Gate'!B$31</f>
        <v>1.4113349307798921E-8</v>
      </c>
      <c r="D136" s="23">
        <f>'Lambda-OR Gate'!C40</f>
        <v>0.12</v>
      </c>
      <c r="E136" s="20">
        <f>'Lambda-OR Gate'!D40</f>
        <v>1.6936019169358704E-9</v>
      </c>
      <c r="F136" s="21" t="s">
        <v>599</v>
      </c>
      <c r="G136" s="21" t="s">
        <v>600</v>
      </c>
      <c r="H136" s="25" t="s">
        <v>43</v>
      </c>
      <c r="I136" s="20" t="s">
        <v>408</v>
      </c>
      <c r="J136" s="20" t="s">
        <v>591</v>
      </c>
      <c r="K136" s="20" t="s">
        <v>729</v>
      </c>
      <c r="L136" s="20" t="s">
        <v>728</v>
      </c>
      <c r="M136" s="20">
        <v>3.27305</v>
      </c>
      <c r="N136" s="20">
        <v>3.2730299999999999</v>
      </c>
      <c r="O136" s="20">
        <v>3.2730600000000001</v>
      </c>
      <c r="P136" s="20">
        <v>3.2723450000000001</v>
      </c>
      <c r="Q136" s="20">
        <v>3.272335</v>
      </c>
      <c r="R136" s="20">
        <v>3.2723550000000001</v>
      </c>
      <c r="S136" s="20">
        <f t="shared" si="85"/>
        <v>4093</v>
      </c>
      <c r="T136" s="20">
        <f t="shared" si="85"/>
        <v>4093</v>
      </c>
      <c r="U136" s="20">
        <f t="shared" si="85"/>
        <v>4093</v>
      </c>
      <c r="V136" s="20">
        <f t="shared" si="85"/>
        <v>4092</v>
      </c>
      <c r="W136" s="20">
        <f t="shared" si="85"/>
        <v>4092</v>
      </c>
      <c r="X136" s="20">
        <f t="shared" si="85"/>
        <v>4092</v>
      </c>
      <c r="Y136" s="20" t="s">
        <v>484</v>
      </c>
      <c r="Z136" s="25">
        <v>0</v>
      </c>
      <c r="AA136" s="25">
        <v>1</v>
      </c>
      <c r="AB136" s="25" t="s">
        <v>417</v>
      </c>
      <c r="AC136" s="20" t="s">
        <v>736</v>
      </c>
    </row>
    <row r="137" spans="1:29" ht="76.5">
      <c r="A137" s="20" t="s">
        <v>345</v>
      </c>
      <c r="B137" s="24" t="str">
        <f>'Lambda-OR Gate'!A41</f>
        <v>Input 'C' open</v>
      </c>
      <c r="C137" s="22">
        <f>'Lambda-OR Gate'!B$31</f>
        <v>1.4113349307798921E-8</v>
      </c>
      <c r="D137" s="23">
        <f>'Lambda-OR Gate'!C41</f>
        <v>0.12</v>
      </c>
      <c r="E137" s="20">
        <f>'Lambda-OR Gate'!D41</f>
        <v>1.6936019169358704E-9</v>
      </c>
      <c r="F137" s="21" t="s">
        <v>599</v>
      </c>
      <c r="G137" s="21" t="s">
        <v>600</v>
      </c>
      <c r="H137" s="25" t="s">
        <v>43</v>
      </c>
      <c r="I137" s="20" t="s">
        <v>408</v>
      </c>
      <c r="J137" s="20" t="s">
        <v>591</v>
      </c>
      <c r="K137" s="20" t="s">
        <v>729</v>
      </c>
      <c r="L137" s="20" t="s">
        <v>728</v>
      </c>
      <c r="M137" s="20">
        <v>3.27305</v>
      </c>
      <c r="N137" s="20">
        <v>3.2730299999999999</v>
      </c>
      <c r="O137" s="20">
        <v>3.2730600000000001</v>
      </c>
      <c r="P137" s="20">
        <v>3.2723450000000001</v>
      </c>
      <c r="Q137" s="20">
        <v>3.272335</v>
      </c>
      <c r="R137" s="20">
        <v>3.2723550000000001</v>
      </c>
      <c r="S137" s="20">
        <f t="shared" si="85"/>
        <v>4093</v>
      </c>
      <c r="T137" s="20">
        <f t="shared" si="85"/>
        <v>4093</v>
      </c>
      <c r="U137" s="20">
        <f t="shared" si="85"/>
        <v>4093</v>
      </c>
      <c r="V137" s="20">
        <f t="shared" si="85"/>
        <v>4092</v>
      </c>
      <c r="W137" s="20">
        <f t="shared" si="85"/>
        <v>4092</v>
      </c>
      <c r="X137" s="20">
        <f t="shared" si="85"/>
        <v>4092</v>
      </c>
      <c r="Y137" s="20" t="s">
        <v>484</v>
      </c>
      <c r="Z137" s="25">
        <v>0</v>
      </c>
      <c r="AA137" s="25">
        <v>1</v>
      </c>
      <c r="AB137" s="25" t="s">
        <v>417</v>
      </c>
      <c r="AC137" s="20" t="s">
        <v>736</v>
      </c>
    </row>
    <row r="138" spans="1:29" ht="38.25">
      <c r="A138" s="20" t="s">
        <v>377</v>
      </c>
      <c r="B138" s="24" t="str">
        <f>'Lambda-Resistor (All)'!A35</f>
        <v>Open</v>
      </c>
      <c r="C138" s="22">
        <f>'Lambda-Resistor (All)'!B$32</f>
        <v>4.1612004167966296E-9</v>
      </c>
      <c r="D138" s="23">
        <f>'Lambda-Resistor (All)'!C35</f>
        <v>0.59</v>
      </c>
      <c r="E138" s="20">
        <f>'Lambda-Resistor (All)'!D35</f>
        <v>2.4551082459100113E-9</v>
      </c>
      <c r="F138" s="21" t="s">
        <v>601</v>
      </c>
      <c r="G138" s="21" t="s">
        <v>491</v>
      </c>
      <c r="H138" s="20" t="s">
        <v>43</v>
      </c>
      <c r="I138" s="20" t="s">
        <v>408</v>
      </c>
      <c r="J138" s="20" t="s">
        <v>590</v>
      </c>
      <c r="K138" s="20" t="s">
        <v>729</v>
      </c>
      <c r="L138" s="20" t="s">
        <v>728</v>
      </c>
      <c r="M138" s="20">
        <v>0</v>
      </c>
      <c r="N138" s="20">
        <v>0</v>
      </c>
      <c r="O138" s="20">
        <v>0</v>
      </c>
      <c r="P138" s="20">
        <v>0</v>
      </c>
      <c r="Q138" s="20">
        <v>0</v>
      </c>
      <c r="R138" s="20">
        <v>0</v>
      </c>
      <c r="S138" s="20">
        <f t="shared" si="85"/>
        <v>0</v>
      </c>
      <c r="T138" s="20">
        <f t="shared" si="85"/>
        <v>0</v>
      </c>
      <c r="U138" s="20">
        <f t="shared" si="85"/>
        <v>0</v>
      </c>
      <c r="V138" s="20">
        <f t="shared" si="85"/>
        <v>0</v>
      </c>
      <c r="W138" s="20">
        <f t="shared" si="85"/>
        <v>0</v>
      </c>
      <c r="X138" s="20">
        <f t="shared" si="85"/>
        <v>0</v>
      </c>
      <c r="Y138" s="20" t="s">
        <v>413</v>
      </c>
      <c r="Z138" s="25">
        <v>0</v>
      </c>
      <c r="AA138" s="25">
        <v>1</v>
      </c>
      <c r="AB138" s="25" t="s">
        <v>417</v>
      </c>
      <c r="AC138" s="20" t="s">
        <v>736</v>
      </c>
    </row>
    <row r="139" spans="1:29" ht="63.75">
      <c r="A139" s="20" t="s">
        <v>377</v>
      </c>
      <c r="B139" s="24" t="str">
        <f>'Lambda-Resistor (All)'!A36</f>
        <v>Short-Circuit</v>
      </c>
      <c r="C139" s="22">
        <f>'Lambda-Resistor (All)'!B$32</f>
        <v>4.1612004167966296E-9</v>
      </c>
      <c r="D139" s="23">
        <f>'Lambda-Resistor (All)'!C36</f>
        <v>0.05</v>
      </c>
      <c r="E139" s="20">
        <f>'Lambda-Resistor (All)'!D36</f>
        <v>2.080600208398315E-10</v>
      </c>
      <c r="F139" s="21" t="s">
        <v>603</v>
      </c>
      <c r="G139" s="21" t="s">
        <v>602</v>
      </c>
      <c r="H139" s="20" t="s">
        <v>43</v>
      </c>
      <c r="I139" s="20" t="s">
        <v>408</v>
      </c>
      <c r="J139" s="20" t="s">
        <v>591</v>
      </c>
      <c r="K139" s="20" t="s">
        <v>729</v>
      </c>
      <c r="L139" s="20" t="s">
        <v>728</v>
      </c>
      <c r="M139" s="20">
        <v>3.1999999999999999E-6</v>
      </c>
      <c r="N139" s="20">
        <v>3.1999999999999999E-6</v>
      </c>
      <c r="O139" s="20">
        <v>3.1999999999999999E-6</v>
      </c>
      <c r="P139" s="20">
        <v>3.1999999999999999E-6</v>
      </c>
      <c r="Q139" s="20">
        <v>3.1999999999999999E-6</v>
      </c>
      <c r="R139" s="20">
        <v>3.1999999999999999E-6</v>
      </c>
      <c r="S139" s="20">
        <f t="shared" ref="S139" si="86">ROUND(((M139-MIN($M$3:$R$212))/(MAX($M$3:$R$212)-MIN($M$3:$R$212)))*((2^12)-1), 0)</f>
        <v>0</v>
      </c>
      <c r="T139" s="20">
        <f t="shared" ref="T139" si="87">ROUND(((N139-MIN($M$3:$R$212))/(MAX($M$3:$R$212)-MIN($M$3:$R$212)))*((2^12)-1), 0)</f>
        <v>0</v>
      </c>
      <c r="U139" s="20">
        <f t="shared" ref="U139" si="88">ROUND(((O139-MIN($M$3:$R$212))/(MAX($M$3:$R$212)-MIN($M$3:$R$212)))*((2^12)-1), 0)</f>
        <v>0</v>
      </c>
      <c r="V139" s="20">
        <f t="shared" ref="V139" si="89">ROUND(((P139-MIN($M$3:$R$212))/(MAX($M$3:$R$212)-MIN($M$3:$R$212)))*((2^12)-1), 0)</f>
        <v>0</v>
      </c>
      <c r="W139" s="20">
        <f t="shared" ref="W139" si="90">ROUND(((Q139-MIN($M$3:$R$212))/(MAX($M$3:$R$212)-MIN($M$3:$R$212)))*((2^12)-1), 0)</f>
        <v>0</v>
      </c>
      <c r="X139" s="20">
        <f t="shared" ref="X139" si="91">ROUND(((R139-MIN($M$3:$R$212))/(MAX($M$3:$R$212)-MIN($M$3:$R$212)))*((2^12)-1), 0)</f>
        <v>0</v>
      </c>
      <c r="Y139" s="20" t="s">
        <v>414</v>
      </c>
      <c r="Z139" s="25">
        <v>0</v>
      </c>
      <c r="AA139" s="25">
        <v>1</v>
      </c>
      <c r="AB139" s="25" t="s">
        <v>417</v>
      </c>
      <c r="AC139" s="20" t="s">
        <v>736</v>
      </c>
    </row>
    <row r="140" spans="1:29" ht="76.5">
      <c r="A140" s="20" t="s">
        <v>377</v>
      </c>
      <c r="B140" s="24" t="str">
        <f>'Lambda-Resistor (All)'!A37</f>
        <v>Increase of Resistance Value</v>
      </c>
      <c r="C140" s="22">
        <f>'Lambda-Resistor (All)'!B$32</f>
        <v>4.1612004167966296E-9</v>
      </c>
      <c r="D140" s="23">
        <f>'Lambda-Resistor (All)'!C37</f>
        <v>0.18</v>
      </c>
      <c r="E140" s="20">
        <f>'Lambda-Resistor (All)'!D37</f>
        <v>7.4901607502339334E-10</v>
      </c>
      <c r="F140" s="21" t="s">
        <v>380</v>
      </c>
      <c r="G140" s="21" t="s">
        <v>733</v>
      </c>
      <c r="H140" s="20" t="s">
        <v>43</v>
      </c>
      <c r="I140" s="20" t="s">
        <v>45</v>
      </c>
      <c r="J140" s="20" t="s">
        <v>588</v>
      </c>
      <c r="K140" s="20" t="s">
        <v>725</v>
      </c>
      <c r="L140" s="20" t="s">
        <v>728</v>
      </c>
      <c r="M140" s="20">
        <v>1.63</v>
      </c>
      <c r="N140" s="20">
        <v>0.4</v>
      </c>
      <c r="O140" s="20">
        <v>3.27</v>
      </c>
      <c r="P140" s="20">
        <v>2.1999999999999999E-2</v>
      </c>
      <c r="Q140" s="20">
        <v>0</v>
      </c>
      <c r="R140" s="20">
        <v>4.3999999999999997E-2</v>
      </c>
      <c r="S140" s="20">
        <f t="shared" ref="S140:S200" si="92">ROUND(((M140-MIN($M$3:$R$212))/(MAX($M$3:$R$212)-MIN($M$3:$R$212)))*((2^12)-1), 0)</f>
        <v>2038</v>
      </c>
      <c r="T140" s="20">
        <f t="shared" ref="T140:T200" si="93">ROUND(((N140-MIN($M$3:$R$212))/(MAX($M$3:$R$212)-MIN($M$3:$R$212)))*((2^12)-1), 0)</f>
        <v>500</v>
      </c>
      <c r="U140" s="20">
        <f t="shared" ref="U140:U200" si="94">ROUND(((O140-MIN($M$3:$R$212))/(MAX($M$3:$R$212)-MIN($M$3:$R$212)))*((2^12)-1), 0)</f>
        <v>4089</v>
      </c>
      <c r="V140" s="20">
        <f t="shared" ref="V140:V200" si="95">ROUND(((P140-MIN($M$3:$R$212))/(MAX($M$3:$R$212)-MIN($M$3:$R$212)))*((2^12)-1), 0)</f>
        <v>28</v>
      </c>
      <c r="W140" s="20">
        <f t="shared" ref="W140:W200" si="96">ROUND(((Q140-MIN($M$3:$R$212))/(MAX($M$3:$R$212)-MIN($M$3:$R$212)))*((2^12)-1), 0)</f>
        <v>0</v>
      </c>
      <c r="X140" s="20">
        <f t="shared" ref="X140:X200" si="97">ROUND(((R140-MIN($M$3:$R$212))/(MAX($M$3:$R$212)-MIN($M$3:$R$212)))*((2^12)-1), 0)</f>
        <v>55</v>
      </c>
      <c r="Y140" s="20" t="s">
        <v>720</v>
      </c>
      <c r="Z140" s="25">
        <v>0</v>
      </c>
      <c r="AA140" s="25">
        <v>1</v>
      </c>
      <c r="AB140" s="25" t="s">
        <v>417</v>
      </c>
      <c r="AC140" s="20" t="s">
        <v>734</v>
      </c>
    </row>
    <row r="141" spans="1:29" ht="38.25">
      <c r="A141" s="20" t="s">
        <v>377</v>
      </c>
      <c r="B141" s="24" t="str">
        <f>'Lambda-Resistor (All)'!A38</f>
        <v>Decrease of Resistance Value</v>
      </c>
      <c r="C141" s="22">
        <f>'Lambda-Resistor (All)'!B$32</f>
        <v>4.1612004167966296E-9</v>
      </c>
      <c r="D141" s="23">
        <f>'Lambda-Resistor (All)'!C38</f>
        <v>0.18</v>
      </c>
      <c r="E141" s="20">
        <f>'Lambda-Resistor (All)'!D38</f>
        <v>7.4901607502339334E-10</v>
      </c>
      <c r="F141" s="21" t="s">
        <v>381</v>
      </c>
      <c r="G141" s="21" t="s">
        <v>381</v>
      </c>
      <c r="H141" s="20" t="s">
        <v>43</v>
      </c>
      <c r="I141" s="20" t="s">
        <v>408</v>
      </c>
      <c r="J141" s="20" t="s">
        <v>591</v>
      </c>
      <c r="K141" s="20" t="s">
        <v>729</v>
      </c>
      <c r="L141" s="20" t="s">
        <v>728</v>
      </c>
      <c r="M141" s="20">
        <v>3.1999999999999999E-6</v>
      </c>
      <c r="N141" s="20">
        <v>3.1999999999999999E-6</v>
      </c>
      <c r="O141" s="20">
        <v>3.1999999999999999E-6</v>
      </c>
      <c r="P141" s="20">
        <v>3.1999999999999999E-6</v>
      </c>
      <c r="Q141" s="20">
        <v>3.1999999999999999E-6</v>
      </c>
      <c r="R141" s="20">
        <v>3.1999999999999999E-6</v>
      </c>
      <c r="S141" s="20">
        <f t="shared" si="92"/>
        <v>0</v>
      </c>
      <c r="T141" s="20">
        <f t="shared" si="93"/>
        <v>0</v>
      </c>
      <c r="U141" s="20">
        <f t="shared" si="94"/>
        <v>0</v>
      </c>
      <c r="V141" s="20">
        <f t="shared" si="95"/>
        <v>0</v>
      </c>
      <c r="W141" s="20">
        <f t="shared" si="96"/>
        <v>0</v>
      </c>
      <c r="X141" s="20">
        <f t="shared" si="97"/>
        <v>0</v>
      </c>
      <c r="Y141" s="20" t="s">
        <v>414</v>
      </c>
      <c r="Z141" s="25">
        <v>0</v>
      </c>
      <c r="AA141" s="25">
        <v>1</v>
      </c>
      <c r="AB141" s="25" t="s">
        <v>417</v>
      </c>
      <c r="AC141" s="20" t="s">
        <v>736</v>
      </c>
    </row>
    <row r="142" spans="1:29" ht="38.25">
      <c r="A142" s="20" t="s">
        <v>377</v>
      </c>
      <c r="B142" s="24" t="str">
        <f>'Lambda-Resistor (All)'!A39</f>
        <v>Short-Circuit to Casing</v>
      </c>
      <c r="C142" s="22">
        <f>'Lambda-Resistor (All)'!B$32</f>
        <v>4.1612004167966296E-9</v>
      </c>
      <c r="D142" s="23">
        <f>'Lambda-Resistor (All)'!C39</f>
        <v>0</v>
      </c>
      <c r="E142" s="20">
        <f>'Lambda-Resistor (All)'!D39</f>
        <v>0</v>
      </c>
      <c r="F142" s="21" t="s">
        <v>382</v>
      </c>
      <c r="G142" s="26" t="s">
        <v>382</v>
      </c>
      <c r="H142" s="20" t="s">
        <v>43</v>
      </c>
      <c r="I142" s="20" t="s">
        <v>409</v>
      </c>
      <c r="J142" s="20" t="s">
        <v>409</v>
      </c>
      <c r="K142" s="20" t="s">
        <v>730</v>
      </c>
      <c r="L142" s="20" t="s">
        <v>730</v>
      </c>
      <c r="M142" s="20">
        <v>3.2724899999999999</v>
      </c>
      <c r="N142" s="20">
        <v>3.2719999999999998</v>
      </c>
      <c r="O142" s="20">
        <v>3.2749999999999999</v>
      </c>
      <c r="P142" s="20">
        <v>4.3130000000000002E-2</v>
      </c>
      <c r="Q142" s="20">
        <v>4.095E-2</v>
      </c>
      <c r="R142" s="20">
        <v>4.53E-2</v>
      </c>
      <c r="S142" s="20">
        <f t="shared" si="92"/>
        <v>4092</v>
      </c>
      <c r="T142" s="20">
        <f t="shared" si="93"/>
        <v>4091</v>
      </c>
      <c r="U142" s="20">
        <f t="shared" si="94"/>
        <v>4095</v>
      </c>
      <c r="V142" s="20">
        <f t="shared" si="95"/>
        <v>54</v>
      </c>
      <c r="W142" s="20">
        <f t="shared" si="96"/>
        <v>51</v>
      </c>
      <c r="X142" s="20">
        <f t="shared" si="97"/>
        <v>57</v>
      </c>
      <c r="Y142" s="20" t="s">
        <v>417</v>
      </c>
      <c r="Z142" s="25">
        <v>0</v>
      </c>
      <c r="AA142" s="25">
        <v>1</v>
      </c>
      <c r="AB142" s="25" t="s">
        <v>417</v>
      </c>
      <c r="AC142" s="20" t="s">
        <v>736</v>
      </c>
    </row>
    <row r="143" spans="1:29" ht="38.25">
      <c r="A143" s="20" t="s">
        <v>378</v>
      </c>
      <c r="B143" s="24" t="str">
        <f>'Lambda-Fuse'!A10</f>
        <v>Interruption</v>
      </c>
      <c r="C143" s="22">
        <f>'Lambda-Fuse'!B$7</f>
        <v>1E-8</v>
      </c>
      <c r="D143" s="23">
        <f>'Lambda-Fuse'!C10</f>
        <v>0.08</v>
      </c>
      <c r="E143" s="20">
        <f>'Lambda-Fuse'!D10</f>
        <v>8.0000000000000003E-10</v>
      </c>
      <c r="F143" s="21" t="s">
        <v>601</v>
      </c>
      <c r="G143" s="21" t="s">
        <v>491</v>
      </c>
      <c r="H143" s="20" t="s">
        <v>43</v>
      </c>
      <c r="I143" s="20" t="s">
        <v>408</v>
      </c>
      <c r="J143" s="20" t="s">
        <v>590</v>
      </c>
      <c r="K143" s="20" t="s">
        <v>729</v>
      </c>
      <c r="L143" s="20" t="s">
        <v>728</v>
      </c>
      <c r="M143" s="20">
        <v>0</v>
      </c>
      <c r="N143" s="20">
        <v>0</v>
      </c>
      <c r="O143" s="20">
        <v>0</v>
      </c>
      <c r="P143" s="20">
        <v>0</v>
      </c>
      <c r="Q143" s="20">
        <v>0</v>
      </c>
      <c r="R143" s="20">
        <v>0</v>
      </c>
      <c r="S143" s="20">
        <f t="shared" si="92"/>
        <v>0</v>
      </c>
      <c r="T143" s="20">
        <f t="shared" si="93"/>
        <v>0</v>
      </c>
      <c r="U143" s="20">
        <f t="shared" si="94"/>
        <v>0</v>
      </c>
      <c r="V143" s="20">
        <f t="shared" si="95"/>
        <v>0</v>
      </c>
      <c r="W143" s="20">
        <f t="shared" si="96"/>
        <v>0</v>
      </c>
      <c r="X143" s="20">
        <f t="shared" si="97"/>
        <v>0</v>
      </c>
      <c r="Y143" s="20" t="s">
        <v>413</v>
      </c>
      <c r="Z143" s="25">
        <v>0</v>
      </c>
      <c r="AA143" s="25">
        <v>1</v>
      </c>
      <c r="AB143" s="25" t="s">
        <v>417</v>
      </c>
      <c r="AC143" s="20" t="s">
        <v>736</v>
      </c>
    </row>
    <row r="144" spans="1:29" ht="76.5">
      <c r="A144" s="20" t="s">
        <v>378</v>
      </c>
      <c r="B144" s="24" t="str">
        <f>'Lambda-Fuse'!A11</f>
        <v>Parallel short-circuit</v>
      </c>
      <c r="C144" s="22">
        <f>'Lambda-Fuse'!B$7</f>
        <v>1E-8</v>
      </c>
      <c r="D144" s="23">
        <f>'Lambda-Fuse'!C11</f>
        <v>0.16333333333333333</v>
      </c>
      <c r="E144" s="20">
        <f>'Lambda-Fuse'!D11</f>
        <v>1.6333333333333333E-9</v>
      </c>
      <c r="F144" s="21" t="s">
        <v>604</v>
      </c>
      <c r="G144" s="21" t="s">
        <v>605</v>
      </c>
      <c r="H144" s="20" t="s">
        <v>43</v>
      </c>
      <c r="I144" s="20" t="s">
        <v>45</v>
      </c>
      <c r="J144" s="20" t="s">
        <v>588</v>
      </c>
      <c r="K144" s="20" t="s">
        <v>728</v>
      </c>
      <c r="L144" s="20" t="s">
        <v>728</v>
      </c>
      <c r="M144" s="20">
        <v>3.2724899999999999</v>
      </c>
      <c r="N144" s="20">
        <v>3.2719999999999998</v>
      </c>
      <c r="O144" s="20">
        <v>3.2749999999999999</v>
      </c>
      <c r="P144" s="20">
        <v>4.3130000000000002E-2</v>
      </c>
      <c r="Q144" s="20">
        <v>4.095E-2</v>
      </c>
      <c r="R144" s="20">
        <v>4.53E-2</v>
      </c>
      <c r="S144" s="20">
        <f t="shared" ref="S144:S147" si="98">ROUND(((M144-MIN($M$3:$R$212))/(MAX($M$3:$R$212)-MIN($M$3:$R$212)))*((2^12)-1), 0)</f>
        <v>4092</v>
      </c>
      <c r="T144" s="20">
        <f t="shared" ref="T144:T147" si="99">ROUND(((N144-MIN($M$3:$R$212))/(MAX($M$3:$R$212)-MIN($M$3:$R$212)))*((2^12)-1), 0)</f>
        <v>4091</v>
      </c>
      <c r="U144" s="20">
        <f t="shared" ref="U144:U147" si="100">ROUND(((O144-MIN($M$3:$R$212))/(MAX($M$3:$R$212)-MIN($M$3:$R$212)))*((2^12)-1), 0)</f>
        <v>4095</v>
      </c>
      <c r="V144" s="20">
        <f t="shared" ref="V144:V147" si="101">ROUND(((P144-MIN($M$3:$R$212))/(MAX($M$3:$R$212)-MIN($M$3:$R$212)))*((2^12)-1), 0)</f>
        <v>54</v>
      </c>
      <c r="W144" s="20">
        <f t="shared" ref="W144:W147" si="102">ROUND(((Q144-MIN($M$3:$R$212))/(MAX($M$3:$R$212)-MIN($M$3:$R$212)))*((2^12)-1), 0)</f>
        <v>51</v>
      </c>
      <c r="X144" s="20">
        <f t="shared" ref="X144:X147" si="103">ROUND(((R144-MIN($M$3:$R$212))/(MAX($M$3:$R$212)-MIN($M$3:$R$212)))*((2^12)-1), 0)</f>
        <v>57</v>
      </c>
      <c r="Y144" s="20" t="s">
        <v>417</v>
      </c>
      <c r="Z144" s="25">
        <v>0</v>
      </c>
      <c r="AA144" s="25">
        <v>1</v>
      </c>
      <c r="AB144" s="25" t="s">
        <v>417</v>
      </c>
      <c r="AC144" s="20" t="s">
        <v>734</v>
      </c>
    </row>
    <row r="145" spans="1:29" ht="76.5">
      <c r="A145" s="20" t="s">
        <v>378</v>
      </c>
      <c r="B145" s="24" t="str">
        <f>'Lambda-Fuse'!A12</f>
        <v>Increase of rupture current</v>
      </c>
      <c r="C145" s="22">
        <f>'Lambda-Fuse'!B$7</f>
        <v>1E-8</v>
      </c>
      <c r="D145" s="23">
        <f>'Lambda-Fuse'!C12</f>
        <v>0.16333333333333333</v>
      </c>
      <c r="E145" s="20">
        <f>'Lambda-Fuse'!D12</f>
        <v>1.6333333333333333E-9</v>
      </c>
      <c r="F145" s="21" t="s">
        <v>669</v>
      </c>
      <c r="G145" s="21" t="s">
        <v>670</v>
      </c>
      <c r="H145" s="20" t="s">
        <v>43</v>
      </c>
      <c r="I145" s="20" t="s">
        <v>45</v>
      </c>
      <c r="J145" s="20" t="s">
        <v>588</v>
      </c>
      <c r="K145" s="20" t="s">
        <v>728</v>
      </c>
      <c r="L145" s="20" t="s">
        <v>728</v>
      </c>
      <c r="M145" s="20">
        <v>3.2724899999999999</v>
      </c>
      <c r="N145" s="20">
        <v>3.2719999999999998</v>
      </c>
      <c r="O145" s="20">
        <v>3.2749999999999999</v>
      </c>
      <c r="P145" s="20">
        <v>4.3130000000000002E-2</v>
      </c>
      <c r="Q145" s="20">
        <v>4.095E-2</v>
      </c>
      <c r="R145" s="20">
        <v>4.53E-2</v>
      </c>
      <c r="S145" s="20">
        <f t="shared" si="98"/>
        <v>4092</v>
      </c>
      <c r="T145" s="20">
        <f t="shared" si="99"/>
        <v>4091</v>
      </c>
      <c r="U145" s="20">
        <f t="shared" si="100"/>
        <v>4095</v>
      </c>
      <c r="V145" s="20">
        <f t="shared" si="101"/>
        <v>54</v>
      </c>
      <c r="W145" s="20">
        <f t="shared" si="102"/>
        <v>51</v>
      </c>
      <c r="X145" s="20">
        <f t="shared" si="103"/>
        <v>57</v>
      </c>
      <c r="Y145" s="20" t="s">
        <v>417</v>
      </c>
      <c r="Z145" s="25">
        <v>0</v>
      </c>
      <c r="AA145" s="25">
        <v>1</v>
      </c>
      <c r="AB145" s="25" t="s">
        <v>417</v>
      </c>
      <c r="AC145" s="20" t="s">
        <v>734</v>
      </c>
    </row>
    <row r="146" spans="1:29" ht="76.5">
      <c r="A146" s="20" t="s">
        <v>378</v>
      </c>
      <c r="B146" s="24" t="str">
        <f>'Lambda-Fuse'!A13</f>
        <v>Increase of rupture time</v>
      </c>
      <c r="C146" s="22">
        <f>'Lambda-Fuse'!B$7</f>
        <v>1E-8</v>
      </c>
      <c r="D146" s="23">
        <f>'Lambda-Fuse'!C13</f>
        <v>0.43</v>
      </c>
      <c r="E146" s="20">
        <f>'Lambda-Fuse'!D13</f>
        <v>4.2999999999999996E-9</v>
      </c>
      <c r="F146" s="21" t="s">
        <v>669</v>
      </c>
      <c r="G146" s="21" t="s">
        <v>670</v>
      </c>
      <c r="H146" s="20" t="s">
        <v>43</v>
      </c>
      <c r="I146" s="20" t="s">
        <v>45</v>
      </c>
      <c r="J146" s="20" t="s">
        <v>588</v>
      </c>
      <c r="K146" s="20" t="s">
        <v>728</v>
      </c>
      <c r="L146" s="20" t="s">
        <v>728</v>
      </c>
      <c r="M146" s="20">
        <v>3.2724899999999999</v>
      </c>
      <c r="N146" s="20">
        <v>3.2719999999999998</v>
      </c>
      <c r="O146" s="20">
        <v>3.2749999999999999</v>
      </c>
      <c r="P146" s="20">
        <v>4.3130000000000002E-2</v>
      </c>
      <c r="Q146" s="20">
        <v>4.095E-2</v>
      </c>
      <c r="R146" s="20">
        <v>4.53E-2</v>
      </c>
      <c r="S146" s="20">
        <f t="shared" si="98"/>
        <v>4092</v>
      </c>
      <c r="T146" s="20">
        <f t="shared" si="99"/>
        <v>4091</v>
      </c>
      <c r="U146" s="20">
        <f t="shared" si="100"/>
        <v>4095</v>
      </c>
      <c r="V146" s="20">
        <f t="shared" si="101"/>
        <v>54</v>
      </c>
      <c r="W146" s="20">
        <f t="shared" si="102"/>
        <v>51</v>
      </c>
      <c r="X146" s="20">
        <f t="shared" si="103"/>
        <v>57</v>
      </c>
      <c r="Y146" s="20" t="s">
        <v>417</v>
      </c>
      <c r="Z146" s="25">
        <v>0</v>
      </c>
      <c r="AA146" s="25">
        <v>1</v>
      </c>
      <c r="AB146" s="25" t="s">
        <v>417</v>
      </c>
      <c r="AC146" s="20" t="s">
        <v>734</v>
      </c>
    </row>
    <row r="147" spans="1:29" ht="76.5">
      <c r="A147" s="20" t="s">
        <v>378</v>
      </c>
      <c r="B147" s="24" t="str">
        <f>'Lambda-Fuse'!A14</f>
        <v>Reconnection after rupture</v>
      </c>
      <c r="C147" s="22">
        <f>'Lambda-Fuse'!B$7</f>
        <v>1E-8</v>
      </c>
      <c r="D147" s="23">
        <f>'Lambda-Fuse'!C14</f>
        <v>0.16333333333333333</v>
      </c>
      <c r="E147" s="20">
        <f>'Lambda-Fuse'!D14</f>
        <v>1.6333333333333333E-9</v>
      </c>
      <c r="F147" s="21" t="s">
        <v>671</v>
      </c>
      <c r="G147" s="21" t="s">
        <v>670</v>
      </c>
      <c r="H147" s="20" t="s">
        <v>43</v>
      </c>
      <c r="I147" s="20" t="s">
        <v>45</v>
      </c>
      <c r="J147" s="20" t="s">
        <v>588</v>
      </c>
      <c r="K147" s="20" t="s">
        <v>728</v>
      </c>
      <c r="L147" s="20" t="s">
        <v>728</v>
      </c>
      <c r="M147" s="20">
        <v>3.2724899999999999</v>
      </c>
      <c r="N147" s="20">
        <v>3.2719999999999998</v>
      </c>
      <c r="O147" s="20">
        <v>3.2749999999999999</v>
      </c>
      <c r="P147" s="20">
        <v>4.3130000000000002E-2</v>
      </c>
      <c r="Q147" s="20">
        <v>4.095E-2</v>
      </c>
      <c r="R147" s="20">
        <v>4.53E-2</v>
      </c>
      <c r="S147" s="20">
        <f t="shared" si="98"/>
        <v>4092</v>
      </c>
      <c r="T147" s="20">
        <f t="shared" si="99"/>
        <v>4091</v>
      </c>
      <c r="U147" s="20">
        <f t="shared" si="100"/>
        <v>4095</v>
      </c>
      <c r="V147" s="20">
        <f t="shared" si="101"/>
        <v>54</v>
      </c>
      <c r="W147" s="20">
        <f t="shared" si="102"/>
        <v>51</v>
      </c>
      <c r="X147" s="20">
        <f t="shared" si="103"/>
        <v>57</v>
      </c>
      <c r="Y147" s="20" t="s">
        <v>417</v>
      </c>
      <c r="Z147" s="25">
        <v>0</v>
      </c>
      <c r="AA147" s="25">
        <v>1</v>
      </c>
      <c r="AB147" s="25" t="s">
        <v>417</v>
      </c>
      <c r="AC147" s="20" t="s">
        <v>734</v>
      </c>
    </row>
    <row r="148" spans="1:29" ht="76.5">
      <c r="A148" s="20" t="s">
        <v>379</v>
      </c>
      <c r="B148" s="24" t="str">
        <f>'Lambda-MOSFET'!A33</f>
        <v>Interruption of Gate</v>
      </c>
      <c r="C148" s="22">
        <f>'Lambda-MOSFET'!B$30</f>
        <v>2.4667019701711612E-8</v>
      </c>
      <c r="D148" s="23">
        <f>'Lambda-MOSFET'!C33</f>
        <v>2.642857142857143E-2</v>
      </c>
      <c r="E148" s="20">
        <f>'Lambda-MOSFET'!D33</f>
        <v>6.5191409211666409E-10</v>
      </c>
      <c r="F148" s="21" t="s">
        <v>672</v>
      </c>
      <c r="G148" s="21" t="s">
        <v>673</v>
      </c>
      <c r="H148" s="20" t="s">
        <v>43</v>
      </c>
      <c r="I148" s="20" t="s">
        <v>408</v>
      </c>
      <c r="J148" s="20" t="s">
        <v>591</v>
      </c>
      <c r="K148" s="20" t="s">
        <v>729</v>
      </c>
      <c r="L148" s="20" t="s">
        <v>729</v>
      </c>
      <c r="M148" s="20">
        <v>3.27305</v>
      </c>
      <c r="N148" s="20">
        <v>3.2730299999999999</v>
      </c>
      <c r="O148" s="20">
        <v>3.2730600000000001</v>
      </c>
      <c r="P148" s="20">
        <v>3.2723450000000001</v>
      </c>
      <c r="Q148" s="20">
        <v>3.272335</v>
      </c>
      <c r="R148" s="20">
        <v>3.2723550000000001</v>
      </c>
      <c r="S148" s="20">
        <f t="shared" si="92"/>
        <v>4093</v>
      </c>
      <c r="T148" s="20">
        <f t="shared" ref="T148" si="104">ROUND(((N148-MIN($M$3:$R$212))/(MAX($M$3:$R$212)-MIN($M$3:$R$212)))*((2^12)-1), 0)</f>
        <v>4093</v>
      </c>
      <c r="U148" s="20">
        <f t="shared" ref="U148" si="105">ROUND(((O148-MIN($M$3:$R$212))/(MAX($M$3:$R$212)-MIN($M$3:$R$212)))*((2^12)-1), 0)</f>
        <v>4093</v>
      </c>
      <c r="V148" s="20">
        <f t="shared" ref="V148" si="106">ROUND(((P148-MIN($M$3:$R$212))/(MAX($M$3:$R$212)-MIN($M$3:$R$212)))*((2^12)-1), 0)</f>
        <v>4092</v>
      </c>
      <c r="W148" s="20">
        <f t="shared" ref="W148" si="107">ROUND(((Q148-MIN($M$3:$R$212))/(MAX($M$3:$R$212)-MIN($M$3:$R$212)))*((2^12)-1), 0)</f>
        <v>4092</v>
      </c>
      <c r="X148" s="20">
        <f t="shared" ref="X148" si="108">ROUND(((R148-MIN($M$3:$R$212))/(MAX($M$3:$R$212)-MIN($M$3:$R$212)))*((2^12)-1), 0)</f>
        <v>4092</v>
      </c>
      <c r="Y148" s="20" t="s">
        <v>484</v>
      </c>
      <c r="Z148" s="25">
        <v>0</v>
      </c>
      <c r="AA148" s="25">
        <v>1</v>
      </c>
      <c r="AB148" s="25" t="s">
        <v>413</v>
      </c>
      <c r="AC148" s="20" t="s">
        <v>736</v>
      </c>
    </row>
    <row r="149" spans="1:29" ht="76.5">
      <c r="A149" s="20" t="s">
        <v>379</v>
      </c>
      <c r="B149" s="24" t="str">
        <f>'Lambda-MOSFET'!A34</f>
        <v>Interruption of Source</v>
      </c>
      <c r="C149" s="22">
        <f>'Lambda-MOSFET'!B$30</f>
        <v>2.4667019701711612E-8</v>
      </c>
      <c r="D149" s="23">
        <f>'Lambda-MOSFET'!C34</f>
        <v>2.642857142857143E-2</v>
      </c>
      <c r="E149" s="20">
        <f>'Lambda-MOSFET'!D34</f>
        <v>6.5191409211666409E-10</v>
      </c>
      <c r="F149" s="21" t="s">
        <v>672</v>
      </c>
      <c r="G149" s="21" t="s">
        <v>673</v>
      </c>
      <c r="H149" s="20" t="s">
        <v>43</v>
      </c>
      <c r="I149" s="20" t="s">
        <v>408</v>
      </c>
      <c r="J149" s="20" t="s">
        <v>591</v>
      </c>
      <c r="K149" s="20" t="s">
        <v>729</v>
      </c>
      <c r="L149" s="20" t="s">
        <v>729</v>
      </c>
      <c r="M149" s="20">
        <v>3.27305</v>
      </c>
      <c r="N149" s="20">
        <v>3.2730299999999999</v>
      </c>
      <c r="O149" s="20">
        <v>3.2730600000000001</v>
      </c>
      <c r="P149" s="20">
        <v>3.2723450000000001</v>
      </c>
      <c r="Q149" s="20">
        <v>3.272335</v>
      </c>
      <c r="R149" s="20">
        <v>3.2723550000000001</v>
      </c>
      <c r="S149" s="20">
        <f t="shared" si="92"/>
        <v>4093</v>
      </c>
      <c r="T149" s="20">
        <f t="shared" ref="T149:T154" si="109">ROUND(((N149-MIN($M$3:$R$212))/(MAX($M$3:$R$212)-MIN($M$3:$R$212)))*((2^12)-1), 0)</f>
        <v>4093</v>
      </c>
      <c r="U149" s="20">
        <f t="shared" ref="U149:U154" si="110">ROUND(((O149-MIN($M$3:$R$212))/(MAX($M$3:$R$212)-MIN($M$3:$R$212)))*((2^12)-1), 0)</f>
        <v>4093</v>
      </c>
      <c r="V149" s="20">
        <f t="shared" ref="V149:V154" si="111">ROUND(((P149-MIN($M$3:$R$212))/(MAX($M$3:$R$212)-MIN($M$3:$R$212)))*((2^12)-1), 0)</f>
        <v>4092</v>
      </c>
      <c r="W149" s="20">
        <f t="shared" ref="W149:W154" si="112">ROUND(((Q149-MIN($M$3:$R$212))/(MAX($M$3:$R$212)-MIN($M$3:$R$212)))*((2^12)-1), 0)</f>
        <v>4092</v>
      </c>
      <c r="X149" s="20">
        <f t="shared" ref="X149:X154" si="113">ROUND(((R149-MIN($M$3:$R$212))/(MAX($M$3:$R$212)-MIN($M$3:$R$212)))*((2^12)-1), 0)</f>
        <v>4092</v>
      </c>
      <c r="Y149" s="20" t="s">
        <v>484</v>
      </c>
      <c r="Z149" s="25">
        <v>0</v>
      </c>
      <c r="AA149" s="25">
        <v>1</v>
      </c>
      <c r="AB149" s="25" t="s">
        <v>413</v>
      </c>
      <c r="AC149" s="20" t="s">
        <v>736</v>
      </c>
    </row>
    <row r="150" spans="1:29" ht="76.5">
      <c r="A150" s="20" t="s">
        <v>379</v>
      </c>
      <c r="B150" s="24" t="str">
        <f>'Lambda-MOSFET'!A35</f>
        <v>Interruption of Drain</v>
      </c>
      <c r="C150" s="22">
        <f>'Lambda-MOSFET'!B$30</f>
        <v>2.4667019701711612E-8</v>
      </c>
      <c r="D150" s="23">
        <f>'Lambda-MOSFET'!C35</f>
        <v>2.642857142857143E-2</v>
      </c>
      <c r="E150" s="20">
        <f>'Lambda-MOSFET'!D35</f>
        <v>6.5191409211666409E-10</v>
      </c>
      <c r="F150" s="21" t="s">
        <v>672</v>
      </c>
      <c r="G150" s="21" t="s">
        <v>673</v>
      </c>
      <c r="H150" s="20" t="s">
        <v>43</v>
      </c>
      <c r="I150" s="20" t="s">
        <v>408</v>
      </c>
      <c r="J150" s="20" t="s">
        <v>591</v>
      </c>
      <c r="K150" s="20" t="s">
        <v>729</v>
      </c>
      <c r="L150" s="20" t="s">
        <v>729</v>
      </c>
      <c r="M150" s="20">
        <v>3.27305</v>
      </c>
      <c r="N150" s="20">
        <v>3.2730299999999999</v>
      </c>
      <c r="O150" s="20">
        <v>3.2730600000000001</v>
      </c>
      <c r="P150" s="20">
        <v>3.2723450000000001</v>
      </c>
      <c r="Q150" s="20">
        <v>3.272335</v>
      </c>
      <c r="R150" s="20">
        <v>3.2723550000000001</v>
      </c>
      <c r="S150" s="20">
        <f t="shared" si="92"/>
        <v>4093</v>
      </c>
      <c r="T150" s="20">
        <f t="shared" si="109"/>
        <v>4093</v>
      </c>
      <c r="U150" s="20">
        <f t="shared" si="110"/>
        <v>4093</v>
      </c>
      <c r="V150" s="20">
        <f t="shared" si="111"/>
        <v>4092</v>
      </c>
      <c r="W150" s="20">
        <f t="shared" si="112"/>
        <v>4092</v>
      </c>
      <c r="X150" s="20">
        <f t="shared" si="113"/>
        <v>4092</v>
      </c>
      <c r="Y150" s="20" t="s">
        <v>484</v>
      </c>
      <c r="Z150" s="25">
        <v>0</v>
      </c>
      <c r="AA150" s="25">
        <v>1</v>
      </c>
      <c r="AB150" s="25" t="s">
        <v>413</v>
      </c>
      <c r="AC150" s="20" t="s">
        <v>736</v>
      </c>
    </row>
    <row r="151" spans="1:29" ht="76.5">
      <c r="A151" s="20" t="s">
        <v>379</v>
      </c>
      <c r="B151" s="24" t="str">
        <f>'Lambda-MOSFET'!A36</f>
        <v>Interruption of Gate and Source</v>
      </c>
      <c r="C151" s="22">
        <f>'Lambda-MOSFET'!B$30</f>
        <v>2.4667019701711612E-8</v>
      </c>
      <c r="D151" s="23">
        <f>'Lambda-MOSFET'!C36</f>
        <v>2.642857142857143E-2</v>
      </c>
      <c r="E151" s="20">
        <f>'Lambda-MOSFET'!D36</f>
        <v>6.5191409211666409E-10</v>
      </c>
      <c r="F151" s="21" t="s">
        <v>672</v>
      </c>
      <c r="G151" s="21" t="s">
        <v>673</v>
      </c>
      <c r="H151" s="20" t="s">
        <v>43</v>
      </c>
      <c r="I151" s="20" t="s">
        <v>408</v>
      </c>
      <c r="J151" s="20" t="s">
        <v>591</v>
      </c>
      <c r="K151" s="20" t="s">
        <v>729</v>
      </c>
      <c r="L151" s="20" t="s">
        <v>729</v>
      </c>
      <c r="M151" s="20">
        <v>3.27305</v>
      </c>
      <c r="N151" s="20">
        <v>3.2730299999999999</v>
      </c>
      <c r="O151" s="20">
        <v>3.2730600000000001</v>
      </c>
      <c r="P151" s="20">
        <v>3.2723450000000001</v>
      </c>
      <c r="Q151" s="20">
        <v>3.272335</v>
      </c>
      <c r="R151" s="20">
        <v>3.2723550000000001</v>
      </c>
      <c r="S151" s="20">
        <f t="shared" si="92"/>
        <v>4093</v>
      </c>
      <c r="T151" s="20">
        <f t="shared" si="109"/>
        <v>4093</v>
      </c>
      <c r="U151" s="20">
        <f t="shared" si="110"/>
        <v>4093</v>
      </c>
      <c r="V151" s="20">
        <f t="shared" si="111"/>
        <v>4092</v>
      </c>
      <c r="W151" s="20">
        <f t="shared" si="112"/>
        <v>4092</v>
      </c>
      <c r="X151" s="20">
        <f t="shared" si="113"/>
        <v>4092</v>
      </c>
      <c r="Y151" s="20" t="s">
        <v>484</v>
      </c>
      <c r="Z151" s="25">
        <v>0</v>
      </c>
      <c r="AA151" s="25">
        <v>1</v>
      </c>
      <c r="AB151" s="25" t="s">
        <v>413</v>
      </c>
      <c r="AC151" s="20" t="s">
        <v>736</v>
      </c>
    </row>
    <row r="152" spans="1:29" ht="76.5">
      <c r="A152" s="20" t="s">
        <v>379</v>
      </c>
      <c r="B152" s="24" t="str">
        <f>'Lambda-MOSFET'!A37</f>
        <v>Interruption of Gate and Drain</v>
      </c>
      <c r="C152" s="22">
        <f>'Lambda-MOSFET'!B$30</f>
        <v>2.4667019701711612E-8</v>
      </c>
      <c r="D152" s="23">
        <f>'Lambda-MOSFET'!C37</f>
        <v>2.642857142857143E-2</v>
      </c>
      <c r="E152" s="20">
        <f>'Lambda-MOSFET'!D37</f>
        <v>6.5191409211666409E-10</v>
      </c>
      <c r="F152" s="21" t="s">
        <v>672</v>
      </c>
      <c r="G152" s="21" t="s">
        <v>673</v>
      </c>
      <c r="H152" s="20" t="s">
        <v>43</v>
      </c>
      <c r="I152" s="20" t="s">
        <v>408</v>
      </c>
      <c r="J152" s="20" t="s">
        <v>591</v>
      </c>
      <c r="K152" s="20" t="s">
        <v>729</v>
      </c>
      <c r="L152" s="20" t="s">
        <v>729</v>
      </c>
      <c r="M152" s="20">
        <v>3.27305</v>
      </c>
      <c r="N152" s="20">
        <v>3.2730299999999999</v>
      </c>
      <c r="O152" s="20">
        <v>3.2730600000000001</v>
      </c>
      <c r="P152" s="20">
        <v>3.2723450000000001</v>
      </c>
      <c r="Q152" s="20">
        <v>3.272335</v>
      </c>
      <c r="R152" s="20">
        <v>3.2723550000000001</v>
      </c>
      <c r="S152" s="20">
        <f t="shared" si="92"/>
        <v>4093</v>
      </c>
      <c r="T152" s="20">
        <f t="shared" si="109"/>
        <v>4093</v>
      </c>
      <c r="U152" s="20">
        <f t="shared" si="110"/>
        <v>4093</v>
      </c>
      <c r="V152" s="20">
        <f t="shared" si="111"/>
        <v>4092</v>
      </c>
      <c r="W152" s="20">
        <f t="shared" si="112"/>
        <v>4092</v>
      </c>
      <c r="X152" s="20">
        <f t="shared" si="113"/>
        <v>4092</v>
      </c>
      <c r="Y152" s="20" t="s">
        <v>484</v>
      </c>
      <c r="Z152" s="25">
        <v>0</v>
      </c>
      <c r="AA152" s="25">
        <v>1</v>
      </c>
      <c r="AB152" s="25" t="s">
        <v>413</v>
      </c>
      <c r="AC152" s="20" t="s">
        <v>736</v>
      </c>
    </row>
    <row r="153" spans="1:29" ht="76.5">
      <c r="A153" s="20" t="s">
        <v>379</v>
      </c>
      <c r="B153" s="24" t="str">
        <f>'Lambda-MOSFET'!A38</f>
        <v>Interruption of Source and Drain</v>
      </c>
      <c r="C153" s="22">
        <f>'Lambda-MOSFET'!B$30</f>
        <v>2.4667019701711612E-8</v>
      </c>
      <c r="D153" s="23">
        <f>'Lambda-MOSFET'!C38</f>
        <v>2.642857142857143E-2</v>
      </c>
      <c r="E153" s="20">
        <f>'Lambda-MOSFET'!D38</f>
        <v>6.5191409211666409E-10</v>
      </c>
      <c r="F153" s="21" t="s">
        <v>672</v>
      </c>
      <c r="G153" s="21" t="s">
        <v>673</v>
      </c>
      <c r="H153" s="20" t="s">
        <v>43</v>
      </c>
      <c r="I153" s="20" t="s">
        <v>408</v>
      </c>
      <c r="J153" s="20" t="s">
        <v>591</v>
      </c>
      <c r="K153" s="20" t="s">
        <v>729</v>
      </c>
      <c r="L153" s="20" t="s">
        <v>729</v>
      </c>
      <c r="M153" s="20">
        <v>3.27305</v>
      </c>
      <c r="N153" s="20">
        <v>3.2730299999999999</v>
      </c>
      <c r="O153" s="20">
        <v>3.2730600000000001</v>
      </c>
      <c r="P153" s="20">
        <v>3.2723450000000001</v>
      </c>
      <c r="Q153" s="20">
        <v>3.272335</v>
      </c>
      <c r="R153" s="20">
        <v>3.2723550000000001</v>
      </c>
      <c r="S153" s="20">
        <f t="shared" si="92"/>
        <v>4093</v>
      </c>
      <c r="T153" s="20">
        <f t="shared" si="109"/>
        <v>4093</v>
      </c>
      <c r="U153" s="20">
        <f t="shared" si="110"/>
        <v>4093</v>
      </c>
      <c r="V153" s="20">
        <f t="shared" si="111"/>
        <v>4092</v>
      </c>
      <c r="W153" s="20">
        <f t="shared" si="112"/>
        <v>4092</v>
      </c>
      <c r="X153" s="20">
        <f t="shared" si="113"/>
        <v>4092</v>
      </c>
      <c r="Y153" s="20" t="s">
        <v>484</v>
      </c>
      <c r="Z153" s="25">
        <v>0</v>
      </c>
      <c r="AA153" s="25">
        <v>1</v>
      </c>
      <c r="AB153" s="25" t="s">
        <v>413</v>
      </c>
      <c r="AC153" s="20" t="s">
        <v>736</v>
      </c>
    </row>
    <row r="154" spans="1:29" ht="76.5">
      <c r="A154" s="20" t="s">
        <v>379</v>
      </c>
      <c r="B154" s="24" t="str">
        <f>'Lambda-MOSFET'!A39</f>
        <v>Interruption of Gate, Source and Drain</v>
      </c>
      <c r="C154" s="22">
        <f>'Lambda-MOSFET'!B$30</f>
        <v>2.4667019701711612E-8</v>
      </c>
      <c r="D154" s="23">
        <f>'Lambda-MOSFET'!C39</f>
        <v>2.642857142857143E-2</v>
      </c>
      <c r="E154" s="20">
        <f>'Lambda-MOSFET'!D39</f>
        <v>6.5191409211666409E-10</v>
      </c>
      <c r="F154" s="21" t="s">
        <v>672</v>
      </c>
      <c r="G154" s="21" t="s">
        <v>673</v>
      </c>
      <c r="H154" s="20" t="s">
        <v>43</v>
      </c>
      <c r="I154" s="20" t="s">
        <v>408</v>
      </c>
      <c r="J154" s="20" t="s">
        <v>591</v>
      </c>
      <c r="K154" s="20" t="s">
        <v>729</v>
      </c>
      <c r="L154" s="20" t="s">
        <v>729</v>
      </c>
      <c r="M154" s="20">
        <v>3.27305</v>
      </c>
      <c r="N154" s="20">
        <v>3.2730299999999999</v>
      </c>
      <c r="O154" s="20">
        <v>3.2730600000000001</v>
      </c>
      <c r="P154" s="20">
        <v>3.2723450000000001</v>
      </c>
      <c r="Q154" s="20">
        <v>3.272335</v>
      </c>
      <c r="R154" s="20">
        <v>3.2723550000000001</v>
      </c>
      <c r="S154" s="20">
        <f t="shared" si="92"/>
        <v>4093</v>
      </c>
      <c r="T154" s="20">
        <f t="shared" si="109"/>
        <v>4093</v>
      </c>
      <c r="U154" s="20">
        <f t="shared" si="110"/>
        <v>4093</v>
      </c>
      <c r="V154" s="20">
        <f t="shared" si="111"/>
        <v>4092</v>
      </c>
      <c r="W154" s="20">
        <f t="shared" si="112"/>
        <v>4092</v>
      </c>
      <c r="X154" s="20">
        <f t="shared" si="113"/>
        <v>4092</v>
      </c>
      <c r="Y154" s="20" t="s">
        <v>484</v>
      </c>
      <c r="Z154" s="25">
        <v>0</v>
      </c>
      <c r="AA154" s="25">
        <v>1</v>
      </c>
      <c r="AB154" s="25" t="s">
        <v>413</v>
      </c>
      <c r="AC154" s="20" t="s">
        <v>736</v>
      </c>
    </row>
    <row r="155" spans="1:29" ht="38.25">
      <c r="A155" s="20" t="s">
        <v>379</v>
      </c>
      <c r="B155" s="24" t="str">
        <f>'Lambda-MOSFET'!A40</f>
        <v>Short-Circuit Between Source and Drain</v>
      </c>
      <c r="C155" s="22">
        <f>'Lambda-MOSFET'!B$30</f>
        <v>2.4667019701711612E-8</v>
      </c>
      <c r="D155" s="23">
        <f>'Lambda-MOSFET'!C40</f>
        <v>9.2142857142857151E-2</v>
      </c>
      <c r="E155" s="20">
        <f>'Lambda-MOSFET'!D40</f>
        <v>2.2728896725148557E-9</v>
      </c>
      <c r="F155" s="21" t="s">
        <v>607</v>
      </c>
      <c r="G155" s="21" t="s">
        <v>608</v>
      </c>
      <c r="H155" s="20" t="s">
        <v>43</v>
      </c>
      <c r="I155" s="20" t="s">
        <v>408</v>
      </c>
      <c r="J155" s="20" t="s">
        <v>590</v>
      </c>
      <c r="K155" s="20" t="s">
        <v>729</v>
      </c>
      <c r="L155" s="20" t="s">
        <v>728</v>
      </c>
      <c r="M155" s="20">
        <v>0</v>
      </c>
      <c r="N155" s="20">
        <v>0</v>
      </c>
      <c r="O155" s="20">
        <v>0</v>
      </c>
      <c r="P155" s="20">
        <v>0</v>
      </c>
      <c r="Q155" s="20">
        <v>0</v>
      </c>
      <c r="R155" s="20">
        <v>0</v>
      </c>
      <c r="S155" s="20">
        <f t="shared" ref="S155" si="114">ROUND(((M155-MIN($M$3:$R$212))/(MAX($M$3:$R$212)-MIN($M$3:$R$212)))*((2^12)-1), 0)</f>
        <v>0</v>
      </c>
      <c r="T155" s="20">
        <f t="shared" ref="T155" si="115">ROUND(((N155-MIN($M$3:$R$212))/(MAX($M$3:$R$212)-MIN($M$3:$R$212)))*((2^12)-1), 0)</f>
        <v>0</v>
      </c>
      <c r="U155" s="20">
        <f t="shared" ref="U155" si="116">ROUND(((O155-MIN($M$3:$R$212))/(MAX($M$3:$R$212)-MIN($M$3:$R$212)))*((2^12)-1), 0)</f>
        <v>0</v>
      </c>
      <c r="V155" s="20">
        <f t="shared" ref="V155" si="117">ROUND(((P155-MIN($M$3:$R$212))/(MAX($M$3:$R$212)-MIN($M$3:$R$212)))*((2^12)-1), 0)</f>
        <v>0</v>
      </c>
      <c r="W155" s="20">
        <f t="shared" ref="W155" si="118">ROUND(((Q155-MIN($M$3:$R$212))/(MAX($M$3:$R$212)-MIN($M$3:$R$212)))*((2^12)-1), 0)</f>
        <v>0</v>
      </c>
      <c r="X155" s="20">
        <f t="shared" ref="X155" si="119">ROUND(((R155-MIN($M$3:$R$212))/(MAX($M$3:$R$212)-MIN($M$3:$R$212)))*((2^12)-1), 0)</f>
        <v>0</v>
      </c>
      <c r="Y155" s="20" t="s">
        <v>413</v>
      </c>
      <c r="Z155" s="25">
        <v>0</v>
      </c>
      <c r="AA155" s="25">
        <v>1</v>
      </c>
      <c r="AB155" s="25" t="s">
        <v>417</v>
      </c>
      <c r="AC155" s="20" t="s">
        <v>736</v>
      </c>
    </row>
    <row r="156" spans="1:29" ht="63.75">
      <c r="A156" s="20" t="s">
        <v>379</v>
      </c>
      <c r="B156" s="24" t="str">
        <f>'Lambda-MOSFET'!A41</f>
        <v>Short-Circuit Between Gate and Drain</v>
      </c>
      <c r="C156" s="22">
        <f>'Lambda-MOSFET'!B$30</f>
        <v>2.4667019701711612E-8</v>
      </c>
      <c r="D156" s="23">
        <f>'Lambda-MOSFET'!C41</f>
        <v>9.2142857142857151E-2</v>
      </c>
      <c r="E156" s="20">
        <f>'Lambda-MOSFET'!D41</f>
        <v>2.2728896725148557E-9</v>
      </c>
      <c r="F156" s="21" t="s">
        <v>606</v>
      </c>
      <c r="G156" s="21" t="s">
        <v>507</v>
      </c>
      <c r="H156" s="20" t="s">
        <v>43</v>
      </c>
      <c r="I156" s="20" t="s">
        <v>408</v>
      </c>
      <c r="J156" s="20" t="s">
        <v>593</v>
      </c>
      <c r="K156" s="20" t="s">
        <v>729</v>
      </c>
      <c r="L156" s="20" t="s">
        <v>728</v>
      </c>
      <c r="M156" s="20">
        <v>3.1999999999999999E-6</v>
      </c>
      <c r="N156" s="20">
        <v>3.1999999999999999E-6</v>
      </c>
      <c r="O156" s="20">
        <v>3.1999999999999999E-6</v>
      </c>
      <c r="P156" s="20">
        <v>3.1999999999999999E-6</v>
      </c>
      <c r="Q156" s="20">
        <v>3.1999999999999999E-6</v>
      </c>
      <c r="R156" s="20">
        <v>3.1999999999999999E-6</v>
      </c>
      <c r="S156" s="20">
        <f t="shared" ref="S156:S159" si="120">ROUND(((M156-MIN($M$3:$R$212))/(MAX($M$3:$R$212)-MIN($M$3:$R$212)))*((2^12)-1), 0)</f>
        <v>0</v>
      </c>
      <c r="T156" s="20">
        <f t="shared" ref="T156:T159" si="121">ROUND(((N156-MIN($M$3:$R$212))/(MAX($M$3:$R$212)-MIN($M$3:$R$212)))*((2^12)-1), 0)</f>
        <v>0</v>
      </c>
      <c r="U156" s="20">
        <f t="shared" ref="U156:U159" si="122">ROUND(((O156-MIN($M$3:$R$212))/(MAX($M$3:$R$212)-MIN($M$3:$R$212)))*((2^12)-1), 0)</f>
        <v>0</v>
      </c>
      <c r="V156" s="20">
        <f t="shared" ref="V156:V159" si="123">ROUND(((P156-MIN($M$3:$R$212))/(MAX($M$3:$R$212)-MIN($M$3:$R$212)))*((2^12)-1), 0)</f>
        <v>0</v>
      </c>
      <c r="W156" s="20">
        <f t="shared" ref="W156:W159" si="124">ROUND(((Q156-MIN($M$3:$R$212))/(MAX($M$3:$R$212)-MIN($M$3:$R$212)))*((2^12)-1), 0)</f>
        <v>0</v>
      </c>
      <c r="X156" s="20">
        <f t="shared" ref="X156:X159" si="125">ROUND(((R156-MIN($M$3:$R$212))/(MAX($M$3:$R$212)-MIN($M$3:$R$212)))*((2^12)-1), 0)</f>
        <v>0</v>
      </c>
      <c r="Y156" s="20" t="s">
        <v>414</v>
      </c>
      <c r="Z156" s="25">
        <v>0</v>
      </c>
      <c r="AA156" s="25">
        <v>1</v>
      </c>
      <c r="AB156" s="25" t="s">
        <v>417</v>
      </c>
      <c r="AC156" s="20" t="s">
        <v>736</v>
      </c>
    </row>
    <row r="157" spans="1:29" ht="76.5">
      <c r="A157" s="20" t="s">
        <v>379</v>
      </c>
      <c r="B157" s="24" t="str">
        <f>'Lambda-MOSFET'!A42</f>
        <v>Short-Circuit Between Source and Gate</v>
      </c>
      <c r="C157" s="22">
        <f>'Lambda-MOSFET'!B$30</f>
        <v>2.4667019701711612E-8</v>
      </c>
      <c r="D157" s="23">
        <f>'Lambda-MOSFET'!C42</f>
        <v>9.2142857142857151E-2</v>
      </c>
      <c r="E157" s="20">
        <f>'Lambda-MOSFET'!D42</f>
        <v>2.2728896725148557E-9</v>
      </c>
      <c r="F157" s="21" t="s">
        <v>672</v>
      </c>
      <c r="G157" s="21" t="s">
        <v>673</v>
      </c>
      <c r="H157" s="20" t="s">
        <v>43</v>
      </c>
      <c r="I157" s="20" t="s">
        <v>408</v>
      </c>
      <c r="J157" s="20" t="s">
        <v>591</v>
      </c>
      <c r="K157" s="20" t="s">
        <v>729</v>
      </c>
      <c r="L157" s="20" t="s">
        <v>729</v>
      </c>
      <c r="M157" s="20">
        <v>3.27305</v>
      </c>
      <c r="N157" s="20">
        <v>3.2730299999999999</v>
      </c>
      <c r="O157" s="20">
        <v>3.2730600000000001</v>
      </c>
      <c r="P157" s="20">
        <v>3.2723450000000001</v>
      </c>
      <c r="Q157" s="20">
        <v>3.272335</v>
      </c>
      <c r="R157" s="20">
        <v>3.2723550000000001</v>
      </c>
      <c r="S157" s="20">
        <f t="shared" si="92"/>
        <v>4093</v>
      </c>
      <c r="T157" s="20">
        <f t="shared" si="121"/>
        <v>4093</v>
      </c>
      <c r="U157" s="20">
        <f t="shared" si="122"/>
        <v>4093</v>
      </c>
      <c r="V157" s="20">
        <f t="shared" si="123"/>
        <v>4092</v>
      </c>
      <c r="W157" s="20">
        <f t="shared" si="124"/>
        <v>4092</v>
      </c>
      <c r="X157" s="20">
        <f t="shared" si="125"/>
        <v>4092</v>
      </c>
      <c r="Y157" s="20" t="s">
        <v>484</v>
      </c>
      <c r="Z157" s="25">
        <v>0</v>
      </c>
      <c r="AA157" s="25">
        <v>1</v>
      </c>
      <c r="AB157" s="25" t="s">
        <v>413</v>
      </c>
      <c r="AC157" s="20" t="s">
        <v>736</v>
      </c>
    </row>
    <row r="158" spans="1:29" ht="38.25">
      <c r="A158" s="20" t="s">
        <v>379</v>
      </c>
      <c r="B158" s="24" t="str">
        <f>'Lambda-MOSFET'!A43</f>
        <v>Short-Circuit Between Source, Gate and Drain</v>
      </c>
      <c r="C158" s="22">
        <f>'Lambda-MOSFET'!B$30</f>
        <v>2.4667019701711612E-8</v>
      </c>
      <c r="D158" s="23">
        <f>'Lambda-MOSFET'!C43</f>
        <v>9.2142857142857151E-2</v>
      </c>
      <c r="E158" s="20">
        <f>'Lambda-MOSFET'!D43</f>
        <v>2.2728896725148557E-9</v>
      </c>
      <c r="F158" s="21" t="s">
        <v>607</v>
      </c>
      <c r="G158" s="21" t="s">
        <v>608</v>
      </c>
      <c r="H158" s="20" t="s">
        <v>43</v>
      </c>
      <c r="I158" s="20" t="s">
        <v>408</v>
      </c>
      <c r="J158" s="20" t="s">
        <v>590</v>
      </c>
      <c r="K158" s="20" t="s">
        <v>729</v>
      </c>
      <c r="L158" s="20" t="s">
        <v>728</v>
      </c>
      <c r="M158" s="20">
        <v>0</v>
      </c>
      <c r="N158" s="20">
        <v>0</v>
      </c>
      <c r="O158" s="20">
        <v>0</v>
      </c>
      <c r="P158" s="20">
        <v>0</v>
      </c>
      <c r="Q158" s="20">
        <v>0</v>
      </c>
      <c r="R158" s="20">
        <v>0</v>
      </c>
      <c r="S158" s="20">
        <f t="shared" si="120"/>
        <v>0</v>
      </c>
      <c r="T158" s="20">
        <f t="shared" si="121"/>
        <v>0</v>
      </c>
      <c r="U158" s="20">
        <f t="shared" si="122"/>
        <v>0</v>
      </c>
      <c r="V158" s="20">
        <f t="shared" si="123"/>
        <v>0</v>
      </c>
      <c r="W158" s="20">
        <f t="shared" si="124"/>
        <v>0</v>
      </c>
      <c r="X158" s="20">
        <f t="shared" si="125"/>
        <v>0</v>
      </c>
      <c r="Y158" s="20" t="s">
        <v>413</v>
      </c>
      <c r="Z158" s="25">
        <v>0</v>
      </c>
      <c r="AA158" s="25">
        <v>1</v>
      </c>
      <c r="AB158" s="25" t="s">
        <v>417</v>
      </c>
      <c r="AC158" s="20" t="s">
        <v>736</v>
      </c>
    </row>
    <row r="159" spans="1:29" ht="38.25">
      <c r="A159" s="20" t="s">
        <v>379</v>
      </c>
      <c r="B159" s="24" t="str">
        <f>'Lambda-MOSFET'!A44</f>
        <v>Short-Circuit Between Source and Drain with Interruption of Gate</v>
      </c>
      <c r="C159" s="22">
        <f>'Lambda-MOSFET'!B$30</f>
        <v>2.4667019701711612E-8</v>
      </c>
      <c r="D159" s="23">
        <f>'Lambda-MOSFET'!C44</f>
        <v>9.2142857142857151E-2</v>
      </c>
      <c r="E159" s="20">
        <f>'Lambda-MOSFET'!D44</f>
        <v>2.2728896725148557E-9</v>
      </c>
      <c r="F159" s="21" t="s">
        <v>607</v>
      </c>
      <c r="G159" s="21" t="s">
        <v>608</v>
      </c>
      <c r="H159" s="20" t="s">
        <v>43</v>
      </c>
      <c r="I159" s="20" t="s">
        <v>408</v>
      </c>
      <c r="J159" s="20" t="s">
        <v>590</v>
      </c>
      <c r="K159" s="20" t="s">
        <v>729</v>
      </c>
      <c r="L159" s="20" t="s">
        <v>728</v>
      </c>
      <c r="M159" s="20">
        <v>0</v>
      </c>
      <c r="N159" s="20">
        <v>0</v>
      </c>
      <c r="O159" s="20">
        <v>0</v>
      </c>
      <c r="P159" s="20">
        <v>0</v>
      </c>
      <c r="Q159" s="20">
        <v>0</v>
      </c>
      <c r="R159" s="20">
        <v>0</v>
      </c>
      <c r="S159" s="20">
        <f t="shared" si="120"/>
        <v>0</v>
      </c>
      <c r="T159" s="20">
        <f t="shared" si="121"/>
        <v>0</v>
      </c>
      <c r="U159" s="20">
        <f t="shared" si="122"/>
        <v>0</v>
      </c>
      <c r="V159" s="20">
        <f t="shared" si="123"/>
        <v>0</v>
      </c>
      <c r="W159" s="20">
        <f t="shared" si="124"/>
        <v>0</v>
      </c>
      <c r="X159" s="20">
        <f t="shared" si="125"/>
        <v>0</v>
      </c>
      <c r="Y159" s="20" t="s">
        <v>413</v>
      </c>
      <c r="Z159" s="25">
        <v>0</v>
      </c>
      <c r="AA159" s="25">
        <v>1</v>
      </c>
      <c r="AB159" s="25" t="s">
        <v>417</v>
      </c>
      <c r="AC159" s="20" t="s">
        <v>736</v>
      </c>
    </row>
    <row r="160" spans="1:29" ht="63.75">
      <c r="A160" s="20" t="s">
        <v>379</v>
      </c>
      <c r="B160" s="24" t="str">
        <f>'Lambda-MOSFET'!A45</f>
        <v>Short-Circuit Between Gate and Drain with Interruption of Source</v>
      </c>
      <c r="C160" s="22">
        <f>'Lambda-MOSFET'!B$30</f>
        <v>2.4667019701711612E-8</v>
      </c>
      <c r="D160" s="23">
        <f>'Lambda-MOSFET'!C45</f>
        <v>9.2142857142857151E-2</v>
      </c>
      <c r="E160" s="20">
        <f>'Lambda-MOSFET'!D45</f>
        <v>2.2728896725148557E-9</v>
      </c>
      <c r="F160" s="21" t="s">
        <v>606</v>
      </c>
      <c r="G160" s="21" t="s">
        <v>507</v>
      </c>
      <c r="H160" s="20" t="s">
        <v>43</v>
      </c>
      <c r="I160" s="20" t="s">
        <v>408</v>
      </c>
      <c r="J160" s="20" t="s">
        <v>593</v>
      </c>
      <c r="K160" s="20" t="s">
        <v>729</v>
      </c>
      <c r="L160" s="20" t="s">
        <v>728</v>
      </c>
      <c r="M160" s="20">
        <v>3.1999999999999999E-6</v>
      </c>
      <c r="N160" s="20">
        <v>3.1999999999999999E-6</v>
      </c>
      <c r="O160" s="20">
        <v>3.1999999999999999E-6</v>
      </c>
      <c r="P160" s="20">
        <v>3.1999999999999999E-6</v>
      </c>
      <c r="Q160" s="20">
        <v>3.1999999999999999E-6</v>
      </c>
      <c r="R160" s="20">
        <v>3.1999999999999999E-6</v>
      </c>
      <c r="S160" s="20">
        <f t="shared" ref="S160:S165" si="126">ROUND(((M160-MIN($M$3:$R$212))/(MAX($M$3:$R$212)-MIN($M$3:$R$212)))*((2^12)-1), 0)</f>
        <v>0</v>
      </c>
      <c r="T160" s="20">
        <f t="shared" ref="T160:T167" si="127">ROUND(((N160-MIN($M$3:$R$212))/(MAX($M$3:$R$212)-MIN($M$3:$R$212)))*((2^12)-1), 0)</f>
        <v>0</v>
      </c>
      <c r="U160" s="20">
        <f t="shared" ref="U160:U167" si="128">ROUND(((O160-MIN($M$3:$R$212))/(MAX($M$3:$R$212)-MIN($M$3:$R$212)))*((2^12)-1), 0)</f>
        <v>0</v>
      </c>
      <c r="V160" s="20">
        <f t="shared" ref="V160:V167" si="129">ROUND(((P160-MIN($M$3:$R$212))/(MAX($M$3:$R$212)-MIN($M$3:$R$212)))*((2^12)-1), 0)</f>
        <v>0</v>
      </c>
      <c r="W160" s="20">
        <f t="shared" ref="W160:W167" si="130">ROUND(((Q160-MIN($M$3:$R$212))/(MAX($M$3:$R$212)-MIN($M$3:$R$212)))*((2^12)-1), 0)</f>
        <v>0</v>
      </c>
      <c r="X160" s="20">
        <f t="shared" ref="X160:X167" si="131">ROUND(((R160-MIN($M$3:$R$212))/(MAX($M$3:$R$212)-MIN($M$3:$R$212)))*((2^12)-1), 0)</f>
        <v>0</v>
      </c>
      <c r="Y160" s="20" t="s">
        <v>414</v>
      </c>
      <c r="Z160" s="25">
        <v>0</v>
      </c>
      <c r="AA160" s="25">
        <v>1</v>
      </c>
      <c r="AB160" s="25" t="s">
        <v>417</v>
      </c>
      <c r="AC160" s="20" t="s">
        <v>736</v>
      </c>
    </row>
    <row r="161" spans="1:29" ht="76.5">
      <c r="A161" s="20" t="s">
        <v>379</v>
      </c>
      <c r="B161" s="24" t="str">
        <f>'Lambda-MOSFET'!A46</f>
        <v>Short-Circuit Between Source and Gate with Interruption of Drain</v>
      </c>
      <c r="C161" s="22">
        <f>'Lambda-MOSFET'!B$30</f>
        <v>2.4667019701711612E-8</v>
      </c>
      <c r="D161" s="23">
        <f>'Lambda-MOSFET'!C46</f>
        <v>9.2142857142857151E-2</v>
      </c>
      <c r="E161" s="20">
        <f>'Lambda-MOSFET'!D46</f>
        <v>2.2728896725148557E-9</v>
      </c>
      <c r="F161" s="21" t="s">
        <v>672</v>
      </c>
      <c r="G161" s="21" t="s">
        <v>673</v>
      </c>
      <c r="H161" s="20" t="s">
        <v>43</v>
      </c>
      <c r="I161" s="20" t="s">
        <v>408</v>
      </c>
      <c r="J161" s="20" t="s">
        <v>591</v>
      </c>
      <c r="K161" s="20" t="s">
        <v>729</v>
      </c>
      <c r="L161" s="20" t="s">
        <v>729</v>
      </c>
      <c r="M161" s="20">
        <v>3.27305</v>
      </c>
      <c r="N161" s="20">
        <v>3.2730299999999999</v>
      </c>
      <c r="O161" s="20">
        <v>3.2730600000000001</v>
      </c>
      <c r="P161" s="20">
        <v>3.2723450000000001</v>
      </c>
      <c r="Q161" s="20">
        <v>3.272335</v>
      </c>
      <c r="R161" s="20">
        <v>3.2723550000000001</v>
      </c>
      <c r="S161" s="20">
        <f t="shared" si="92"/>
        <v>4093</v>
      </c>
      <c r="T161" s="20">
        <f t="shared" si="127"/>
        <v>4093</v>
      </c>
      <c r="U161" s="20">
        <f t="shared" si="128"/>
        <v>4093</v>
      </c>
      <c r="V161" s="20">
        <f t="shared" si="129"/>
        <v>4092</v>
      </c>
      <c r="W161" s="20">
        <f t="shared" si="130"/>
        <v>4092</v>
      </c>
      <c r="X161" s="20">
        <f t="shared" si="131"/>
        <v>4092</v>
      </c>
      <c r="Y161" s="20" t="s">
        <v>484</v>
      </c>
      <c r="Z161" s="25">
        <v>0</v>
      </c>
      <c r="AA161" s="25">
        <v>1</v>
      </c>
      <c r="AB161" s="25" t="s">
        <v>413</v>
      </c>
      <c r="AC161" s="20" t="s">
        <v>736</v>
      </c>
    </row>
    <row r="162" spans="1:29" ht="38.25">
      <c r="A162" s="20" t="s">
        <v>379</v>
      </c>
      <c r="B162" s="24" t="str">
        <f>'Lambda-MOSFET'!A47</f>
        <v>Short-Circuit Between Casing and Source</v>
      </c>
      <c r="C162" s="22">
        <f>'Lambda-MOSFET'!B$30</f>
        <v>2.4667019701711612E-8</v>
      </c>
      <c r="D162" s="23">
        <f>'Lambda-MOSFET'!C47</f>
        <v>0</v>
      </c>
      <c r="E162" s="20">
        <f>'Lambda-MOSFET'!D47</f>
        <v>0</v>
      </c>
      <c r="F162" s="21" t="s">
        <v>382</v>
      </c>
      <c r="G162" s="21" t="s">
        <v>382</v>
      </c>
      <c r="H162" s="20" t="s">
        <v>43</v>
      </c>
      <c r="I162" s="20" t="s">
        <v>409</v>
      </c>
      <c r="J162" s="20" t="s">
        <v>409</v>
      </c>
      <c r="K162" s="20" t="s">
        <v>730</v>
      </c>
      <c r="L162" s="20" t="s">
        <v>730</v>
      </c>
      <c r="M162" s="20">
        <v>3.2724899999999999</v>
      </c>
      <c r="N162" s="20">
        <v>3.2719999999999998</v>
      </c>
      <c r="O162" s="20">
        <v>3.2749999999999999</v>
      </c>
      <c r="P162" s="20">
        <v>4.3130000000000002E-2</v>
      </c>
      <c r="Q162" s="20">
        <v>4.095E-2</v>
      </c>
      <c r="R162" s="20">
        <v>4.53E-2</v>
      </c>
      <c r="S162" s="20">
        <f t="shared" si="126"/>
        <v>4092</v>
      </c>
      <c r="T162" s="20">
        <f t="shared" si="127"/>
        <v>4091</v>
      </c>
      <c r="U162" s="20">
        <f t="shared" si="128"/>
        <v>4095</v>
      </c>
      <c r="V162" s="20">
        <f t="shared" si="129"/>
        <v>54</v>
      </c>
      <c r="W162" s="20">
        <f t="shared" si="130"/>
        <v>51</v>
      </c>
      <c r="X162" s="20">
        <f t="shared" si="131"/>
        <v>57</v>
      </c>
      <c r="Y162" s="20" t="s">
        <v>417</v>
      </c>
      <c r="Z162" s="25">
        <v>0</v>
      </c>
      <c r="AA162" s="25">
        <v>1</v>
      </c>
      <c r="AB162" s="25" t="s">
        <v>417</v>
      </c>
      <c r="AC162" s="20" t="s">
        <v>736</v>
      </c>
    </row>
    <row r="163" spans="1:29" ht="38.25">
      <c r="A163" s="20" t="s">
        <v>379</v>
      </c>
      <c r="B163" s="24" t="str">
        <f>'Lambda-MOSFET'!A48</f>
        <v>Short-Circuit Between Casing and Gate</v>
      </c>
      <c r="C163" s="22">
        <f>'Lambda-MOSFET'!B$30</f>
        <v>2.4667019701711612E-8</v>
      </c>
      <c r="D163" s="23">
        <f>'Lambda-MOSFET'!C48</f>
        <v>0</v>
      </c>
      <c r="E163" s="20">
        <f>'Lambda-MOSFET'!D48</f>
        <v>0</v>
      </c>
      <c r="F163" s="21" t="s">
        <v>382</v>
      </c>
      <c r="G163" s="21" t="s">
        <v>382</v>
      </c>
      <c r="H163" s="20" t="s">
        <v>43</v>
      </c>
      <c r="I163" s="20" t="s">
        <v>409</v>
      </c>
      <c r="J163" s="20" t="s">
        <v>409</v>
      </c>
      <c r="K163" s="20" t="s">
        <v>730</v>
      </c>
      <c r="L163" s="20" t="s">
        <v>730</v>
      </c>
      <c r="M163" s="20">
        <v>3.2724899999999999</v>
      </c>
      <c r="N163" s="20">
        <v>3.2719999999999998</v>
      </c>
      <c r="O163" s="20">
        <v>3.2749999999999999</v>
      </c>
      <c r="P163" s="20">
        <v>4.3130000000000002E-2</v>
      </c>
      <c r="Q163" s="20">
        <v>4.095E-2</v>
      </c>
      <c r="R163" s="20">
        <v>4.53E-2</v>
      </c>
      <c r="S163" s="20">
        <f t="shared" si="126"/>
        <v>4092</v>
      </c>
      <c r="T163" s="20">
        <f t="shared" si="127"/>
        <v>4091</v>
      </c>
      <c r="U163" s="20">
        <f t="shared" si="128"/>
        <v>4095</v>
      </c>
      <c r="V163" s="20">
        <f t="shared" si="129"/>
        <v>54</v>
      </c>
      <c r="W163" s="20">
        <f t="shared" si="130"/>
        <v>51</v>
      </c>
      <c r="X163" s="20">
        <f t="shared" si="131"/>
        <v>57</v>
      </c>
      <c r="Y163" s="20" t="s">
        <v>417</v>
      </c>
      <c r="Z163" s="25">
        <v>0</v>
      </c>
      <c r="AA163" s="25">
        <v>1</v>
      </c>
      <c r="AB163" s="25" t="s">
        <v>417</v>
      </c>
      <c r="AC163" s="20" t="s">
        <v>736</v>
      </c>
    </row>
    <row r="164" spans="1:29" ht="38.25">
      <c r="A164" s="20" t="s">
        <v>379</v>
      </c>
      <c r="B164" s="24" t="str">
        <f>'Lambda-MOSFET'!A49</f>
        <v>Short-Circuit Between Casing and Drain</v>
      </c>
      <c r="C164" s="22">
        <f>'Lambda-MOSFET'!B$30</f>
        <v>2.4667019701711612E-8</v>
      </c>
      <c r="D164" s="23">
        <f>'Lambda-MOSFET'!C49</f>
        <v>0</v>
      </c>
      <c r="E164" s="20">
        <f>'Lambda-MOSFET'!D49</f>
        <v>0</v>
      </c>
      <c r="F164" s="21" t="s">
        <v>382</v>
      </c>
      <c r="G164" s="21" t="s">
        <v>382</v>
      </c>
      <c r="H164" s="20" t="s">
        <v>43</v>
      </c>
      <c r="I164" s="20" t="s">
        <v>409</v>
      </c>
      <c r="J164" s="20" t="s">
        <v>409</v>
      </c>
      <c r="K164" s="20" t="s">
        <v>730</v>
      </c>
      <c r="L164" s="20" t="s">
        <v>730</v>
      </c>
      <c r="M164" s="20">
        <v>3.2724899999999999</v>
      </c>
      <c r="N164" s="20">
        <v>3.2719999999999998</v>
      </c>
      <c r="O164" s="20">
        <v>3.2749999999999999</v>
      </c>
      <c r="P164" s="20">
        <v>4.3130000000000002E-2</v>
      </c>
      <c r="Q164" s="20">
        <v>4.095E-2</v>
      </c>
      <c r="R164" s="20">
        <v>4.53E-2</v>
      </c>
      <c r="S164" s="20">
        <f t="shared" si="126"/>
        <v>4092</v>
      </c>
      <c r="T164" s="20">
        <f t="shared" si="127"/>
        <v>4091</v>
      </c>
      <c r="U164" s="20">
        <f t="shared" si="128"/>
        <v>4095</v>
      </c>
      <c r="V164" s="20">
        <f t="shared" si="129"/>
        <v>54</v>
      </c>
      <c r="W164" s="20">
        <f t="shared" si="130"/>
        <v>51</v>
      </c>
      <c r="X164" s="20">
        <f t="shared" si="131"/>
        <v>57</v>
      </c>
      <c r="Y164" s="20" t="s">
        <v>417</v>
      </c>
      <c r="Z164" s="25">
        <v>0</v>
      </c>
      <c r="AA164" s="25">
        <v>1</v>
      </c>
      <c r="AB164" s="25" t="s">
        <v>417</v>
      </c>
      <c r="AC164" s="20" t="s">
        <v>736</v>
      </c>
    </row>
    <row r="165" spans="1:29" ht="38.25">
      <c r="A165" s="20" t="s">
        <v>379</v>
      </c>
      <c r="B165" s="24" t="str">
        <f>'Lambda-MOSFET'!A50</f>
        <v>Increase of Forward Transcondutance</v>
      </c>
      <c r="C165" s="22">
        <f>'Lambda-MOSFET'!B$30</f>
        <v>2.4667019701711612E-8</v>
      </c>
      <c r="D165" s="23">
        <f>'Lambda-MOSFET'!C50</f>
        <v>1.3076923076923078E-2</v>
      </c>
      <c r="E165" s="20">
        <f>'Lambda-MOSFET'!D50</f>
        <v>3.2256871917622881E-10</v>
      </c>
      <c r="F165" s="21" t="s">
        <v>609</v>
      </c>
      <c r="G165" s="21" t="s">
        <v>609</v>
      </c>
      <c r="H165" s="20" t="s">
        <v>43</v>
      </c>
      <c r="I165" s="20" t="s">
        <v>409</v>
      </c>
      <c r="J165" s="20" t="s">
        <v>409</v>
      </c>
      <c r="K165" s="20" t="s">
        <v>730</v>
      </c>
      <c r="L165" s="20" t="s">
        <v>730</v>
      </c>
      <c r="M165" s="20">
        <v>3.2724899999999999</v>
      </c>
      <c r="N165" s="20">
        <v>3.2719999999999998</v>
      </c>
      <c r="O165" s="20">
        <v>3.2749999999999999</v>
      </c>
      <c r="P165" s="20">
        <v>4.3130000000000002E-2</v>
      </c>
      <c r="Q165" s="20">
        <v>4.095E-2</v>
      </c>
      <c r="R165" s="20">
        <v>4.53E-2</v>
      </c>
      <c r="S165" s="20">
        <f t="shared" si="126"/>
        <v>4092</v>
      </c>
      <c r="T165" s="20">
        <f t="shared" si="127"/>
        <v>4091</v>
      </c>
      <c r="U165" s="20">
        <f t="shared" si="128"/>
        <v>4095</v>
      </c>
      <c r="V165" s="20">
        <f t="shared" si="129"/>
        <v>54</v>
      </c>
      <c r="W165" s="20">
        <f t="shared" si="130"/>
        <v>51</v>
      </c>
      <c r="X165" s="20">
        <f t="shared" si="131"/>
        <v>57</v>
      </c>
      <c r="Y165" s="20" t="s">
        <v>417</v>
      </c>
      <c r="Z165" s="25">
        <v>0</v>
      </c>
      <c r="AA165" s="25">
        <v>1</v>
      </c>
      <c r="AB165" s="25" t="s">
        <v>417</v>
      </c>
      <c r="AC165" s="20" t="s">
        <v>736</v>
      </c>
    </row>
    <row r="166" spans="1:29" ht="38.25">
      <c r="A166" s="20" t="s">
        <v>379</v>
      </c>
      <c r="B166" s="24" t="str">
        <f>'Lambda-MOSFET'!A51</f>
        <v>Decrease of Forward Transcondutance</v>
      </c>
      <c r="C166" s="22">
        <f>'Lambda-MOSFET'!B$30</f>
        <v>2.4667019701711612E-8</v>
      </c>
      <c r="D166" s="23">
        <f>'Lambda-MOSFET'!C51</f>
        <v>1.3076923076923078E-2</v>
      </c>
      <c r="E166" s="20">
        <f>'Lambda-MOSFET'!D51</f>
        <v>3.2256871917622881E-10</v>
      </c>
      <c r="F166" s="21" t="s">
        <v>610</v>
      </c>
      <c r="G166" s="21" t="s">
        <v>677</v>
      </c>
      <c r="H166" s="20" t="s">
        <v>43</v>
      </c>
      <c r="I166" s="20" t="s">
        <v>408</v>
      </c>
      <c r="J166" s="20" t="s">
        <v>591</v>
      </c>
      <c r="K166" s="20" t="s">
        <v>729</v>
      </c>
      <c r="L166" s="20" t="s">
        <v>729</v>
      </c>
      <c r="M166" s="20">
        <v>3.27305</v>
      </c>
      <c r="N166" s="20">
        <v>3.2730299999999999</v>
      </c>
      <c r="O166" s="20">
        <v>3.2730600000000001</v>
      </c>
      <c r="P166" s="20">
        <v>1.63</v>
      </c>
      <c r="Q166" s="20">
        <v>4.095E-2</v>
      </c>
      <c r="R166" s="20">
        <v>3.2723550000000001</v>
      </c>
      <c r="S166" s="20">
        <f t="shared" si="92"/>
        <v>4093</v>
      </c>
      <c r="T166" s="20">
        <f t="shared" si="127"/>
        <v>4093</v>
      </c>
      <c r="U166" s="20">
        <f t="shared" si="128"/>
        <v>4093</v>
      </c>
      <c r="V166" s="20">
        <f t="shared" si="129"/>
        <v>2038</v>
      </c>
      <c r="W166" s="20">
        <f t="shared" si="130"/>
        <v>51</v>
      </c>
      <c r="X166" s="20">
        <f t="shared" si="131"/>
        <v>4092</v>
      </c>
      <c r="Y166" s="20" t="s">
        <v>484</v>
      </c>
      <c r="Z166" s="25">
        <v>0</v>
      </c>
      <c r="AA166" s="25">
        <v>1</v>
      </c>
      <c r="AB166" s="25" t="s">
        <v>413</v>
      </c>
      <c r="AC166" s="20" t="s">
        <v>736</v>
      </c>
    </row>
    <row r="167" spans="1:29" ht="38.25">
      <c r="A167" s="20" t="s">
        <v>379</v>
      </c>
      <c r="B167" s="24" t="str">
        <f>'Lambda-MOSFET'!A52</f>
        <v>Increase of Gate Threshold Voltage</v>
      </c>
      <c r="C167" s="22">
        <f>'Lambda-MOSFET'!B$30</f>
        <v>2.4667019701711612E-8</v>
      </c>
      <c r="D167" s="23">
        <f>'Lambda-MOSFET'!C52</f>
        <v>1.3076923076923078E-2</v>
      </c>
      <c r="E167" s="20">
        <f>'Lambda-MOSFET'!D52</f>
        <v>3.2256871917622881E-10</v>
      </c>
      <c r="F167" s="21" t="s">
        <v>611</v>
      </c>
      <c r="G167" s="21" t="s">
        <v>611</v>
      </c>
      <c r="H167" s="20" t="s">
        <v>43</v>
      </c>
      <c r="I167" s="20" t="s">
        <v>408</v>
      </c>
      <c r="J167" s="20" t="s">
        <v>591</v>
      </c>
      <c r="K167" s="20" t="s">
        <v>729</v>
      </c>
      <c r="L167" s="20" t="s">
        <v>729</v>
      </c>
      <c r="M167" s="20">
        <v>3.27305</v>
      </c>
      <c r="N167" s="20">
        <v>3.2730299999999999</v>
      </c>
      <c r="O167" s="20">
        <v>3.2730600000000001</v>
      </c>
      <c r="P167" s="20">
        <v>1.63</v>
      </c>
      <c r="Q167" s="20">
        <v>4.095E-2</v>
      </c>
      <c r="R167" s="20">
        <v>3.2723550000000001</v>
      </c>
      <c r="S167" s="20">
        <f t="shared" si="92"/>
        <v>4093</v>
      </c>
      <c r="T167" s="20">
        <f t="shared" si="127"/>
        <v>4093</v>
      </c>
      <c r="U167" s="20">
        <f t="shared" si="128"/>
        <v>4093</v>
      </c>
      <c r="V167" s="20">
        <f t="shared" si="129"/>
        <v>2038</v>
      </c>
      <c r="W167" s="20">
        <f t="shared" si="130"/>
        <v>51</v>
      </c>
      <c r="X167" s="20">
        <f t="shared" si="131"/>
        <v>4092</v>
      </c>
      <c r="Y167" s="20" t="s">
        <v>484</v>
      </c>
      <c r="Z167" s="25">
        <v>0</v>
      </c>
      <c r="AA167" s="25">
        <v>1</v>
      </c>
      <c r="AB167" s="25" t="s">
        <v>413</v>
      </c>
      <c r="AC167" s="20" t="s">
        <v>736</v>
      </c>
    </row>
    <row r="168" spans="1:29" ht="51">
      <c r="A168" s="20" t="s">
        <v>379</v>
      </c>
      <c r="B168" s="24" t="str">
        <f>'Lambda-MOSFET'!A53</f>
        <v>Decrease of Gate Threshold Voltage</v>
      </c>
      <c r="C168" s="22">
        <f>'Lambda-MOSFET'!B$30</f>
        <v>2.4667019701711612E-8</v>
      </c>
      <c r="D168" s="23">
        <f>'Lambda-MOSFET'!C53</f>
        <v>1.3076923076923078E-2</v>
      </c>
      <c r="E168" s="20">
        <f>'Lambda-MOSFET'!D53</f>
        <v>3.2256871917622881E-10</v>
      </c>
      <c r="F168" s="21" t="s">
        <v>612</v>
      </c>
      <c r="G168" s="21" t="s">
        <v>612</v>
      </c>
      <c r="H168" s="20" t="s">
        <v>43</v>
      </c>
      <c r="I168" s="20" t="s">
        <v>408</v>
      </c>
      <c r="J168" s="20" t="s">
        <v>590</v>
      </c>
      <c r="K168" s="20" t="s">
        <v>725</v>
      </c>
      <c r="L168" s="20" t="s">
        <v>728</v>
      </c>
      <c r="M168" s="20">
        <v>1.63</v>
      </c>
      <c r="N168" s="20">
        <v>0</v>
      </c>
      <c r="O168" s="20">
        <v>3.27305</v>
      </c>
      <c r="P168" s="20">
        <v>3.1999999999999999E-6</v>
      </c>
      <c r="Q168" s="20">
        <v>0</v>
      </c>
      <c r="R168" s="20">
        <v>3.1999999999999999E-6</v>
      </c>
      <c r="S168" s="20">
        <f t="shared" ref="S168" si="132">ROUND(((M168-MIN($M$3:$R$212))/(MAX($M$3:$R$212)-MIN($M$3:$R$212)))*((2^12)-1), 0)</f>
        <v>2038</v>
      </c>
      <c r="T168" s="20">
        <f t="shared" ref="T168" si="133">ROUND(((N168-MIN($M$3:$R$212))/(MAX($M$3:$R$212)-MIN($M$3:$R$212)))*((2^12)-1), 0)</f>
        <v>0</v>
      </c>
      <c r="U168" s="20">
        <f t="shared" ref="U168" si="134">ROUND(((O168-MIN($M$3:$R$212))/(MAX($M$3:$R$212)-MIN($M$3:$R$212)))*((2^12)-1), 0)</f>
        <v>4093</v>
      </c>
      <c r="V168" s="20">
        <f t="shared" ref="V168" si="135">ROUND(((P168-MIN($M$3:$R$212))/(MAX($M$3:$R$212)-MIN($M$3:$R$212)))*((2^12)-1), 0)</f>
        <v>0</v>
      </c>
      <c r="W168" s="20">
        <f t="shared" ref="W168" si="136">ROUND(((Q168-MIN($M$3:$R$212))/(MAX($M$3:$R$212)-MIN($M$3:$R$212)))*((2^12)-1), 0)</f>
        <v>0</v>
      </c>
      <c r="X168" s="20">
        <f t="shared" ref="X168" si="137">ROUND(((R168-MIN($M$3:$R$212))/(MAX($M$3:$R$212)-MIN($M$3:$R$212)))*((2^12)-1), 0)</f>
        <v>0</v>
      </c>
      <c r="Y168" s="20" t="s">
        <v>413</v>
      </c>
      <c r="Z168" s="25">
        <v>0</v>
      </c>
      <c r="AA168" s="25">
        <v>1</v>
      </c>
      <c r="AB168" s="25" t="s">
        <v>417</v>
      </c>
      <c r="AC168" s="25" t="s">
        <v>734</v>
      </c>
    </row>
    <row r="169" spans="1:29" ht="51">
      <c r="A169" s="20" t="s">
        <v>379</v>
      </c>
      <c r="B169" s="24" t="str">
        <f>'Lambda-MOSFET'!A54</f>
        <v>Decrease of Drain-Source Breakdown Voltage</v>
      </c>
      <c r="C169" s="22">
        <f>'Lambda-MOSFET'!B$30</f>
        <v>2.4667019701711612E-8</v>
      </c>
      <c r="D169" s="23">
        <f>'Lambda-MOSFET'!C54</f>
        <v>1.3076923076923078E-2</v>
      </c>
      <c r="E169" s="20">
        <f>'Lambda-MOSFET'!D54</f>
        <v>3.2256871917622881E-10</v>
      </c>
      <c r="F169" s="21" t="s">
        <v>612</v>
      </c>
      <c r="G169" s="21" t="s">
        <v>612</v>
      </c>
      <c r="H169" s="20" t="s">
        <v>43</v>
      </c>
      <c r="I169" s="20" t="s">
        <v>408</v>
      </c>
      <c r="J169" s="20" t="s">
        <v>590</v>
      </c>
      <c r="K169" s="20" t="s">
        <v>725</v>
      </c>
      <c r="L169" s="20" t="s">
        <v>728</v>
      </c>
      <c r="M169" s="20">
        <v>1.63</v>
      </c>
      <c r="N169" s="20">
        <v>0</v>
      </c>
      <c r="O169" s="20">
        <v>3.27305</v>
      </c>
      <c r="P169" s="20">
        <v>3.1999999999999999E-6</v>
      </c>
      <c r="Q169" s="20">
        <v>0</v>
      </c>
      <c r="R169" s="20">
        <v>3.1999999999999999E-6</v>
      </c>
      <c r="S169" s="20">
        <f t="shared" ref="S169:S171" si="138">ROUND(((M169-MIN($M$3:$R$212))/(MAX($M$3:$R$212)-MIN($M$3:$R$212)))*((2^12)-1), 0)</f>
        <v>2038</v>
      </c>
      <c r="T169" s="20">
        <f t="shared" ref="T169:T174" si="139">ROUND(((N169-MIN($M$3:$R$212))/(MAX($M$3:$R$212)-MIN($M$3:$R$212)))*((2^12)-1), 0)</f>
        <v>0</v>
      </c>
      <c r="U169" s="20">
        <f t="shared" ref="U169:U174" si="140">ROUND(((O169-MIN($M$3:$R$212))/(MAX($M$3:$R$212)-MIN($M$3:$R$212)))*((2^12)-1), 0)</f>
        <v>4093</v>
      </c>
      <c r="V169" s="20">
        <f t="shared" ref="V169:V174" si="141">ROUND(((P169-MIN($M$3:$R$212))/(MAX($M$3:$R$212)-MIN($M$3:$R$212)))*((2^12)-1), 0)</f>
        <v>0</v>
      </c>
      <c r="W169" s="20">
        <f t="shared" ref="W169:W174" si="142">ROUND(((Q169-MIN($M$3:$R$212))/(MAX($M$3:$R$212)-MIN($M$3:$R$212)))*((2^12)-1), 0)</f>
        <v>0</v>
      </c>
      <c r="X169" s="20">
        <f t="shared" ref="X169:X174" si="143">ROUND(((R169-MIN($M$3:$R$212))/(MAX($M$3:$R$212)-MIN($M$3:$R$212)))*((2^12)-1), 0)</f>
        <v>0</v>
      </c>
      <c r="Y169" s="20" t="s">
        <v>413</v>
      </c>
      <c r="Z169" s="25">
        <v>0</v>
      </c>
      <c r="AA169" s="25">
        <v>1</v>
      </c>
      <c r="AB169" s="25" t="s">
        <v>417</v>
      </c>
      <c r="AC169" s="25" t="s">
        <v>734</v>
      </c>
    </row>
    <row r="170" spans="1:29" ht="38.25">
      <c r="A170" s="20" t="s">
        <v>379</v>
      </c>
      <c r="B170" s="24" t="str">
        <f>'Lambda-MOSFET'!A55</f>
        <v>Decrease of Gate-Source Maximum Rated Voltage</v>
      </c>
      <c r="C170" s="22">
        <f>'Lambda-MOSFET'!B$30</f>
        <v>2.4667019701711612E-8</v>
      </c>
      <c r="D170" s="23">
        <f>'Lambda-MOSFET'!C55</f>
        <v>1.3076923076923078E-2</v>
      </c>
      <c r="E170" s="20">
        <f>'Lambda-MOSFET'!D55</f>
        <v>3.2256871917622881E-10</v>
      </c>
      <c r="F170" s="21" t="s">
        <v>613</v>
      </c>
      <c r="G170" s="21" t="s">
        <v>613</v>
      </c>
      <c r="H170" s="20" t="s">
        <v>43</v>
      </c>
      <c r="I170" s="20" t="s">
        <v>408</v>
      </c>
      <c r="J170" s="20" t="s">
        <v>591</v>
      </c>
      <c r="K170" s="20" t="s">
        <v>729</v>
      </c>
      <c r="L170" s="20" t="s">
        <v>729</v>
      </c>
      <c r="M170" s="20">
        <v>3.27305</v>
      </c>
      <c r="N170" s="20">
        <v>3.2730299999999999</v>
      </c>
      <c r="O170" s="20">
        <v>3.2730600000000001</v>
      </c>
      <c r="P170" s="20">
        <v>1.63</v>
      </c>
      <c r="Q170" s="20">
        <v>4.095E-2</v>
      </c>
      <c r="R170" s="20">
        <v>3.2723550000000001</v>
      </c>
      <c r="S170" s="20">
        <f t="shared" si="92"/>
        <v>4093</v>
      </c>
      <c r="T170" s="20">
        <f t="shared" si="139"/>
        <v>4093</v>
      </c>
      <c r="U170" s="20">
        <f t="shared" si="140"/>
        <v>4093</v>
      </c>
      <c r="V170" s="20">
        <f t="shared" si="141"/>
        <v>2038</v>
      </c>
      <c r="W170" s="20">
        <f t="shared" si="142"/>
        <v>51</v>
      </c>
      <c r="X170" s="20">
        <f t="shared" si="143"/>
        <v>4092</v>
      </c>
      <c r="Y170" s="20" t="s">
        <v>484</v>
      </c>
      <c r="Z170" s="25">
        <v>0</v>
      </c>
      <c r="AA170" s="25">
        <v>1</v>
      </c>
      <c r="AB170" s="25" t="s">
        <v>413</v>
      </c>
      <c r="AC170" s="20" t="s">
        <v>736</v>
      </c>
    </row>
    <row r="171" spans="1:29" ht="51">
      <c r="A171" s="20" t="s">
        <v>379</v>
      </c>
      <c r="B171" s="24" t="str">
        <f>'Lambda-MOSFET'!A56</f>
        <v>Decrease of Drain-Gate Maximum Rated Voltage</v>
      </c>
      <c r="C171" s="22">
        <f>'Lambda-MOSFET'!B$30</f>
        <v>2.4667019701711612E-8</v>
      </c>
      <c r="D171" s="23">
        <f>'Lambda-MOSFET'!C56</f>
        <v>1.3076923076923078E-2</v>
      </c>
      <c r="E171" s="20">
        <f>'Lambda-MOSFET'!D56</f>
        <v>3.2256871917622881E-10</v>
      </c>
      <c r="F171" s="21" t="s">
        <v>614</v>
      </c>
      <c r="G171" s="21" t="s">
        <v>614</v>
      </c>
      <c r="H171" s="20" t="s">
        <v>43</v>
      </c>
      <c r="I171" s="20" t="s">
        <v>408</v>
      </c>
      <c r="J171" s="20" t="s">
        <v>593</v>
      </c>
      <c r="K171" s="20" t="s">
        <v>725</v>
      </c>
      <c r="L171" s="20" t="s">
        <v>728</v>
      </c>
      <c r="M171" s="20">
        <v>1.63</v>
      </c>
      <c r="N171" s="20">
        <v>3.1999999999999999E-6</v>
      </c>
      <c r="O171" s="20">
        <v>3.27305</v>
      </c>
      <c r="P171" s="20">
        <v>1.63</v>
      </c>
      <c r="Q171" s="20">
        <v>3.1999999999999999E-6</v>
      </c>
      <c r="R171" s="20">
        <v>3.27305</v>
      </c>
      <c r="S171" s="20">
        <f t="shared" si="138"/>
        <v>2038</v>
      </c>
      <c r="T171" s="20">
        <f t="shared" si="139"/>
        <v>0</v>
      </c>
      <c r="U171" s="20">
        <f t="shared" si="140"/>
        <v>4093</v>
      </c>
      <c r="V171" s="20">
        <f t="shared" si="141"/>
        <v>2038</v>
      </c>
      <c r="W171" s="20">
        <f t="shared" si="142"/>
        <v>0</v>
      </c>
      <c r="X171" s="20">
        <f t="shared" si="143"/>
        <v>4093</v>
      </c>
      <c r="Y171" s="20" t="s">
        <v>414</v>
      </c>
      <c r="Z171" s="25">
        <v>0</v>
      </c>
      <c r="AA171" s="25">
        <v>1</v>
      </c>
      <c r="AB171" s="25" t="s">
        <v>417</v>
      </c>
      <c r="AC171" s="25" t="s">
        <v>734</v>
      </c>
    </row>
    <row r="172" spans="1:29" ht="63.75">
      <c r="A172" s="20" t="s">
        <v>379</v>
      </c>
      <c r="B172" s="24" t="str">
        <f>'Lambda-MOSFET'!A57</f>
        <v>Change of Turn-On Time</v>
      </c>
      <c r="C172" s="22">
        <f>'Lambda-MOSFET'!B$30</f>
        <v>2.4667019701711612E-8</v>
      </c>
      <c r="D172" s="23">
        <f>'Lambda-MOSFET'!C57</f>
        <v>1.3076923076923078E-2</v>
      </c>
      <c r="E172" s="20">
        <f>'Lambda-MOSFET'!D57</f>
        <v>3.2256871917622881E-10</v>
      </c>
      <c r="F172" s="21" t="s">
        <v>616</v>
      </c>
      <c r="G172" s="21" t="s">
        <v>618</v>
      </c>
      <c r="H172" s="20" t="s">
        <v>43</v>
      </c>
      <c r="I172" s="20" t="s">
        <v>408</v>
      </c>
      <c r="J172" s="20" t="s">
        <v>591</v>
      </c>
      <c r="K172" s="20" t="s">
        <v>729</v>
      </c>
      <c r="L172" s="20" t="s">
        <v>728</v>
      </c>
      <c r="M172" s="20">
        <v>0</v>
      </c>
      <c r="N172" s="20">
        <v>0</v>
      </c>
      <c r="O172" s="20">
        <v>0</v>
      </c>
      <c r="P172" s="20">
        <v>0</v>
      </c>
      <c r="Q172" s="20">
        <v>0</v>
      </c>
      <c r="R172" s="20">
        <v>0</v>
      </c>
      <c r="S172" s="20">
        <f t="shared" si="92"/>
        <v>0</v>
      </c>
      <c r="T172" s="20">
        <f t="shared" si="139"/>
        <v>0</v>
      </c>
      <c r="U172" s="20">
        <f t="shared" si="140"/>
        <v>0</v>
      </c>
      <c r="V172" s="20">
        <f t="shared" si="141"/>
        <v>0</v>
      </c>
      <c r="W172" s="20">
        <f t="shared" si="142"/>
        <v>0</v>
      </c>
      <c r="X172" s="20">
        <f t="shared" si="143"/>
        <v>0</v>
      </c>
      <c r="Y172" s="20" t="s">
        <v>413</v>
      </c>
      <c r="Z172" s="25">
        <v>0</v>
      </c>
      <c r="AA172" s="25">
        <v>1</v>
      </c>
      <c r="AB172" s="25" t="s">
        <v>417</v>
      </c>
      <c r="AC172" s="20" t="s">
        <v>736</v>
      </c>
    </row>
    <row r="173" spans="1:29" ht="63.75">
      <c r="A173" s="20" t="s">
        <v>379</v>
      </c>
      <c r="B173" s="24" t="str">
        <f>'Lambda-MOSFET'!A58</f>
        <v>Change of Turn-Off Time</v>
      </c>
      <c r="C173" s="22">
        <f>'Lambda-MOSFET'!B$30</f>
        <v>2.4667019701711612E-8</v>
      </c>
      <c r="D173" s="23">
        <f>'Lambda-MOSFET'!C58</f>
        <v>1.3076923076923078E-2</v>
      </c>
      <c r="E173" s="20">
        <f>'Lambda-MOSFET'!D58</f>
        <v>3.2256871917622881E-10</v>
      </c>
      <c r="F173" s="21" t="s">
        <v>615</v>
      </c>
      <c r="G173" s="21" t="s">
        <v>617</v>
      </c>
      <c r="H173" s="20" t="s">
        <v>43</v>
      </c>
      <c r="I173" s="20" t="s">
        <v>408</v>
      </c>
      <c r="J173" s="20" t="s">
        <v>591</v>
      </c>
      <c r="K173" s="20" t="s">
        <v>729</v>
      </c>
      <c r="L173" s="20" t="s">
        <v>728</v>
      </c>
      <c r="M173" s="20">
        <v>3.1999999999999999E-6</v>
      </c>
      <c r="N173" s="20">
        <v>3.1999999999999999E-6</v>
      </c>
      <c r="O173" s="20">
        <v>3.1999999999999999E-6</v>
      </c>
      <c r="P173" s="20">
        <v>3.1999999999999999E-6</v>
      </c>
      <c r="Q173" s="20">
        <v>3.1999999999999999E-6</v>
      </c>
      <c r="R173" s="20">
        <v>3.1999999999999999E-6</v>
      </c>
      <c r="S173" s="20">
        <f t="shared" si="92"/>
        <v>0</v>
      </c>
      <c r="T173" s="20">
        <f t="shared" si="139"/>
        <v>0</v>
      </c>
      <c r="U173" s="20">
        <f t="shared" si="140"/>
        <v>0</v>
      </c>
      <c r="V173" s="20">
        <f t="shared" si="141"/>
        <v>0</v>
      </c>
      <c r="W173" s="20">
        <f t="shared" si="142"/>
        <v>0</v>
      </c>
      <c r="X173" s="20">
        <f t="shared" si="143"/>
        <v>0</v>
      </c>
      <c r="Y173" s="20" t="s">
        <v>414</v>
      </c>
      <c r="Z173" s="25">
        <v>0</v>
      </c>
      <c r="AA173" s="25">
        <v>1</v>
      </c>
      <c r="AB173" s="25" t="s">
        <v>417</v>
      </c>
      <c r="AC173" s="20" t="s">
        <v>736</v>
      </c>
    </row>
    <row r="174" spans="1:29" ht="38.25">
      <c r="A174" s="20" t="s">
        <v>379</v>
      </c>
      <c r="B174" s="24" t="str">
        <f>'Lambda-MOSFET'!A59</f>
        <v>Increase of Leakage Current IGS</v>
      </c>
      <c r="C174" s="22">
        <f>'Lambda-MOSFET'!B$30</f>
        <v>2.4667019701711612E-8</v>
      </c>
      <c r="D174" s="23">
        <f>'Lambda-MOSFET'!C59</f>
        <v>1.3076923076923078E-2</v>
      </c>
      <c r="E174" s="20">
        <f>'Lambda-MOSFET'!D59</f>
        <v>3.2256871917622881E-10</v>
      </c>
      <c r="F174" s="21" t="s">
        <v>613</v>
      </c>
      <c r="G174" s="21" t="s">
        <v>613</v>
      </c>
      <c r="H174" s="20" t="s">
        <v>43</v>
      </c>
      <c r="I174" s="20" t="s">
        <v>408</v>
      </c>
      <c r="J174" s="20" t="s">
        <v>591</v>
      </c>
      <c r="K174" s="20" t="s">
        <v>729</v>
      </c>
      <c r="L174" s="20" t="s">
        <v>729</v>
      </c>
      <c r="M174" s="20">
        <v>3.27305</v>
      </c>
      <c r="N174" s="20">
        <v>3.2730299999999999</v>
      </c>
      <c r="O174" s="20">
        <v>3.2730600000000001</v>
      </c>
      <c r="P174" s="20">
        <v>1.63</v>
      </c>
      <c r="Q174" s="20">
        <v>4.095E-2</v>
      </c>
      <c r="R174" s="20">
        <v>3.2723550000000001</v>
      </c>
      <c r="S174" s="20">
        <f t="shared" si="92"/>
        <v>4093</v>
      </c>
      <c r="T174" s="20">
        <f t="shared" si="139"/>
        <v>4093</v>
      </c>
      <c r="U174" s="20">
        <f t="shared" si="140"/>
        <v>4093</v>
      </c>
      <c r="V174" s="20">
        <f t="shared" si="141"/>
        <v>2038</v>
      </c>
      <c r="W174" s="20">
        <f t="shared" si="142"/>
        <v>51</v>
      </c>
      <c r="X174" s="20">
        <f t="shared" si="143"/>
        <v>4092</v>
      </c>
      <c r="Y174" s="20" t="s">
        <v>484</v>
      </c>
      <c r="Z174" s="25">
        <v>0</v>
      </c>
      <c r="AA174" s="25">
        <v>1</v>
      </c>
      <c r="AB174" s="25" t="s">
        <v>413</v>
      </c>
      <c r="AC174" s="20" t="s">
        <v>736</v>
      </c>
    </row>
    <row r="175" spans="1:29" ht="51">
      <c r="A175" s="20" t="s">
        <v>379</v>
      </c>
      <c r="B175" s="24" t="str">
        <f>'Lambda-MOSFET'!A60</f>
        <v>Increase of Leakage Current IDS</v>
      </c>
      <c r="C175" s="22">
        <f>'Lambda-MOSFET'!B$30</f>
        <v>2.4667019701711612E-8</v>
      </c>
      <c r="D175" s="23">
        <f>'Lambda-MOSFET'!C60</f>
        <v>1.3076923076923078E-2</v>
      </c>
      <c r="E175" s="20">
        <f>'Lambda-MOSFET'!D60</f>
        <v>3.2256871917622881E-10</v>
      </c>
      <c r="F175" s="21" t="s">
        <v>612</v>
      </c>
      <c r="G175" s="21" t="s">
        <v>612</v>
      </c>
      <c r="H175" s="20" t="s">
        <v>43</v>
      </c>
      <c r="I175" s="20" t="s">
        <v>408</v>
      </c>
      <c r="J175" s="20" t="s">
        <v>590</v>
      </c>
      <c r="K175" s="20" t="s">
        <v>725</v>
      </c>
      <c r="L175" s="20" t="s">
        <v>728</v>
      </c>
      <c r="M175" s="20">
        <v>1.63</v>
      </c>
      <c r="N175" s="20">
        <v>0</v>
      </c>
      <c r="O175" s="20">
        <v>3.27305</v>
      </c>
      <c r="P175" s="20">
        <v>3.1999999999999999E-6</v>
      </c>
      <c r="Q175" s="20">
        <v>0</v>
      </c>
      <c r="R175" s="20">
        <v>3.1999999999999999E-6</v>
      </c>
      <c r="S175" s="20">
        <f t="shared" si="92"/>
        <v>2038</v>
      </c>
      <c r="T175" s="20">
        <f t="shared" si="93"/>
        <v>0</v>
      </c>
      <c r="U175" s="20">
        <f t="shared" si="94"/>
        <v>4093</v>
      </c>
      <c r="V175" s="20">
        <f t="shared" si="95"/>
        <v>0</v>
      </c>
      <c r="W175" s="20">
        <f t="shared" si="96"/>
        <v>0</v>
      </c>
      <c r="X175" s="20">
        <f t="shared" si="97"/>
        <v>0</v>
      </c>
      <c r="Y175" s="20" t="s">
        <v>413</v>
      </c>
      <c r="Z175" s="25">
        <v>0</v>
      </c>
      <c r="AA175" s="25">
        <v>1</v>
      </c>
      <c r="AB175" s="25" t="s">
        <v>417</v>
      </c>
      <c r="AC175" s="25" t="s">
        <v>734</v>
      </c>
    </row>
    <row r="176" spans="1:29" ht="51">
      <c r="A176" s="20" t="s">
        <v>379</v>
      </c>
      <c r="B176" s="24" t="str">
        <f>'Lambda-MOSFET'!A61</f>
        <v>Increase of Leakage Current IGD</v>
      </c>
      <c r="C176" s="22">
        <f>'Lambda-MOSFET'!B$30</f>
        <v>2.4667019701711612E-8</v>
      </c>
      <c r="D176" s="23">
        <f>'Lambda-MOSFET'!C61</f>
        <v>1.3076923076923078E-2</v>
      </c>
      <c r="E176" s="20">
        <f>'Lambda-MOSFET'!D61</f>
        <v>3.2256871917622881E-10</v>
      </c>
      <c r="F176" s="21" t="s">
        <v>384</v>
      </c>
      <c r="G176" s="21" t="s">
        <v>384</v>
      </c>
      <c r="H176" s="20" t="s">
        <v>43</v>
      </c>
      <c r="I176" s="20" t="s">
        <v>408</v>
      </c>
      <c r="J176" s="20" t="s">
        <v>593</v>
      </c>
      <c r="K176" s="20" t="s">
        <v>725</v>
      </c>
      <c r="L176" s="20" t="s">
        <v>728</v>
      </c>
      <c r="M176" s="20">
        <v>1.63</v>
      </c>
      <c r="N176" s="20">
        <v>3.1999999999999999E-6</v>
      </c>
      <c r="O176" s="20">
        <v>3.27305</v>
      </c>
      <c r="P176" s="20">
        <v>1.63</v>
      </c>
      <c r="Q176" s="20">
        <v>3.1999999999999999E-6</v>
      </c>
      <c r="R176" s="20">
        <v>3.27305</v>
      </c>
      <c r="S176" s="20">
        <f t="shared" si="92"/>
        <v>2038</v>
      </c>
      <c r="T176" s="20">
        <f t="shared" si="93"/>
        <v>0</v>
      </c>
      <c r="U176" s="20">
        <f t="shared" si="94"/>
        <v>4093</v>
      </c>
      <c r="V176" s="20">
        <f t="shared" si="95"/>
        <v>2038</v>
      </c>
      <c r="W176" s="20">
        <f t="shared" si="96"/>
        <v>0</v>
      </c>
      <c r="X176" s="20">
        <f t="shared" si="97"/>
        <v>4093</v>
      </c>
      <c r="Y176" s="20" t="s">
        <v>414</v>
      </c>
      <c r="Z176" s="25">
        <v>0</v>
      </c>
      <c r="AA176" s="25">
        <v>1</v>
      </c>
      <c r="AB176" s="25" t="s">
        <v>417</v>
      </c>
      <c r="AC176" s="25" t="s">
        <v>734</v>
      </c>
    </row>
    <row r="177" spans="1:29" ht="63.75">
      <c r="A177" s="20" t="s">
        <v>379</v>
      </c>
      <c r="B177" s="24" t="str">
        <f>'Lambda-MOSFET'!A62</f>
        <v>Change of Static Drain to Source On-State Resistance</v>
      </c>
      <c r="C177" s="22">
        <f>'Lambda-MOSFET'!B$30</f>
        <v>2.4667019701711612E-8</v>
      </c>
      <c r="D177" s="23">
        <f>'Lambda-MOSFET'!C62</f>
        <v>1.3076923076923078E-2</v>
      </c>
      <c r="E177" s="20">
        <f>'Lambda-MOSFET'!D62</f>
        <v>3.2256871917622881E-10</v>
      </c>
      <c r="F177" s="24" t="s">
        <v>619</v>
      </c>
      <c r="G177" s="24" t="s">
        <v>675</v>
      </c>
      <c r="H177" s="25" t="s">
        <v>43</v>
      </c>
      <c r="I177" s="20" t="s">
        <v>408</v>
      </c>
      <c r="J177" s="20" t="s">
        <v>591</v>
      </c>
      <c r="K177" s="20" t="s">
        <v>725</v>
      </c>
      <c r="L177" s="20" t="s">
        <v>728</v>
      </c>
      <c r="M177" s="20">
        <v>3.2724899999999999</v>
      </c>
      <c r="N177" s="20">
        <v>3.2719999999999998</v>
      </c>
      <c r="O177" s="20">
        <v>3.2749999999999999</v>
      </c>
      <c r="P177" s="20">
        <v>1.65</v>
      </c>
      <c r="Q177" s="20">
        <v>8.8400000000000006E-2</v>
      </c>
      <c r="R177" s="20">
        <v>3.2685</v>
      </c>
      <c r="S177" s="20">
        <f t="shared" si="92"/>
        <v>4092</v>
      </c>
      <c r="T177" s="20">
        <f t="shared" si="93"/>
        <v>4091</v>
      </c>
      <c r="U177" s="20">
        <f t="shared" si="94"/>
        <v>4095</v>
      </c>
      <c r="V177" s="20">
        <f t="shared" si="95"/>
        <v>2063</v>
      </c>
      <c r="W177" s="20">
        <f t="shared" si="96"/>
        <v>111</v>
      </c>
      <c r="X177" s="20">
        <f t="shared" si="97"/>
        <v>4087</v>
      </c>
      <c r="Y177" s="20" t="s">
        <v>413</v>
      </c>
      <c r="Z177" s="25">
        <v>0</v>
      </c>
      <c r="AA177" s="25">
        <v>1</v>
      </c>
      <c r="AB177" s="25" t="s">
        <v>417</v>
      </c>
      <c r="AC177" s="25" t="s">
        <v>734</v>
      </c>
    </row>
    <row r="178" spans="1:29" ht="102">
      <c r="A178" s="20" t="s">
        <v>458</v>
      </c>
      <c r="B178" s="24" t="str">
        <f>'Lambda-Zener'!A35</f>
        <v>Open</v>
      </c>
      <c r="C178" s="22">
        <f>'Lambda-Zener'!B$32</f>
        <v>4.0133343232122108E-6</v>
      </c>
      <c r="D178" s="23">
        <f>'Lambda-Zener'!C35</f>
        <v>0.45</v>
      </c>
      <c r="E178" s="20">
        <f>'Lambda-Zener'!D35</f>
        <v>1.8060004454454948E-6</v>
      </c>
      <c r="F178" s="21" t="s">
        <v>620</v>
      </c>
      <c r="G178" s="26" t="s">
        <v>522</v>
      </c>
      <c r="H178" s="20" t="s">
        <v>43</v>
      </c>
      <c r="I178" s="20" t="s">
        <v>408</v>
      </c>
      <c r="J178" s="25" t="s">
        <v>521</v>
      </c>
      <c r="K178" s="25" t="s">
        <v>726</v>
      </c>
      <c r="L178" s="20" t="s">
        <v>728</v>
      </c>
      <c r="M178" s="20">
        <v>3.1999999999999999E-6</v>
      </c>
      <c r="N178" s="20">
        <v>3.1999999999999999E-6</v>
      </c>
      <c r="O178" s="20">
        <v>3.1999999999999999E-6</v>
      </c>
      <c r="P178" s="20">
        <v>3.1999999999999999E-6</v>
      </c>
      <c r="Q178" s="20">
        <v>3.1999999999999999E-6</v>
      </c>
      <c r="R178" s="20">
        <v>3.1999999999999999E-6</v>
      </c>
      <c r="S178" s="20">
        <f t="shared" si="92"/>
        <v>0</v>
      </c>
      <c r="T178" s="20">
        <f t="shared" si="93"/>
        <v>0</v>
      </c>
      <c r="U178" s="20">
        <f t="shared" si="94"/>
        <v>0</v>
      </c>
      <c r="V178" s="20">
        <f t="shared" si="95"/>
        <v>0</v>
      </c>
      <c r="W178" s="20">
        <f t="shared" si="96"/>
        <v>0</v>
      </c>
      <c r="X178" s="20">
        <f t="shared" si="97"/>
        <v>0</v>
      </c>
      <c r="Y178" s="20" t="s">
        <v>414</v>
      </c>
      <c r="Z178" s="25">
        <v>0</v>
      </c>
      <c r="AA178" s="25">
        <v>1</v>
      </c>
      <c r="AB178" s="25" t="s">
        <v>470</v>
      </c>
      <c r="AC178" s="20" t="s">
        <v>736</v>
      </c>
    </row>
    <row r="179" spans="1:29" ht="51">
      <c r="A179" s="20" t="s">
        <v>458</v>
      </c>
      <c r="B179" s="21" t="str">
        <f>'Lambda-Zener'!A36</f>
        <v>Short-Circuit</v>
      </c>
      <c r="C179" s="22">
        <f>'Lambda-Zener'!B$32</f>
        <v>4.0133343232122108E-6</v>
      </c>
      <c r="D179" s="23">
        <f>'Lambda-Zener'!C36</f>
        <v>0.2</v>
      </c>
      <c r="E179" s="20">
        <f>'Lambda-Zener'!D36</f>
        <v>8.0266686464244223E-7</v>
      </c>
      <c r="F179" s="21" t="s">
        <v>621</v>
      </c>
      <c r="G179" s="21" t="s">
        <v>618</v>
      </c>
      <c r="H179" s="20" t="s">
        <v>43</v>
      </c>
      <c r="I179" s="20" t="s">
        <v>408</v>
      </c>
      <c r="J179" s="20" t="s">
        <v>591</v>
      </c>
      <c r="K179" s="20" t="s">
        <v>729</v>
      </c>
      <c r="L179" s="20" t="s">
        <v>728</v>
      </c>
      <c r="M179" s="20">
        <v>0</v>
      </c>
      <c r="N179" s="20">
        <v>0</v>
      </c>
      <c r="O179" s="20">
        <v>0</v>
      </c>
      <c r="P179" s="20">
        <v>0</v>
      </c>
      <c r="Q179" s="20">
        <v>0</v>
      </c>
      <c r="R179" s="20">
        <v>0</v>
      </c>
      <c r="S179" s="20">
        <f t="shared" si="92"/>
        <v>0</v>
      </c>
      <c r="T179" s="20">
        <f t="shared" si="93"/>
        <v>0</v>
      </c>
      <c r="U179" s="20">
        <f t="shared" si="94"/>
        <v>0</v>
      </c>
      <c r="V179" s="20">
        <f t="shared" si="95"/>
        <v>0</v>
      </c>
      <c r="W179" s="20">
        <f t="shared" si="96"/>
        <v>0</v>
      </c>
      <c r="X179" s="20">
        <f t="shared" si="97"/>
        <v>0</v>
      </c>
      <c r="Y179" s="20" t="s">
        <v>413</v>
      </c>
      <c r="Z179" s="25">
        <v>0</v>
      </c>
      <c r="AA179" s="25">
        <v>1</v>
      </c>
      <c r="AB179" s="25" t="s">
        <v>417</v>
      </c>
      <c r="AC179" s="20" t="s">
        <v>736</v>
      </c>
    </row>
    <row r="180" spans="1:29" ht="102">
      <c r="A180" s="20" t="s">
        <v>458</v>
      </c>
      <c r="B180" s="24" t="str">
        <f>'Lambda-Zener'!A37</f>
        <v>Increase of Zener Voltage</v>
      </c>
      <c r="C180" s="22">
        <f>'Lambda-Zener'!B$32</f>
        <v>4.0133343232122108E-6</v>
      </c>
      <c r="D180" s="23">
        <f>'Lambda-Zener'!C37</f>
        <v>4.3749999999999997E-2</v>
      </c>
      <c r="E180" s="20">
        <f>'Lambda-Zener'!D37</f>
        <v>1.7558337664053421E-7</v>
      </c>
      <c r="F180" s="21" t="s">
        <v>622</v>
      </c>
      <c r="G180" s="26" t="s">
        <v>522</v>
      </c>
      <c r="H180" s="20" t="s">
        <v>43</v>
      </c>
      <c r="I180" s="20" t="s">
        <v>408</v>
      </c>
      <c r="J180" s="25" t="s">
        <v>521</v>
      </c>
      <c r="K180" s="25" t="s">
        <v>726</v>
      </c>
      <c r="L180" s="20" t="s">
        <v>728</v>
      </c>
      <c r="M180" s="20">
        <v>3.1999999999999999E-6</v>
      </c>
      <c r="N180" s="20">
        <v>3.1999999999999999E-6</v>
      </c>
      <c r="O180" s="20">
        <v>3.1999999999999999E-6</v>
      </c>
      <c r="P180" s="20">
        <v>3.1999999999999999E-6</v>
      </c>
      <c r="Q180" s="20">
        <v>3.1999999999999999E-6</v>
      </c>
      <c r="R180" s="20">
        <v>3.1999999999999999E-6</v>
      </c>
      <c r="S180" s="20">
        <f t="shared" ref="S180:S188" si="144">ROUND(((M180-MIN($M$3:$R$212))/(MAX($M$3:$R$212)-MIN($M$3:$R$212)))*((2^12)-1), 0)</f>
        <v>0</v>
      </c>
      <c r="T180" s="20">
        <f t="shared" ref="T180:T188" si="145">ROUND(((N180-MIN($M$3:$R$212))/(MAX($M$3:$R$212)-MIN($M$3:$R$212)))*((2^12)-1), 0)</f>
        <v>0</v>
      </c>
      <c r="U180" s="20">
        <f t="shared" ref="U180:U188" si="146">ROUND(((O180-MIN($M$3:$R$212))/(MAX($M$3:$R$212)-MIN($M$3:$R$212)))*((2^12)-1), 0)</f>
        <v>0</v>
      </c>
      <c r="V180" s="20">
        <f t="shared" ref="V180:V188" si="147">ROUND(((P180-MIN($M$3:$R$212))/(MAX($M$3:$R$212)-MIN($M$3:$R$212)))*((2^12)-1), 0)</f>
        <v>0</v>
      </c>
      <c r="W180" s="20">
        <f t="shared" ref="W180:W188" si="148">ROUND(((Q180-MIN($M$3:$R$212))/(MAX($M$3:$R$212)-MIN($M$3:$R$212)))*((2^12)-1), 0)</f>
        <v>0</v>
      </c>
      <c r="X180" s="20">
        <f t="shared" ref="X180:X188" si="149">ROUND(((R180-MIN($M$3:$R$212))/(MAX($M$3:$R$212)-MIN($M$3:$R$212)))*((2^12)-1), 0)</f>
        <v>0</v>
      </c>
      <c r="Y180" s="20" t="s">
        <v>414</v>
      </c>
      <c r="Z180" s="25">
        <v>0</v>
      </c>
      <c r="AA180" s="25">
        <v>1</v>
      </c>
      <c r="AB180" s="25" t="s">
        <v>470</v>
      </c>
      <c r="AC180" s="20" t="s">
        <v>736</v>
      </c>
    </row>
    <row r="181" spans="1:29" ht="51">
      <c r="A181" s="20" t="s">
        <v>458</v>
      </c>
      <c r="B181" s="24" t="str">
        <f>'Lambda-Zener'!A38</f>
        <v>Decrease of Zener Voltage</v>
      </c>
      <c r="C181" s="22">
        <f>'Lambda-Zener'!B$32</f>
        <v>4.0133343232122108E-6</v>
      </c>
      <c r="D181" s="23">
        <f>'Lambda-Zener'!C38</f>
        <v>4.3749999999999997E-2</v>
      </c>
      <c r="E181" s="20">
        <f>'Lambda-Zener'!D38</f>
        <v>1.7558337664053421E-7</v>
      </c>
      <c r="F181" s="21" t="s">
        <v>623</v>
      </c>
      <c r="G181" s="21" t="s">
        <v>618</v>
      </c>
      <c r="H181" s="20" t="s">
        <v>43</v>
      </c>
      <c r="I181" s="20" t="s">
        <v>408</v>
      </c>
      <c r="J181" s="20" t="s">
        <v>591</v>
      </c>
      <c r="K181" s="20" t="s">
        <v>725</v>
      </c>
      <c r="L181" s="20" t="s">
        <v>728</v>
      </c>
      <c r="M181" s="20">
        <v>1.63</v>
      </c>
      <c r="N181" s="20">
        <v>0</v>
      </c>
      <c r="O181" s="20">
        <v>3.2749999999999999</v>
      </c>
      <c r="P181" s="20">
        <v>0</v>
      </c>
      <c r="Q181" s="20">
        <v>0</v>
      </c>
      <c r="R181" s="20">
        <v>0</v>
      </c>
      <c r="S181" s="20">
        <f t="shared" si="144"/>
        <v>2038</v>
      </c>
      <c r="T181" s="20">
        <f t="shared" si="145"/>
        <v>0</v>
      </c>
      <c r="U181" s="20">
        <f t="shared" si="146"/>
        <v>4095</v>
      </c>
      <c r="V181" s="20">
        <f t="shared" si="147"/>
        <v>0</v>
      </c>
      <c r="W181" s="20">
        <f t="shared" si="148"/>
        <v>0</v>
      </c>
      <c r="X181" s="20">
        <f t="shared" si="149"/>
        <v>0</v>
      </c>
      <c r="Y181" s="20" t="s">
        <v>413</v>
      </c>
      <c r="Z181" s="25">
        <v>0</v>
      </c>
      <c r="AA181" s="25">
        <v>1</v>
      </c>
      <c r="AB181" s="25" t="s">
        <v>417</v>
      </c>
      <c r="AC181" s="25" t="s">
        <v>734</v>
      </c>
    </row>
    <row r="182" spans="1:29" ht="51">
      <c r="A182" s="20" t="s">
        <v>458</v>
      </c>
      <c r="B182" s="24" t="str">
        <f>'Lambda-Zener'!A39</f>
        <v>Increase of Leakage Current</v>
      </c>
      <c r="C182" s="22">
        <f>'Lambda-Zener'!B$32</f>
        <v>4.0133343232122108E-6</v>
      </c>
      <c r="D182" s="23">
        <f>'Lambda-Zener'!C39</f>
        <v>4.3749999999999997E-2</v>
      </c>
      <c r="E182" s="20">
        <f>'Lambda-Zener'!D39</f>
        <v>1.7558337664053421E-7</v>
      </c>
      <c r="F182" s="21" t="s">
        <v>381</v>
      </c>
      <c r="G182" s="21" t="s">
        <v>381</v>
      </c>
      <c r="H182" s="20" t="s">
        <v>43</v>
      </c>
      <c r="I182" s="20" t="s">
        <v>408</v>
      </c>
      <c r="J182" s="20" t="s">
        <v>591</v>
      </c>
      <c r="K182" s="20" t="s">
        <v>725</v>
      </c>
      <c r="L182" s="20" t="s">
        <v>728</v>
      </c>
      <c r="M182" s="20">
        <v>1.63</v>
      </c>
      <c r="N182" s="20">
        <v>0</v>
      </c>
      <c r="O182" s="20">
        <v>3.2749999999999999</v>
      </c>
      <c r="P182" s="20">
        <v>0</v>
      </c>
      <c r="Q182" s="20">
        <v>0</v>
      </c>
      <c r="R182" s="20">
        <v>0</v>
      </c>
      <c r="S182" s="20">
        <f t="shared" si="144"/>
        <v>2038</v>
      </c>
      <c r="T182" s="20">
        <f t="shared" si="145"/>
        <v>0</v>
      </c>
      <c r="U182" s="20">
        <f t="shared" si="146"/>
        <v>4095</v>
      </c>
      <c r="V182" s="20">
        <f t="shared" si="147"/>
        <v>0</v>
      </c>
      <c r="W182" s="20">
        <f t="shared" si="148"/>
        <v>0</v>
      </c>
      <c r="X182" s="20">
        <f t="shared" si="149"/>
        <v>0</v>
      </c>
      <c r="Y182" s="20" t="s">
        <v>413</v>
      </c>
      <c r="Z182" s="25">
        <v>0</v>
      </c>
      <c r="AA182" s="25">
        <v>1</v>
      </c>
      <c r="AB182" s="25" t="s">
        <v>417</v>
      </c>
      <c r="AC182" s="25" t="s">
        <v>734</v>
      </c>
    </row>
    <row r="183" spans="1:29" ht="51">
      <c r="A183" s="20" t="s">
        <v>458</v>
      </c>
      <c r="B183" s="24" t="str">
        <f>'Lambda-Zener'!A40</f>
        <v>Change of Differential Resistance</v>
      </c>
      <c r="C183" s="22">
        <f>'Lambda-Zener'!B$32</f>
        <v>4.0133343232122108E-6</v>
      </c>
      <c r="D183" s="23">
        <f>'Lambda-Zener'!C40</f>
        <v>4.3749999999999997E-2</v>
      </c>
      <c r="E183" s="20">
        <f>'Lambda-Zener'!D40</f>
        <v>1.7558337664053421E-7</v>
      </c>
      <c r="F183" s="21" t="s">
        <v>380</v>
      </c>
      <c r="G183" s="21" t="s">
        <v>380</v>
      </c>
      <c r="H183" s="20" t="s">
        <v>43</v>
      </c>
      <c r="I183" s="20" t="s">
        <v>408</v>
      </c>
      <c r="J183" s="25" t="s">
        <v>521</v>
      </c>
      <c r="K183" s="25" t="s">
        <v>726</v>
      </c>
      <c r="L183" s="20" t="s">
        <v>728</v>
      </c>
      <c r="M183" s="20">
        <v>3.1999999999999999E-6</v>
      </c>
      <c r="N183" s="20">
        <v>3.1999999999999999E-6</v>
      </c>
      <c r="O183" s="20">
        <v>3.1999999999999999E-6</v>
      </c>
      <c r="P183" s="20">
        <v>3.1999999999999999E-6</v>
      </c>
      <c r="Q183" s="20">
        <v>3.1999999999999999E-6</v>
      </c>
      <c r="R183" s="20">
        <v>3.1999999999999999E-6</v>
      </c>
      <c r="S183" s="20">
        <f t="shared" si="144"/>
        <v>0</v>
      </c>
      <c r="T183" s="20">
        <f t="shared" si="145"/>
        <v>0</v>
      </c>
      <c r="U183" s="20">
        <f t="shared" si="146"/>
        <v>0</v>
      </c>
      <c r="V183" s="20">
        <f t="shared" si="147"/>
        <v>0</v>
      </c>
      <c r="W183" s="20">
        <f t="shared" si="148"/>
        <v>0</v>
      </c>
      <c r="X183" s="20">
        <f t="shared" si="149"/>
        <v>0</v>
      </c>
      <c r="Y183" s="20" t="s">
        <v>414</v>
      </c>
      <c r="Z183" s="25">
        <v>0</v>
      </c>
      <c r="AA183" s="25">
        <v>1</v>
      </c>
      <c r="AB183" s="25" t="s">
        <v>470</v>
      </c>
      <c r="AC183" s="20" t="s">
        <v>736</v>
      </c>
    </row>
    <row r="184" spans="1:29" ht="38.25">
      <c r="A184" s="20" t="s">
        <v>458</v>
      </c>
      <c r="B184" s="21" t="str">
        <f>'Lambda-Zener'!A41</f>
        <v>Increase of Forward Conducting-State Voltage</v>
      </c>
      <c r="C184" s="22">
        <f>'Lambda-Zener'!B$32</f>
        <v>4.0133343232122108E-6</v>
      </c>
      <c r="D184" s="23">
        <f>'Lambda-Zener'!C41</f>
        <v>4.3749999999999997E-2</v>
      </c>
      <c r="E184" s="20">
        <f>'Lambda-Zener'!D41</f>
        <v>1.7558337664053421E-7</v>
      </c>
      <c r="F184" s="21" t="s">
        <v>383</v>
      </c>
      <c r="G184" s="21" t="s">
        <v>383</v>
      </c>
      <c r="H184" s="20" t="s">
        <v>43</v>
      </c>
      <c r="I184" s="20" t="s">
        <v>409</v>
      </c>
      <c r="J184" s="20" t="s">
        <v>409</v>
      </c>
      <c r="K184" s="20" t="s">
        <v>730</v>
      </c>
      <c r="L184" s="20" t="s">
        <v>730</v>
      </c>
      <c r="M184" s="20">
        <v>3.2724899999999999</v>
      </c>
      <c r="N184" s="20">
        <v>3.2719999999999998</v>
      </c>
      <c r="O184" s="20">
        <v>3.2749999999999999</v>
      </c>
      <c r="P184" s="20">
        <v>4.3130000000000002E-2</v>
      </c>
      <c r="Q184" s="20">
        <v>4.095E-2</v>
      </c>
      <c r="R184" s="20">
        <v>4.53E-2</v>
      </c>
      <c r="S184" s="20">
        <f t="shared" si="144"/>
        <v>4092</v>
      </c>
      <c r="T184" s="20">
        <f t="shared" si="145"/>
        <v>4091</v>
      </c>
      <c r="U184" s="20">
        <f t="shared" si="146"/>
        <v>4095</v>
      </c>
      <c r="V184" s="20">
        <f t="shared" si="147"/>
        <v>54</v>
      </c>
      <c r="W184" s="20">
        <f t="shared" si="148"/>
        <v>51</v>
      </c>
      <c r="X184" s="20">
        <f t="shared" si="149"/>
        <v>57</v>
      </c>
      <c r="Y184" s="20" t="s">
        <v>417</v>
      </c>
      <c r="Z184" s="25">
        <v>0</v>
      </c>
      <c r="AA184" s="25">
        <v>1</v>
      </c>
      <c r="AB184" s="25" t="s">
        <v>417</v>
      </c>
      <c r="AC184" s="20" t="s">
        <v>736</v>
      </c>
    </row>
    <row r="185" spans="1:29" ht="38.25">
      <c r="A185" s="20" t="s">
        <v>458</v>
      </c>
      <c r="B185" s="21" t="str">
        <f>'Lambda-Zener'!A42</f>
        <v>Decrease of Forward Conducting-State Voltage</v>
      </c>
      <c r="C185" s="22">
        <f>'Lambda-Zener'!B$32</f>
        <v>4.0133343232122108E-6</v>
      </c>
      <c r="D185" s="23">
        <f>'Lambda-Zener'!C42</f>
        <v>4.3749999999999997E-2</v>
      </c>
      <c r="E185" s="20">
        <f>'Lambda-Zener'!D42</f>
        <v>1.7558337664053421E-7</v>
      </c>
      <c r="F185" s="21" t="s">
        <v>383</v>
      </c>
      <c r="G185" s="26" t="s">
        <v>383</v>
      </c>
      <c r="H185" s="20" t="s">
        <v>43</v>
      </c>
      <c r="I185" s="20" t="s">
        <v>409</v>
      </c>
      <c r="J185" s="20" t="s">
        <v>409</v>
      </c>
      <c r="K185" s="20" t="s">
        <v>730</v>
      </c>
      <c r="L185" s="20" t="s">
        <v>730</v>
      </c>
      <c r="M185" s="20">
        <v>3.2724899999999999</v>
      </c>
      <c r="N185" s="20">
        <v>3.2719999999999998</v>
      </c>
      <c r="O185" s="20">
        <v>3.2749999999999999</v>
      </c>
      <c r="P185" s="20">
        <v>4.3130000000000002E-2</v>
      </c>
      <c r="Q185" s="20">
        <v>4.095E-2</v>
      </c>
      <c r="R185" s="20">
        <v>4.53E-2</v>
      </c>
      <c r="S185" s="20">
        <f t="shared" si="144"/>
        <v>4092</v>
      </c>
      <c r="T185" s="20">
        <f t="shared" si="145"/>
        <v>4091</v>
      </c>
      <c r="U185" s="20">
        <f t="shared" si="146"/>
        <v>4095</v>
      </c>
      <c r="V185" s="20">
        <f t="shared" si="147"/>
        <v>54</v>
      </c>
      <c r="W185" s="20">
        <f t="shared" si="148"/>
        <v>51</v>
      </c>
      <c r="X185" s="20">
        <f t="shared" si="149"/>
        <v>57</v>
      </c>
      <c r="Y185" s="20" t="s">
        <v>417</v>
      </c>
      <c r="Z185" s="25">
        <v>0</v>
      </c>
      <c r="AA185" s="25">
        <v>1</v>
      </c>
      <c r="AB185" s="25" t="s">
        <v>417</v>
      </c>
      <c r="AC185" s="20" t="s">
        <v>736</v>
      </c>
    </row>
    <row r="186" spans="1:29" ht="38.25">
      <c r="A186" s="20" t="s">
        <v>458</v>
      </c>
      <c r="B186" s="21" t="str">
        <f>'Lambda-Zener'!A43</f>
        <v>Increase of Forward Threshold Voltage</v>
      </c>
      <c r="C186" s="22">
        <f>'Lambda-Zener'!B$32</f>
        <v>4.0133343232122108E-6</v>
      </c>
      <c r="D186" s="23">
        <f>'Lambda-Zener'!C43</f>
        <v>4.3749999999999997E-2</v>
      </c>
      <c r="E186" s="20">
        <f>'Lambda-Zener'!D43</f>
        <v>1.7558337664053421E-7</v>
      </c>
      <c r="F186" s="21" t="s">
        <v>383</v>
      </c>
      <c r="G186" s="21" t="s">
        <v>383</v>
      </c>
      <c r="H186" s="20" t="s">
        <v>43</v>
      </c>
      <c r="I186" s="20" t="s">
        <v>409</v>
      </c>
      <c r="J186" s="20" t="s">
        <v>409</v>
      </c>
      <c r="K186" s="20" t="s">
        <v>730</v>
      </c>
      <c r="L186" s="20" t="s">
        <v>730</v>
      </c>
      <c r="M186" s="20">
        <v>3.2724899999999999</v>
      </c>
      <c r="N186" s="20">
        <v>3.2719999999999998</v>
      </c>
      <c r="O186" s="20">
        <v>3.2749999999999999</v>
      </c>
      <c r="P186" s="20">
        <v>4.3130000000000002E-2</v>
      </c>
      <c r="Q186" s="20">
        <v>4.095E-2</v>
      </c>
      <c r="R186" s="20">
        <v>4.53E-2</v>
      </c>
      <c r="S186" s="20">
        <f t="shared" si="144"/>
        <v>4092</v>
      </c>
      <c r="T186" s="20">
        <f t="shared" si="145"/>
        <v>4091</v>
      </c>
      <c r="U186" s="20">
        <f t="shared" si="146"/>
        <v>4095</v>
      </c>
      <c r="V186" s="20">
        <f t="shared" si="147"/>
        <v>54</v>
      </c>
      <c r="W186" s="20">
        <f t="shared" si="148"/>
        <v>51</v>
      </c>
      <c r="X186" s="20">
        <f t="shared" si="149"/>
        <v>57</v>
      </c>
      <c r="Y186" s="20" t="s">
        <v>417</v>
      </c>
      <c r="Z186" s="25">
        <v>0</v>
      </c>
      <c r="AA186" s="25">
        <v>1</v>
      </c>
      <c r="AB186" s="25" t="s">
        <v>417</v>
      </c>
      <c r="AC186" s="20" t="s">
        <v>736</v>
      </c>
    </row>
    <row r="187" spans="1:29" ht="38.25">
      <c r="A187" s="20" t="s">
        <v>458</v>
      </c>
      <c r="B187" s="21" t="str">
        <f>'Lambda-Zener'!A44</f>
        <v>Decrease of Forward Threshold Voltage</v>
      </c>
      <c r="C187" s="22">
        <f>'Lambda-Zener'!B$32</f>
        <v>4.0133343232122108E-6</v>
      </c>
      <c r="D187" s="23">
        <f>'Lambda-Zener'!C44</f>
        <v>4.3749999999999997E-2</v>
      </c>
      <c r="E187" s="20">
        <f>'Lambda-Zener'!D44</f>
        <v>1.7558337664053421E-7</v>
      </c>
      <c r="F187" s="21" t="s">
        <v>383</v>
      </c>
      <c r="G187" s="21" t="s">
        <v>383</v>
      </c>
      <c r="H187" s="20" t="s">
        <v>43</v>
      </c>
      <c r="I187" s="20" t="s">
        <v>409</v>
      </c>
      <c r="J187" s="20" t="s">
        <v>409</v>
      </c>
      <c r="K187" s="20" t="s">
        <v>730</v>
      </c>
      <c r="L187" s="20" t="s">
        <v>730</v>
      </c>
      <c r="M187" s="20">
        <v>3.2724899999999999</v>
      </c>
      <c r="N187" s="20">
        <v>3.2719999999999998</v>
      </c>
      <c r="O187" s="20">
        <v>3.2749999999999999</v>
      </c>
      <c r="P187" s="20">
        <v>4.3130000000000002E-2</v>
      </c>
      <c r="Q187" s="20">
        <v>4.095E-2</v>
      </c>
      <c r="R187" s="20">
        <v>4.53E-2</v>
      </c>
      <c r="S187" s="20">
        <f t="shared" si="144"/>
        <v>4092</v>
      </c>
      <c r="T187" s="20">
        <f t="shared" si="145"/>
        <v>4091</v>
      </c>
      <c r="U187" s="20">
        <f t="shared" si="146"/>
        <v>4095</v>
      </c>
      <c r="V187" s="20">
        <f t="shared" si="147"/>
        <v>54</v>
      </c>
      <c r="W187" s="20">
        <f t="shared" si="148"/>
        <v>51</v>
      </c>
      <c r="X187" s="20">
        <f t="shared" si="149"/>
        <v>57</v>
      </c>
      <c r="Y187" s="20" t="s">
        <v>417</v>
      </c>
      <c r="Z187" s="25">
        <v>0</v>
      </c>
      <c r="AA187" s="25">
        <v>1</v>
      </c>
      <c r="AB187" s="25" t="s">
        <v>417</v>
      </c>
      <c r="AC187" s="20" t="s">
        <v>736</v>
      </c>
    </row>
    <row r="188" spans="1:29" ht="38.25">
      <c r="A188" s="20" t="s">
        <v>458</v>
      </c>
      <c r="B188" s="21" t="str">
        <f>'Lambda-Zener'!A45</f>
        <v>Short-Circuit to Conductive Casing</v>
      </c>
      <c r="C188" s="22">
        <f>'Lambda-Zener'!B$32</f>
        <v>4.0133343232122108E-6</v>
      </c>
      <c r="D188" s="23">
        <f>'Lambda-Zener'!C45</f>
        <v>0</v>
      </c>
      <c r="E188" s="20">
        <f>'Lambda-Zener'!D45</f>
        <v>0</v>
      </c>
      <c r="F188" s="21" t="s">
        <v>382</v>
      </c>
      <c r="G188" s="21" t="s">
        <v>382</v>
      </c>
      <c r="H188" s="20" t="s">
        <v>43</v>
      </c>
      <c r="I188" s="20" t="s">
        <v>409</v>
      </c>
      <c r="J188" s="20" t="s">
        <v>409</v>
      </c>
      <c r="K188" s="20" t="s">
        <v>730</v>
      </c>
      <c r="L188" s="20" t="s">
        <v>730</v>
      </c>
      <c r="M188" s="20">
        <v>3.2724899999999999</v>
      </c>
      <c r="N188" s="20">
        <v>3.2719999999999998</v>
      </c>
      <c r="O188" s="20">
        <v>3.2749999999999999</v>
      </c>
      <c r="P188" s="20">
        <v>4.3130000000000002E-2</v>
      </c>
      <c r="Q188" s="20">
        <v>4.095E-2</v>
      </c>
      <c r="R188" s="20">
        <v>4.53E-2</v>
      </c>
      <c r="S188" s="20">
        <f t="shared" si="144"/>
        <v>4092</v>
      </c>
      <c r="T188" s="20">
        <f t="shared" si="145"/>
        <v>4091</v>
      </c>
      <c r="U188" s="20">
        <f t="shared" si="146"/>
        <v>4095</v>
      </c>
      <c r="V188" s="20">
        <f t="shared" si="147"/>
        <v>54</v>
      </c>
      <c r="W188" s="20">
        <f t="shared" si="148"/>
        <v>51</v>
      </c>
      <c r="X188" s="20">
        <f t="shared" si="149"/>
        <v>57</v>
      </c>
      <c r="Y188" s="20" t="s">
        <v>417</v>
      </c>
      <c r="Z188" s="25">
        <v>0</v>
      </c>
      <c r="AA188" s="25">
        <v>1</v>
      </c>
      <c r="AB188" s="25" t="s">
        <v>417</v>
      </c>
      <c r="AC188" s="20" t="s">
        <v>736</v>
      </c>
    </row>
    <row r="189" spans="1:29" ht="38.25">
      <c r="A189" s="20" t="s">
        <v>459</v>
      </c>
      <c r="B189" s="21" t="str">
        <f>'Lambda-Resistor (All)'!A35</f>
        <v>Open</v>
      </c>
      <c r="C189" s="22">
        <f>'Lambda-Resistor (All)'!B$32</f>
        <v>4.1612004167966296E-9</v>
      </c>
      <c r="D189" s="23">
        <f>'Lambda-Resistor (All)'!C35</f>
        <v>0.59</v>
      </c>
      <c r="E189" s="20">
        <f>'Lambda-Resistor (All)'!D35</f>
        <v>2.4551082459100113E-9</v>
      </c>
      <c r="F189" s="21" t="s">
        <v>426</v>
      </c>
      <c r="G189" s="21" t="s">
        <v>427</v>
      </c>
      <c r="H189" s="20" t="s">
        <v>43</v>
      </c>
      <c r="I189" s="20" t="s">
        <v>408</v>
      </c>
      <c r="J189" s="20" t="s">
        <v>591</v>
      </c>
      <c r="K189" s="20" t="s">
        <v>729</v>
      </c>
      <c r="L189" s="20" t="s">
        <v>728</v>
      </c>
      <c r="M189" s="25">
        <v>0.20713999999999999</v>
      </c>
      <c r="N189" s="25">
        <v>0.15332499999999999</v>
      </c>
      <c r="O189" s="25">
        <v>0.25198999999999999</v>
      </c>
      <c r="P189" s="25">
        <v>0.20713999999999999</v>
      </c>
      <c r="Q189" s="25">
        <v>0.15332499999999999</v>
      </c>
      <c r="R189" s="25">
        <v>0.25198999999999999</v>
      </c>
      <c r="S189" s="20">
        <f t="shared" si="92"/>
        <v>259</v>
      </c>
      <c r="T189" s="20">
        <f t="shared" si="93"/>
        <v>192</v>
      </c>
      <c r="U189" s="20">
        <f t="shared" si="94"/>
        <v>315</v>
      </c>
      <c r="V189" s="20">
        <f t="shared" si="95"/>
        <v>259</v>
      </c>
      <c r="W189" s="20">
        <f t="shared" si="96"/>
        <v>192</v>
      </c>
      <c r="X189" s="20">
        <f t="shared" si="97"/>
        <v>315</v>
      </c>
      <c r="Y189" s="25" t="s">
        <v>428</v>
      </c>
      <c r="Z189" s="25">
        <v>0</v>
      </c>
      <c r="AA189" s="25">
        <v>1</v>
      </c>
      <c r="AB189" s="25" t="s">
        <v>417</v>
      </c>
      <c r="AC189" s="20" t="s">
        <v>736</v>
      </c>
    </row>
    <row r="190" spans="1:29" ht="76.5">
      <c r="A190" s="20" t="s">
        <v>459</v>
      </c>
      <c r="B190" s="24" t="str">
        <f>'Lambda-Resistor (All)'!A36</f>
        <v>Short-Circuit</v>
      </c>
      <c r="C190" s="22">
        <f>'Lambda-Resistor (All)'!B$32</f>
        <v>4.1612004167966296E-9</v>
      </c>
      <c r="D190" s="23">
        <f>'Lambda-Resistor (All)'!C36</f>
        <v>0.05</v>
      </c>
      <c r="E190" s="20">
        <f>'Lambda-Resistor (All)'!D36</f>
        <v>2.080600208398315E-10</v>
      </c>
      <c r="F190" s="21" t="s">
        <v>628</v>
      </c>
      <c r="G190" s="21" t="s">
        <v>629</v>
      </c>
      <c r="H190" s="20" t="s">
        <v>43</v>
      </c>
      <c r="I190" s="20" t="s">
        <v>408</v>
      </c>
      <c r="J190" s="20" t="s">
        <v>591</v>
      </c>
      <c r="K190" s="20" t="s">
        <v>729</v>
      </c>
      <c r="L190" s="20" t="s">
        <v>728</v>
      </c>
      <c r="M190" s="20">
        <v>0</v>
      </c>
      <c r="N190" s="20">
        <v>0</v>
      </c>
      <c r="O190" s="20">
        <v>0</v>
      </c>
      <c r="P190" s="20">
        <v>0</v>
      </c>
      <c r="Q190" s="20">
        <v>0</v>
      </c>
      <c r="R190" s="20">
        <v>0</v>
      </c>
      <c r="S190" s="20">
        <f t="shared" si="92"/>
        <v>0</v>
      </c>
      <c r="T190" s="20">
        <f t="shared" si="93"/>
        <v>0</v>
      </c>
      <c r="U190" s="20">
        <f t="shared" si="94"/>
        <v>0</v>
      </c>
      <c r="V190" s="20">
        <f t="shared" si="95"/>
        <v>0</v>
      </c>
      <c r="W190" s="20">
        <f t="shared" si="96"/>
        <v>0</v>
      </c>
      <c r="X190" s="20">
        <f t="shared" si="97"/>
        <v>0</v>
      </c>
      <c r="Y190" s="20" t="s">
        <v>413</v>
      </c>
      <c r="Z190" s="25">
        <v>0</v>
      </c>
      <c r="AA190" s="25">
        <v>1</v>
      </c>
      <c r="AB190" s="25" t="s">
        <v>417</v>
      </c>
      <c r="AC190" s="20" t="s">
        <v>736</v>
      </c>
    </row>
    <row r="191" spans="1:29" ht="38.25">
      <c r="A191" s="20" t="s">
        <v>459</v>
      </c>
      <c r="B191" s="24" t="str">
        <f>'Lambda-Resistor (All)'!A37</f>
        <v>Increase of Resistance Value</v>
      </c>
      <c r="C191" s="22">
        <f>'Lambda-Resistor (All)'!B$32</f>
        <v>4.1612004167966296E-9</v>
      </c>
      <c r="D191" s="23">
        <f>'Lambda-Resistor (All)'!C37</f>
        <v>0.18</v>
      </c>
      <c r="E191" s="20">
        <f>'Lambda-Resistor (All)'!D37</f>
        <v>7.4901607502339334E-10</v>
      </c>
      <c r="F191" s="21" t="s">
        <v>380</v>
      </c>
      <c r="G191" s="21" t="s">
        <v>380</v>
      </c>
      <c r="H191" s="20" t="s">
        <v>43</v>
      </c>
      <c r="I191" s="20" t="s">
        <v>408</v>
      </c>
      <c r="J191" s="20" t="s">
        <v>591</v>
      </c>
      <c r="K191" s="20" t="s">
        <v>729</v>
      </c>
      <c r="L191" s="20" t="s">
        <v>728</v>
      </c>
      <c r="M191" s="25">
        <v>0.20713999999999999</v>
      </c>
      <c r="N191" s="25">
        <v>0.15332499999999999</v>
      </c>
      <c r="O191" s="25">
        <v>0.25198999999999999</v>
      </c>
      <c r="P191" s="25">
        <v>0.20713999999999999</v>
      </c>
      <c r="Q191" s="25">
        <v>0.15332499999999999</v>
      </c>
      <c r="R191" s="25">
        <v>0.25198999999999999</v>
      </c>
      <c r="S191" s="20">
        <f t="shared" ref="S191:S193" si="150">ROUND(((M191-MIN($M$3:$R$212))/(MAX($M$3:$R$212)-MIN($M$3:$R$212)))*((2^12)-1), 0)</f>
        <v>259</v>
      </c>
      <c r="T191" s="20">
        <f t="shared" ref="T191:T193" si="151">ROUND(((N191-MIN($M$3:$R$212))/(MAX($M$3:$R$212)-MIN($M$3:$R$212)))*((2^12)-1), 0)</f>
        <v>192</v>
      </c>
      <c r="U191" s="20">
        <f t="shared" ref="U191:U193" si="152">ROUND(((O191-MIN($M$3:$R$212))/(MAX($M$3:$R$212)-MIN($M$3:$R$212)))*((2^12)-1), 0)</f>
        <v>315</v>
      </c>
      <c r="V191" s="20">
        <f t="shared" ref="V191:V193" si="153">ROUND(((P191-MIN($M$3:$R$212))/(MAX($M$3:$R$212)-MIN($M$3:$R$212)))*((2^12)-1), 0)</f>
        <v>259</v>
      </c>
      <c r="W191" s="20">
        <f t="shared" ref="W191:W193" si="154">ROUND(((Q191-MIN($M$3:$R$212))/(MAX($M$3:$R$212)-MIN($M$3:$R$212)))*((2^12)-1), 0)</f>
        <v>192</v>
      </c>
      <c r="X191" s="20">
        <f t="shared" ref="X191:X193" si="155">ROUND(((R191-MIN($M$3:$R$212))/(MAX($M$3:$R$212)-MIN($M$3:$R$212)))*((2^12)-1), 0)</f>
        <v>315</v>
      </c>
      <c r="Y191" s="25" t="s">
        <v>428</v>
      </c>
      <c r="Z191" s="25">
        <v>0</v>
      </c>
      <c r="AA191" s="25">
        <v>1</v>
      </c>
      <c r="AB191" s="25" t="s">
        <v>417</v>
      </c>
      <c r="AC191" s="20" t="s">
        <v>736</v>
      </c>
    </row>
    <row r="192" spans="1:29" ht="38.25">
      <c r="A192" s="20" t="s">
        <v>459</v>
      </c>
      <c r="B192" s="24" t="str">
        <f>'Lambda-Resistor (All)'!A38</f>
        <v>Decrease of Resistance Value</v>
      </c>
      <c r="C192" s="22">
        <f>'Lambda-Resistor (All)'!B$32</f>
        <v>4.1612004167966296E-9</v>
      </c>
      <c r="D192" s="23">
        <f>'Lambda-Resistor (All)'!C38</f>
        <v>0.18</v>
      </c>
      <c r="E192" s="20">
        <f>'Lambda-Resistor (All)'!D38</f>
        <v>7.4901607502339334E-10</v>
      </c>
      <c r="F192" s="21" t="s">
        <v>381</v>
      </c>
      <c r="G192" s="21" t="s">
        <v>381</v>
      </c>
      <c r="H192" s="20" t="s">
        <v>43</v>
      </c>
      <c r="I192" s="20" t="s">
        <v>408</v>
      </c>
      <c r="J192" s="20" t="s">
        <v>591</v>
      </c>
      <c r="K192" s="20" t="s">
        <v>729</v>
      </c>
      <c r="L192" s="20" t="s">
        <v>728</v>
      </c>
      <c r="M192" s="20">
        <v>0</v>
      </c>
      <c r="N192" s="20">
        <v>0</v>
      </c>
      <c r="O192" s="20">
        <v>0</v>
      </c>
      <c r="P192" s="20">
        <v>0</v>
      </c>
      <c r="Q192" s="20">
        <v>0</v>
      </c>
      <c r="R192" s="20">
        <v>0</v>
      </c>
      <c r="S192" s="20">
        <f t="shared" si="150"/>
        <v>0</v>
      </c>
      <c r="T192" s="20">
        <f t="shared" si="151"/>
        <v>0</v>
      </c>
      <c r="U192" s="20">
        <f t="shared" si="152"/>
        <v>0</v>
      </c>
      <c r="V192" s="20">
        <f t="shared" si="153"/>
        <v>0</v>
      </c>
      <c r="W192" s="20">
        <f t="shared" si="154"/>
        <v>0</v>
      </c>
      <c r="X192" s="20">
        <f t="shared" si="155"/>
        <v>0</v>
      </c>
      <c r="Y192" s="20" t="s">
        <v>413</v>
      </c>
      <c r="Z192" s="25">
        <v>0</v>
      </c>
      <c r="AA192" s="25">
        <v>1</v>
      </c>
      <c r="AB192" s="25" t="s">
        <v>417</v>
      </c>
      <c r="AC192" s="20" t="s">
        <v>736</v>
      </c>
    </row>
    <row r="193" spans="1:29" ht="38.25">
      <c r="A193" s="20" t="s">
        <v>459</v>
      </c>
      <c r="B193" s="21" t="str">
        <f>'Lambda-Resistor (All)'!A39</f>
        <v>Short-Circuit to Casing</v>
      </c>
      <c r="C193" s="22">
        <f>'Lambda-Resistor (All)'!B$32</f>
        <v>4.1612004167966296E-9</v>
      </c>
      <c r="D193" s="23">
        <f>'Lambda-Resistor (All)'!C39</f>
        <v>0</v>
      </c>
      <c r="E193" s="20">
        <f>'Lambda-Resistor (All)'!D39</f>
        <v>0</v>
      </c>
      <c r="F193" s="21" t="s">
        <v>382</v>
      </c>
      <c r="G193" s="26" t="s">
        <v>382</v>
      </c>
      <c r="H193" s="20" t="s">
        <v>43</v>
      </c>
      <c r="I193" s="20" t="s">
        <v>409</v>
      </c>
      <c r="J193" s="20" t="s">
        <v>409</v>
      </c>
      <c r="K193" s="20" t="s">
        <v>730</v>
      </c>
      <c r="L193" s="20" t="s">
        <v>730</v>
      </c>
      <c r="M193" s="20">
        <v>3.2724899999999999</v>
      </c>
      <c r="N193" s="20">
        <v>3.2719999999999998</v>
      </c>
      <c r="O193" s="20">
        <v>3.2749999999999999</v>
      </c>
      <c r="P193" s="20">
        <v>4.3130000000000002E-2</v>
      </c>
      <c r="Q193" s="20">
        <v>4.095E-2</v>
      </c>
      <c r="R193" s="20">
        <v>4.53E-2</v>
      </c>
      <c r="S193" s="20">
        <f t="shared" si="150"/>
        <v>4092</v>
      </c>
      <c r="T193" s="20">
        <f t="shared" si="151"/>
        <v>4091</v>
      </c>
      <c r="U193" s="20">
        <f t="shared" si="152"/>
        <v>4095</v>
      </c>
      <c r="V193" s="20">
        <f t="shared" si="153"/>
        <v>54</v>
      </c>
      <c r="W193" s="20">
        <f t="shared" si="154"/>
        <v>51</v>
      </c>
      <c r="X193" s="20">
        <f t="shared" si="155"/>
        <v>57</v>
      </c>
      <c r="Y193" s="20" t="s">
        <v>417</v>
      </c>
      <c r="Z193" s="25">
        <v>0</v>
      </c>
      <c r="AA193" s="25">
        <v>1</v>
      </c>
      <c r="AB193" s="25" t="s">
        <v>417</v>
      </c>
      <c r="AC193" s="20" t="s">
        <v>736</v>
      </c>
    </row>
    <row r="194" spans="1:29" ht="51">
      <c r="A194" s="20" t="s">
        <v>342</v>
      </c>
      <c r="B194" s="24" t="str">
        <f>'Lambda-UC_Sys'!A34</f>
        <v>Supply open</v>
      </c>
      <c r="C194" s="22">
        <f>'Lambda-UC_Sys'!B$31</f>
        <v>1.7731485820300208E-8</v>
      </c>
      <c r="D194" s="23">
        <f>'Lambda-UC_Sys'!C34</f>
        <v>0.12</v>
      </c>
      <c r="E194" s="20">
        <f>'Lambda-UC_Sys'!D34</f>
        <v>2.1277782984360249E-9</v>
      </c>
      <c r="F194" s="21" t="s">
        <v>631</v>
      </c>
      <c r="G194" s="21" t="s">
        <v>632</v>
      </c>
      <c r="H194" s="20" t="s">
        <v>43</v>
      </c>
      <c r="I194" s="20" t="s">
        <v>408</v>
      </c>
      <c r="J194" s="25" t="s">
        <v>521</v>
      </c>
      <c r="K194" s="25" t="s">
        <v>726</v>
      </c>
      <c r="L194" s="20" t="s">
        <v>728</v>
      </c>
      <c r="M194" s="20">
        <v>3.1999999999999999E-6</v>
      </c>
      <c r="N194" s="20">
        <v>3.1999999999999999E-6</v>
      </c>
      <c r="O194" s="20">
        <v>3.1999999999999999E-6</v>
      </c>
      <c r="P194" s="20">
        <v>3.1999999999999999E-6</v>
      </c>
      <c r="Q194" s="20">
        <v>3.1999999999999999E-6</v>
      </c>
      <c r="R194" s="20">
        <v>3.1999999999999999E-6</v>
      </c>
      <c r="S194" s="20">
        <f t="shared" si="92"/>
        <v>0</v>
      </c>
      <c r="T194" s="20">
        <f t="shared" si="93"/>
        <v>0</v>
      </c>
      <c r="U194" s="20">
        <f t="shared" si="94"/>
        <v>0</v>
      </c>
      <c r="V194" s="20">
        <f t="shared" si="95"/>
        <v>0</v>
      </c>
      <c r="W194" s="20">
        <f t="shared" si="96"/>
        <v>0</v>
      </c>
      <c r="X194" s="20">
        <f t="shared" si="97"/>
        <v>0</v>
      </c>
      <c r="Y194" s="20" t="s">
        <v>414</v>
      </c>
      <c r="Z194" s="25">
        <v>0</v>
      </c>
      <c r="AA194" s="25">
        <v>1</v>
      </c>
      <c r="AB194" s="25" t="s">
        <v>417</v>
      </c>
      <c r="AC194" s="20" t="s">
        <v>736</v>
      </c>
    </row>
    <row r="195" spans="1:29" ht="89.25">
      <c r="A195" s="20" t="s">
        <v>342</v>
      </c>
      <c r="B195" s="24" t="str">
        <f>'Lambda-UC_Sys'!A35</f>
        <v>Output 'Dig_Out1' open</v>
      </c>
      <c r="C195" s="22">
        <f>'Lambda-UC_Sys'!B$31</f>
        <v>1.7731485820300208E-8</v>
      </c>
      <c r="D195" s="23">
        <f>'Lambda-UC_Sys'!C35</f>
        <v>0.12</v>
      </c>
      <c r="E195" s="20">
        <f>'Lambda-UC_Sys'!D35</f>
        <v>2.1277782984360249E-9</v>
      </c>
      <c r="F195" s="21" t="s">
        <v>633</v>
      </c>
      <c r="G195" s="21" t="s">
        <v>635</v>
      </c>
      <c r="H195" s="20" t="s">
        <v>43</v>
      </c>
      <c r="I195" s="20" t="s">
        <v>408</v>
      </c>
      <c r="J195" s="25" t="s">
        <v>521</v>
      </c>
      <c r="K195" s="25" t="s">
        <v>726</v>
      </c>
      <c r="L195" s="20" t="s">
        <v>728</v>
      </c>
      <c r="M195" s="20">
        <v>3.2724899999999999</v>
      </c>
      <c r="N195" s="20">
        <v>3.2719999999999998</v>
      </c>
      <c r="O195" s="20">
        <v>3.2749999999999999</v>
      </c>
      <c r="P195" s="20">
        <v>4.3130000000000002E-2</v>
      </c>
      <c r="Q195" s="20">
        <v>4.095E-2</v>
      </c>
      <c r="R195" s="20">
        <v>4.53E-2</v>
      </c>
      <c r="S195" s="20">
        <f t="shared" si="92"/>
        <v>4092</v>
      </c>
      <c r="T195" s="20">
        <f t="shared" si="93"/>
        <v>4091</v>
      </c>
      <c r="U195" s="20">
        <f t="shared" si="94"/>
        <v>4095</v>
      </c>
      <c r="V195" s="20">
        <f t="shared" si="95"/>
        <v>54</v>
      </c>
      <c r="W195" s="20">
        <f t="shared" si="96"/>
        <v>51</v>
      </c>
      <c r="X195" s="20">
        <f t="shared" si="97"/>
        <v>57</v>
      </c>
      <c r="Y195" s="20" t="s">
        <v>417</v>
      </c>
      <c r="Z195" s="25">
        <v>0</v>
      </c>
      <c r="AA195" s="25">
        <v>1</v>
      </c>
      <c r="AB195" s="25" t="s">
        <v>417</v>
      </c>
      <c r="AC195" s="20" t="s">
        <v>736</v>
      </c>
    </row>
    <row r="196" spans="1:29" ht="102">
      <c r="A196" s="20" t="s">
        <v>342</v>
      </c>
      <c r="B196" s="24" t="str">
        <f>'Lambda-UC_Sys'!A36</f>
        <v>Output 'Dig_Out2' open</v>
      </c>
      <c r="C196" s="22">
        <f>'Lambda-UC_Sys'!B$31</f>
        <v>1.7731485820300208E-8</v>
      </c>
      <c r="D196" s="23">
        <f>'Lambda-UC_Sys'!C36</f>
        <v>0.12</v>
      </c>
      <c r="E196" s="20">
        <f>'Lambda-UC_Sys'!D36</f>
        <v>2.1277782984360249E-9</v>
      </c>
      <c r="F196" s="21" t="s">
        <v>634</v>
      </c>
      <c r="G196" s="21" t="s">
        <v>636</v>
      </c>
      <c r="H196" s="20" t="s">
        <v>43</v>
      </c>
      <c r="I196" s="20" t="s">
        <v>408</v>
      </c>
      <c r="J196" s="20" t="s">
        <v>637</v>
      </c>
      <c r="K196" s="25" t="s">
        <v>726</v>
      </c>
      <c r="L196" s="20" t="s">
        <v>728</v>
      </c>
      <c r="M196" s="20">
        <v>3.2724899999999999</v>
      </c>
      <c r="N196" s="20">
        <v>3.2719999999999998</v>
      </c>
      <c r="O196" s="20">
        <v>3.2749999999999999</v>
      </c>
      <c r="P196" s="20">
        <v>4.3130000000000002E-2</v>
      </c>
      <c r="Q196" s="20">
        <v>4.095E-2</v>
      </c>
      <c r="R196" s="20">
        <v>4.53E-2</v>
      </c>
      <c r="S196" s="20">
        <f t="shared" si="92"/>
        <v>4092</v>
      </c>
      <c r="T196" s="20">
        <f t="shared" si="93"/>
        <v>4091</v>
      </c>
      <c r="U196" s="20">
        <f t="shared" si="94"/>
        <v>4095</v>
      </c>
      <c r="V196" s="20">
        <f t="shared" si="95"/>
        <v>54</v>
      </c>
      <c r="W196" s="20">
        <f t="shared" si="96"/>
        <v>51</v>
      </c>
      <c r="X196" s="20">
        <f t="shared" si="97"/>
        <v>57</v>
      </c>
      <c r="Y196" s="20" t="s">
        <v>417</v>
      </c>
      <c r="Z196" s="25">
        <v>0</v>
      </c>
      <c r="AA196" s="25">
        <v>1</v>
      </c>
      <c r="AB196" s="25" t="s">
        <v>417</v>
      </c>
      <c r="AC196" s="20" t="s">
        <v>736</v>
      </c>
    </row>
    <row r="197" spans="1:29" ht="63.75">
      <c r="A197" s="20" t="s">
        <v>342</v>
      </c>
      <c r="B197" s="24" t="str">
        <f>'Lambda-UC_Sys'!A37</f>
        <v>Bidirectional Pin 'SPI' open</v>
      </c>
      <c r="C197" s="22">
        <f>'Lambda-UC_Sys'!B$31</f>
        <v>1.7731485820300208E-8</v>
      </c>
      <c r="D197" s="23">
        <f>'Lambda-UC_Sys'!C37</f>
        <v>0.3</v>
      </c>
      <c r="E197" s="20">
        <f>'Lambda-UC_Sys'!D37</f>
        <v>5.3194457460900622E-9</v>
      </c>
      <c r="F197" s="21" t="s">
        <v>416</v>
      </c>
      <c r="G197" s="21" t="s">
        <v>638</v>
      </c>
      <c r="H197" s="20" t="s">
        <v>43</v>
      </c>
      <c r="I197" s="20" t="s">
        <v>408</v>
      </c>
      <c r="J197" s="25" t="s">
        <v>521</v>
      </c>
      <c r="K197" s="25" t="s">
        <v>726</v>
      </c>
      <c r="L197" s="20" t="s">
        <v>728</v>
      </c>
      <c r="M197" s="20">
        <v>3.2724899999999999</v>
      </c>
      <c r="N197" s="20">
        <v>3.2719999999999998</v>
      </c>
      <c r="O197" s="20">
        <v>3.2749999999999999</v>
      </c>
      <c r="P197" s="20">
        <v>4.3130000000000002E-2</v>
      </c>
      <c r="Q197" s="20">
        <v>4.095E-2</v>
      </c>
      <c r="R197" s="20">
        <v>4.53E-2</v>
      </c>
      <c r="S197" s="20">
        <f t="shared" si="92"/>
        <v>4092</v>
      </c>
      <c r="T197" s="20">
        <f t="shared" si="93"/>
        <v>4091</v>
      </c>
      <c r="U197" s="20">
        <f t="shared" si="94"/>
        <v>4095</v>
      </c>
      <c r="V197" s="20">
        <f t="shared" si="95"/>
        <v>54</v>
      </c>
      <c r="W197" s="20">
        <f t="shared" si="96"/>
        <v>51</v>
      </c>
      <c r="X197" s="20">
        <f t="shared" si="97"/>
        <v>57</v>
      </c>
      <c r="Y197" s="20" t="s">
        <v>417</v>
      </c>
      <c r="Z197" s="25">
        <v>0</v>
      </c>
      <c r="AA197" s="25">
        <v>1</v>
      </c>
      <c r="AB197" s="25" t="s">
        <v>417</v>
      </c>
      <c r="AC197" s="20" t="s">
        <v>736</v>
      </c>
    </row>
    <row r="198" spans="1:29" ht="89.25">
      <c r="A198" s="20" t="s">
        <v>342</v>
      </c>
      <c r="B198" s="24" t="str">
        <f>'Lambda-UC_Sys'!A38</f>
        <v>Output 'Dig_Out1' stuck low</v>
      </c>
      <c r="C198" s="22">
        <f>'Lambda-UC_Sys'!B$31</f>
        <v>1.7731485820300208E-8</v>
      </c>
      <c r="D198" s="23">
        <f>'Lambda-UC_Sys'!C38</f>
        <v>0.03</v>
      </c>
      <c r="E198" s="20">
        <f>'Lambda-UC_Sys'!D38</f>
        <v>5.3194457460900624E-10</v>
      </c>
      <c r="F198" s="21" t="s">
        <v>639</v>
      </c>
      <c r="G198" s="21" t="s">
        <v>635</v>
      </c>
      <c r="H198" s="20" t="s">
        <v>43</v>
      </c>
      <c r="I198" s="20" t="s">
        <v>408</v>
      </c>
      <c r="J198" s="25" t="s">
        <v>521</v>
      </c>
      <c r="K198" s="25" t="s">
        <v>726</v>
      </c>
      <c r="L198" s="20" t="s">
        <v>728</v>
      </c>
      <c r="M198" s="20">
        <v>3.2724899999999999</v>
      </c>
      <c r="N198" s="20">
        <v>3.2719999999999998</v>
      </c>
      <c r="O198" s="20">
        <v>3.2749999999999999</v>
      </c>
      <c r="P198" s="20">
        <v>4.3130000000000002E-2</v>
      </c>
      <c r="Q198" s="20">
        <v>4.095E-2</v>
      </c>
      <c r="R198" s="20">
        <v>4.53E-2</v>
      </c>
      <c r="S198" s="20">
        <f t="shared" si="92"/>
        <v>4092</v>
      </c>
      <c r="T198" s="20">
        <f t="shared" si="93"/>
        <v>4091</v>
      </c>
      <c r="U198" s="20">
        <f t="shared" si="94"/>
        <v>4095</v>
      </c>
      <c r="V198" s="20">
        <f t="shared" si="95"/>
        <v>54</v>
      </c>
      <c r="W198" s="20">
        <f t="shared" si="96"/>
        <v>51</v>
      </c>
      <c r="X198" s="20">
        <f t="shared" si="97"/>
        <v>57</v>
      </c>
      <c r="Y198" s="20" t="s">
        <v>417</v>
      </c>
      <c r="Z198" s="25">
        <v>0</v>
      </c>
      <c r="AA198" s="25">
        <v>1</v>
      </c>
      <c r="AB198" s="25" t="s">
        <v>417</v>
      </c>
      <c r="AC198" s="20" t="s">
        <v>736</v>
      </c>
    </row>
    <row r="199" spans="1:29" ht="51">
      <c r="A199" s="20" t="s">
        <v>342</v>
      </c>
      <c r="B199" s="24" t="str">
        <f>'Lambda-UC_Sys'!A39</f>
        <v>Output 'Dig_Out2' stuck low</v>
      </c>
      <c r="C199" s="22">
        <f>'Lambda-UC_Sys'!B$31</f>
        <v>1.7731485820300208E-8</v>
      </c>
      <c r="D199" s="23">
        <f>'Lambda-UC_Sys'!C39</f>
        <v>0.03</v>
      </c>
      <c r="E199" s="20">
        <f>'Lambda-UC_Sys'!D39</f>
        <v>5.3194457460900624E-10</v>
      </c>
      <c r="F199" s="21" t="s">
        <v>640</v>
      </c>
      <c r="G199" s="21" t="s">
        <v>641</v>
      </c>
      <c r="H199" s="20" t="s">
        <v>43</v>
      </c>
      <c r="I199" s="20" t="s">
        <v>408</v>
      </c>
      <c r="J199" s="20" t="s">
        <v>590</v>
      </c>
      <c r="K199" s="25" t="s">
        <v>726</v>
      </c>
      <c r="L199" s="20" t="s">
        <v>728</v>
      </c>
      <c r="M199" s="20">
        <v>3.2724899999999999</v>
      </c>
      <c r="N199" s="20">
        <v>3.2719999999999998</v>
      </c>
      <c r="O199" s="20">
        <v>3.2749999999999999</v>
      </c>
      <c r="P199" s="20">
        <v>4.3130000000000002E-2</v>
      </c>
      <c r="Q199" s="20">
        <v>4.095E-2</v>
      </c>
      <c r="R199" s="20">
        <v>4.53E-2</v>
      </c>
      <c r="S199" s="20">
        <f t="shared" si="92"/>
        <v>4092</v>
      </c>
      <c r="T199" s="20">
        <f t="shared" si="93"/>
        <v>4091</v>
      </c>
      <c r="U199" s="20">
        <f t="shared" si="94"/>
        <v>4095</v>
      </c>
      <c r="V199" s="20">
        <f t="shared" si="95"/>
        <v>54</v>
      </c>
      <c r="W199" s="20">
        <f t="shared" si="96"/>
        <v>51</v>
      </c>
      <c r="X199" s="20">
        <f t="shared" si="97"/>
        <v>57</v>
      </c>
      <c r="Y199" s="20" t="s">
        <v>417</v>
      </c>
      <c r="Z199" s="25">
        <v>0</v>
      </c>
      <c r="AA199" s="25">
        <v>1</v>
      </c>
      <c r="AB199" s="25" t="s">
        <v>417</v>
      </c>
      <c r="AC199" s="20" t="s">
        <v>736</v>
      </c>
    </row>
    <row r="200" spans="1:29" ht="63.75">
      <c r="A200" s="20" t="s">
        <v>342</v>
      </c>
      <c r="B200" s="24" t="str">
        <f>'Lambda-UC_Sys'!A40</f>
        <v>Bidirectional Pin 'SPI' stuck low</v>
      </c>
      <c r="C200" s="22">
        <f>'Lambda-UC_Sys'!B$31</f>
        <v>1.7731485820300208E-8</v>
      </c>
      <c r="D200" s="23">
        <f>'Lambda-UC_Sys'!C40</f>
        <v>0.03</v>
      </c>
      <c r="E200" s="20">
        <f>'Lambda-UC_Sys'!D40</f>
        <v>5.3194457460900624E-10</v>
      </c>
      <c r="F200" s="21" t="s">
        <v>642</v>
      </c>
      <c r="G200" s="21" t="s">
        <v>638</v>
      </c>
      <c r="H200" s="20" t="s">
        <v>43</v>
      </c>
      <c r="I200" s="20" t="s">
        <v>408</v>
      </c>
      <c r="J200" s="25" t="s">
        <v>521</v>
      </c>
      <c r="K200" s="25" t="s">
        <v>726</v>
      </c>
      <c r="L200" s="20" t="s">
        <v>728</v>
      </c>
      <c r="M200" s="20">
        <v>3.2724899999999999</v>
      </c>
      <c r="N200" s="20">
        <v>3.2719999999999998</v>
      </c>
      <c r="O200" s="20">
        <v>3.2749999999999999</v>
      </c>
      <c r="P200" s="20">
        <v>4.3130000000000002E-2</v>
      </c>
      <c r="Q200" s="20">
        <v>4.095E-2</v>
      </c>
      <c r="R200" s="20">
        <v>4.53E-2</v>
      </c>
      <c r="S200" s="20">
        <f t="shared" si="92"/>
        <v>4092</v>
      </c>
      <c r="T200" s="20">
        <f t="shared" si="93"/>
        <v>4091</v>
      </c>
      <c r="U200" s="20">
        <f t="shared" si="94"/>
        <v>4095</v>
      </c>
      <c r="V200" s="20">
        <f t="shared" si="95"/>
        <v>54</v>
      </c>
      <c r="W200" s="20">
        <f t="shared" si="96"/>
        <v>51</v>
      </c>
      <c r="X200" s="20">
        <f t="shared" si="97"/>
        <v>57</v>
      </c>
      <c r="Y200" s="20" t="s">
        <v>417</v>
      </c>
      <c r="Z200" s="25">
        <v>0</v>
      </c>
      <c r="AA200" s="25">
        <v>1</v>
      </c>
      <c r="AB200" s="25" t="s">
        <v>417</v>
      </c>
      <c r="AC200" s="20" t="s">
        <v>736</v>
      </c>
    </row>
    <row r="201" spans="1:29" ht="38.25">
      <c r="A201" s="20" t="s">
        <v>342</v>
      </c>
      <c r="B201" s="24" t="str">
        <f>'Lambda-UC_Sys'!A41</f>
        <v>Output 'Dig_Out1' stuck high</v>
      </c>
      <c r="C201" s="22">
        <f>'Lambda-UC_Sys'!B$31</f>
        <v>1.7731485820300208E-8</v>
      </c>
      <c r="D201" s="23">
        <f>'Lambda-UC_Sys'!C41</f>
        <v>2.6666666666666668E-2</v>
      </c>
      <c r="E201" s="20">
        <f>'Lambda-UC_Sys'!D41</f>
        <v>4.7283962187467226E-10</v>
      </c>
      <c r="F201" s="21" t="s">
        <v>643</v>
      </c>
      <c r="G201" s="21" t="s">
        <v>644</v>
      </c>
      <c r="H201" s="20" t="s">
        <v>43</v>
      </c>
      <c r="I201" s="20" t="s">
        <v>408</v>
      </c>
      <c r="J201" s="20" t="s">
        <v>590</v>
      </c>
      <c r="K201" s="20" t="s">
        <v>729</v>
      </c>
      <c r="L201" s="20" t="s">
        <v>728</v>
      </c>
      <c r="M201" s="20">
        <v>3.1999999999999999E-6</v>
      </c>
      <c r="N201" s="20">
        <v>3.1999999999999999E-6</v>
      </c>
      <c r="O201" s="20">
        <v>3.1999999999999999E-6</v>
      </c>
      <c r="P201" s="20">
        <v>3.1999999999999999E-6</v>
      </c>
      <c r="Q201" s="20">
        <v>3.1999999999999999E-6</v>
      </c>
      <c r="R201" s="20">
        <v>3.1999999999999999E-6</v>
      </c>
      <c r="S201" s="20">
        <f t="shared" ref="S201:S208" si="156">ROUND(((M201-MIN($M$3:$R$212))/(MAX($M$3:$R$212)-MIN($M$3:$R$212)))*((2^12)-1), 0)</f>
        <v>0</v>
      </c>
      <c r="T201" s="20">
        <f t="shared" ref="T201:T208" si="157">ROUND(((N201-MIN($M$3:$R$212))/(MAX($M$3:$R$212)-MIN($M$3:$R$212)))*((2^12)-1), 0)</f>
        <v>0</v>
      </c>
      <c r="U201" s="20">
        <f t="shared" ref="U201:U208" si="158">ROUND(((O201-MIN($M$3:$R$212))/(MAX($M$3:$R$212)-MIN($M$3:$R$212)))*((2^12)-1), 0)</f>
        <v>0</v>
      </c>
      <c r="V201" s="20">
        <f t="shared" ref="V201:V208" si="159">ROUND(((P201-MIN($M$3:$R$212))/(MAX($M$3:$R$212)-MIN($M$3:$R$212)))*((2^12)-1), 0)</f>
        <v>0</v>
      </c>
      <c r="W201" s="20">
        <f t="shared" ref="W201:W208" si="160">ROUND(((Q201-MIN($M$3:$R$212))/(MAX($M$3:$R$212)-MIN($M$3:$R$212)))*((2^12)-1), 0)</f>
        <v>0</v>
      </c>
      <c r="X201" s="20">
        <f t="shared" ref="X201:X208" si="161">ROUND(((R201-MIN($M$3:$R$212))/(MAX($M$3:$R$212)-MIN($M$3:$R$212)))*((2^12)-1), 0)</f>
        <v>0</v>
      </c>
      <c r="Y201" s="20" t="s">
        <v>414</v>
      </c>
      <c r="Z201" s="25">
        <v>0</v>
      </c>
      <c r="AA201" s="25">
        <v>1</v>
      </c>
      <c r="AB201" s="25" t="s">
        <v>417</v>
      </c>
      <c r="AC201" s="20" t="s">
        <v>736</v>
      </c>
    </row>
    <row r="202" spans="1:29" ht="102">
      <c r="A202" s="20" t="s">
        <v>342</v>
      </c>
      <c r="B202" s="24" t="str">
        <f>'Lambda-UC_Sys'!A42</f>
        <v>Output 'Dig_Out2' stuck high</v>
      </c>
      <c r="C202" s="22">
        <f>'Lambda-UC_Sys'!B$31</f>
        <v>1.7731485820300208E-8</v>
      </c>
      <c r="D202" s="23">
        <f>'Lambda-UC_Sys'!C42</f>
        <v>2.6666666666666668E-2</v>
      </c>
      <c r="E202" s="20">
        <f>'Lambda-UC_Sys'!D42</f>
        <v>4.7283962187467226E-10</v>
      </c>
      <c r="F202" s="21" t="s">
        <v>645</v>
      </c>
      <c r="G202" s="21" t="s">
        <v>636</v>
      </c>
      <c r="H202" s="20" t="s">
        <v>43</v>
      </c>
      <c r="I202" s="20" t="s">
        <v>408</v>
      </c>
      <c r="J202" s="20" t="s">
        <v>637</v>
      </c>
      <c r="K202" s="25" t="s">
        <v>726</v>
      </c>
      <c r="L202" s="20" t="s">
        <v>728</v>
      </c>
      <c r="M202" s="20">
        <v>3.2724899999999999</v>
      </c>
      <c r="N202" s="20">
        <v>3.2719999999999998</v>
      </c>
      <c r="O202" s="20">
        <v>3.2749999999999999</v>
      </c>
      <c r="P202" s="20">
        <v>4.3130000000000002E-2</v>
      </c>
      <c r="Q202" s="20">
        <v>4.095E-2</v>
      </c>
      <c r="R202" s="20">
        <v>4.53E-2</v>
      </c>
      <c r="S202" s="20">
        <f t="shared" si="156"/>
        <v>4092</v>
      </c>
      <c r="T202" s="20">
        <f t="shared" si="157"/>
        <v>4091</v>
      </c>
      <c r="U202" s="20">
        <f t="shared" si="158"/>
        <v>4095</v>
      </c>
      <c r="V202" s="20">
        <f t="shared" si="159"/>
        <v>54</v>
      </c>
      <c r="W202" s="20">
        <f t="shared" si="160"/>
        <v>51</v>
      </c>
      <c r="X202" s="20">
        <f t="shared" si="161"/>
        <v>57</v>
      </c>
      <c r="Y202" s="20" t="s">
        <v>417</v>
      </c>
      <c r="Z202" s="25">
        <v>0</v>
      </c>
      <c r="AA202" s="25">
        <v>1</v>
      </c>
      <c r="AB202" s="25" t="s">
        <v>417</v>
      </c>
      <c r="AC202" s="20" t="s">
        <v>736</v>
      </c>
    </row>
    <row r="203" spans="1:29" ht="63.75">
      <c r="A203" s="20" t="s">
        <v>342</v>
      </c>
      <c r="B203" s="24" t="str">
        <f>'Lambda-UC_Sys'!A43</f>
        <v>Bidirectional 'SPI' Pin stuck high</v>
      </c>
      <c r="C203" s="22">
        <f>'Lambda-UC_Sys'!B$31</f>
        <v>1.7731485820300208E-8</v>
      </c>
      <c r="D203" s="23">
        <f>'Lambda-UC_Sys'!C43</f>
        <v>2.6666666666666668E-2</v>
      </c>
      <c r="E203" s="20">
        <f>'Lambda-UC_Sys'!D43</f>
        <v>4.7283962187467226E-10</v>
      </c>
      <c r="F203" s="21" t="s">
        <v>642</v>
      </c>
      <c r="G203" s="21" t="s">
        <v>638</v>
      </c>
      <c r="H203" s="20" t="s">
        <v>43</v>
      </c>
      <c r="I203" s="20" t="s">
        <v>408</v>
      </c>
      <c r="J203" s="25" t="s">
        <v>521</v>
      </c>
      <c r="K203" s="25" t="s">
        <v>726</v>
      </c>
      <c r="L203" s="20" t="s">
        <v>728</v>
      </c>
      <c r="M203" s="20">
        <v>3.2724899999999999</v>
      </c>
      <c r="N203" s="20">
        <v>3.2719999999999998</v>
      </c>
      <c r="O203" s="20">
        <v>3.2749999999999999</v>
      </c>
      <c r="P203" s="20">
        <v>4.3130000000000002E-2</v>
      </c>
      <c r="Q203" s="20">
        <v>4.095E-2</v>
      </c>
      <c r="R203" s="20">
        <v>4.53E-2</v>
      </c>
      <c r="S203" s="20">
        <f t="shared" si="156"/>
        <v>4092</v>
      </c>
      <c r="T203" s="20">
        <f t="shared" si="157"/>
        <v>4091</v>
      </c>
      <c r="U203" s="20">
        <f t="shared" si="158"/>
        <v>4095</v>
      </c>
      <c r="V203" s="20">
        <f t="shared" si="159"/>
        <v>54</v>
      </c>
      <c r="W203" s="20">
        <f t="shared" si="160"/>
        <v>51</v>
      </c>
      <c r="X203" s="20">
        <f t="shared" si="161"/>
        <v>57</v>
      </c>
      <c r="Y203" s="20" t="s">
        <v>417</v>
      </c>
      <c r="Z203" s="25">
        <v>0</v>
      </c>
      <c r="AA203" s="25">
        <v>1</v>
      </c>
      <c r="AB203" s="25" t="s">
        <v>417</v>
      </c>
      <c r="AC203" s="20" t="s">
        <v>736</v>
      </c>
    </row>
    <row r="204" spans="1:29" ht="63.75">
      <c r="A204" s="20" t="s">
        <v>342</v>
      </c>
      <c r="B204" s="24" t="str">
        <f>'Lambda-UC_Sys'!A44</f>
        <v>Input open</v>
      </c>
      <c r="C204" s="22">
        <f>'Lambda-UC_Sys'!B$31</f>
        <v>1.7731485820300208E-8</v>
      </c>
      <c r="D204" s="23">
        <f>'Lambda-UC_Sys'!C44</f>
        <v>0.18</v>
      </c>
      <c r="E204" s="20">
        <f>'Lambda-UC_Sys'!D44</f>
        <v>3.1916674476540372E-9</v>
      </c>
      <c r="F204" s="21" t="s">
        <v>646</v>
      </c>
      <c r="G204" s="21" t="s">
        <v>647</v>
      </c>
      <c r="H204" s="20" t="s">
        <v>43</v>
      </c>
      <c r="I204" s="20" t="s">
        <v>408</v>
      </c>
      <c r="J204" s="25" t="s">
        <v>521</v>
      </c>
      <c r="K204" s="25" t="s">
        <v>726</v>
      </c>
      <c r="L204" s="20" t="s">
        <v>728</v>
      </c>
      <c r="M204" s="20">
        <v>3.2724899999999999</v>
      </c>
      <c r="N204" s="20">
        <v>3.2719999999999998</v>
      </c>
      <c r="O204" s="20">
        <v>3.2749999999999999</v>
      </c>
      <c r="P204" s="20">
        <v>4.3130000000000002E-2</v>
      </c>
      <c r="Q204" s="20">
        <v>4.095E-2</v>
      </c>
      <c r="R204" s="20">
        <v>4.53E-2</v>
      </c>
      <c r="S204" s="20">
        <f t="shared" si="156"/>
        <v>4092</v>
      </c>
      <c r="T204" s="20">
        <f t="shared" si="157"/>
        <v>4091</v>
      </c>
      <c r="U204" s="20">
        <f t="shared" si="158"/>
        <v>4095</v>
      </c>
      <c r="V204" s="20">
        <f t="shared" si="159"/>
        <v>54</v>
      </c>
      <c r="W204" s="20">
        <f t="shared" si="160"/>
        <v>51</v>
      </c>
      <c r="X204" s="20">
        <f t="shared" si="161"/>
        <v>57</v>
      </c>
      <c r="Y204" s="20" t="s">
        <v>417</v>
      </c>
      <c r="Z204" s="25">
        <v>0</v>
      </c>
      <c r="AA204" s="25">
        <v>1</v>
      </c>
      <c r="AB204" s="25" t="s">
        <v>417</v>
      </c>
      <c r="AC204" s="20" t="s">
        <v>736</v>
      </c>
    </row>
    <row r="205" spans="1:29" ht="63.75">
      <c r="A205" s="20" t="s">
        <v>343</v>
      </c>
      <c r="B205" s="24" t="str">
        <f>'Lambda-Flash (All)'!A34</f>
        <v>Data bit loss</v>
      </c>
      <c r="C205" s="22">
        <f>'Lambda-Flash (All)'!B$31</f>
        <v>1.7732043349975445E-8</v>
      </c>
      <c r="D205" s="23">
        <f>'Lambda-Flash (All)'!C34</f>
        <v>0.34</v>
      </c>
      <c r="E205" s="20">
        <f>'Lambda-Flash (All)'!D34</f>
        <v>6.0288947389916522E-9</v>
      </c>
      <c r="F205" s="21" t="s">
        <v>642</v>
      </c>
      <c r="G205" s="21" t="s">
        <v>638</v>
      </c>
      <c r="H205" s="20" t="s">
        <v>43</v>
      </c>
      <c r="I205" s="20" t="s">
        <v>408</v>
      </c>
      <c r="J205" s="25" t="s">
        <v>521</v>
      </c>
      <c r="K205" s="25" t="s">
        <v>726</v>
      </c>
      <c r="L205" s="20" t="s">
        <v>728</v>
      </c>
      <c r="M205" s="20">
        <v>3.2724899999999999</v>
      </c>
      <c r="N205" s="20">
        <v>3.2719999999999998</v>
      </c>
      <c r="O205" s="20">
        <v>3.2749999999999999</v>
      </c>
      <c r="P205" s="20">
        <v>4.3130000000000002E-2</v>
      </c>
      <c r="Q205" s="20">
        <v>4.095E-2</v>
      </c>
      <c r="R205" s="20">
        <v>4.53E-2</v>
      </c>
      <c r="S205" s="20">
        <f t="shared" si="156"/>
        <v>4092</v>
      </c>
      <c r="T205" s="20">
        <f t="shared" si="157"/>
        <v>4091</v>
      </c>
      <c r="U205" s="20">
        <f t="shared" si="158"/>
        <v>4095</v>
      </c>
      <c r="V205" s="20">
        <f t="shared" si="159"/>
        <v>54</v>
      </c>
      <c r="W205" s="20">
        <f t="shared" si="160"/>
        <v>51</v>
      </c>
      <c r="X205" s="20">
        <f t="shared" si="161"/>
        <v>57</v>
      </c>
      <c r="Y205" s="20" t="s">
        <v>417</v>
      </c>
      <c r="Z205" s="25">
        <v>0</v>
      </c>
      <c r="AA205" s="25">
        <v>1</v>
      </c>
      <c r="AB205" s="25" t="s">
        <v>417</v>
      </c>
      <c r="AC205" s="20" t="s">
        <v>736</v>
      </c>
    </row>
    <row r="206" spans="1:29" ht="63.75">
      <c r="A206" s="20" t="s">
        <v>343</v>
      </c>
      <c r="B206" s="24" t="str">
        <f>'Lambda-Flash (All)'!A35</f>
        <v>Slow transfer of data</v>
      </c>
      <c r="C206" s="22">
        <f>'Lambda-Flash (All)'!B$31</f>
        <v>1.7732043349975445E-8</v>
      </c>
      <c r="D206" s="23">
        <f>'Lambda-Flash (All)'!C35</f>
        <v>0.17</v>
      </c>
      <c r="E206" s="20">
        <f>'Lambda-Flash (All)'!D35</f>
        <v>3.0144473694958261E-9</v>
      </c>
      <c r="F206" s="21" t="s">
        <v>642</v>
      </c>
      <c r="G206" s="21" t="s">
        <v>638</v>
      </c>
      <c r="H206" s="20" t="s">
        <v>43</v>
      </c>
      <c r="I206" s="20" t="s">
        <v>408</v>
      </c>
      <c r="J206" s="25" t="s">
        <v>521</v>
      </c>
      <c r="K206" s="25" t="s">
        <v>726</v>
      </c>
      <c r="L206" s="20" t="s">
        <v>728</v>
      </c>
      <c r="M206" s="20">
        <v>3.2724899999999999</v>
      </c>
      <c r="N206" s="20">
        <v>3.2719999999999998</v>
      </c>
      <c r="O206" s="20">
        <v>3.2749999999999999</v>
      </c>
      <c r="P206" s="20">
        <v>4.3130000000000002E-2</v>
      </c>
      <c r="Q206" s="20">
        <v>4.095E-2</v>
      </c>
      <c r="R206" s="20">
        <v>4.53E-2</v>
      </c>
      <c r="S206" s="20">
        <f t="shared" si="156"/>
        <v>4092</v>
      </c>
      <c r="T206" s="20">
        <f t="shared" si="157"/>
        <v>4091</v>
      </c>
      <c r="U206" s="20">
        <f t="shared" si="158"/>
        <v>4095</v>
      </c>
      <c r="V206" s="20">
        <f t="shared" si="159"/>
        <v>54</v>
      </c>
      <c r="W206" s="20">
        <f t="shared" si="160"/>
        <v>51</v>
      </c>
      <c r="X206" s="20">
        <f t="shared" si="161"/>
        <v>57</v>
      </c>
      <c r="Y206" s="20" t="s">
        <v>417</v>
      </c>
      <c r="Z206" s="25">
        <v>0</v>
      </c>
      <c r="AA206" s="25">
        <v>1</v>
      </c>
      <c r="AB206" s="25" t="s">
        <v>417</v>
      </c>
      <c r="AC206" s="20" t="s">
        <v>736</v>
      </c>
    </row>
    <row r="207" spans="1:29" ht="63.75">
      <c r="A207" s="20" t="s">
        <v>343</v>
      </c>
      <c r="B207" s="24" t="str">
        <f>'Lambda-Flash (All)'!A36</f>
        <v>Open</v>
      </c>
      <c r="C207" s="22">
        <f>'Lambda-Flash (All)'!B$31</f>
        <v>1.7732043349975445E-8</v>
      </c>
      <c r="D207" s="23">
        <f>'Lambda-Flash (All)'!C36</f>
        <v>0.23</v>
      </c>
      <c r="E207" s="20">
        <f>'Lambda-Flash (All)'!D36</f>
        <v>4.0783699704943524E-9</v>
      </c>
      <c r="F207" s="21" t="s">
        <v>642</v>
      </c>
      <c r="G207" s="21" t="s">
        <v>638</v>
      </c>
      <c r="H207" s="20" t="s">
        <v>43</v>
      </c>
      <c r="I207" s="20" t="s">
        <v>408</v>
      </c>
      <c r="J207" s="25" t="s">
        <v>521</v>
      </c>
      <c r="K207" s="25" t="s">
        <v>726</v>
      </c>
      <c r="L207" s="20" t="s">
        <v>728</v>
      </c>
      <c r="M207" s="20">
        <v>3.2724899999999999</v>
      </c>
      <c r="N207" s="20">
        <v>3.2719999999999998</v>
      </c>
      <c r="O207" s="20">
        <v>3.2749999999999999</v>
      </c>
      <c r="P207" s="20">
        <v>4.3130000000000002E-2</v>
      </c>
      <c r="Q207" s="20">
        <v>4.095E-2</v>
      </c>
      <c r="R207" s="20">
        <v>4.53E-2</v>
      </c>
      <c r="S207" s="20">
        <f t="shared" si="156"/>
        <v>4092</v>
      </c>
      <c r="T207" s="20">
        <f t="shared" si="157"/>
        <v>4091</v>
      </c>
      <c r="U207" s="20">
        <f t="shared" si="158"/>
        <v>4095</v>
      </c>
      <c r="V207" s="20">
        <f t="shared" si="159"/>
        <v>54</v>
      </c>
      <c r="W207" s="20">
        <f t="shared" si="160"/>
        <v>51</v>
      </c>
      <c r="X207" s="20">
        <f t="shared" si="161"/>
        <v>57</v>
      </c>
      <c r="Y207" s="20" t="s">
        <v>417</v>
      </c>
      <c r="Z207" s="25">
        <v>0</v>
      </c>
      <c r="AA207" s="25">
        <v>1</v>
      </c>
      <c r="AB207" s="25" t="s">
        <v>417</v>
      </c>
      <c r="AC207" s="20" t="s">
        <v>736</v>
      </c>
    </row>
    <row r="208" spans="1:29" ht="63.75">
      <c r="A208" s="20" t="s">
        <v>343</v>
      </c>
      <c r="B208" s="24" t="str">
        <f>'Lambda-Flash (All)'!A37</f>
        <v>Short-circuit</v>
      </c>
      <c r="C208" s="22">
        <f>'Lambda-Flash (All)'!B$31</f>
        <v>1.7732043349975445E-8</v>
      </c>
      <c r="D208" s="23">
        <f>'Lambda-Flash (All)'!C37</f>
        <v>0.26</v>
      </c>
      <c r="E208" s="20">
        <f>'Lambda-Flash (All)'!D37</f>
        <v>4.6103312709936158E-9</v>
      </c>
      <c r="F208" s="21" t="s">
        <v>642</v>
      </c>
      <c r="G208" s="21" t="s">
        <v>638</v>
      </c>
      <c r="H208" s="20" t="s">
        <v>43</v>
      </c>
      <c r="I208" s="20" t="s">
        <v>408</v>
      </c>
      <c r="J208" s="25" t="s">
        <v>521</v>
      </c>
      <c r="K208" s="25" t="s">
        <v>726</v>
      </c>
      <c r="L208" s="20" t="s">
        <v>728</v>
      </c>
      <c r="M208" s="20">
        <v>3.2724899999999999</v>
      </c>
      <c r="N208" s="20">
        <v>3.2719999999999998</v>
      </c>
      <c r="O208" s="20">
        <v>3.2749999999999999</v>
      </c>
      <c r="P208" s="20">
        <v>4.3130000000000002E-2</v>
      </c>
      <c r="Q208" s="20">
        <v>4.095E-2</v>
      </c>
      <c r="R208" s="20">
        <v>4.53E-2</v>
      </c>
      <c r="S208" s="20">
        <f t="shared" si="156"/>
        <v>4092</v>
      </c>
      <c r="T208" s="20">
        <f t="shared" si="157"/>
        <v>4091</v>
      </c>
      <c r="U208" s="20">
        <f t="shared" si="158"/>
        <v>4095</v>
      </c>
      <c r="V208" s="20">
        <f t="shared" si="159"/>
        <v>54</v>
      </c>
      <c r="W208" s="20">
        <f t="shared" si="160"/>
        <v>51</v>
      </c>
      <c r="X208" s="20">
        <f t="shared" si="161"/>
        <v>57</v>
      </c>
      <c r="Y208" s="20" t="s">
        <v>417</v>
      </c>
      <c r="Z208" s="25">
        <v>0</v>
      </c>
      <c r="AA208" s="25">
        <v>1</v>
      </c>
      <c r="AB208" s="25" t="s">
        <v>417</v>
      </c>
      <c r="AC208" s="20" t="s">
        <v>736</v>
      </c>
    </row>
    <row r="209" spans="1:29" ht="51">
      <c r="A209" s="20" t="s">
        <v>344</v>
      </c>
      <c r="B209" s="24" t="str">
        <f>'Lambda-DC DC Converter (All)'!A34</f>
        <v>No Output</v>
      </c>
      <c r="C209" s="22">
        <f>'Lambda-DC DC Converter (All)'!B$31</f>
        <v>2.1388134027995368E-8</v>
      </c>
      <c r="D209" s="23">
        <f>'Lambda-DC DC Converter (All)'!C34</f>
        <v>0.23</v>
      </c>
      <c r="E209" s="20">
        <f>'Lambda-DC DC Converter (All)'!D34</f>
        <v>4.9192708264389344E-9</v>
      </c>
      <c r="F209" s="21" t="s">
        <v>648</v>
      </c>
      <c r="G209" s="21" t="s">
        <v>649</v>
      </c>
      <c r="H209" s="20" t="s">
        <v>43</v>
      </c>
      <c r="I209" s="20" t="s">
        <v>408</v>
      </c>
      <c r="J209" s="20" t="s">
        <v>590</v>
      </c>
      <c r="K209" s="20" t="s">
        <v>729</v>
      </c>
      <c r="L209" s="20" t="s">
        <v>728</v>
      </c>
      <c r="M209" s="20">
        <v>3.27305</v>
      </c>
      <c r="N209" s="20">
        <v>3.2730299999999999</v>
      </c>
      <c r="O209" s="20">
        <v>3.2730600000000001</v>
      </c>
      <c r="P209" s="20">
        <v>3.2723450000000001</v>
      </c>
      <c r="Q209" s="20">
        <v>3.272335</v>
      </c>
      <c r="R209" s="20">
        <v>3.2723550000000001</v>
      </c>
      <c r="S209" s="20">
        <f t="shared" ref="S209" si="162">ROUND(((M209-MIN($M$3:$R$212))/(MAX($M$3:$R$212)-MIN($M$3:$R$212)))*((2^12)-1), 0)</f>
        <v>4093</v>
      </c>
      <c r="T209" s="20">
        <f t="shared" ref="T209" si="163">ROUND(((N209-MIN($M$3:$R$212))/(MAX($M$3:$R$212)-MIN($M$3:$R$212)))*((2^12)-1), 0)</f>
        <v>4093</v>
      </c>
      <c r="U209" s="20">
        <f t="shared" ref="U209" si="164">ROUND(((O209-MIN($M$3:$R$212))/(MAX($M$3:$R$212)-MIN($M$3:$R$212)))*((2^12)-1), 0)</f>
        <v>4093</v>
      </c>
      <c r="V209" s="20">
        <f t="shared" ref="V209" si="165">ROUND(((P209-MIN($M$3:$R$212))/(MAX($M$3:$R$212)-MIN($M$3:$R$212)))*((2^12)-1), 0)</f>
        <v>4092</v>
      </c>
      <c r="W209" s="20">
        <f t="shared" ref="W209" si="166">ROUND(((Q209-MIN($M$3:$R$212))/(MAX($M$3:$R$212)-MIN($M$3:$R$212)))*((2^12)-1), 0)</f>
        <v>4092</v>
      </c>
      <c r="X209" s="20">
        <f t="shared" ref="X209" si="167">ROUND(((R209-MIN($M$3:$R$212))/(MAX($M$3:$R$212)-MIN($M$3:$R$212)))*((2^12)-1), 0)</f>
        <v>4092</v>
      </c>
      <c r="Y209" s="20" t="s">
        <v>484</v>
      </c>
      <c r="Z209" s="25">
        <v>0</v>
      </c>
      <c r="AA209" s="25">
        <v>1</v>
      </c>
      <c r="AB209" s="25" t="s">
        <v>417</v>
      </c>
      <c r="AC209" s="20" t="s">
        <v>736</v>
      </c>
    </row>
    <row r="210" spans="1:29" ht="76.5">
      <c r="A210" s="20" t="s">
        <v>344</v>
      </c>
      <c r="B210" s="24" t="str">
        <f>'Lambda-DC DC Converter (All)'!A35</f>
        <v>Increase in Output Voltage</v>
      </c>
      <c r="C210" s="22">
        <f>'Lambda-DC DC Converter (All)'!B$31</f>
        <v>2.1388134027995368E-8</v>
      </c>
      <c r="D210" s="23">
        <f>'Lambda-DC DC Converter (All)'!C35</f>
        <v>0.25666666666666665</v>
      </c>
      <c r="E210" s="20">
        <f>'Lambda-DC DC Converter (All)'!D35</f>
        <v>5.4896210671854778E-9</v>
      </c>
      <c r="F210" s="21" t="s">
        <v>652</v>
      </c>
      <c r="G210" s="21" t="s">
        <v>650</v>
      </c>
      <c r="H210" s="20" t="s">
        <v>44</v>
      </c>
      <c r="I210" s="20" t="s">
        <v>45</v>
      </c>
      <c r="J210" s="20" t="s">
        <v>588</v>
      </c>
      <c r="K210" s="20" t="s">
        <v>728</v>
      </c>
      <c r="L210" s="20" t="s">
        <v>728</v>
      </c>
      <c r="M210" s="20">
        <v>3.2724899999999999</v>
      </c>
      <c r="N210" s="20">
        <v>3.2719999999999998</v>
      </c>
      <c r="O210" s="20">
        <v>3.2749999999999999</v>
      </c>
      <c r="P210" s="20">
        <v>4.3130000000000002E-2</v>
      </c>
      <c r="Q210" s="20">
        <v>4.095E-2</v>
      </c>
      <c r="R210" s="20">
        <v>4.53E-2</v>
      </c>
      <c r="S210" s="20">
        <f t="shared" ref="S210:S220" si="168">ROUND(((M210-MIN($M$3:$R$212))/(MAX($M$3:$R$212)-MIN($M$3:$R$212)))*((2^12)-1), 0)</f>
        <v>4092</v>
      </c>
      <c r="T210" s="20">
        <f t="shared" ref="T210:T220" si="169">ROUND(((N210-MIN($M$3:$R$212))/(MAX($M$3:$R$212)-MIN($M$3:$R$212)))*((2^12)-1), 0)</f>
        <v>4091</v>
      </c>
      <c r="U210" s="20">
        <f t="shared" ref="U210:U220" si="170">ROUND(((O210-MIN($M$3:$R$212))/(MAX($M$3:$R$212)-MIN($M$3:$R$212)))*((2^12)-1), 0)</f>
        <v>4095</v>
      </c>
      <c r="V210" s="20">
        <f t="shared" ref="V210:V220" si="171">ROUND(((P210-MIN($M$3:$R$212))/(MAX($M$3:$R$212)-MIN($M$3:$R$212)))*((2^12)-1), 0)</f>
        <v>54</v>
      </c>
      <c r="W210" s="20">
        <f t="shared" ref="W210:W220" si="172">ROUND(((Q210-MIN($M$3:$R$212))/(MAX($M$3:$R$212)-MIN($M$3:$R$212)))*((2^12)-1), 0)</f>
        <v>51</v>
      </c>
      <c r="X210" s="20">
        <f t="shared" ref="X210:X220" si="173">ROUND(((R210-MIN($M$3:$R$212))/(MAX($M$3:$R$212)-MIN($M$3:$R$212)))*((2^12)-1), 0)</f>
        <v>57</v>
      </c>
      <c r="Y210" s="20" t="s">
        <v>470</v>
      </c>
      <c r="Z210" s="25">
        <v>0</v>
      </c>
      <c r="AA210" s="25">
        <v>1</v>
      </c>
      <c r="AB210" s="25" t="s">
        <v>470</v>
      </c>
      <c r="AC210" s="20" t="s">
        <v>735</v>
      </c>
    </row>
    <row r="211" spans="1:29" ht="76.5">
      <c r="A211" s="20" t="s">
        <v>344</v>
      </c>
      <c r="B211" s="24" t="str">
        <f>'Lambda-DC DC Converter (All)'!A36</f>
        <v>Decrease in Output Voltage</v>
      </c>
      <c r="C211" s="22">
        <f>'Lambda-DC DC Converter (All)'!B$31</f>
        <v>2.1388134027995368E-8</v>
      </c>
      <c r="D211" s="23">
        <f>'Lambda-DC DC Converter (All)'!C36</f>
        <v>0.25666666666666665</v>
      </c>
      <c r="E211" s="20">
        <f>'Lambda-DC DC Converter (All)'!D36</f>
        <v>5.4896210671854778E-9</v>
      </c>
      <c r="F211" s="21" t="s">
        <v>683</v>
      </c>
      <c r="G211" s="21" t="s">
        <v>650</v>
      </c>
      <c r="H211" s="20" t="s">
        <v>44</v>
      </c>
      <c r="I211" s="20" t="s">
        <v>45</v>
      </c>
      <c r="J211" s="20" t="s">
        <v>588</v>
      </c>
      <c r="K211" s="20" t="s">
        <v>728</v>
      </c>
      <c r="L211" s="20" t="s">
        <v>728</v>
      </c>
      <c r="M211" s="20">
        <v>3.2724899999999999</v>
      </c>
      <c r="N211" s="20">
        <v>3.2719999999999998</v>
      </c>
      <c r="O211" s="20">
        <v>3.2749999999999999</v>
      </c>
      <c r="P211" s="20">
        <v>4.3130000000000002E-2</v>
      </c>
      <c r="Q211" s="20">
        <v>4.095E-2</v>
      </c>
      <c r="R211" s="20">
        <v>4.53E-2</v>
      </c>
      <c r="S211" s="20">
        <f t="shared" ref="S211" si="174">ROUND(((M211-MIN($M$3:$R$212))/(MAX($M$3:$R$212)-MIN($M$3:$R$212)))*((2^12)-1), 0)</f>
        <v>4092</v>
      </c>
      <c r="T211" s="20">
        <f t="shared" ref="T211" si="175">ROUND(((N211-MIN($M$3:$R$212))/(MAX($M$3:$R$212)-MIN($M$3:$R$212)))*((2^12)-1), 0)</f>
        <v>4091</v>
      </c>
      <c r="U211" s="20">
        <f t="shared" ref="U211" si="176">ROUND(((O211-MIN($M$3:$R$212))/(MAX($M$3:$R$212)-MIN($M$3:$R$212)))*((2^12)-1), 0)</f>
        <v>4095</v>
      </c>
      <c r="V211" s="20">
        <f t="shared" ref="V211" si="177">ROUND(((P211-MIN($M$3:$R$212))/(MAX($M$3:$R$212)-MIN($M$3:$R$212)))*((2^12)-1), 0)</f>
        <v>54</v>
      </c>
      <c r="W211" s="20">
        <f t="shared" ref="W211" si="178">ROUND(((Q211-MIN($M$3:$R$212))/(MAX($M$3:$R$212)-MIN($M$3:$R$212)))*((2^12)-1), 0)</f>
        <v>51</v>
      </c>
      <c r="X211" s="20">
        <f t="shared" ref="X211" si="179">ROUND(((R211-MIN($M$3:$R$212))/(MAX($M$3:$R$212)-MIN($M$3:$R$212)))*((2^12)-1), 0)</f>
        <v>57</v>
      </c>
      <c r="Y211" s="20" t="s">
        <v>470</v>
      </c>
      <c r="Z211" s="25">
        <v>0</v>
      </c>
      <c r="AA211" s="25">
        <v>1</v>
      </c>
      <c r="AB211" s="25" t="s">
        <v>470</v>
      </c>
      <c r="AC211" s="20" t="s">
        <v>735</v>
      </c>
    </row>
    <row r="212" spans="1:29" ht="76.5">
      <c r="A212" s="20" t="s">
        <v>344</v>
      </c>
      <c r="B212" s="24" t="str">
        <f>'Lambda-DC DC Converter (All)'!A37</f>
        <v>Noisy Output</v>
      </c>
      <c r="C212" s="22">
        <f>'Lambda-DC DC Converter (All)'!B$31</f>
        <v>2.1388134027995368E-8</v>
      </c>
      <c r="D212" s="23">
        <f>'Lambda-DC DC Converter (All)'!C37</f>
        <v>0.25666666666666665</v>
      </c>
      <c r="E212" s="20">
        <f>'Lambda-DC DC Converter (All)'!D37</f>
        <v>5.4896210671854778E-9</v>
      </c>
      <c r="F212" s="21" t="s">
        <v>651</v>
      </c>
      <c r="G212" s="21" t="s">
        <v>650</v>
      </c>
      <c r="H212" s="20" t="s">
        <v>44</v>
      </c>
      <c r="I212" s="20" t="s">
        <v>45</v>
      </c>
      <c r="J212" s="20" t="s">
        <v>588</v>
      </c>
      <c r="K212" s="20" t="s">
        <v>728</v>
      </c>
      <c r="L212" s="20" t="s">
        <v>728</v>
      </c>
      <c r="M212" s="20">
        <v>3.2724899999999999</v>
      </c>
      <c r="N212" s="20">
        <v>3.2719999999999998</v>
      </c>
      <c r="O212" s="20">
        <v>3.2749999999999999</v>
      </c>
      <c r="P212" s="20">
        <v>4.3130000000000002E-2</v>
      </c>
      <c r="Q212" s="20">
        <v>4.095E-2</v>
      </c>
      <c r="R212" s="20">
        <v>4.53E-2</v>
      </c>
      <c r="S212" s="20">
        <f t="shared" ref="S212:S214" si="180">ROUND(((M212-MIN($M$3:$R$212))/(MAX($M$3:$R$212)-MIN($M$3:$R$212)))*((2^12)-1), 0)</f>
        <v>4092</v>
      </c>
      <c r="T212" s="20">
        <f t="shared" ref="T212:T214" si="181">ROUND(((N212-MIN($M$3:$R$212))/(MAX($M$3:$R$212)-MIN($M$3:$R$212)))*((2^12)-1), 0)</f>
        <v>4091</v>
      </c>
      <c r="U212" s="20">
        <f t="shared" ref="U212:U214" si="182">ROUND(((O212-MIN($M$3:$R$212))/(MAX($M$3:$R$212)-MIN($M$3:$R$212)))*((2^12)-1), 0)</f>
        <v>4095</v>
      </c>
      <c r="V212" s="20">
        <f t="shared" ref="V212:V214" si="183">ROUND(((P212-MIN($M$3:$R$212))/(MAX($M$3:$R$212)-MIN($M$3:$R$212)))*((2^12)-1), 0)</f>
        <v>54</v>
      </c>
      <c r="W212" s="20">
        <f t="shared" ref="W212:W214" si="184">ROUND(((Q212-MIN($M$3:$R$212))/(MAX($M$3:$R$212)-MIN($M$3:$R$212)))*((2^12)-1), 0)</f>
        <v>51</v>
      </c>
      <c r="X212" s="20">
        <f t="shared" ref="X212:X214" si="185">ROUND(((R212-MIN($M$3:$R$212))/(MAX($M$3:$R$212)-MIN($M$3:$R$212)))*((2^12)-1), 0)</f>
        <v>57</v>
      </c>
      <c r="Y212" s="20" t="s">
        <v>470</v>
      </c>
      <c r="Z212" s="25">
        <v>0</v>
      </c>
      <c r="AA212" s="25">
        <v>1</v>
      </c>
      <c r="AB212" s="25" t="s">
        <v>470</v>
      </c>
      <c r="AC212" s="20" t="s">
        <v>735</v>
      </c>
    </row>
    <row r="213" spans="1:29" ht="51">
      <c r="A213" s="20" t="s">
        <v>456</v>
      </c>
      <c r="B213" s="24" t="str">
        <f>'Lambda-Capacitor'!A40</f>
        <v>Open</v>
      </c>
      <c r="C213" s="22">
        <f>'Lambda-Capacitor'!B$37</f>
        <v>2.4864713937390443E-9</v>
      </c>
      <c r="D213" s="23">
        <f>'Lambda-Capacitor'!C40</f>
        <v>0.35</v>
      </c>
      <c r="E213" s="20">
        <f>'Lambda-Capacitor'!D40</f>
        <v>8.7026498780866543E-10</v>
      </c>
      <c r="F213" s="21" t="s">
        <v>653</v>
      </c>
      <c r="G213" s="21" t="s">
        <v>654</v>
      </c>
      <c r="H213" s="20" t="s">
        <v>43</v>
      </c>
      <c r="I213" s="20" t="s">
        <v>408</v>
      </c>
      <c r="J213" s="25" t="s">
        <v>521</v>
      </c>
      <c r="K213" s="25" t="s">
        <v>726</v>
      </c>
      <c r="L213" s="20" t="s">
        <v>728</v>
      </c>
      <c r="M213" s="20">
        <v>3.2724899999999999</v>
      </c>
      <c r="N213" s="20">
        <v>3.2719999999999998</v>
      </c>
      <c r="O213" s="20">
        <v>3.2749999999999999</v>
      </c>
      <c r="P213" s="20">
        <v>4.3130000000000002E-2</v>
      </c>
      <c r="Q213" s="20">
        <v>4.095E-2</v>
      </c>
      <c r="R213" s="20">
        <v>4.53E-2</v>
      </c>
      <c r="S213" s="20">
        <f t="shared" si="180"/>
        <v>4092</v>
      </c>
      <c r="T213" s="20">
        <f t="shared" si="181"/>
        <v>4091</v>
      </c>
      <c r="U213" s="20">
        <f t="shared" si="182"/>
        <v>4095</v>
      </c>
      <c r="V213" s="20">
        <f t="shared" si="183"/>
        <v>54</v>
      </c>
      <c r="W213" s="20">
        <f t="shared" si="184"/>
        <v>51</v>
      </c>
      <c r="X213" s="20">
        <f t="shared" si="185"/>
        <v>57</v>
      </c>
      <c r="Y213" s="20" t="s">
        <v>417</v>
      </c>
      <c r="Z213" s="25">
        <v>0</v>
      </c>
      <c r="AA213" s="25">
        <v>1</v>
      </c>
      <c r="AB213" s="25" t="s">
        <v>417</v>
      </c>
      <c r="AC213" s="20" t="s">
        <v>736</v>
      </c>
    </row>
    <row r="214" spans="1:29" ht="38.25">
      <c r="A214" s="20" t="s">
        <v>456</v>
      </c>
      <c r="B214" s="24" t="str">
        <f>'Lambda-Capacitor'!A41</f>
        <v>Short-Circuit</v>
      </c>
      <c r="C214" s="22">
        <f>'Lambda-Capacitor'!B$37</f>
        <v>2.4864713937390443E-9</v>
      </c>
      <c r="D214" s="23">
        <f>'Lambda-Capacitor'!C41</f>
        <v>0.53</v>
      </c>
      <c r="E214" s="20">
        <f>'Lambda-Capacitor'!D41</f>
        <v>1.3178298386816936E-9</v>
      </c>
      <c r="F214" s="21" t="s">
        <v>655</v>
      </c>
      <c r="G214" s="21" t="s">
        <v>411</v>
      </c>
      <c r="H214" s="20" t="s">
        <v>43</v>
      </c>
      <c r="I214" s="20" t="s">
        <v>408</v>
      </c>
      <c r="J214" s="20" t="s">
        <v>590</v>
      </c>
      <c r="K214" s="20" t="s">
        <v>729</v>
      </c>
      <c r="L214" s="20" t="s">
        <v>728</v>
      </c>
      <c r="M214" s="20">
        <v>3.1999999999999999E-6</v>
      </c>
      <c r="N214" s="20">
        <v>3.1999999999999999E-6</v>
      </c>
      <c r="O214" s="20">
        <v>3.1999999999999999E-6</v>
      </c>
      <c r="P214" s="20">
        <v>3.1999999999999999E-6</v>
      </c>
      <c r="Q214" s="20">
        <v>3.1999999999999999E-6</v>
      </c>
      <c r="R214" s="20">
        <v>3.1999999999999999E-6</v>
      </c>
      <c r="S214" s="20">
        <f t="shared" si="180"/>
        <v>0</v>
      </c>
      <c r="T214" s="20">
        <f t="shared" si="181"/>
        <v>0</v>
      </c>
      <c r="U214" s="20">
        <f t="shared" si="182"/>
        <v>0</v>
      </c>
      <c r="V214" s="20">
        <f t="shared" si="183"/>
        <v>0</v>
      </c>
      <c r="W214" s="20">
        <f t="shared" si="184"/>
        <v>0</v>
      </c>
      <c r="X214" s="20">
        <f t="shared" si="185"/>
        <v>0</v>
      </c>
      <c r="Y214" s="20" t="s">
        <v>414</v>
      </c>
      <c r="Z214" s="25">
        <v>0</v>
      </c>
      <c r="AA214" s="25">
        <v>1</v>
      </c>
      <c r="AB214" s="25" t="s">
        <v>417</v>
      </c>
      <c r="AC214" s="20" t="s">
        <v>736</v>
      </c>
    </row>
    <row r="215" spans="1:29" ht="38.25">
      <c r="A215" s="20" t="s">
        <v>456</v>
      </c>
      <c r="B215" s="24" t="str">
        <f>'Lambda-Capacitor'!A42</f>
        <v>Decrease of Parallel Resistance</v>
      </c>
      <c r="C215" s="22">
        <f>'Lambda-Capacitor'!B$37</f>
        <v>2.4864713937390443E-9</v>
      </c>
      <c r="D215" s="23">
        <f>'Lambda-Capacitor'!C42</f>
        <v>0</v>
      </c>
      <c r="E215" s="20">
        <f>'Lambda-Capacitor'!D42</f>
        <v>0</v>
      </c>
      <c r="F215" s="21" t="s">
        <v>381</v>
      </c>
      <c r="G215" s="21" t="s">
        <v>381</v>
      </c>
      <c r="H215" s="20" t="s">
        <v>43</v>
      </c>
      <c r="I215" s="20" t="s">
        <v>408</v>
      </c>
      <c r="J215" s="20" t="s">
        <v>590</v>
      </c>
      <c r="K215" s="20" t="s">
        <v>729</v>
      </c>
      <c r="L215" s="20" t="s">
        <v>728</v>
      </c>
      <c r="M215" s="20">
        <v>3.1999999999999999E-6</v>
      </c>
      <c r="N215" s="20">
        <v>3.1999999999999999E-6</v>
      </c>
      <c r="O215" s="20">
        <v>3.1999999999999999E-6</v>
      </c>
      <c r="P215" s="20">
        <v>3.1999999999999999E-6</v>
      </c>
      <c r="Q215" s="20">
        <v>3.1999999999999999E-6</v>
      </c>
      <c r="R215" s="20">
        <v>3.1999999999999999E-6</v>
      </c>
      <c r="S215" s="20">
        <f t="shared" ref="S215:S216" si="186">ROUND(((M215-MIN($M$3:$R$212))/(MAX($M$3:$R$212)-MIN($M$3:$R$212)))*((2^12)-1), 0)</f>
        <v>0</v>
      </c>
      <c r="T215" s="20">
        <f t="shared" ref="T215:T216" si="187">ROUND(((N215-MIN($M$3:$R$212))/(MAX($M$3:$R$212)-MIN($M$3:$R$212)))*((2^12)-1), 0)</f>
        <v>0</v>
      </c>
      <c r="U215" s="20">
        <f t="shared" ref="U215:U216" si="188">ROUND(((O215-MIN($M$3:$R$212))/(MAX($M$3:$R$212)-MIN($M$3:$R$212)))*((2^12)-1), 0)</f>
        <v>0</v>
      </c>
      <c r="V215" s="20">
        <f t="shared" ref="V215:V216" si="189">ROUND(((P215-MIN($M$3:$R$212))/(MAX($M$3:$R$212)-MIN($M$3:$R$212)))*((2^12)-1), 0)</f>
        <v>0</v>
      </c>
      <c r="W215" s="20">
        <f t="shared" ref="W215:W216" si="190">ROUND(((Q215-MIN($M$3:$R$212))/(MAX($M$3:$R$212)-MIN($M$3:$R$212)))*((2^12)-1), 0)</f>
        <v>0</v>
      </c>
      <c r="X215" s="20">
        <f t="shared" ref="X215:X216" si="191">ROUND(((R215-MIN($M$3:$R$212))/(MAX($M$3:$R$212)-MIN($M$3:$R$212)))*((2^12)-1), 0)</f>
        <v>0</v>
      </c>
      <c r="Y215" s="20" t="s">
        <v>414</v>
      </c>
      <c r="Z215" s="25">
        <v>0</v>
      </c>
      <c r="AA215" s="25">
        <v>1</v>
      </c>
      <c r="AB215" s="25" t="s">
        <v>417</v>
      </c>
      <c r="AC215" s="20" t="s">
        <v>736</v>
      </c>
    </row>
    <row r="216" spans="1:29" ht="51">
      <c r="A216" s="20" t="s">
        <v>456</v>
      </c>
      <c r="B216" s="24" t="str">
        <f>'Lambda-Capacitor'!A43</f>
        <v>Increased Dissipation Factor</v>
      </c>
      <c r="C216" s="22">
        <f>'Lambda-Capacitor'!B$37</f>
        <v>2.4864713937390443E-9</v>
      </c>
      <c r="D216" s="23">
        <f>'Lambda-Capacitor'!C43</f>
        <v>3.3333333333333333E-2</v>
      </c>
      <c r="E216" s="20">
        <f>'Lambda-Capacitor'!D43</f>
        <v>8.2882379791301472E-11</v>
      </c>
      <c r="F216" s="21" t="s">
        <v>457</v>
      </c>
      <c r="G216" s="21" t="s">
        <v>457</v>
      </c>
      <c r="H216" s="20" t="s">
        <v>43</v>
      </c>
      <c r="I216" s="20" t="s">
        <v>408</v>
      </c>
      <c r="J216" s="25" t="s">
        <v>521</v>
      </c>
      <c r="K216" s="25" t="s">
        <v>726</v>
      </c>
      <c r="L216" s="20" t="s">
        <v>728</v>
      </c>
      <c r="M216" s="20">
        <v>3.2724899999999999</v>
      </c>
      <c r="N216" s="20">
        <v>3.2719999999999998</v>
      </c>
      <c r="O216" s="20">
        <v>3.2749999999999999</v>
      </c>
      <c r="P216" s="20">
        <v>4.3130000000000002E-2</v>
      </c>
      <c r="Q216" s="20">
        <v>4.095E-2</v>
      </c>
      <c r="R216" s="20">
        <v>4.53E-2</v>
      </c>
      <c r="S216" s="20">
        <f t="shared" si="186"/>
        <v>4092</v>
      </c>
      <c r="T216" s="20">
        <f t="shared" si="187"/>
        <v>4091</v>
      </c>
      <c r="U216" s="20">
        <f t="shared" si="188"/>
        <v>4095</v>
      </c>
      <c r="V216" s="20">
        <f t="shared" si="189"/>
        <v>54</v>
      </c>
      <c r="W216" s="20">
        <f t="shared" si="190"/>
        <v>51</v>
      </c>
      <c r="X216" s="20">
        <f t="shared" si="191"/>
        <v>57</v>
      </c>
      <c r="Y216" s="20" t="s">
        <v>417</v>
      </c>
      <c r="Z216" s="25">
        <v>0</v>
      </c>
      <c r="AA216" s="25">
        <v>1</v>
      </c>
      <c r="AB216" s="25" t="s">
        <v>417</v>
      </c>
      <c r="AC216" s="20" t="s">
        <v>736</v>
      </c>
    </row>
    <row r="217" spans="1:29" ht="38.25">
      <c r="A217" s="20" t="s">
        <v>456</v>
      </c>
      <c r="B217" s="24" t="str">
        <f>'Lambda-Capacitor'!A44</f>
        <v>Increase of Capacitance</v>
      </c>
      <c r="C217" s="22">
        <f>'Lambda-Capacitor'!B$37</f>
        <v>2.4864713937390443E-9</v>
      </c>
      <c r="D217" s="23">
        <f>'Lambda-Capacitor'!C44</f>
        <v>0</v>
      </c>
      <c r="E217" s="20">
        <f>'Lambda-Capacitor'!D44</f>
        <v>0</v>
      </c>
      <c r="F217" s="21" t="s">
        <v>381</v>
      </c>
      <c r="G217" s="21" t="s">
        <v>381</v>
      </c>
      <c r="H217" s="20" t="s">
        <v>43</v>
      </c>
      <c r="I217" s="20" t="s">
        <v>408</v>
      </c>
      <c r="J217" s="20" t="s">
        <v>590</v>
      </c>
      <c r="K217" s="20" t="s">
        <v>729</v>
      </c>
      <c r="L217" s="20" t="s">
        <v>728</v>
      </c>
      <c r="M217" s="20">
        <v>3.1999999999999999E-6</v>
      </c>
      <c r="N217" s="20">
        <v>3.1999999999999999E-6</v>
      </c>
      <c r="O217" s="20">
        <v>3.1999999999999999E-6</v>
      </c>
      <c r="P217" s="20">
        <v>3.1999999999999999E-6</v>
      </c>
      <c r="Q217" s="20">
        <v>3.1999999999999999E-6</v>
      </c>
      <c r="R217" s="20">
        <v>3.1999999999999999E-6</v>
      </c>
      <c r="S217" s="20">
        <f t="shared" si="168"/>
        <v>0</v>
      </c>
      <c r="T217" s="20">
        <f t="shared" si="169"/>
        <v>0</v>
      </c>
      <c r="U217" s="20">
        <f t="shared" si="170"/>
        <v>0</v>
      </c>
      <c r="V217" s="20">
        <f t="shared" si="171"/>
        <v>0</v>
      </c>
      <c r="W217" s="20">
        <f t="shared" si="172"/>
        <v>0</v>
      </c>
      <c r="X217" s="20">
        <f t="shared" si="173"/>
        <v>0</v>
      </c>
      <c r="Y217" s="20" t="s">
        <v>414</v>
      </c>
      <c r="Z217" s="25">
        <v>0</v>
      </c>
      <c r="AA217" s="25">
        <v>1</v>
      </c>
      <c r="AB217" s="25" t="s">
        <v>417</v>
      </c>
      <c r="AC217" s="20" t="s">
        <v>736</v>
      </c>
    </row>
    <row r="218" spans="1:29" ht="51">
      <c r="A218" s="20" t="s">
        <v>456</v>
      </c>
      <c r="B218" s="24" t="str">
        <f>'Lambda-Capacitor'!A45</f>
        <v>Decrease of Capacitance</v>
      </c>
      <c r="C218" s="22">
        <f>'Lambda-Capacitor'!B$37</f>
        <v>2.4864713937390443E-9</v>
      </c>
      <c r="D218" s="23">
        <f>'Lambda-Capacitor'!C45</f>
        <v>5.333333333333333E-2</v>
      </c>
      <c r="E218" s="20">
        <f>'Lambda-Capacitor'!D45</f>
        <v>1.3261180766608236E-10</v>
      </c>
      <c r="F218" s="21" t="s">
        <v>380</v>
      </c>
      <c r="G218" s="21" t="s">
        <v>380</v>
      </c>
      <c r="H218" s="20" t="s">
        <v>43</v>
      </c>
      <c r="I218" s="20" t="s">
        <v>408</v>
      </c>
      <c r="J218" s="25" t="s">
        <v>521</v>
      </c>
      <c r="K218" s="25" t="s">
        <v>726</v>
      </c>
      <c r="L218" s="20" t="s">
        <v>728</v>
      </c>
      <c r="M218" s="20">
        <v>3.2724899999999999</v>
      </c>
      <c r="N218" s="20">
        <v>3.2719999999999998</v>
      </c>
      <c r="O218" s="20">
        <v>3.2749999999999999</v>
      </c>
      <c r="P218" s="20">
        <v>4.3130000000000002E-2</v>
      </c>
      <c r="Q218" s="20">
        <v>4.095E-2</v>
      </c>
      <c r="R218" s="20">
        <v>4.53E-2</v>
      </c>
      <c r="S218" s="20">
        <f t="shared" si="168"/>
        <v>4092</v>
      </c>
      <c r="T218" s="20">
        <f t="shared" si="169"/>
        <v>4091</v>
      </c>
      <c r="U218" s="20">
        <f t="shared" si="170"/>
        <v>4095</v>
      </c>
      <c r="V218" s="20">
        <f t="shared" si="171"/>
        <v>54</v>
      </c>
      <c r="W218" s="20">
        <f t="shared" si="172"/>
        <v>51</v>
      </c>
      <c r="X218" s="20">
        <f t="shared" si="173"/>
        <v>57</v>
      </c>
      <c r="Y218" s="20" t="s">
        <v>417</v>
      </c>
      <c r="Z218" s="25">
        <v>0</v>
      </c>
      <c r="AA218" s="25">
        <v>1</v>
      </c>
      <c r="AB218" s="25" t="s">
        <v>417</v>
      </c>
      <c r="AC218" s="20" t="s">
        <v>736</v>
      </c>
    </row>
    <row r="219" spans="1:29" ht="51">
      <c r="A219" s="20" t="s">
        <v>456</v>
      </c>
      <c r="B219" s="24" t="str">
        <f>'Lambda-Capacitor'!A46</f>
        <v>Increase of Series Resistance</v>
      </c>
      <c r="C219" s="22">
        <f>'Lambda-Capacitor'!B$37</f>
        <v>2.4864713937390443E-9</v>
      </c>
      <c r="D219" s="23">
        <f>'Lambda-Capacitor'!C46</f>
        <v>3.3333333333333333E-2</v>
      </c>
      <c r="E219" s="20">
        <f>'Lambda-Capacitor'!D46</f>
        <v>8.2882379791301472E-11</v>
      </c>
      <c r="F219" s="21" t="s">
        <v>380</v>
      </c>
      <c r="G219" s="21" t="s">
        <v>380</v>
      </c>
      <c r="H219" s="20" t="s">
        <v>43</v>
      </c>
      <c r="I219" s="20" t="s">
        <v>408</v>
      </c>
      <c r="J219" s="25" t="s">
        <v>521</v>
      </c>
      <c r="K219" s="25" t="s">
        <v>726</v>
      </c>
      <c r="L219" s="20" t="s">
        <v>728</v>
      </c>
      <c r="M219" s="20">
        <v>3.2724899999999999</v>
      </c>
      <c r="N219" s="20">
        <v>3.2719999999999998</v>
      </c>
      <c r="O219" s="20">
        <v>3.2749999999999999</v>
      </c>
      <c r="P219" s="20">
        <v>4.3130000000000002E-2</v>
      </c>
      <c r="Q219" s="20">
        <v>4.095E-2</v>
      </c>
      <c r="R219" s="20">
        <v>4.53E-2</v>
      </c>
      <c r="S219" s="20">
        <f t="shared" si="168"/>
        <v>4092</v>
      </c>
      <c r="T219" s="20">
        <f t="shared" si="169"/>
        <v>4091</v>
      </c>
      <c r="U219" s="20">
        <f t="shared" si="170"/>
        <v>4095</v>
      </c>
      <c r="V219" s="20">
        <f t="shared" si="171"/>
        <v>54</v>
      </c>
      <c r="W219" s="20">
        <f t="shared" si="172"/>
        <v>51</v>
      </c>
      <c r="X219" s="20">
        <f t="shared" si="173"/>
        <v>57</v>
      </c>
      <c r="Y219" s="20" t="s">
        <v>417</v>
      </c>
      <c r="Z219" s="25">
        <v>0</v>
      </c>
      <c r="AA219" s="25">
        <v>1</v>
      </c>
      <c r="AB219" s="25" t="s">
        <v>417</v>
      </c>
      <c r="AC219" s="20" t="s">
        <v>736</v>
      </c>
    </row>
    <row r="220" spans="1:29" ht="38.25">
      <c r="A220" s="20" t="s">
        <v>456</v>
      </c>
      <c r="B220" s="24" t="str">
        <f>'Lambda-Capacitor'!A47</f>
        <v>Short-Circuit to Casing</v>
      </c>
      <c r="C220" s="22">
        <f>'Lambda-Capacitor'!B$37</f>
        <v>2.4864713937390443E-9</v>
      </c>
      <c r="D220" s="23">
        <f>'Lambda-Capacitor'!C47</f>
        <v>0</v>
      </c>
      <c r="E220" s="20">
        <f>'Lambda-Capacitor'!D47</f>
        <v>0</v>
      </c>
      <c r="F220" s="21" t="s">
        <v>382</v>
      </c>
      <c r="G220" s="21" t="s">
        <v>382</v>
      </c>
      <c r="H220" s="20" t="s">
        <v>43</v>
      </c>
      <c r="I220" s="20" t="s">
        <v>409</v>
      </c>
      <c r="J220" s="20" t="s">
        <v>409</v>
      </c>
      <c r="K220" s="20" t="s">
        <v>730</v>
      </c>
      <c r="L220" s="20" t="s">
        <v>730</v>
      </c>
      <c r="M220" s="20">
        <v>3.2724899999999999</v>
      </c>
      <c r="N220" s="20">
        <v>3.2719999999999998</v>
      </c>
      <c r="O220" s="20">
        <v>3.2749999999999999</v>
      </c>
      <c r="P220" s="20">
        <v>4.3130000000000002E-2</v>
      </c>
      <c r="Q220" s="20">
        <v>4.095E-2</v>
      </c>
      <c r="R220" s="20">
        <v>4.53E-2</v>
      </c>
      <c r="S220" s="20">
        <f t="shared" si="168"/>
        <v>4092</v>
      </c>
      <c r="T220" s="20">
        <f t="shared" si="169"/>
        <v>4091</v>
      </c>
      <c r="U220" s="20">
        <f t="shared" si="170"/>
        <v>4095</v>
      </c>
      <c r="V220" s="20">
        <f t="shared" si="171"/>
        <v>54</v>
      </c>
      <c r="W220" s="20">
        <f t="shared" si="172"/>
        <v>51</v>
      </c>
      <c r="X220" s="20">
        <f t="shared" si="173"/>
        <v>57</v>
      </c>
      <c r="Y220" s="20" t="s">
        <v>417</v>
      </c>
      <c r="Z220" s="20">
        <v>0</v>
      </c>
      <c r="AA220" s="20">
        <v>1</v>
      </c>
      <c r="AB220" s="20" t="s">
        <v>417</v>
      </c>
      <c r="AC220" s="20" t="s">
        <v>736</v>
      </c>
    </row>
  </sheetData>
  <autoFilter ref="A2:AC220"/>
  <mergeCells count="18">
    <mergeCell ref="Z1:AA1"/>
    <mergeCell ref="J1:J2"/>
    <mergeCell ref="K1:K2"/>
    <mergeCell ref="L1:L2"/>
    <mergeCell ref="AC1:AC2"/>
    <mergeCell ref="AB1:AB2"/>
    <mergeCell ref="Y1:Y2"/>
    <mergeCell ref="S1:X1"/>
    <mergeCell ref="A1:A2"/>
    <mergeCell ref="B1:B2"/>
    <mergeCell ref="C1:C2"/>
    <mergeCell ref="D1:D2"/>
    <mergeCell ref="E1:E2"/>
    <mergeCell ref="F1:F2"/>
    <mergeCell ref="G1:G2"/>
    <mergeCell ref="H1:H2"/>
    <mergeCell ref="I1:I2"/>
    <mergeCell ref="M1:R1"/>
  </mergeCells>
  <pageMargins left="0.511811024" right="0.511811024" top="0.78740157499999996" bottom="0.78740157499999996" header="0.31496062000000002" footer="0.31496062000000002"/>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5" sqref="C5:C8"/>
    </sheetView>
  </sheetViews>
  <sheetFormatPr defaultRowHeight="15"/>
  <cols>
    <col min="1" max="1" width="11.42578125" bestFit="1" customWidth="1"/>
    <col min="2" max="2" width="13.5703125" style="6" customWidth="1"/>
    <col min="3" max="3" width="185.7109375" customWidth="1"/>
  </cols>
  <sheetData>
    <row r="1" spans="1:3">
      <c r="A1" s="42" t="s">
        <v>691</v>
      </c>
      <c r="B1" s="5">
        <v>100</v>
      </c>
      <c r="C1" s="4" t="s">
        <v>690</v>
      </c>
    </row>
    <row r="2" spans="1:3">
      <c r="A2" s="117" t="s">
        <v>686</v>
      </c>
      <c r="B2" s="5">
        <v>1</v>
      </c>
      <c r="C2" s="4" t="s">
        <v>689</v>
      </c>
    </row>
    <row r="3" spans="1:3" ht="45">
      <c r="A3" s="117"/>
      <c r="B3" s="5">
        <v>2</v>
      </c>
      <c r="C3" s="4" t="s">
        <v>688</v>
      </c>
    </row>
    <row r="4" spans="1:3" ht="30">
      <c r="A4" s="117"/>
      <c r="B4" s="5">
        <v>3</v>
      </c>
      <c r="C4" s="4" t="s">
        <v>692</v>
      </c>
    </row>
    <row r="5" spans="1:3" ht="165">
      <c r="A5" s="117"/>
      <c r="B5" s="35" t="s">
        <v>687</v>
      </c>
      <c r="C5" s="4" t="s">
        <v>696</v>
      </c>
    </row>
    <row r="6" spans="1:3" ht="180">
      <c r="A6" s="117"/>
      <c r="B6" s="35" t="s">
        <v>693</v>
      </c>
      <c r="C6" s="4" t="s">
        <v>698</v>
      </c>
    </row>
    <row r="7" spans="1:3" ht="180">
      <c r="A7" s="117"/>
      <c r="B7" s="35" t="s">
        <v>694</v>
      </c>
      <c r="C7" s="4" t="s">
        <v>697</v>
      </c>
    </row>
    <row r="8" spans="1:3" ht="180">
      <c r="A8" s="117"/>
      <c r="B8" s="35" t="s">
        <v>695</v>
      </c>
      <c r="C8" s="4" t="s">
        <v>699</v>
      </c>
    </row>
  </sheetData>
  <mergeCells count="1">
    <mergeCell ref="A2:A8"/>
  </mergeCells>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37" workbookViewId="0">
      <selection activeCell="C66" sqref="C66"/>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s>
  <sheetData>
    <row r="1" spans="1:4">
      <c r="A1" s="47" t="s">
        <v>691</v>
      </c>
      <c r="B1" s="119">
        <v>100</v>
      </c>
      <c r="C1" s="119"/>
    </row>
    <row r="2" spans="1:4">
      <c r="B2" s="41"/>
      <c r="C2" s="41"/>
    </row>
    <row r="3" spans="1:4">
      <c r="A3" s="122" t="s">
        <v>702</v>
      </c>
      <c r="B3" s="123"/>
      <c r="C3" s="123"/>
      <c r="D3" s="123"/>
    </row>
    <row r="4" spans="1:4">
      <c r="A4" s="45"/>
      <c r="B4" s="46"/>
      <c r="C4" s="46"/>
      <c r="D4" s="46"/>
    </row>
    <row r="5" spans="1:4">
      <c r="A5" s="120" t="s">
        <v>703</v>
      </c>
      <c r="B5" s="44" t="s">
        <v>701</v>
      </c>
      <c r="C5" s="44" t="s">
        <v>700</v>
      </c>
    </row>
    <row r="6" spans="1:4">
      <c r="A6" s="120"/>
      <c r="B6" s="35">
        <v>57</v>
      </c>
      <c r="C6" s="35">
        <f>$B$1/2</f>
        <v>50</v>
      </c>
    </row>
    <row r="7" spans="1:4">
      <c r="A7" s="120" t="s">
        <v>704</v>
      </c>
      <c r="B7" s="44" t="s">
        <v>701</v>
      </c>
      <c r="C7" s="44" t="s">
        <v>700</v>
      </c>
    </row>
    <row r="8" spans="1:4">
      <c r="A8" s="120"/>
      <c r="B8" s="35">
        <v>4091</v>
      </c>
      <c r="C8" s="35">
        <f>$B$1/4</f>
        <v>25</v>
      </c>
    </row>
    <row r="9" spans="1:4">
      <c r="A9" s="120"/>
      <c r="B9" s="35">
        <v>4095</v>
      </c>
      <c r="C9" s="35">
        <f>$B$1/4</f>
        <v>25</v>
      </c>
    </row>
    <row r="11" spans="1:4">
      <c r="A11" s="121" t="s">
        <v>705</v>
      </c>
      <c r="B11" s="121"/>
      <c r="C11" s="121"/>
      <c r="D11" s="121"/>
    </row>
    <row r="12" spans="1:4">
      <c r="A12" s="49" t="s">
        <v>701</v>
      </c>
      <c r="B12" s="47">
        <f>B6</f>
        <v>57</v>
      </c>
      <c r="C12" s="47">
        <f>B8</f>
        <v>4091</v>
      </c>
      <c r="D12" s="47">
        <f>B9</f>
        <v>4095</v>
      </c>
    </row>
    <row r="13" spans="1:4">
      <c r="A13" s="47">
        <f>B6</f>
        <v>57</v>
      </c>
      <c r="B13" s="35">
        <f>ABS($A13-B$12)</f>
        <v>0</v>
      </c>
      <c r="C13" s="35">
        <f t="shared" ref="C13:D15" si="0">ABS($A13-C$12)</f>
        <v>4034</v>
      </c>
      <c r="D13" s="35">
        <f t="shared" si="0"/>
        <v>4038</v>
      </c>
    </row>
    <row r="14" spans="1:4">
      <c r="A14" s="47">
        <f>B8</f>
        <v>4091</v>
      </c>
      <c r="B14" s="35">
        <f t="shared" ref="B14:B15" si="1">ABS($A14-B$12)</f>
        <v>4034</v>
      </c>
      <c r="C14" s="35">
        <f t="shared" si="0"/>
        <v>0</v>
      </c>
      <c r="D14" s="35">
        <f t="shared" si="0"/>
        <v>4</v>
      </c>
    </row>
    <row r="15" spans="1:4">
      <c r="A15" s="47">
        <f>B9</f>
        <v>4095</v>
      </c>
      <c r="B15" s="35">
        <f t="shared" si="1"/>
        <v>4038</v>
      </c>
      <c r="C15" s="35">
        <f t="shared" si="0"/>
        <v>4</v>
      </c>
      <c r="D15" s="35">
        <f t="shared" si="0"/>
        <v>0</v>
      </c>
    </row>
    <row r="16" spans="1:4">
      <c r="A16" s="50"/>
    </row>
    <row r="17" spans="1:4">
      <c r="A17" s="118" t="s">
        <v>709</v>
      </c>
      <c r="B17" s="118"/>
      <c r="C17" s="118"/>
      <c r="D17" s="118"/>
    </row>
    <row r="18" spans="1:4">
      <c r="A18" s="49" t="s">
        <v>710</v>
      </c>
      <c r="B18" s="47" t="s">
        <v>706</v>
      </c>
      <c r="C18" s="47" t="s">
        <v>707</v>
      </c>
      <c r="D18" s="47" t="s">
        <v>708</v>
      </c>
    </row>
    <row r="19" spans="1:4">
      <c r="A19" s="47">
        <f>B6</f>
        <v>57</v>
      </c>
      <c r="B19" s="35">
        <f>(B13*C6)/(C6-1)</f>
        <v>0</v>
      </c>
      <c r="C19" s="35">
        <f>((B14*C8)+(B15*C9))/SUM(C8:C9)</f>
        <v>4036</v>
      </c>
      <c r="D19" s="35">
        <f>(C19-B19)/MAX(B19:C19)</f>
        <v>1</v>
      </c>
    </row>
    <row r="20" spans="1:4">
      <c r="A20" s="47">
        <f>B8</f>
        <v>4091</v>
      </c>
      <c r="B20" s="35">
        <f>((C14*C8)+(C15*C9))/(SUM(C8:C9)-1)</f>
        <v>2.0408163265306123</v>
      </c>
      <c r="C20" s="35">
        <f>(C13*C6)/C6</f>
        <v>4034</v>
      </c>
      <c r="D20" s="35">
        <f t="shared" ref="D20:D21" si="2">(C20-B20)/MAX(B20:C20)</f>
        <v>0.99949409610150453</v>
      </c>
    </row>
    <row r="21" spans="1:4">
      <c r="A21" s="47">
        <f>B9</f>
        <v>4095</v>
      </c>
      <c r="B21" s="35">
        <f>((D14*C8)+(D15*C9))/(SUM(C8:C9)-1)</f>
        <v>2.0408163265306123</v>
      </c>
      <c r="C21" s="35">
        <f>(D13*C6)/C6</f>
        <v>4038</v>
      </c>
      <c r="D21" s="35">
        <f t="shared" si="2"/>
        <v>0.99949459724454415</v>
      </c>
    </row>
    <row r="23" spans="1:4">
      <c r="A23" s="49" t="s">
        <v>703</v>
      </c>
      <c r="B23" s="51">
        <f>D19</f>
        <v>1</v>
      </c>
    </row>
    <row r="24" spans="1:4">
      <c r="A24" s="49" t="s">
        <v>704</v>
      </c>
      <c r="B24" s="51">
        <f>((D20*C8)+(D21*C9))/SUM(C8:C9)</f>
        <v>0.99949434667302428</v>
      </c>
    </row>
    <row r="25" spans="1:4">
      <c r="A25" s="49" t="s">
        <v>711</v>
      </c>
      <c r="B25" s="51">
        <f>AVERAGE(B23:B24)</f>
        <v>0.9997471733365122</v>
      </c>
    </row>
    <row r="27" spans="1:4">
      <c r="A27" s="122" t="s">
        <v>712</v>
      </c>
      <c r="B27" s="123"/>
      <c r="C27" s="123"/>
      <c r="D27" s="123"/>
    </row>
    <row r="28" spans="1:4">
      <c r="A28" s="45"/>
      <c r="B28" s="46"/>
      <c r="C28" s="46"/>
      <c r="D28" s="46"/>
    </row>
    <row r="29" spans="1:4">
      <c r="A29" s="124" t="s">
        <v>703</v>
      </c>
      <c r="B29" s="44" t="s">
        <v>701</v>
      </c>
      <c r="C29" s="44" t="s">
        <v>700</v>
      </c>
    </row>
    <row r="30" spans="1:4">
      <c r="A30" s="125"/>
      <c r="B30" s="35">
        <v>57</v>
      </c>
      <c r="C30" s="35">
        <f>($B$1/2)-1</f>
        <v>49</v>
      </c>
    </row>
    <row r="31" spans="1:4">
      <c r="A31" s="126"/>
      <c r="B31" s="35">
        <v>2075</v>
      </c>
      <c r="C31" s="35">
        <v>1</v>
      </c>
    </row>
    <row r="32" spans="1:4">
      <c r="A32" s="120" t="s">
        <v>704</v>
      </c>
      <c r="B32" s="44" t="s">
        <v>701</v>
      </c>
      <c r="C32" s="44" t="s">
        <v>700</v>
      </c>
    </row>
    <row r="33" spans="1:5">
      <c r="A33" s="120"/>
      <c r="B33" s="35">
        <v>4091</v>
      </c>
      <c r="C33" s="35">
        <f>$B$1/4</f>
        <v>25</v>
      </c>
    </row>
    <row r="34" spans="1:5">
      <c r="A34" s="120"/>
      <c r="B34" s="35">
        <v>4095</v>
      </c>
      <c r="C34" s="35">
        <f>$B$1/4</f>
        <v>25</v>
      </c>
    </row>
    <row r="36" spans="1:5">
      <c r="A36" s="121" t="s">
        <v>705</v>
      </c>
      <c r="B36" s="121"/>
      <c r="C36" s="121"/>
      <c r="D36" s="121"/>
      <c r="E36" s="121"/>
    </row>
    <row r="37" spans="1:5">
      <c r="A37" s="49" t="s">
        <v>701</v>
      </c>
      <c r="B37" s="47">
        <f>B30</f>
        <v>57</v>
      </c>
      <c r="C37" s="47">
        <f>B31</f>
        <v>2075</v>
      </c>
      <c r="D37" s="47">
        <f>B33</f>
        <v>4091</v>
      </c>
      <c r="E37" s="47">
        <f>B34</f>
        <v>4095</v>
      </c>
    </row>
    <row r="38" spans="1:5">
      <c r="A38" s="47">
        <f>B30</f>
        <v>57</v>
      </c>
      <c r="B38" s="35">
        <f>ABS($A38-B$37)</f>
        <v>0</v>
      </c>
      <c r="C38" s="48">
        <f t="shared" ref="C38:E41" si="3">ABS($A38-C$37)</f>
        <v>2018</v>
      </c>
      <c r="D38" s="48">
        <f t="shared" si="3"/>
        <v>4034</v>
      </c>
      <c r="E38" s="48">
        <f t="shared" si="3"/>
        <v>4038</v>
      </c>
    </row>
    <row r="39" spans="1:5">
      <c r="A39" s="47">
        <f>B31</f>
        <v>2075</v>
      </c>
      <c r="B39" s="48">
        <f t="shared" ref="B39:B41" si="4">ABS($A39-B$37)</f>
        <v>2018</v>
      </c>
      <c r="C39" s="48">
        <f t="shared" si="3"/>
        <v>0</v>
      </c>
      <c r="D39" s="48">
        <f t="shared" si="3"/>
        <v>2016</v>
      </c>
      <c r="E39" s="48">
        <f t="shared" si="3"/>
        <v>2020</v>
      </c>
    </row>
    <row r="40" spans="1:5">
      <c r="A40" s="47">
        <f>B33</f>
        <v>4091</v>
      </c>
      <c r="B40" s="48">
        <f t="shared" si="4"/>
        <v>4034</v>
      </c>
      <c r="C40" s="48">
        <f t="shared" si="3"/>
        <v>2016</v>
      </c>
      <c r="D40" s="48">
        <f t="shared" si="3"/>
        <v>0</v>
      </c>
      <c r="E40" s="48">
        <f t="shared" si="3"/>
        <v>4</v>
      </c>
    </row>
    <row r="41" spans="1:5">
      <c r="A41" s="47">
        <f>B34</f>
        <v>4095</v>
      </c>
      <c r="B41" s="48">
        <f t="shared" si="4"/>
        <v>4038</v>
      </c>
      <c r="C41" s="48">
        <f t="shared" si="3"/>
        <v>2020</v>
      </c>
      <c r="D41" s="48">
        <f t="shared" si="3"/>
        <v>4</v>
      </c>
      <c r="E41" s="48">
        <f t="shared" si="3"/>
        <v>0</v>
      </c>
    </row>
    <row r="42" spans="1:5">
      <c r="A42" s="50"/>
    </row>
    <row r="43" spans="1:5">
      <c r="A43" s="118" t="s">
        <v>709</v>
      </c>
      <c r="B43" s="118"/>
      <c r="C43" s="118"/>
      <c r="D43" s="118"/>
    </row>
    <row r="44" spans="1:5">
      <c r="A44" s="49" t="s">
        <v>710</v>
      </c>
      <c r="B44" s="47" t="s">
        <v>706</v>
      </c>
      <c r="C44" s="47" t="s">
        <v>707</v>
      </c>
      <c r="D44" s="47" t="s">
        <v>708</v>
      </c>
    </row>
    <row r="45" spans="1:5">
      <c r="A45" s="47">
        <f>B30</f>
        <v>57</v>
      </c>
      <c r="B45" s="35">
        <f>((B38*C30)+(B39*C31))/(SUM(C30:C31)-1)</f>
        <v>41.183673469387756</v>
      </c>
      <c r="C45" s="35">
        <f>((B40*C33)+(B41*C34))/SUM(C33:C34)</f>
        <v>4036</v>
      </c>
      <c r="D45" s="35">
        <f>(C45-B45)/MAX(B45:C45)</f>
        <v>0.98979591836734693</v>
      </c>
    </row>
    <row r="46" spans="1:5">
      <c r="A46" s="47">
        <f>B31</f>
        <v>2075</v>
      </c>
      <c r="B46" s="48">
        <f>((C38*C30)+(C39*C31))/(SUM(C30:C31)-1)</f>
        <v>2018</v>
      </c>
      <c r="C46" s="48">
        <f>((C40*C33)+(C41*C34))/SUM(C33:C34)</f>
        <v>2018</v>
      </c>
      <c r="D46" s="48">
        <f t="shared" ref="D46:D48" si="5">(C46-B46)/MAX(B46:C46)</f>
        <v>0</v>
      </c>
    </row>
    <row r="47" spans="1:5">
      <c r="A47" s="47">
        <f>B33</f>
        <v>4091</v>
      </c>
      <c r="B47" s="35">
        <f>((D40*C33)+(D41*C34))/(SUM(C33:C34)-1)</f>
        <v>2.0408163265306123</v>
      </c>
      <c r="C47" s="35">
        <f>((D38*C30)+(D39*C31))/(SUM(C30:C31))</f>
        <v>3993.64</v>
      </c>
      <c r="D47" s="48">
        <f t="shared" si="5"/>
        <v>0.99948898340197645</v>
      </c>
    </row>
    <row r="48" spans="1:5">
      <c r="A48" s="47">
        <f>B34</f>
        <v>4095</v>
      </c>
      <c r="B48" s="35">
        <f>((E40*C33)+(E41*C34))/(SUM(C33:C34)-1)</f>
        <v>2.0408163265306123</v>
      </c>
      <c r="C48" s="35">
        <f>((E38*C30)+(E39*C31))/(SUM(C30:C31))</f>
        <v>3997.64</v>
      </c>
      <c r="D48" s="48">
        <f t="shared" si="5"/>
        <v>0.99948949472025228</v>
      </c>
    </row>
    <row r="50" spans="1:3">
      <c r="A50" s="49" t="s">
        <v>703</v>
      </c>
      <c r="B50" s="51">
        <f>((D45*C30)+(D46*C31))/SUM(C30:C31)</f>
        <v>0.97</v>
      </c>
    </row>
    <row r="51" spans="1:3">
      <c r="A51" s="49" t="s">
        <v>704</v>
      </c>
      <c r="B51" s="51">
        <f>((D47*C33)+(D48*C34))/SUM(C33:C34)</f>
        <v>0.99948923906111442</v>
      </c>
    </row>
    <row r="52" spans="1:3">
      <c r="A52" s="49" t="s">
        <v>711</v>
      </c>
      <c r="B52" s="51">
        <f>AVERAGE(B50:B51)</f>
        <v>0.98474461953055714</v>
      </c>
    </row>
    <row r="54" spans="1:3">
      <c r="B54" s="49" t="s">
        <v>716</v>
      </c>
      <c r="C54" s="49" t="s">
        <v>717</v>
      </c>
    </row>
    <row r="55" spans="1:3">
      <c r="A55" s="43" t="s">
        <v>715</v>
      </c>
      <c r="B55" s="48">
        <f>B23-B50</f>
        <v>3.0000000000000027E-2</v>
      </c>
      <c r="C55" s="48">
        <f>B55/B23</f>
        <v>3.0000000000000027E-2</v>
      </c>
    </row>
    <row r="56" spans="1:3">
      <c r="A56" s="49" t="s">
        <v>714</v>
      </c>
      <c r="B56" s="48">
        <f>B24-B51</f>
        <v>5.1076119098603101E-6</v>
      </c>
      <c r="C56" s="48">
        <f t="shared" ref="C56:C57" si="6">B56/B24</f>
        <v>5.110195897417337E-6</v>
      </c>
    </row>
    <row r="57" spans="1:3">
      <c r="A57" s="49" t="s">
        <v>713</v>
      </c>
      <c r="B57" s="48">
        <f>B25-B52</f>
        <v>1.5002553805955055E-2</v>
      </c>
      <c r="C57" s="48">
        <f t="shared" si="6"/>
        <v>1.5006347810803197E-2</v>
      </c>
    </row>
  </sheetData>
  <mergeCells count="11">
    <mergeCell ref="A27:D27"/>
    <mergeCell ref="A32:A34"/>
    <mergeCell ref="A43:D43"/>
    <mergeCell ref="A29:A31"/>
    <mergeCell ref="A36:E36"/>
    <mergeCell ref="A17:D17"/>
    <mergeCell ref="B1:C1"/>
    <mergeCell ref="A5:A6"/>
    <mergeCell ref="A7:A9"/>
    <mergeCell ref="A11:D11"/>
    <mergeCell ref="A3:D3"/>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14" sqref="B14"/>
    </sheetView>
  </sheetViews>
  <sheetFormatPr defaultRowHeight="15"/>
  <cols>
    <col min="1" max="1" width="23.7109375" bestFit="1" customWidth="1"/>
    <col min="2" max="2" width="181.28515625" style="66" customWidth="1"/>
  </cols>
  <sheetData>
    <row r="1" spans="1:2" ht="15.75">
      <c r="A1" s="69" t="s">
        <v>1244</v>
      </c>
      <c r="B1" s="70" t="s">
        <v>1245</v>
      </c>
    </row>
    <row r="2" spans="1:2" ht="15.75">
      <c r="A2" s="67" t="s">
        <v>1289</v>
      </c>
      <c r="B2" s="68" t="s">
        <v>1265</v>
      </c>
    </row>
    <row r="3" spans="1:2" ht="15.75">
      <c r="A3" s="67" t="s">
        <v>1290</v>
      </c>
      <c r="B3" s="68" t="s">
        <v>1242</v>
      </c>
    </row>
    <row r="4" spans="1:2" ht="15.75">
      <c r="A4" s="67" t="s">
        <v>1291</v>
      </c>
      <c r="B4" s="68" t="s">
        <v>1266</v>
      </c>
    </row>
    <row r="5" spans="1:2" ht="15.75">
      <c r="A5" s="67" t="s">
        <v>1292</v>
      </c>
      <c r="B5" s="68" t="s">
        <v>1267</v>
      </c>
    </row>
    <row r="6" spans="1:2" ht="15.75">
      <c r="A6" s="67" t="s">
        <v>1293</v>
      </c>
      <c r="B6" s="68" t="s">
        <v>1268</v>
      </c>
    </row>
    <row r="7" spans="1:2" ht="15.75">
      <c r="A7" s="67" t="s">
        <v>1294</v>
      </c>
      <c r="B7" s="68" t="s">
        <v>1272</v>
      </c>
    </row>
    <row r="8" spans="1:2" ht="31.5">
      <c r="A8" s="67" t="s">
        <v>1295</v>
      </c>
      <c r="B8" s="68" t="s">
        <v>1269</v>
      </c>
    </row>
    <row r="9" spans="1:2" ht="15.75">
      <c r="A9" s="67" t="s">
        <v>1296</v>
      </c>
      <c r="B9" s="68" t="s">
        <v>1270</v>
      </c>
    </row>
    <row r="10" spans="1:2" ht="15.75">
      <c r="A10" s="67" t="s">
        <v>1297</v>
      </c>
      <c r="B10" s="68" t="s">
        <v>1271</v>
      </c>
    </row>
    <row r="11" spans="1:2" ht="15.75">
      <c r="A11" s="67" t="s">
        <v>1298</v>
      </c>
      <c r="B11" s="68" t="s">
        <v>1243</v>
      </c>
    </row>
    <row r="12" spans="1:2" ht="15.75">
      <c r="A12" s="67" t="s">
        <v>1299</v>
      </c>
      <c r="B12" s="68" t="s">
        <v>1273</v>
      </c>
    </row>
    <row r="13" spans="1:2" ht="15.75">
      <c r="A13" s="67" t="s">
        <v>1300</v>
      </c>
      <c r="B13" s="68" t="s">
        <v>1274</v>
      </c>
    </row>
    <row r="14" spans="1:2" ht="63">
      <c r="A14" s="67" t="s">
        <v>1301</v>
      </c>
      <c r="B14" s="68" t="s">
        <v>1275</v>
      </c>
    </row>
    <row r="15" spans="1:2" ht="15.75">
      <c r="A15" s="67" t="s">
        <v>1302</v>
      </c>
      <c r="B15" s="68" t="s">
        <v>832</v>
      </c>
    </row>
    <row r="16" spans="1:2" ht="31.5">
      <c r="A16" s="67" t="s">
        <v>1303</v>
      </c>
      <c r="B16" s="68" t="s">
        <v>1276</v>
      </c>
    </row>
    <row r="17" spans="1:2" ht="15.75">
      <c r="A17" s="67" t="s">
        <v>1304</v>
      </c>
      <c r="B17" s="68" t="s">
        <v>1277</v>
      </c>
    </row>
    <row r="18" spans="1:2" ht="15.75">
      <c r="A18" s="67" t="s">
        <v>1305</v>
      </c>
      <c r="B18" s="68" t="s">
        <v>1278</v>
      </c>
    </row>
    <row r="19" spans="1:2" ht="31.5">
      <c r="A19" s="67" t="s">
        <v>1306</v>
      </c>
      <c r="B19" s="68" t="s">
        <v>1279</v>
      </c>
    </row>
    <row r="20" spans="1:2" ht="31.5">
      <c r="A20" s="67" t="s">
        <v>1307</v>
      </c>
      <c r="B20" s="68" t="s">
        <v>1280</v>
      </c>
    </row>
    <row r="21" spans="1:2" ht="15.75">
      <c r="A21" s="67" t="s">
        <v>1308</v>
      </c>
      <c r="B21" s="68" t="s">
        <v>1281</v>
      </c>
    </row>
    <row r="22" spans="1:2" ht="47.25">
      <c r="A22" s="67" t="s">
        <v>1309</v>
      </c>
      <c r="B22" s="68" t="s">
        <v>1282</v>
      </c>
    </row>
    <row r="23" spans="1:2" ht="31.5">
      <c r="A23" s="67" t="s">
        <v>1310</v>
      </c>
      <c r="B23" s="68" t="s">
        <v>1283</v>
      </c>
    </row>
    <row r="24" spans="1:2" ht="47.25">
      <c r="A24" s="67" t="s">
        <v>1311</v>
      </c>
      <c r="B24" s="68" t="s">
        <v>1284</v>
      </c>
    </row>
    <row r="25" spans="1:2" ht="31.5">
      <c r="A25" s="67" t="s">
        <v>1312</v>
      </c>
      <c r="B25" s="68" t="s">
        <v>1285</v>
      </c>
    </row>
    <row r="26" spans="1:2" ht="31.5">
      <c r="A26" s="67" t="s">
        <v>1313</v>
      </c>
      <c r="B26" s="68" t="s">
        <v>1286</v>
      </c>
    </row>
    <row r="27" spans="1:2" ht="31.5">
      <c r="A27" s="67" t="s">
        <v>1314</v>
      </c>
      <c r="B27" s="68" t="s">
        <v>1287</v>
      </c>
    </row>
    <row r="28" spans="1:2" ht="15.75">
      <c r="A28" s="67" t="s">
        <v>1315</v>
      </c>
      <c r="B28" s="68" t="s">
        <v>1288</v>
      </c>
    </row>
  </sheetData>
  <autoFilter ref="A1:B27"/>
  <pageMargins left="0.511811024" right="0.511811024" top="0.78740157499999996" bottom="0.78740157499999996" header="0.31496062000000002" footer="0.31496062000000002"/>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opLeftCell="A86" workbookViewId="0">
      <selection activeCell="B89" sqref="B89"/>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5">
      <c r="A1" s="47" t="s">
        <v>691</v>
      </c>
      <c r="B1" s="119">
        <v>100</v>
      </c>
      <c r="C1" s="119"/>
    </row>
    <row r="2" spans="1:5">
      <c r="B2" s="41"/>
      <c r="C2" s="41"/>
    </row>
    <row r="3" spans="1:5">
      <c r="A3" s="122" t="s">
        <v>702</v>
      </c>
      <c r="B3" s="123"/>
      <c r="C3" s="123"/>
      <c r="D3" s="123"/>
    </row>
    <row r="4" spans="1:5">
      <c r="A4" s="45"/>
      <c r="B4" s="46"/>
      <c r="C4" s="46"/>
      <c r="D4" s="46"/>
    </row>
    <row r="5" spans="1:5">
      <c r="A5" s="124" t="s">
        <v>703</v>
      </c>
      <c r="B5" s="44" t="s">
        <v>701</v>
      </c>
      <c r="C5" s="44" t="s">
        <v>700</v>
      </c>
    </row>
    <row r="6" spans="1:5">
      <c r="A6" s="125"/>
      <c r="B6" s="48">
        <v>51</v>
      </c>
      <c r="C6" s="48">
        <f>$B$1/4</f>
        <v>25</v>
      </c>
    </row>
    <row r="7" spans="1:5">
      <c r="A7" s="126"/>
      <c r="B7" s="48">
        <v>57</v>
      </c>
      <c r="C7" s="48">
        <f>$B$1/4</f>
        <v>25</v>
      </c>
    </row>
    <row r="8" spans="1:5">
      <c r="A8" s="120" t="s">
        <v>704</v>
      </c>
      <c r="B8" s="44" t="s">
        <v>701</v>
      </c>
      <c r="C8" s="44" t="s">
        <v>700</v>
      </c>
    </row>
    <row r="9" spans="1:5">
      <c r="A9" s="120"/>
      <c r="B9" s="48">
        <v>4091</v>
      </c>
      <c r="C9" s="48">
        <f>$B$1/4</f>
        <v>25</v>
      </c>
    </row>
    <row r="10" spans="1:5">
      <c r="A10" s="120"/>
      <c r="B10" s="48">
        <v>4095</v>
      </c>
      <c r="C10" s="48">
        <f>$B$1/4</f>
        <v>25</v>
      </c>
    </row>
    <row r="12" spans="1:5">
      <c r="A12" s="121" t="s">
        <v>705</v>
      </c>
      <c r="B12" s="121"/>
      <c r="C12" s="121"/>
      <c r="D12" s="121"/>
    </row>
    <row r="13" spans="1:5">
      <c r="A13" s="49" t="s">
        <v>701</v>
      </c>
      <c r="B13" s="47">
        <f>B6</f>
        <v>51</v>
      </c>
      <c r="C13" s="47">
        <f>B7</f>
        <v>57</v>
      </c>
      <c r="D13" s="47">
        <f>B9</f>
        <v>4091</v>
      </c>
      <c r="E13" s="47">
        <f>B10</f>
        <v>4095</v>
      </c>
    </row>
    <row r="14" spans="1:5">
      <c r="A14" s="47">
        <f>B6</f>
        <v>51</v>
      </c>
      <c r="B14" s="48">
        <f>ABS($A14-B$13)</f>
        <v>0</v>
      </c>
      <c r="C14" s="48">
        <f t="shared" ref="C14:E17" si="0">ABS($A14-C$13)</f>
        <v>6</v>
      </c>
      <c r="D14" s="48">
        <f t="shared" si="0"/>
        <v>4040</v>
      </c>
      <c r="E14" s="48">
        <f t="shared" si="0"/>
        <v>4044</v>
      </c>
    </row>
    <row r="15" spans="1:5">
      <c r="A15" s="47">
        <f>B7</f>
        <v>57</v>
      </c>
      <c r="B15" s="48">
        <f t="shared" ref="B15:B17" si="1">ABS($A15-B$13)</f>
        <v>6</v>
      </c>
      <c r="C15" s="48">
        <f t="shared" si="0"/>
        <v>0</v>
      </c>
      <c r="D15" s="48">
        <f t="shared" si="0"/>
        <v>4034</v>
      </c>
      <c r="E15" s="48">
        <f t="shared" si="0"/>
        <v>4038</v>
      </c>
    </row>
    <row r="16" spans="1:5">
      <c r="A16" s="47">
        <f>B9</f>
        <v>4091</v>
      </c>
      <c r="B16" s="48">
        <f t="shared" si="1"/>
        <v>4040</v>
      </c>
      <c r="C16" s="48">
        <f t="shared" si="0"/>
        <v>4034</v>
      </c>
      <c r="D16" s="48">
        <f t="shared" si="0"/>
        <v>0</v>
      </c>
      <c r="E16" s="48">
        <f t="shared" si="0"/>
        <v>4</v>
      </c>
    </row>
    <row r="17" spans="1:6">
      <c r="A17" s="47">
        <f>B10</f>
        <v>4095</v>
      </c>
      <c r="B17" s="48">
        <f t="shared" si="1"/>
        <v>4044</v>
      </c>
      <c r="C17" s="48">
        <f t="shared" si="0"/>
        <v>4038</v>
      </c>
      <c r="D17" s="48">
        <f t="shared" si="0"/>
        <v>4</v>
      </c>
      <c r="E17" s="48">
        <f t="shared" si="0"/>
        <v>0</v>
      </c>
    </row>
    <row r="18" spans="1:6">
      <c r="A18" s="50"/>
    </row>
    <row r="19" spans="1:6">
      <c r="A19" s="118" t="s">
        <v>709</v>
      </c>
      <c r="B19" s="118"/>
      <c r="C19" s="118"/>
      <c r="D19" s="118"/>
    </row>
    <row r="20" spans="1:6">
      <c r="A20" s="49" t="s">
        <v>710</v>
      </c>
      <c r="B20" s="47" t="s">
        <v>706</v>
      </c>
      <c r="C20" s="47" t="s">
        <v>707</v>
      </c>
      <c r="D20" s="47" t="s">
        <v>708</v>
      </c>
    </row>
    <row r="21" spans="1:6">
      <c r="A21" s="47">
        <f>B6</f>
        <v>51</v>
      </c>
      <c r="B21" s="48">
        <f>((B14*C6)+(B15*C7))/(SUM(C6:C7)-1)</f>
        <v>3.0612244897959182</v>
      </c>
      <c r="C21" s="48">
        <f>((B16*C9)+(B17*C10))/SUM(C9:C10)</f>
        <v>4042</v>
      </c>
      <c r="D21" s="48">
        <f>(C21-B21)/MAX(B21:C21)</f>
        <v>0.9992426460935685</v>
      </c>
    </row>
    <row r="22" spans="1:6">
      <c r="A22" s="47">
        <f>B7</f>
        <v>57</v>
      </c>
      <c r="B22" s="48">
        <f>((C14*C6)+(C15*C7))/(SUM(C6:C7)-1)</f>
        <v>3.0612244897959182</v>
      </c>
      <c r="C22" s="48">
        <f>((C16*C9)+(C17*C10))/SUM(C9:C10)</f>
        <v>4036</v>
      </c>
      <c r="D22" s="48">
        <f>(C22-B22)/MAX(B22:C22)</f>
        <v>0.99924152019578882</v>
      </c>
    </row>
    <row r="23" spans="1:6">
      <c r="A23" s="47">
        <f>B9</f>
        <v>4091</v>
      </c>
      <c r="B23" s="48">
        <f>((D16*C9)+(D17*C10))/(SUM(C9:C10)-1)</f>
        <v>2.0408163265306123</v>
      </c>
      <c r="C23" s="48">
        <f>((D14*C6)+(D15*C7))/SUM(C6:C7)</f>
        <v>4037</v>
      </c>
      <c r="D23" s="48">
        <f t="shared" ref="D23:D24" si="2">(C23-B23)/MAX(B23:C23)</f>
        <v>0.99949447205188735</v>
      </c>
    </row>
    <row r="24" spans="1:6">
      <c r="A24" s="47">
        <f>B10</f>
        <v>4095</v>
      </c>
      <c r="B24" s="48">
        <f>((E16*C9)+(E17*C10))/(SUM(C9:C10)-1)</f>
        <v>2.0408163265306123</v>
      </c>
      <c r="C24" s="48">
        <f>((E14*C6)+(E15*C7))/SUM(C6:C7)</f>
        <v>4041</v>
      </c>
      <c r="D24" s="48">
        <f t="shared" si="2"/>
        <v>0.99949497245074714</v>
      </c>
    </row>
    <row r="26" spans="1:6">
      <c r="A26" s="49" t="s">
        <v>703</v>
      </c>
      <c r="B26" s="51">
        <f>((D21*C6)+(D22*C7))/SUM(C6:C7)</f>
        <v>0.99924208314467877</v>
      </c>
    </row>
    <row r="27" spans="1:6">
      <c r="A27" s="49" t="s">
        <v>704</v>
      </c>
      <c r="B27" s="51">
        <f>((D23*C9)+(D24*C10))/SUM(C9:C10)</f>
        <v>0.9994947222513173</v>
      </c>
    </row>
    <row r="28" spans="1:6">
      <c r="A28" s="49" t="s">
        <v>711</v>
      </c>
      <c r="B28" s="51">
        <f>AVERAGE(B26:B27)</f>
        <v>0.99936840269799809</v>
      </c>
    </row>
    <row r="30" spans="1:6">
      <c r="A30" s="122" t="s">
        <v>718</v>
      </c>
      <c r="B30" s="123"/>
      <c r="C30" s="123"/>
      <c r="D30" s="123"/>
      <c r="E30" s="123"/>
      <c r="F30" s="123"/>
    </row>
    <row r="31" spans="1:6">
      <c r="A31" s="45"/>
      <c r="B31" s="46"/>
      <c r="C31" s="46"/>
      <c r="D31" s="46"/>
    </row>
    <row r="32" spans="1:6">
      <c r="A32" s="124" t="s">
        <v>703</v>
      </c>
      <c r="B32" s="44" t="s">
        <v>701</v>
      </c>
      <c r="C32" s="44" t="s">
        <v>700</v>
      </c>
    </row>
    <row r="33" spans="1:6">
      <c r="A33" s="125"/>
      <c r="B33" s="48">
        <v>51</v>
      </c>
      <c r="C33" s="48">
        <f>$B$1/4</f>
        <v>25</v>
      </c>
    </row>
    <row r="34" spans="1:6">
      <c r="A34" s="125"/>
      <c r="B34" s="48">
        <v>57</v>
      </c>
      <c r="C34" s="48">
        <f>($B$1/4)-1</f>
        <v>24</v>
      </c>
    </row>
    <row r="35" spans="1:6">
      <c r="A35" s="126"/>
      <c r="B35" s="48">
        <v>2073</v>
      </c>
      <c r="C35" s="48">
        <v>1</v>
      </c>
    </row>
    <row r="36" spans="1:6">
      <c r="A36" s="120" t="s">
        <v>704</v>
      </c>
      <c r="B36" s="44" t="s">
        <v>701</v>
      </c>
      <c r="C36" s="44" t="s">
        <v>700</v>
      </c>
    </row>
    <row r="37" spans="1:6">
      <c r="A37" s="120"/>
      <c r="B37" s="48">
        <v>4091</v>
      </c>
      <c r="C37" s="48">
        <f>$B$1/4</f>
        <v>25</v>
      </c>
    </row>
    <row r="38" spans="1:6">
      <c r="A38" s="120"/>
      <c r="B38" s="48">
        <v>4095</v>
      </c>
      <c r="C38" s="48">
        <f>$B$1/4</f>
        <v>25</v>
      </c>
    </row>
    <row r="40" spans="1:6">
      <c r="A40" s="121" t="s">
        <v>705</v>
      </c>
      <c r="B40" s="121"/>
      <c r="C40" s="121"/>
      <c r="D40" s="121"/>
      <c r="E40" s="121"/>
    </row>
    <row r="41" spans="1:6">
      <c r="A41" s="49" t="s">
        <v>701</v>
      </c>
      <c r="B41" s="47">
        <f>B33</f>
        <v>51</v>
      </c>
      <c r="C41" s="47">
        <f>B34</f>
        <v>57</v>
      </c>
      <c r="D41" s="47">
        <f>B35</f>
        <v>2073</v>
      </c>
      <c r="E41" s="47">
        <f>B37</f>
        <v>4091</v>
      </c>
      <c r="F41" s="47">
        <f>B38</f>
        <v>4095</v>
      </c>
    </row>
    <row r="42" spans="1:6">
      <c r="A42" s="47">
        <f>B33</f>
        <v>51</v>
      </c>
      <c r="B42" s="48">
        <f>ABS($A42-B$41)</f>
        <v>0</v>
      </c>
      <c r="C42" s="48">
        <f t="shared" ref="C42:F46" si="3">ABS($A42-C$41)</f>
        <v>6</v>
      </c>
      <c r="D42" s="48">
        <f t="shared" si="3"/>
        <v>2022</v>
      </c>
      <c r="E42" s="48">
        <f t="shared" si="3"/>
        <v>4040</v>
      </c>
      <c r="F42" s="48">
        <f t="shared" si="3"/>
        <v>4044</v>
      </c>
    </row>
    <row r="43" spans="1:6">
      <c r="A43" s="47">
        <f>B34</f>
        <v>57</v>
      </c>
      <c r="B43" s="48">
        <f t="shared" ref="B43:B46" si="4">ABS($A43-B$41)</f>
        <v>6</v>
      </c>
      <c r="C43" s="48">
        <f t="shared" si="3"/>
        <v>0</v>
      </c>
      <c r="D43" s="48">
        <f t="shared" si="3"/>
        <v>2016</v>
      </c>
      <c r="E43" s="48">
        <f t="shared" si="3"/>
        <v>4034</v>
      </c>
      <c r="F43" s="48">
        <f t="shared" si="3"/>
        <v>4038</v>
      </c>
    </row>
    <row r="44" spans="1:6">
      <c r="A44" s="47">
        <f>B35</f>
        <v>2073</v>
      </c>
      <c r="B44" s="48">
        <f t="shared" si="4"/>
        <v>2022</v>
      </c>
      <c r="C44" s="48">
        <f t="shared" si="3"/>
        <v>2016</v>
      </c>
      <c r="D44" s="48">
        <f t="shared" si="3"/>
        <v>0</v>
      </c>
      <c r="E44" s="48">
        <f t="shared" si="3"/>
        <v>2018</v>
      </c>
      <c r="F44" s="48">
        <f t="shared" si="3"/>
        <v>2022</v>
      </c>
    </row>
    <row r="45" spans="1:6">
      <c r="A45" s="47">
        <f>B37</f>
        <v>4091</v>
      </c>
      <c r="B45" s="48">
        <f t="shared" si="4"/>
        <v>4040</v>
      </c>
      <c r="C45" s="48">
        <f t="shared" si="3"/>
        <v>4034</v>
      </c>
      <c r="D45" s="48">
        <f t="shared" si="3"/>
        <v>2018</v>
      </c>
      <c r="E45" s="48">
        <f t="shared" si="3"/>
        <v>0</v>
      </c>
      <c r="F45" s="48">
        <f t="shared" si="3"/>
        <v>4</v>
      </c>
    </row>
    <row r="46" spans="1:6">
      <c r="A46" s="47">
        <f>B38</f>
        <v>4095</v>
      </c>
      <c r="B46" s="48">
        <f t="shared" si="4"/>
        <v>4044</v>
      </c>
      <c r="C46" s="48">
        <f t="shared" si="3"/>
        <v>4038</v>
      </c>
      <c r="D46" s="48">
        <f t="shared" si="3"/>
        <v>2022</v>
      </c>
      <c r="E46" s="48">
        <f t="shared" si="3"/>
        <v>4</v>
      </c>
      <c r="F46" s="48">
        <f t="shared" si="3"/>
        <v>0</v>
      </c>
    </row>
    <row r="47" spans="1:6">
      <c r="A47" s="50"/>
    </row>
    <row r="48" spans="1:6">
      <c r="A48" s="118" t="s">
        <v>709</v>
      </c>
      <c r="B48" s="118"/>
      <c r="C48" s="118"/>
      <c r="D48" s="118"/>
    </row>
    <row r="49" spans="1:4">
      <c r="A49" s="49" t="s">
        <v>710</v>
      </c>
      <c r="B49" s="47" t="s">
        <v>706</v>
      </c>
      <c r="C49" s="47" t="s">
        <v>707</v>
      </c>
      <c r="D49" s="47" t="s">
        <v>708</v>
      </c>
    </row>
    <row r="50" spans="1:4">
      <c r="A50" s="47">
        <f>B33</f>
        <v>51</v>
      </c>
      <c r="B50" s="48">
        <f>((B42*C33)+(B43*C34)+(B44*C35))/(SUM(C33:C35)-1)</f>
        <v>44.204081632653065</v>
      </c>
      <c r="C50" s="48">
        <f>((B45*C37)+(B46*C38))/SUM(C37:C38)</f>
        <v>4042</v>
      </c>
      <c r="D50" s="48">
        <f>(C50-B50)/MAX(B50:C50)</f>
        <v>0.98906380959112983</v>
      </c>
    </row>
    <row r="51" spans="1:4">
      <c r="A51" s="47">
        <f>B34</f>
        <v>57</v>
      </c>
      <c r="B51" s="48">
        <f>((C42*C33)+(C43*C34)+(C44*C35))/(SUM(C33:C35)-1)</f>
        <v>44.204081632653065</v>
      </c>
      <c r="C51" s="48">
        <f>((C45*C37)+(C46*C38))/SUM(C37:C38)</f>
        <v>4036</v>
      </c>
      <c r="D51" s="48">
        <f t="shared" ref="D51:D54" si="5">(C51-B51)/MAX(B51:C51)</f>
        <v>0.98904755162719205</v>
      </c>
    </row>
    <row r="52" spans="1:4">
      <c r="A52" s="47">
        <f>B35</f>
        <v>2073</v>
      </c>
      <c r="B52" s="48">
        <f>((D42*C33)+(D43*C34)+(D44*C35))/(SUM(C33:C35)-1)</f>
        <v>2019.0612244897959</v>
      </c>
      <c r="C52" s="48">
        <f>((D45*C37)+(D46*C38))/SUM(C37:C38)</f>
        <v>2020</v>
      </c>
      <c r="D52" s="48">
        <f t="shared" si="5"/>
        <v>4.6474035158618589E-4</v>
      </c>
    </row>
    <row r="53" spans="1:4">
      <c r="A53" s="47">
        <f>B37</f>
        <v>4091</v>
      </c>
      <c r="B53" s="48">
        <f>((E45*C37)+(E46*C38))/(SUM(C37:C38)-1)</f>
        <v>2.0408163265306123</v>
      </c>
      <c r="C53" s="48">
        <f>((E42*C33)+(E43*C34)+(E44*C35))/(SUM(C33:C35))</f>
        <v>3996.68</v>
      </c>
      <c r="D53" s="48">
        <f t="shared" si="5"/>
        <v>0.99948937209720801</v>
      </c>
    </row>
    <row r="54" spans="1:4">
      <c r="A54" s="47">
        <f>B38</f>
        <v>4095</v>
      </c>
      <c r="B54" s="48">
        <f>((F45*C37)+(F46*C38))/(SUM(C37:C38)-1)</f>
        <v>2.0408163265306123</v>
      </c>
      <c r="C54" s="48">
        <f>((F42*C33)+(F43*C34)+(F44*C35))/(SUM(C33:C35))</f>
        <v>4000.68</v>
      </c>
      <c r="D54" s="48">
        <f t="shared" si="5"/>
        <v>0.99948988263831884</v>
      </c>
    </row>
    <row r="56" spans="1:4">
      <c r="A56" s="49" t="s">
        <v>703</v>
      </c>
      <c r="B56" s="51">
        <f>((D50*C33)+(D51*C34)+(D52*C35))/SUM(C33:C35)</f>
        <v>0.9692840243836488</v>
      </c>
    </row>
    <row r="57" spans="1:4">
      <c r="A57" s="49" t="s">
        <v>704</v>
      </c>
      <c r="B57" s="51">
        <f>((D53*C37)+(D54*C38))/SUM(C37:C38)</f>
        <v>0.99948962736776337</v>
      </c>
    </row>
    <row r="58" spans="1:4">
      <c r="A58" s="49" t="s">
        <v>711</v>
      </c>
      <c r="B58" s="51">
        <f>AVERAGE(B56:B57)</f>
        <v>0.98438682587570603</v>
      </c>
    </row>
    <row r="60" spans="1:4">
      <c r="B60" s="49" t="s">
        <v>716</v>
      </c>
      <c r="C60" s="49" t="s">
        <v>717</v>
      </c>
    </row>
    <row r="61" spans="1:4">
      <c r="A61" s="43" t="s">
        <v>715</v>
      </c>
      <c r="B61" s="48">
        <f>B26-B56</f>
        <v>2.9958058761029971E-2</v>
      </c>
      <c r="C61" s="48">
        <f>B61/B26</f>
        <v>2.9980781700816726E-2</v>
      </c>
    </row>
    <row r="62" spans="1:4">
      <c r="A62" s="49" t="s">
        <v>714</v>
      </c>
      <c r="B62" s="48">
        <f>B27-B57</f>
        <v>5.0948835539355031E-6</v>
      </c>
      <c r="C62" s="48">
        <f t="shared" ref="C62:C63" si="6">B62/B27</f>
        <v>5.0974591866373295E-6</v>
      </c>
    </row>
    <row r="63" spans="1:4">
      <c r="A63" s="49" t="s">
        <v>713</v>
      </c>
      <c r="B63" s="48">
        <f>B28-B58</f>
        <v>1.4981576822292064E-2</v>
      </c>
      <c r="C63" s="48">
        <f t="shared" si="6"/>
        <v>1.4991045125947802E-2</v>
      </c>
    </row>
    <row r="65" spans="1:6">
      <c r="A65" s="122" t="s">
        <v>719</v>
      </c>
      <c r="B65" s="123"/>
      <c r="C65" s="123"/>
      <c r="D65" s="123"/>
      <c r="E65" s="123"/>
      <c r="F65" s="123"/>
    </row>
    <row r="66" spans="1:6">
      <c r="A66" s="45"/>
      <c r="B66" s="46"/>
      <c r="C66" s="46"/>
      <c r="D66" s="46"/>
    </row>
    <row r="67" spans="1:6">
      <c r="A67" s="124" t="s">
        <v>703</v>
      </c>
      <c r="B67" s="44" t="s">
        <v>701</v>
      </c>
      <c r="C67" s="44" t="s">
        <v>700</v>
      </c>
    </row>
    <row r="68" spans="1:6">
      <c r="A68" s="125"/>
      <c r="B68" s="48">
        <v>51</v>
      </c>
      <c r="C68" s="48">
        <f>($B$1/4)-1</f>
        <v>24</v>
      </c>
    </row>
    <row r="69" spans="1:6">
      <c r="A69" s="125"/>
      <c r="B69" s="48">
        <v>57</v>
      </c>
      <c r="C69" s="48">
        <f>$B$1/4</f>
        <v>25</v>
      </c>
    </row>
    <row r="70" spans="1:6">
      <c r="A70" s="126"/>
      <c r="B70" s="48">
        <v>2073</v>
      </c>
      <c r="C70" s="48">
        <v>1</v>
      </c>
    </row>
    <row r="71" spans="1:6">
      <c r="A71" s="120" t="s">
        <v>704</v>
      </c>
      <c r="B71" s="44" t="s">
        <v>701</v>
      </c>
      <c r="C71" s="44" t="s">
        <v>700</v>
      </c>
    </row>
    <row r="72" spans="1:6">
      <c r="A72" s="120"/>
      <c r="B72" s="48">
        <v>4091</v>
      </c>
      <c r="C72" s="48">
        <f>$B$1/4</f>
        <v>25</v>
      </c>
    </row>
    <row r="73" spans="1:6">
      <c r="A73" s="120"/>
      <c r="B73" s="48">
        <v>4095</v>
      </c>
      <c r="C73" s="48">
        <f>$B$1/4</f>
        <v>25</v>
      </c>
    </row>
    <row r="75" spans="1:6">
      <c r="A75" s="121" t="s">
        <v>705</v>
      </c>
      <c r="B75" s="121"/>
      <c r="C75" s="121"/>
      <c r="D75" s="121"/>
      <c r="E75" s="121"/>
    </row>
    <row r="76" spans="1:6">
      <c r="A76" s="49" t="s">
        <v>701</v>
      </c>
      <c r="B76" s="47">
        <f>B68</f>
        <v>51</v>
      </c>
      <c r="C76" s="47">
        <f>B69</f>
        <v>57</v>
      </c>
      <c r="D76" s="47">
        <f>B70</f>
        <v>2073</v>
      </c>
      <c r="E76" s="47">
        <f>B72</f>
        <v>4091</v>
      </c>
      <c r="F76" s="47">
        <f>B73</f>
        <v>4095</v>
      </c>
    </row>
    <row r="77" spans="1:6">
      <c r="A77" s="47">
        <f>B68</f>
        <v>51</v>
      </c>
      <c r="B77" s="48">
        <f>ABS($A77-B$76)</f>
        <v>0</v>
      </c>
      <c r="C77" s="48">
        <f t="shared" ref="C77:F81" si="7">ABS($A77-C$76)</f>
        <v>6</v>
      </c>
      <c r="D77" s="48">
        <f t="shared" si="7"/>
        <v>2022</v>
      </c>
      <c r="E77" s="48">
        <f t="shared" si="7"/>
        <v>4040</v>
      </c>
      <c r="F77" s="48">
        <f t="shared" si="7"/>
        <v>4044</v>
      </c>
    </row>
    <row r="78" spans="1:6">
      <c r="A78" s="47">
        <f>B69</f>
        <v>57</v>
      </c>
      <c r="B78" s="48">
        <f t="shared" ref="B78:B81" si="8">ABS($A78-B$76)</f>
        <v>6</v>
      </c>
      <c r="C78" s="48">
        <f t="shared" si="7"/>
        <v>0</v>
      </c>
      <c r="D78" s="48">
        <f t="shared" si="7"/>
        <v>2016</v>
      </c>
      <c r="E78" s="48">
        <f t="shared" si="7"/>
        <v>4034</v>
      </c>
      <c r="F78" s="48">
        <f t="shared" si="7"/>
        <v>4038</v>
      </c>
    </row>
    <row r="79" spans="1:6">
      <c r="A79" s="47">
        <f>B70</f>
        <v>2073</v>
      </c>
      <c r="B79" s="48">
        <f t="shared" si="8"/>
        <v>2022</v>
      </c>
      <c r="C79" s="48">
        <f t="shared" si="7"/>
        <v>2016</v>
      </c>
      <c r="D79" s="48">
        <f t="shared" si="7"/>
        <v>0</v>
      </c>
      <c r="E79" s="48">
        <f t="shared" si="7"/>
        <v>2018</v>
      </c>
      <c r="F79" s="48">
        <f t="shared" si="7"/>
        <v>2022</v>
      </c>
    </row>
    <row r="80" spans="1:6">
      <c r="A80" s="47">
        <f>B72</f>
        <v>4091</v>
      </c>
      <c r="B80" s="48">
        <f t="shared" si="8"/>
        <v>4040</v>
      </c>
      <c r="C80" s="48">
        <f t="shared" si="7"/>
        <v>4034</v>
      </c>
      <c r="D80" s="48">
        <f t="shared" si="7"/>
        <v>2018</v>
      </c>
      <c r="E80" s="48">
        <f t="shared" si="7"/>
        <v>0</v>
      </c>
      <c r="F80" s="48">
        <f t="shared" si="7"/>
        <v>4</v>
      </c>
    </row>
    <row r="81" spans="1:6">
      <c r="A81" s="47">
        <f>B73</f>
        <v>4095</v>
      </c>
      <c r="B81" s="48">
        <f t="shared" si="8"/>
        <v>4044</v>
      </c>
      <c r="C81" s="48">
        <f t="shared" si="7"/>
        <v>4038</v>
      </c>
      <c r="D81" s="48">
        <f t="shared" si="7"/>
        <v>2022</v>
      </c>
      <c r="E81" s="48">
        <f t="shared" si="7"/>
        <v>4</v>
      </c>
      <c r="F81" s="48">
        <f t="shared" si="7"/>
        <v>0</v>
      </c>
    </row>
    <row r="82" spans="1:6">
      <c r="A82" s="50"/>
    </row>
    <row r="83" spans="1:6">
      <c r="A83" s="118" t="s">
        <v>709</v>
      </c>
      <c r="B83" s="118"/>
      <c r="C83" s="118"/>
      <c r="D83" s="118"/>
    </row>
    <row r="84" spans="1:6">
      <c r="A84" s="49" t="s">
        <v>710</v>
      </c>
      <c r="B84" s="47" t="s">
        <v>706</v>
      </c>
      <c r="C84" s="47" t="s">
        <v>707</v>
      </c>
      <c r="D84" s="47" t="s">
        <v>708</v>
      </c>
    </row>
    <row r="85" spans="1:6">
      <c r="A85" s="47">
        <f>B68</f>
        <v>51</v>
      </c>
      <c r="B85" s="48">
        <f>((B77*C68)+(B78*C69)+(B79*C70))/(SUM(C68:C70)-1)</f>
        <v>44.326530612244895</v>
      </c>
      <c r="C85" s="48">
        <f>((B80*C72)+(B81*C73))/SUM(C72:C73)</f>
        <v>4042</v>
      </c>
      <c r="D85" s="48">
        <f>(C85-B85)/MAX(B85:C85)</f>
        <v>0.98903351543487261</v>
      </c>
    </row>
    <row r="86" spans="1:6">
      <c r="A86" s="47">
        <f>B69</f>
        <v>57</v>
      </c>
      <c r="B86" s="48">
        <f>((C77*C68)+(C78*C69)+(C79*C70))/(SUM(C68:C70)-1)</f>
        <v>44.081632653061227</v>
      </c>
      <c r="C86" s="48">
        <f>((C80*C72)+(C81*C73))/SUM(C72:C73)</f>
        <v>4036</v>
      </c>
      <c r="D86" s="48">
        <f t="shared" ref="D86:D89" si="9">(C86-B86)/MAX(B86:C86)</f>
        <v>0.98907789081936048</v>
      </c>
    </row>
    <row r="87" spans="1:6">
      <c r="A87" s="47">
        <f>B70</f>
        <v>2073</v>
      </c>
      <c r="B87" s="48">
        <f>((D77*C68)+(D78*C69)+(D79*C70))/(SUM(C68:C70)-1)</f>
        <v>2018.9387755102041</v>
      </c>
      <c r="C87" s="48">
        <f>((D80*C72)+(D81*C73))/SUM(C72:C73)</f>
        <v>2020</v>
      </c>
      <c r="D87" s="48">
        <f t="shared" si="9"/>
        <v>5.2535865831480422E-4</v>
      </c>
    </row>
    <row r="88" spans="1:6">
      <c r="A88" s="47">
        <f>B72</f>
        <v>4091</v>
      </c>
      <c r="B88" s="48">
        <f>((E80*C72)+(E81*C73))/(SUM(C72:C73)-1)</f>
        <v>2.0408163265306123</v>
      </c>
      <c r="C88" s="48">
        <f>((E77*C68)+(E78*C69)+(E79*C70))/(SUM(C68:C70))</f>
        <v>3996.56</v>
      </c>
      <c r="D88" s="48">
        <f t="shared" si="9"/>
        <v>0.99948935676518535</v>
      </c>
    </row>
    <row r="89" spans="1:6">
      <c r="A89" s="47">
        <f>B73</f>
        <v>4095</v>
      </c>
      <c r="B89" s="48">
        <f>((F80*C72)+(F81*C73))/(SUM(C72:C73)-1)</f>
        <v>2.0408163265306123</v>
      </c>
      <c r="C89" s="48">
        <f>((F77*C68)+(F78*C69)+(F79*C70))/(SUM(C68:C70))</f>
        <v>4000.56</v>
      </c>
      <c r="D89" s="48">
        <f t="shared" si="9"/>
        <v>0.99948986733694023</v>
      </c>
    </row>
    <row r="91" spans="1:6">
      <c r="A91" s="49" t="s">
        <v>703</v>
      </c>
      <c r="B91" s="51">
        <f>((D85*C68)+(D86*C69)+(D87*C70))/SUM(C68:C70)</f>
        <v>0.9692855399915854</v>
      </c>
    </row>
    <row r="92" spans="1:6">
      <c r="A92" s="49" t="s">
        <v>704</v>
      </c>
      <c r="B92" s="51">
        <f>((D88*C72)+(D89*C73))/SUM(C72:C73)</f>
        <v>0.9994896120510629</v>
      </c>
    </row>
    <row r="93" spans="1:6">
      <c r="A93" s="49" t="s">
        <v>711</v>
      </c>
      <c r="B93" s="51">
        <f>AVERAGE(B91:B92)</f>
        <v>0.9843875760213241</v>
      </c>
    </row>
    <row r="95" spans="1:6">
      <c r="B95" s="49" t="s">
        <v>716</v>
      </c>
      <c r="C95" s="49" t="s">
        <v>717</v>
      </c>
    </row>
    <row r="96" spans="1:6">
      <c r="A96" s="43" t="s">
        <v>715</v>
      </c>
      <c r="B96" s="48">
        <f>B26-B91</f>
        <v>2.9956543153093373E-2</v>
      </c>
      <c r="C96" s="48">
        <f>B96/B26</f>
        <v>2.9979264943304045E-2</v>
      </c>
    </row>
    <row r="97" spans="1:3">
      <c r="A97" s="49" t="s">
        <v>714</v>
      </c>
      <c r="B97" s="48">
        <f t="shared" ref="B97:B98" si="10">B27-B92</f>
        <v>5.110200254399011E-6</v>
      </c>
      <c r="C97" s="48">
        <f t="shared" ref="C97:C98" si="11">B97/B27</f>
        <v>5.112783630201181E-6</v>
      </c>
    </row>
    <row r="98" spans="1:3">
      <c r="A98" s="49" t="s">
        <v>713</v>
      </c>
      <c r="B98" s="48">
        <f t="shared" si="10"/>
        <v>1.4980826676673997E-2</v>
      </c>
      <c r="C98" s="48">
        <f t="shared" si="11"/>
        <v>1.4990294506240353E-2</v>
      </c>
    </row>
  </sheetData>
  <mergeCells count="16">
    <mergeCell ref="B1:C1"/>
    <mergeCell ref="A3:D3"/>
    <mergeCell ref="A8:A10"/>
    <mergeCell ref="A12:D12"/>
    <mergeCell ref="A19:D19"/>
    <mergeCell ref="A32:A35"/>
    <mergeCell ref="A36:A38"/>
    <mergeCell ref="A40:E40"/>
    <mergeCell ref="A48:D48"/>
    <mergeCell ref="A5:A7"/>
    <mergeCell ref="A30:F30"/>
    <mergeCell ref="A65:F65"/>
    <mergeCell ref="A67:A70"/>
    <mergeCell ref="A71:A73"/>
    <mergeCell ref="A75:E75"/>
    <mergeCell ref="A83:D83"/>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opLeftCell="A28" workbookViewId="0">
      <selection activeCell="B23" sqref="B23"/>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47" t="s">
        <v>691</v>
      </c>
      <c r="B1" s="119">
        <v>100</v>
      </c>
      <c r="C1" s="119"/>
    </row>
    <row r="2" spans="1:4">
      <c r="B2" s="41"/>
      <c r="C2" s="41"/>
    </row>
    <row r="3" spans="1:4">
      <c r="A3" s="122" t="s">
        <v>702</v>
      </c>
      <c r="B3" s="123"/>
      <c r="C3" s="123"/>
      <c r="D3" s="123"/>
    </row>
    <row r="4" spans="1:4">
      <c r="A4" s="45"/>
      <c r="B4" s="46"/>
      <c r="C4" s="46"/>
      <c r="D4" s="46"/>
    </row>
    <row r="5" spans="1:4">
      <c r="A5" s="124" t="s">
        <v>703</v>
      </c>
      <c r="B5" s="44" t="s">
        <v>701</v>
      </c>
      <c r="C5" s="44" t="s">
        <v>700</v>
      </c>
    </row>
    <row r="6" spans="1:4">
      <c r="A6" s="126"/>
      <c r="B6" s="48">
        <v>57</v>
      </c>
      <c r="C6" s="48">
        <f>$B$1/2</f>
        <v>50</v>
      </c>
    </row>
    <row r="7" spans="1:4">
      <c r="A7" s="120" t="s">
        <v>704</v>
      </c>
      <c r="B7" s="44" t="s">
        <v>701</v>
      </c>
      <c r="C7" s="44" t="s">
        <v>700</v>
      </c>
    </row>
    <row r="8" spans="1:4">
      <c r="A8" s="120"/>
      <c r="B8" s="48">
        <v>4091</v>
      </c>
      <c r="C8" s="48">
        <f>$B$1/2</f>
        <v>50</v>
      </c>
    </row>
    <row r="10" spans="1:4">
      <c r="A10" s="121" t="s">
        <v>705</v>
      </c>
      <c r="B10" s="121"/>
      <c r="C10" s="121"/>
      <c r="D10" s="121"/>
    </row>
    <row r="11" spans="1:4">
      <c r="A11" s="49" t="s">
        <v>701</v>
      </c>
      <c r="B11" s="47">
        <f>B6</f>
        <v>57</v>
      </c>
      <c r="C11" s="47">
        <f>B8</f>
        <v>4091</v>
      </c>
    </row>
    <row r="12" spans="1:4">
      <c r="A12" s="47">
        <f>B6</f>
        <v>57</v>
      </c>
      <c r="B12" s="48">
        <f>ABS($A12-B$11)</f>
        <v>0</v>
      </c>
      <c r="C12" s="48">
        <f>ABS($A12-C$11)</f>
        <v>4034</v>
      </c>
    </row>
    <row r="13" spans="1:4">
      <c r="A13" s="47">
        <f>B8</f>
        <v>4091</v>
      </c>
      <c r="B13" s="48">
        <f>ABS($A13-B$11)</f>
        <v>4034</v>
      </c>
      <c r="C13" s="48">
        <f>ABS($A13-C$11)</f>
        <v>0</v>
      </c>
    </row>
    <row r="14" spans="1:4">
      <c r="A14" s="50"/>
    </row>
    <row r="15" spans="1:4">
      <c r="A15" s="118" t="s">
        <v>709</v>
      </c>
      <c r="B15" s="118"/>
      <c r="C15" s="118"/>
      <c r="D15" s="118"/>
    </row>
    <row r="16" spans="1:4">
      <c r="A16" s="49" t="s">
        <v>710</v>
      </c>
      <c r="B16" s="47" t="s">
        <v>706</v>
      </c>
      <c r="C16" s="47" t="s">
        <v>707</v>
      </c>
      <c r="D16" s="47" t="s">
        <v>708</v>
      </c>
    </row>
    <row r="17" spans="1:6">
      <c r="A17" s="47">
        <f>B6</f>
        <v>57</v>
      </c>
      <c r="B17" s="48">
        <f>((B12*C6))/(SUM(C6:C6)-1)</f>
        <v>0</v>
      </c>
      <c r="C17" s="48">
        <f>((B13*C8))/SUM(C8:C8)</f>
        <v>4034</v>
      </c>
      <c r="D17" s="48">
        <f>(C17-B17)/MAX(B17:C17)</f>
        <v>1</v>
      </c>
    </row>
    <row r="18" spans="1:6">
      <c r="A18" s="47">
        <f>B8</f>
        <v>4091</v>
      </c>
      <c r="B18" s="48">
        <f>((C13*C8))/(SUM(C8:C8)-1)</f>
        <v>0</v>
      </c>
      <c r="C18" s="48">
        <f>(C12*C6)/C6</f>
        <v>4034</v>
      </c>
      <c r="D18" s="48">
        <f t="shared" ref="D18" si="0">(C18-B18)/MAX(B18:C18)</f>
        <v>1</v>
      </c>
    </row>
    <row r="20" spans="1:6">
      <c r="A20" s="49" t="s">
        <v>703</v>
      </c>
      <c r="B20" s="51">
        <f>D17</f>
        <v>1</v>
      </c>
    </row>
    <row r="21" spans="1:6">
      <c r="A21" s="49" t="s">
        <v>704</v>
      </c>
      <c r="B21" s="51">
        <f t="shared" ref="B21" si="1">D18</f>
        <v>1</v>
      </c>
    </row>
    <row r="22" spans="1:6">
      <c r="A22" s="49" t="s">
        <v>711</v>
      </c>
      <c r="B22" s="51">
        <f>AVERAGE(B20:B21)</f>
        <v>1</v>
      </c>
    </row>
    <row r="24" spans="1:6">
      <c r="A24" s="122" t="s">
        <v>712</v>
      </c>
      <c r="B24" s="123"/>
      <c r="C24" s="123"/>
      <c r="D24" s="123"/>
      <c r="E24" s="123"/>
      <c r="F24" s="123"/>
    </row>
    <row r="25" spans="1:6">
      <c r="A25" s="45"/>
      <c r="B25" s="46"/>
      <c r="C25" s="46"/>
      <c r="D25" s="46"/>
    </row>
    <row r="26" spans="1:6">
      <c r="A26" s="124" t="s">
        <v>703</v>
      </c>
      <c r="B26" s="44" t="s">
        <v>701</v>
      </c>
      <c r="C26" s="44" t="s">
        <v>700</v>
      </c>
    </row>
    <row r="27" spans="1:6">
      <c r="A27" s="125"/>
      <c r="B27" s="48">
        <v>57</v>
      </c>
      <c r="C27" s="48">
        <f>($B$1/2)-1</f>
        <v>49</v>
      </c>
    </row>
    <row r="28" spans="1:6">
      <c r="A28" s="126"/>
      <c r="B28" s="48">
        <v>2074</v>
      </c>
      <c r="C28" s="48">
        <v>1</v>
      </c>
    </row>
    <row r="29" spans="1:6">
      <c r="A29" s="120" t="s">
        <v>704</v>
      </c>
      <c r="B29" s="44" t="s">
        <v>701</v>
      </c>
      <c r="C29" s="44" t="s">
        <v>700</v>
      </c>
    </row>
    <row r="30" spans="1:6">
      <c r="A30" s="120"/>
      <c r="B30" s="48">
        <v>4091</v>
      </c>
      <c r="C30" s="48">
        <f>$B$1/2</f>
        <v>50</v>
      </c>
    </row>
    <row r="32" spans="1:6">
      <c r="A32" s="121" t="s">
        <v>705</v>
      </c>
      <c r="B32" s="121"/>
      <c r="C32" s="121"/>
      <c r="D32" s="121"/>
      <c r="E32" s="121"/>
    </row>
    <row r="33" spans="1:4">
      <c r="A33" s="49" t="s">
        <v>701</v>
      </c>
      <c r="B33" s="47">
        <f>B27</f>
        <v>57</v>
      </c>
      <c r="C33" s="47">
        <f>B28</f>
        <v>2074</v>
      </c>
      <c r="D33" s="47">
        <f>B30</f>
        <v>4091</v>
      </c>
    </row>
    <row r="34" spans="1:4">
      <c r="A34" s="47">
        <f>B27</f>
        <v>57</v>
      </c>
      <c r="B34" s="48">
        <f t="shared" ref="B34:D36" si="2">ABS($A34-B$33)</f>
        <v>0</v>
      </c>
      <c r="C34" s="48">
        <f t="shared" si="2"/>
        <v>2017</v>
      </c>
      <c r="D34" s="48">
        <f t="shared" si="2"/>
        <v>4034</v>
      </c>
    </row>
    <row r="35" spans="1:4">
      <c r="A35" s="47">
        <f>B28</f>
        <v>2074</v>
      </c>
      <c r="B35" s="48">
        <f t="shared" si="2"/>
        <v>2017</v>
      </c>
      <c r="C35" s="48">
        <f t="shared" si="2"/>
        <v>0</v>
      </c>
      <c r="D35" s="48">
        <f t="shared" si="2"/>
        <v>2017</v>
      </c>
    </row>
    <row r="36" spans="1:4">
      <c r="A36" s="47">
        <f>B30</f>
        <v>4091</v>
      </c>
      <c r="B36" s="48">
        <f t="shared" si="2"/>
        <v>4034</v>
      </c>
      <c r="C36" s="48">
        <f t="shared" si="2"/>
        <v>2017</v>
      </c>
      <c r="D36" s="48">
        <f t="shared" si="2"/>
        <v>0</v>
      </c>
    </row>
    <row r="37" spans="1:4">
      <c r="A37" s="50"/>
    </row>
    <row r="38" spans="1:4">
      <c r="A38" s="118" t="s">
        <v>709</v>
      </c>
      <c r="B38" s="118"/>
      <c r="C38" s="118"/>
      <c r="D38" s="118"/>
    </row>
    <row r="39" spans="1:4">
      <c r="A39" s="49" t="s">
        <v>710</v>
      </c>
      <c r="B39" s="47" t="s">
        <v>706</v>
      </c>
      <c r="C39" s="47" t="s">
        <v>707</v>
      </c>
      <c r="D39" s="47" t="s">
        <v>708</v>
      </c>
    </row>
    <row r="40" spans="1:4">
      <c r="A40" s="47">
        <f>B27</f>
        <v>57</v>
      </c>
      <c r="B40" s="48">
        <f>((B34*C27)+(B35*C28))/(SUM(C27:C28)-1)</f>
        <v>41.163265306122447</v>
      </c>
      <c r="C40" s="48">
        <f>((B36*C30))/SUM(C30:C30)</f>
        <v>4034</v>
      </c>
      <c r="D40" s="48">
        <f t="shared" ref="D40:D42" si="3">(C40-B40)/MAX(B40:C40)</f>
        <v>0.98979591836734693</v>
      </c>
    </row>
    <row r="41" spans="1:4">
      <c r="A41" s="47">
        <f>B28</f>
        <v>2074</v>
      </c>
      <c r="B41" s="48">
        <f>((C34*C27)+(C35*C28))/(SUM(C27:C28)-1)</f>
        <v>2017</v>
      </c>
      <c r="C41" s="48">
        <f>((C36*C30))/SUM(C30:C30)</f>
        <v>2017</v>
      </c>
      <c r="D41" s="48">
        <f t="shared" si="3"/>
        <v>0</v>
      </c>
    </row>
    <row r="42" spans="1:4">
      <c r="A42" s="47">
        <f>B30</f>
        <v>4091</v>
      </c>
      <c r="B42" s="48">
        <f>((D36*C30))/(SUM(C30:C30)-1)</f>
        <v>0</v>
      </c>
      <c r="C42" s="48">
        <f>((D34*C27)+(D35*C28))/(SUM(C27:C28))</f>
        <v>3993.66</v>
      </c>
      <c r="D42" s="48">
        <f t="shared" si="3"/>
        <v>1</v>
      </c>
    </row>
    <row r="44" spans="1:4">
      <c r="A44" s="49" t="s">
        <v>703</v>
      </c>
      <c r="B44" s="51">
        <f>((D40*C27)+(D41*C28))/SUM(C27:C28)</f>
        <v>0.97</v>
      </c>
    </row>
    <row r="45" spans="1:4">
      <c r="A45" s="49" t="s">
        <v>704</v>
      </c>
      <c r="B45" s="51">
        <f>((D42*C30))/SUM(C30:C30)</f>
        <v>1</v>
      </c>
    </row>
    <row r="46" spans="1:4">
      <c r="A46" s="49" t="s">
        <v>711</v>
      </c>
      <c r="B46" s="51">
        <f>AVERAGE(B44:B45)</f>
        <v>0.98499999999999999</v>
      </c>
    </row>
    <row r="48" spans="1:4">
      <c r="B48" s="49" t="s">
        <v>716</v>
      </c>
      <c r="C48" s="49" t="s">
        <v>717</v>
      </c>
    </row>
    <row r="49" spans="1:3">
      <c r="A49" s="43" t="s">
        <v>715</v>
      </c>
      <c r="B49" s="48">
        <f>B20-B44</f>
        <v>3.0000000000000027E-2</v>
      </c>
      <c r="C49" s="48">
        <f>B49/B20</f>
        <v>3.0000000000000027E-2</v>
      </c>
    </row>
    <row r="50" spans="1:3">
      <c r="A50" s="49" t="s">
        <v>714</v>
      </c>
      <c r="B50" s="48">
        <f>B21-B45</f>
        <v>0</v>
      </c>
      <c r="C50" s="48">
        <f>B50/B21</f>
        <v>0</v>
      </c>
    </row>
    <row r="51" spans="1:3">
      <c r="A51" s="49" t="s">
        <v>713</v>
      </c>
      <c r="B51" s="48">
        <f>B22-B46</f>
        <v>1.5000000000000013E-2</v>
      </c>
      <c r="C51" s="48">
        <f>B51/B22</f>
        <v>1.5000000000000013E-2</v>
      </c>
    </row>
  </sheetData>
  <mergeCells count="11">
    <mergeCell ref="A15:D15"/>
    <mergeCell ref="B1:C1"/>
    <mergeCell ref="A3:D3"/>
    <mergeCell ref="A5:A6"/>
    <mergeCell ref="A7:A8"/>
    <mergeCell ref="A10:D10"/>
    <mergeCell ref="A24:F24"/>
    <mergeCell ref="A26:A28"/>
    <mergeCell ref="A29:A30"/>
    <mergeCell ref="A32:E32"/>
    <mergeCell ref="A38:D38"/>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1" workbookViewId="0">
      <selection activeCell="B87" sqref="B87"/>
    </sheetView>
  </sheetViews>
  <sheetFormatPr defaultRowHeight="15"/>
  <cols>
    <col min="1" max="1" width="24.140625" customWidth="1"/>
    <col min="2" max="2" width="17.28515625" customWidth="1"/>
    <col min="3" max="3" width="18.42578125" customWidth="1"/>
    <col min="4" max="4" width="16.5703125" bestFit="1" customWidth="1"/>
    <col min="5" max="5" width="17.140625" customWidth="1"/>
    <col min="6" max="6" width="16.140625" customWidth="1"/>
  </cols>
  <sheetData>
    <row r="1" spans="1:4">
      <c r="A1" s="47" t="s">
        <v>691</v>
      </c>
      <c r="B1" s="119">
        <v>100</v>
      </c>
      <c r="C1" s="119"/>
    </row>
    <row r="2" spans="1:4">
      <c r="B2" s="41"/>
      <c r="C2" s="41"/>
    </row>
    <row r="3" spans="1:4">
      <c r="A3" s="122" t="s">
        <v>702</v>
      </c>
      <c r="B3" s="123"/>
      <c r="C3" s="123"/>
      <c r="D3" s="123"/>
    </row>
    <row r="4" spans="1:4">
      <c r="A4" s="45"/>
      <c r="B4" s="46"/>
      <c r="C4" s="46"/>
      <c r="D4" s="46"/>
    </row>
    <row r="5" spans="1:4">
      <c r="A5" s="124" t="s">
        <v>703</v>
      </c>
      <c r="B5" s="44" t="s">
        <v>701</v>
      </c>
      <c r="C5" s="44" t="s">
        <v>700</v>
      </c>
    </row>
    <row r="6" spans="1:4">
      <c r="A6" s="125"/>
      <c r="B6" s="54">
        <v>51</v>
      </c>
      <c r="C6" s="54">
        <f>$B$1/4</f>
        <v>25</v>
      </c>
    </row>
    <row r="7" spans="1:4">
      <c r="A7" s="126"/>
      <c r="B7" s="54">
        <v>57</v>
      </c>
      <c r="C7" s="54">
        <f>$B$1/4</f>
        <v>25</v>
      </c>
    </row>
    <row r="8" spans="1:4">
      <c r="A8" s="120" t="s">
        <v>704</v>
      </c>
      <c r="B8" s="44" t="s">
        <v>701</v>
      </c>
      <c r="C8" s="44" t="s">
        <v>700</v>
      </c>
    </row>
    <row r="9" spans="1:4">
      <c r="A9" s="120"/>
      <c r="B9" s="54">
        <v>4091</v>
      </c>
      <c r="C9" s="54">
        <f>$B$1/2</f>
        <v>50</v>
      </c>
    </row>
    <row r="11" spans="1:4">
      <c r="A11" s="121" t="s">
        <v>705</v>
      </c>
      <c r="B11" s="121"/>
      <c r="C11" s="121"/>
      <c r="D11" s="121"/>
    </row>
    <row r="12" spans="1:4">
      <c r="A12" s="53" t="s">
        <v>701</v>
      </c>
      <c r="B12" s="47">
        <f>B6</f>
        <v>51</v>
      </c>
      <c r="C12" s="47">
        <f>B7</f>
        <v>57</v>
      </c>
      <c r="D12" s="47">
        <f>B9</f>
        <v>4091</v>
      </c>
    </row>
    <row r="13" spans="1:4">
      <c r="A13" s="47">
        <f>B6</f>
        <v>51</v>
      </c>
      <c r="B13" s="54">
        <f>ABS($A13-B$12)</f>
        <v>0</v>
      </c>
      <c r="C13" s="54">
        <f t="shared" ref="C13:D15" si="0">ABS($A13-C$12)</f>
        <v>6</v>
      </c>
      <c r="D13" s="54">
        <f t="shared" si="0"/>
        <v>4040</v>
      </c>
    </row>
    <row r="14" spans="1:4">
      <c r="A14" s="47">
        <f>B7</f>
        <v>57</v>
      </c>
      <c r="B14" s="54">
        <f t="shared" ref="B14:B15" si="1">ABS($A14-B$12)</f>
        <v>6</v>
      </c>
      <c r="C14" s="54">
        <f t="shared" si="0"/>
        <v>0</v>
      </c>
      <c r="D14" s="54">
        <f t="shared" si="0"/>
        <v>4034</v>
      </c>
    </row>
    <row r="15" spans="1:4">
      <c r="A15" s="47">
        <f>B9</f>
        <v>4091</v>
      </c>
      <c r="B15" s="54">
        <f t="shared" si="1"/>
        <v>4040</v>
      </c>
      <c r="C15" s="54">
        <f t="shared" si="0"/>
        <v>4034</v>
      </c>
      <c r="D15" s="54">
        <f t="shared" si="0"/>
        <v>0</v>
      </c>
    </row>
    <row r="16" spans="1:4">
      <c r="A16" s="50"/>
    </row>
    <row r="17" spans="1:6">
      <c r="A17" s="118" t="s">
        <v>709</v>
      </c>
      <c r="B17" s="118"/>
      <c r="C17" s="118"/>
      <c r="D17" s="118"/>
    </row>
    <row r="18" spans="1:6">
      <c r="A18" s="53" t="s">
        <v>710</v>
      </c>
      <c r="B18" s="47" t="s">
        <v>706</v>
      </c>
      <c r="C18" s="47" t="s">
        <v>707</v>
      </c>
      <c r="D18" s="47" t="s">
        <v>708</v>
      </c>
    </row>
    <row r="19" spans="1:6">
      <c r="A19" s="47">
        <f>B6</f>
        <v>51</v>
      </c>
      <c r="B19" s="54">
        <f>((B13*C6)+(B14*C7))/(SUM(C6:C7)-1)</f>
        <v>3.0612244897959182</v>
      </c>
      <c r="C19" s="54">
        <f>((B15*C9))/SUM(C9:C9)</f>
        <v>4040</v>
      </c>
      <c r="D19" s="54">
        <f>(C19-B19)/MAX(B19:C19)</f>
        <v>0.99924227116589204</v>
      </c>
    </row>
    <row r="20" spans="1:6">
      <c r="A20" s="47">
        <f>B7</f>
        <v>57</v>
      </c>
      <c r="B20" s="54">
        <f>((C13*C6)+(C14*C7))/(SUM(C6:C7)-1)</f>
        <v>3.0612244897959182</v>
      </c>
      <c r="C20" s="54">
        <f>((C15*C9))/SUM(C9:C9)</f>
        <v>4034</v>
      </c>
      <c r="D20" s="54">
        <f>(C20-B20)/MAX(B20:C20)</f>
        <v>0.99924114415225673</v>
      </c>
    </row>
    <row r="21" spans="1:6">
      <c r="A21" s="47">
        <f>B9</f>
        <v>4091</v>
      </c>
      <c r="B21" s="54">
        <f>((D15*C9))/(SUM(C9:C9)-1)</f>
        <v>0</v>
      </c>
      <c r="C21" s="54">
        <f>((D13*C6)+(D14*C7))/SUM(C6:C7)</f>
        <v>4037</v>
      </c>
      <c r="D21" s="54">
        <f t="shared" ref="D21" si="2">(C21-B21)/MAX(B21:C21)</f>
        <v>1</v>
      </c>
    </row>
    <row r="23" spans="1:6">
      <c r="A23" s="53" t="s">
        <v>703</v>
      </c>
      <c r="B23" s="51">
        <f>((D19*C6)+(D20*C7))/SUM(C6:C7)</f>
        <v>0.99924170765907439</v>
      </c>
    </row>
    <row r="24" spans="1:6">
      <c r="A24" s="53" t="s">
        <v>704</v>
      </c>
      <c r="B24" s="51">
        <f>((D21*C9))/SUM(C9:C9)</f>
        <v>1</v>
      </c>
    </row>
    <row r="25" spans="1:6">
      <c r="A25" s="53" t="s">
        <v>711</v>
      </c>
      <c r="B25" s="51">
        <f>AVERAGE(B23:B24)</f>
        <v>0.99962085382953725</v>
      </c>
    </row>
    <row r="27" spans="1:6">
      <c r="A27" s="122" t="s">
        <v>718</v>
      </c>
      <c r="B27" s="123"/>
      <c r="C27" s="123"/>
      <c r="D27" s="123"/>
      <c r="E27" s="123"/>
      <c r="F27" s="123"/>
    </row>
    <row r="28" spans="1:6">
      <c r="A28" s="45"/>
      <c r="B28" s="46"/>
      <c r="C28" s="46"/>
      <c r="D28" s="46"/>
    </row>
    <row r="29" spans="1:6">
      <c r="A29" s="124" t="s">
        <v>703</v>
      </c>
      <c r="B29" s="44" t="s">
        <v>701</v>
      </c>
      <c r="C29" s="44" t="s">
        <v>700</v>
      </c>
    </row>
    <row r="30" spans="1:6">
      <c r="A30" s="125"/>
      <c r="B30" s="54">
        <v>51</v>
      </c>
      <c r="C30" s="54">
        <f>$B$1/4</f>
        <v>25</v>
      </c>
    </row>
    <row r="31" spans="1:6">
      <c r="A31" s="125"/>
      <c r="B31" s="54">
        <v>57</v>
      </c>
      <c r="C31" s="54">
        <f>($B$1/4)-1</f>
        <v>24</v>
      </c>
    </row>
    <row r="32" spans="1:6">
      <c r="A32" s="126"/>
      <c r="B32" s="54">
        <v>2072</v>
      </c>
      <c r="C32" s="54">
        <v>1</v>
      </c>
    </row>
    <row r="33" spans="1:5">
      <c r="A33" s="120" t="s">
        <v>704</v>
      </c>
      <c r="B33" s="44" t="s">
        <v>701</v>
      </c>
      <c r="C33" s="44" t="s">
        <v>700</v>
      </c>
    </row>
    <row r="34" spans="1:5">
      <c r="A34" s="120"/>
      <c r="B34" s="54">
        <v>4091</v>
      </c>
      <c r="C34" s="54">
        <f>$B$1/2</f>
        <v>50</v>
      </c>
    </row>
    <row r="36" spans="1:5">
      <c r="A36" s="121" t="s">
        <v>705</v>
      </c>
      <c r="B36" s="121"/>
      <c r="C36" s="121"/>
      <c r="D36" s="121"/>
      <c r="E36" s="121"/>
    </row>
    <row r="37" spans="1:5">
      <c r="A37" s="53" t="s">
        <v>701</v>
      </c>
      <c r="B37" s="47">
        <f>B30</f>
        <v>51</v>
      </c>
      <c r="C37" s="47">
        <f>B31</f>
        <v>57</v>
      </c>
      <c r="D37" s="47">
        <f>B32</f>
        <v>2072</v>
      </c>
      <c r="E37" s="47">
        <f>B34</f>
        <v>4091</v>
      </c>
    </row>
    <row r="38" spans="1:5">
      <c r="A38" s="47">
        <f>B30</f>
        <v>51</v>
      </c>
      <c r="B38" s="54">
        <f>ABS($A38-B$37)</f>
        <v>0</v>
      </c>
      <c r="C38" s="54">
        <f t="shared" ref="C38:E41" si="3">ABS($A38-C$37)</f>
        <v>6</v>
      </c>
      <c r="D38" s="54">
        <f t="shared" si="3"/>
        <v>2021</v>
      </c>
      <c r="E38" s="54">
        <f t="shared" si="3"/>
        <v>4040</v>
      </c>
    </row>
    <row r="39" spans="1:5">
      <c r="A39" s="47">
        <f>B31</f>
        <v>57</v>
      </c>
      <c r="B39" s="54">
        <f t="shared" ref="B39:B41" si="4">ABS($A39-B$37)</f>
        <v>6</v>
      </c>
      <c r="C39" s="54">
        <f t="shared" si="3"/>
        <v>0</v>
      </c>
      <c r="D39" s="54">
        <f t="shared" si="3"/>
        <v>2015</v>
      </c>
      <c r="E39" s="54">
        <f t="shared" si="3"/>
        <v>4034</v>
      </c>
    </row>
    <row r="40" spans="1:5">
      <c r="A40" s="47">
        <f>B32</f>
        <v>2072</v>
      </c>
      <c r="B40" s="54">
        <f t="shared" si="4"/>
        <v>2021</v>
      </c>
      <c r="C40" s="54">
        <f t="shared" si="3"/>
        <v>2015</v>
      </c>
      <c r="D40" s="54">
        <f t="shared" si="3"/>
        <v>0</v>
      </c>
      <c r="E40" s="54">
        <f t="shared" si="3"/>
        <v>2019</v>
      </c>
    </row>
    <row r="41" spans="1:5">
      <c r="A41" s="47">
        <f>B34</f>
        <v>4091</v>
      </c>
      <c r="B41" s="54">
        <f t="shared" si="4"/>
        <v>4040</v>
      </c>
      <c r="C41" s="54">
        <f t="shared" si="3"/>
        <v>4034</v>
      </c>
      <c r="D41" s="54">
        <f t="shared" si="3"/>
        <v>2019</v>
      </c>
      <c r="E41" s="54">
        <f t="shared" si="3"/>
        <v>0</v>
      </c>
    </row>
    <row r="42" spans="1:5">
      <c r="A42" s="50"/>
    </row>
    <row r="43" spans="1:5">
      <c r="A43" s="118" t="s">
        <v>709</v>
      </c>
      <c r="B43" s="118"/>
      <c r="C43" s="118"/>
      <c r="D43" s="118"/>
    </row>
    <row r="44" spans="1:5">
      <c r="A44" s="53" t="s">
        <v>710</v>
      </c>
      <c r="B44" s="47" t="s">
        <v>706</v>
      </c>
      <c r="C44" s="47" t="s">
        <v>707</v>
      </c>
      <c r="D44" s="47" t="s">
        <v>708</v>
      </c>
    </row>
    <row r="45" spans="1:5">
      <c r="A45" s="47">
        <f>B30</f>
        <v>51</v>
      </c>
      <c r="B45" s="54">
        <f>((B38*C30)+(B39*C31)+(B40*C32))/(SUM(C30:C32)-1)</f>
        <v>44.183673469387756</v>
      </c>
      <c r="C45" s="54">
        <f>((B41*C34))/SUM(C34:C34)</f>
        <v>4040</v>
      </c>
      <c r="D45" s="54">
        <f>(C45-B45)/MAX(B45:C45)</f>
        <v>0.98906344716104255</v>
      </c>
    </row>
    <row r="46" spans="1:5">
      <c r="A46" s="47">
        <f>B31</f>
        <v>57</v>
      </c>
      <c r="B46" s="54">
        <f>((C38*C30)+(C39*C31)+(C40*C32))/(SUM(C30:C32)-1)</f>
        <v>44.183673469387756</v>
      </c>
      <c r="C46" s="54">
        <f>((C41*C34))/SUM(C34:C34)</f>
        <v>4034</v>
      </c>
      <c r="D46" s="54">
        <f t="shared" ref="D46:D48" si="5">(C46-B46)/MAX(B46:C46)</f>
        <v>0.98904718059757368</v>
      </c>
    </row>
    <row r="47" spans="1:5">
      <c r="A47" s="47">
        <f>B32</f>
        <v>2072</v>
      </c>
      <c r="B47" s="54">
        <f>((D38*C30)+(D39*C31)+(D40*C32))/(SUM(C30:C32)-1)</f>
        <v>2018.0612244897959</v>
      </c>
      <c r="C47" s="54">
        <f>((D41*C34))/SUM(C34:C34)</f>
        <v>2019</v>
      </c>
      <c r="D47" s="54">
        <f t="shared" si="5"/>
        <v>4.6497053501936382E-4</v>
      </c>
    </row>
    <row r="48" spans="1:5">
      <c r="A48" s="47">
        <f>B34</f>
        <v>4091</v>
      </c>
      <c r="B48" s="54">
        <f>((E41*C34))/(SUM(C34:C34)-1)</f>
        <v>0</v>
      </c>
      <c r="C48" s="54">
        <f>((E38*C30)+(E39*C31)+(E40*C32))/(SUM(C30:C32))</f>
        <v>3996.7</v>
      </c>
      <c r="D48" s="54">
        <f t="shared" si="5"/>
        <v>1</v>
      </c>
    </row>
    <row r="50" spans="1:6">
      <c r="A50" s="53" t="s">
        <v>703</v>
      </c>
      <c r="B50" s="51">
        <f>((D45*C30)+(D46*C31)+(D47*C32))/SUM(C30:C32)</f>
        <v>0.96928366967805712</v>
      </c>
    </row>
    <row r="51" spans="1:6">
      <c r="A51" s="53" t="s">
        <v>704</v>
      </c>
      <c r="B51" s="51">
        <f>((D48*C34))/SUM(C34:C34)</f>
        <v>1</v>
      </c>
    </row>
    <row r="52" spans="1:6">
      <c r="A52" s="53" t="s">
        <v>711</v>
      </c>
      <c r="B52" s="51">
        <f>AVERAGE(B50:B51)</f>
        <v>0.98464183483902856</v>
      </c>
    </row>
    <row r="54" spans="1:6">
      <c r="B54" s="53" t="s">
        <v>716</v>
      </c>
      <c r="C54" s="53" t="s">
        <v>717</v>
      </c>
    </row>
    <row r="55" spans="1:6">
      <c r="A55" s="52" t="s">
        <v>715</v>
      </c>
      <c r="B55" s="54">
        <f>B23-B50</f>
        <v>2.995803798101726E-2</v>
      </c>
      <c r="C55" s="54">
        <f>B55/B23</f>
        <v>2.9980772170929513E-2</v>
      </c>
    </row>
    <row r="56" spans="1:6">
      <c r="A56" s="53" t="s">
        <v>714</v>
      </c>
      <c r="B56" s="54">
        <f>B24-B51</f>
        <v>0</v>
      </c>
      <c r="C56" s="54">
        <f>B56/B24</f>
        <v>0</v>
      </c>
    </row>
    <row r="57" spans="1:6">
      <c r="A57" s="53" t="s">
        <v>713</v>
      </c>
      <c r="B57" s="54">
        <f>B25-B52</f>
        <v>1.4979018990508686E-2</v>
      </c>
      <c r="C57" s="54">
        <f>B57/B25</f>
        <v>1.4984700382274157E-2</v>
      </c>
    </row>
    <row r="59" spans="1:6">
      <c r="A59" s="122" t="s">
        <v>719</v>
      </c>
      <c r="B59" s="123"/>
      <c r="C59" s="123"/>
      <c r="D59" s="123"/>
      <c r="E59" s="123"/>
      <c r="F59" s="123"/>
    </row>
    <row r="60" spans="1:6">
      <c r="A60" s="45"/>
      <c r="B60" s="46"/>
      <c r="C60" s="46"/>
      <c r="D60" s="46"/>
    </row>
    <row r="61" spans="1:6">
      <c r="A61" s="124" t="s">
        <v>703</v>
      </c>
      <c r="B61" s="44" t="s">
        <v>701</v>
      </c>
      <c r="C61" s="44" t="s">
        <v>700</v>
      </c>
    </row>
    <row r="62" spans="1:6">
      <c r="A62" s="125"/>
      <c r="B62" s="54">
        <v>51</v>
      </c>
      <c r="C62" s="54">
        <f>($B$1/4)-1</f>
        <v>24</v>
      </c>
    </row>
    <row r="63" spans="1:6">
      <c r="A63" s="125"/>
      <c r="B63" s="54">
        <v>57</v>
      </c>
      <c r="C63" s="54">
        <f>$B$1/4</f>
        <v>25</v>
      </c>
    </row>
    <row r="64" spans="1:6">
      <c r="A64" s="126"/>
      <c r="B64" s="54">
        <v>2072</v>
      </c>
      <c r="C64" s="54">
        <v>1</v>
      </c>
    </row>
    <row r="65" spans="1:5">
      <c r="A65" s="120" t="s">
        <v>704</v>
      </c>
      <c r="B65" s="44" t="s">
        <v>701</v>
      </c>
      <c r="C65" s="44" t="s">
        <v>700</v>
      </c>
    </row>
    <row r="66" spans="1:5">
      <c r="A66" s="120"/>
      <c r="B66" s="54">
        <v>4091</v>
      </c>
      <c r="C66" s="54">
        <f>$B$1/2</f>
        <v>50</v>
      </c>
    </row>
    <row r="68" spans="1:5">
      <c r="A68" s="121" t="s">
        <v>705</v>
      </c>
      <c r="B68" s="121"/>
      <c r="C68" s="121"/>
      <c r="D68" s="121"/>
      <c r="E68" s="121"/>
    </row>
    <row r="69" spans="1:5">
      <c r="A69" s="53" t="s">
        <v>701</v>
      </c>
      <c r="B69" s="47">
        <f>B62</f>
        <v>51</v>
      </c>
      <c r="C69" s="47">
        <f>B63</f>
        <v>57</v>
      </c>
      <c r="D69" s="47">
        <f>B64</f>
        <v>2072</v>
      </c>
      <c r="E69" s="47">
        <f>B66</f>
        <v>4091</v>
      </c>
    </row>
    <row r="70" spans="1:5">
      <c r="A70" s="47">
        <f>B62</f>
        <v>51</v>
      </c>
      <c r="B70" s="54">
        <f>ABS($A70-B$69)</f>
        <v>0</v>
      </c>
      <c r="C70" s="54">
        <f t="shared" ref="C70:E73" si="6">ABS($A70-C$69)</f>
        <v>6</v>
      </c>
      <c r="D70" s="54">
        <f t="shared" si="6"/>
        <v>2021</v>
      </c>
      <c r="E70" s="54">
        <f t="shared" si="6"/>
        <v>4040</v>
      </c>
    </row>
    <row r="71" spans="1:5">
      <c r="A71" s="47">
        <f>B63</f>
        <v>57</v>
      </c>
      <c r="B71" s="54">
        <f t="shared" ref="B71:B73" si="7">ABS($A71-B$69)</f>
        <v>6</v>
      </c>
      <c r="C71" s="54">
        <f t="shared" si="6"/>
        <v>0</v>
      </c>
      <c r="D71" s="54">
        <f t="shared" si="6"/>
        <v>2015</v>
      </c>
      <c r="E71" s="54">
        <f t="shared" si="6"/>
        <v>4034</v>
      </c>
    </row>
    <row r="72" spans="1:5">
      <c r="A72" s="47">
        <f>B64</f>
        <v>2072</v>
      </c>
      <c r="B72" s="54">
        <f t="shared" si="7"/>
        <v>2021</v>
      </c>
      <c r="C72" s="54">
        <f t="shared" si="6"/>
        <v>2015</v>
      </c>
      <c r="D72" s="54">
        <f t="shared" si="6"/>
        <v>0</v>
      </c>
      <c r="E72" s="54">
        <f t="shared" si="6"/>
        <v>2019</v>
      </c>
    </row>
    <row r="73" spans="1:5">
      <c r="A73" s="47">
        <f>B66</f>
        <v>4091</v>
      </c>
      <c r="B73" s="54">
        <f t="shared" si="7"/>
        <v>4040</v>
      </c>
      <c r="C73" s="54">
        <f t="shared" si="6"/>
        <v>4034</v>
      </c>
      <c r="D73" s="54">
        <f t="shared" si="6"/>
        <v>2019</v>
      </c>
      <c r="E73" s="54">
        <f t="shared" si="6"/>
        <v>0</v>
      </c>
    </row>
    <row r="74" spans="1:5">
      <c r="A74" s="50"/>
    </row>
    <row r="75" spans="1:5">
      <c r="A75" s="118" t="s">
        <v>709</v>
      </c>
      <c r="B75" s="118"/>
      <c r="C75" s="118"/>
      <c r="D75" s="118"/>
    </row>
    <row r="76" spans="1:5">
      <c r="A76" s="53" t="s">
        <v>710</v>
      </c>
      <c r="B76" s="47" t="s">
        <v>706</v>
      </c>
      <c r="C76" s="47" t="s">
        <v>707</v>
      </c>
      <c r="D76" s="47" t="s">
        <v>708</v>
      </c>
    </row>
    <row r="77" spans="1:5">
      <c r="A77" s="47">
        <f>B62</f>
        <v>51</v>
      </c>
      <c r="B77" s="54">
        <f>((B70*C62)+(B71*C63)+(B72*C64))/(SUM(C62:C64)-1)</f>
        <v>44.306122448979593</v>
      </c>
      <c r="C77" s="54">
        <f>((B73*C66))/SUM(C66:C66)</f>
        <v>4040</v>
      </c>
      <c r="D77" s="54">
        <f>(C77-B77)/MAX(B77:C77)</f>
        <v>0.98903313800767823</v>
      </c>
    </row>
    <row r="78" spans="1:5">
      <c r="A78" s="47">
        <f>B63</f>
        <v>57</v>
      </c>
      <c r="B78" s="54">
        <f>((C70*C62)+(C71*C63)+(C72*C64))/(SUM(C62:C64)-1)</f>
        <v>44.061224489795919</v>
      </c>
      <c r="C78" s="54">
        <f>((C73*C66))/SUM(C66:C66)</f>
        <v>4034</v>
      </c>
      <c r="D78" s="54">
        <f t="shared" ref="D78:D80" si="8">(C78-B78)/MAX(B78:C78)</f>
        <v>0.98907753483148331</v>
      </c>
    </row>
    <row r="79" spans="1:5">
      <c r="A79" s="47">
        <f>B64</f>
        <v>2072</v>
      </c>
      <c r="B79" s="54">
        <f>((D70*C62)+(D71*C63)+(D72*C64))/(SUM(C62:C64)-1)</f>
        <v>2017.9387755102041</v>
      </c>
      <c r="C79" s="54">
        <f>((D73*C66))/SUM(C66:C66)</f>
        <v>2019</v>
      </c>
      <c r="D79" s="54">
        <f t="shared" si="8"/>
        <v>5.2561886567404877E-4</v>
      </c>
    </row>
    <row r="80" spans="1:5">
      <c r="A80" s="47">
        <f>B66</f>
        <v>4091</v>
      </c>
      <c r="B80" s="54">
        <f>((E73*C66))/(SUM(C66:C66)-1)</f>
        <v>0</v>
      </c>
      <c r="C80" s="54">
        <f>((E70*C62)+(E71*C63)+(E72*C64))/(SUM(C62:C64))</f>
        <v>3996.58</v>
      </c>
      <c r="D80" s="54">
        <f t="shared" si="8"/>
        <v>1</v>
      </c>
    </row>
    <row r="82" spans="1:3">
      <c r="A82" s="53" t="s">
        <v>703</v>
      </c>
      <c r="B82" s="51">
        <f>((D77*C62)+(D78*C63)+(D79*C64))/SUM(C62:C64)</f>
        <v>0.96928518603674063</v>
      </c>
    </row>
    <row r="83" spans="1:3">
      <c r="A83" s="53" t="s">
        <v>704</v>
      </c>
      <c r="B83" s="51">
        <f>((D80*C66))/SUM(C66:C66)</f>
        <v>1</v>
      </c>
    </row>
    <row r="84" spans="1:3">
      <c r="A84" s="53" t="s">
        <v>711</v>
      </c>
      <c r="B84" s="51">
        <f>AVERAGE(B82:B83)</f>
        <v>0.98464259301837032</v>
      </c>
    </row>
    <row r="86" spans="1:3">
      <c r="B86" s="53" t="s">
        <v>716</v>
      </c>
      <c r="C86" s="53" t="s">
        <v>717</v>
      </c>
    </row>
    <row r="87" spans="1:3">
      <c r="A87" s="52" t="s">
        <v>715</v>
      </c>
      <c r="B87" s="54">
        <f>B23-B82</f>
        <v>2.9956521622333754E-2</v>
      </c>
      <c r="C87" s="54">
        <f>B87/B23</f>
        <v>2.9979254661530251E-2</v>
      </c>
    </row>
    <row r="88" spans="1:3">
      <c r="A88" s="53" t="s">
        <v>714</v>
      </c>
      <c r="B88" s="54">
        <f>B24-B83</f>
        <v>0</v>
      </c>
      <c r="C88" s="54">
        <f>B88/B24</f>
        <v>0</v>
      </c>
    </row>
    <row r="89" spans="1:3">
      <c r="A89" s="53" t="s">
        <v>713</v>
      </c>
      <c r="B89" s="54">
        <f>B25-B84</f>
        <v>1.4978260811166932E-2</v>
      </c>
      <c r="C89" s="54">
        <f>B89/B25</f>
        <v>1.4983941915362578E-2</v>
      </c>
    </row>
  </sheetData>
  <mergeCells count="16">
    <mergeCell ref="A61:A64"/>
    <mergeCell ref="A65:A66"/>
    <mergeCell ref="A68:E68"/>
    <mergeCell ref="A75:D75"/>
    <mergeCell ref="A27:F27"/>
    <mergeCell ref="A29:A32"/>
    <mergeCell ref="A33:A34"/>
    <mergeCell ref="A36:E36"/>
    <mergeCell ref="A43:D43"/>
    <mergeCell ref="A59:F59"/>
    <mergeCell ref="A17:D17"/>
    <mergeCell ref="B1:C1"/>
    <mergeCell ref="A3:D3"/>
    <mergeCell ref="A5:A7"/>
    <mergeCell ref="A8:A9"/>
    <mergeCell ref="A11:D11"/>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9"/>
  <sheetViews>
    <sheetView topLeftCell="F1" workbookViewId="0">
      <selection activeCell="K46" sqref="K46:K176"/>
    </sheetView>
  </sheetViews>
  <sheetFormatPr defaultRowHeight="15"/>
  <cols>
    <col min="1" max="1" width="12.42578125" style="39" customWidth="1"/>
    <col min="2" max="2" width="64.140625" style="6" customWidth="1"/>
    <col min="3" max="3" width="10.85546875" style="39" customWidth="1"/>
    <col min="4" max="4" width="22.7109375" style="39" customWidth="1"/>
    <col min="5" max="5" width="27.140625" style="39" customWidth="1"/>
    <col min="6" max="6" width="21" style="39" customWidth="1"/>
    <col min="7" max="7" width="21.42578125" style="39" customWidth="1"/>
    <col min="8" max="8" width="25.5703125" style="39" customWidth="1"/>
    <col min="9" max="9" width="25.85546875" style="39" customWidth="1"/>
    <col min="10" max="13" width="25.5703125" style="39" customWidth="1"/>
    <col min="16" max="16" width="22.42578125" customWidth="1"/>
    <col min="19" max="19" width="11" customWidth="1"/>
  </cols>
  <sheetData>
    <row r="1" spans="1:19" ht="30.75" thickBot="1">
      <c r="A1" s="40" t="s">
        <v>361</v>
      </c>
      <c r="B1" s="40" t="s">
        <v>685</v>
      </c>
      <c r="C1" s="40" t="s">
        <v>684</v>
      </c>
      <c r="D1" s="40" t="str">
        <f>FMECA!V2</f>
        <v>Mean Fuse_Result_Burn</v>
      </c>
      <c r="E1" s="40" t="str">
        <f>FMECA!S2</f>
        <v>Mean Fuse_Result_Not_Burn</v>
      </c>
      <c r="F1" s="40" t="str">
        <f>FMECA!W2</f>
        <v>Min Fuse_Result_Burn</v>
      </c>
      <c r="G1" s="40" t="str">
        <f>FMECA!X2</f>
        <v>Max Fuse_Result_Burn</v>
      </c>
      <c r="H1" s="40" t="str">
        <f>FMECA!T2</f>
        <v>Min Fuse_Result_Not_Burn</v>
      </c>
      <c r="I1" s="40" t="str">
        <f>FMECA!U2</f>
        <v>Max Fuse_Result_Not_Burn</v>
      </c>
      <c r="J1" s="40" t="s">
        <v>1321</v>
      </c>
      <c r="K1" s="40" t="s">
        <v>1320</v>
      </c>
      <c r="L1" s="40" t="s">
        <v>1318</v>
      </c>
      <c r="M1" s="40" t="s">
        <v>1319</v>
      </c>
    </row>
    <row r="2" spans="1:19">
      <c r="A2" s="5" t="str">
        <f>FMECA!A3</f>
        <v>-</v>
      </c>
      <c r="B2" s="71" t="str">
        <f>FMECA!B3</f>
        <v>No faults on any component.</v>
      </c>
      <c r="C2" s="5" t="str">
        <f>FMECA!D3</f>
        <v>-</v>
      </c>
      <c r="D2" s="5">
        <f>FMECA!V3</f>
        <v>54</v>
      </c>
      <c r="E2" s="5">
        <f>FMECA!S3</f>
        <v>4092</v>
      </c>
      <c r="F2" s="5">
        <f>FMECA!W3</f>
        <v>51</v>
      </c>
      <c r="G2" s="5">
        <f>FMECA!X3</f>
        <v>57</v>
      </c>
      <c r="H2" s="5">
        <f>FMECA!T3</f>
        <v>4091</v>
      </c>
      <c r="I2" s="5">
        <f>FMECA!U3</f>
        <v>4095</v>
      </c>
      <c r="J2" s="5">
        <f>ABS(D2-F2)</f>
        <v>3</v>
      </c>
      <c r="K2" s="5">
        <f>ABS(D2-G2)</f>
        <v>3</v>
      </c>
      <c r="L2" s="5">
        <f>ABS(E2-H2)</f>
        <v>1</v>
      </c>
      <c r="M2" s="5">
        <f>ABS(E2-I2)</f>
        <v>3</v>
      </c>
      <c r="O2" s="127" t="s">
        <v>1322</v>
      </c>
      <c r="P2" s="72" t="s">
        <v>1321</v>
      </c>
      <c r="Q2" s="74">
        <f>AVERAGE(J2:J219)</f>
        <v>66.637614678899084</v>
      </c>
    </row>
    <row r="3" spans="1:19">
      <c r="A3" s="5" t="str">
        <f>FMECA!A4</f>
        <v>UC_Diag</v>
      </c>
      <c r="B3" s="71" t="str">
        <f>FMECA!B4</f>
        <v>Supply open</v>
      </c>
      <c r="C3" s="5">
        <f>FMECA!D4</f>
        <v>0.12</v>
      </c>
      <c r="D3" s="5">
        <f>FMECA!V4</f>
        <v>0</v>
      </c>
      <c r="E3" s="5">
        <f>FMECA!S4</f>
        <v>0</v>
      </c>
      <c r="F3" s="5">
        <f>FMECA!W4</f>
        <v>0</v>
      </c>
      <c r="G3" s="5">
        <f>FMECA!X4</f>
        <v>0</v>
      </c>
      <c r="H3" s="5">
        <f>FMECA!T4</f>
        <v>0</v>
      </c>
      <c r="I3" s="5">
        <f>FMECA!U4</f>
        <v>0</v>
      </c>
      <c r="J3" s="5">
        <f t="shared" ref="J3:J66" si="0">ABS(D3-F3)</f>
        <v>0</v>
      </c>
      <c r="K3" s="5">
        <f t="shared" ref="K3:K66" si="1">ABS(D3-G3)</f>
        <v>0</v>
      </c>
      <c r="L3" s="5">
        <f t="shared" ref="L3:L66" si="2">ABS(E3-H3)</f>
        <v>0</v>
      </c>
      <c r="M3" s="5">
        <f t="shared" ref="M3:M66" si="3">ABS(E3-I3)</f>
        <v>0</v>
      </c>
      <c r="O3" s="128"/>
      <c r="P3" s="40" t="s">
        <v>1320</v>
      </c>
      <c r="Q3" s="75">
        <v>86.972477064220186</v>
      </c>
    </row>
    <row r="4" spans="1:19">
      <c r="A4" s="5" t="str">
        <f>FMECA!A5</f>
        <v>UC_Diag</v>
      </c>
      <c r="B4" s="71" t="str">
        <f>FMECA!B5</f>
        <v>Output 'Dig_Out1' open</v>
      </c>
      <c r="C4" s="5">
        <f>FMECA!D5</f>
        <v>0.12</v>
      </c>
      <c r="D4" s="5">
        <f>FMECA!V5</f>
        <v>0</v>
      </c>
      <c r="E4" s="5">
        <f>FMECA!S5</f>
        <v>0</v>
      </c>
      <c r="F4" s="5">
        <f>FMECA!W5</f>
        <v>0</v>
      </c>
      <c r="G4" s="5">
        <f>FMECA!X5</f>
        <v>0</v>
      </c>
      <c r="H4" s="5">
        <f>FMECA!T5</f>
        <v>0</v>
      </c>
      <c r="I4" s="5">
        <f>FMECA!U5</f>
        <v>0</v>
      </c>
      <c r="J4" s="5">
        <f t="shared" si="0"/>
        <v>0</v>
      </c>
      <c r="K4" s="5">
        <f t="shared" si="1"/>
        <v>0</v>
      </c>
      <c r="L4" s="5">
        <f t="shared" si="2"/>
        <v>0</v>
      </c>
      <c r="M4" s="5">
        <f t="shared" si="3"/>
        <v>0</v>
      </c>
      <c r="O4" s="128"/>
      <c r="P4" s="40" t="s">
        <v>1318</v>
      </c>
      <c r="Q4" s="75">
        <v>128.5</v>
      </c>
    </row>
    <row r="5" spans="1:19" ht="15.75" thickBot="1">
      <c r="A5" s="5" t="str">
        <f>FMECA!A6</f>
        <v>UC_Diag</v>
      </c>
      <c r="B5" s="71" t="str">
        <f>FMECA!B6</f>
        <v>Output 'Dig_Out2' open</v>
      </c>
      <c r="C5" s="5">
        <f>FMECA!D6</f>
        <v>0.12</v>
      </c>
      <c r="D5" s="5">
        <f>FMECA!V6</f>
        <v>0</v>
      </c>
      <c r="E5" s="5">
        <f>FMECA!S6</f>
        <v>0</v>
      </c>
      <c r="F5" s="5">
        <f>FMECA!W6</f>
        <v>0</v>
      </c>
      <c r="G5" s="5">
        <f>FMECA!X6</f>
        <v>0</v>
      </c>
      <c r="H5" s="5">
        <f>FMECA!T6</f>
        <v>0</v>
      </c>
      <c r="I5" s="5">
        <f>FMECA!U6</f>
        <v>0</v>
      </c>
      <c r="J5" s="5">
        <f t="shared" si="0"/>
        <v>0</v>
      </c>
      <c r="K5" s="5">
        <f t="shared" si="1"/>
        <v>0</v>
      </c>
      <c r="L5" s="5">
        <f t="shared" si="2"/>
        <v>0</v>
      </c>
      <c r="M5" s="5">
        <f t="shared" si="3"/>
        <v>0</v>
      </c>
      <c r="O5" s="129"/>
      <c r="P5" s="73" t="s">
        <v>1319</v>
      </c>
      <c r="Q5" s="76">
        <v>97.522935779816507</v>
      </c>
      <c r="R5" s="77"/>
    </row>
    <row r="6" spans="1:19">
      <c r="A6" s="5" t="str">
        <f>FMECA!A7</f>
        <v>UC_Diag</v>
      </c>
      <c r="B6" s="71" t="str">
        <f>FMECA!B7</f>
        <v>Bidirectional Pin 'SPI' open</v>
      </c>
      <c r="C6" s="5">
        <f>FMECA!D7</f>
        <v>0.24</v>
      </c>
      <c r="D6" s="5">
        <f>FMECA!V7</f>
        <v>54</v>
      </c>
      <c r="E6" s="5">
        <f>FMECA!S7</f>
        <v>4092</v>
      </c>
      <c r="F6" s="5">
        <f>FMECA!W7</f>
        <v>51</v>
      </c>
      <c r="G6" s="5">
        <f>FMECA!X7</f>
        <v>57</v>
      </c>
      <c r="H6" s="5">
        <f>FMECA!T7</f>
        <v>4091</v>
      </c>
      <c r="I6" s="5">
        <f>FMECA!U7</f>
        <v>4095</v>
      </c>
      <c r="J6" s="5">
        <f t="shared" si="0"/>
        <v>3</v>
      </c>
      <c r="K6" s="5">
        <f t="shared" si="1"/>
        <v>3</v>
      </c>
      <c r="L6" s="5">
        <f t="shared" si="2"/>
        <v>1</v>
      </c>
      <c r="M6" s="5">
        <f t="shared" si="3"/>
        <v>3</v>
      </c>
      <c r="O6" s="78"/>
      <c r="P6" s="79"/>
      <c r="Q6" s="80"/>
      <c r="R6" s="83" t="s">
        <v>1324</v>
      </c>
      <c r="S6" s="84" t="s">
        <v>778</v>
      </c>
    </row>
    <row r="7" spans="1:19">
      <c r="A7" s="5" t="str">
        <f>FMECA!A8</f>
        <v>UC_Diag</v>
      </c>
      <c r="B7" s="71" t="str">
        <f>FMECA!B8</f>
        <v>Output 'Dig_Out1' stuck low</v>
      </c>
      <c r="C7" s="5">
        <f>FMECA!D8</f>
        <v>0.03</v>
      </c>
      <c r="D7" s="5">
        <f>FMECA!V8</f>
        <v>0</v>
      </c>
      <c r="E7" s="5">
        <f>FMECA!S8</f>
        <v>0</v>
      </c>
      <c r="F7" s="5">
        <f>FMECA!W8</f>
        <v>0</v>
      </c>
      <c r="G7" s="5">
        <f>FMECA!X8</f>
        <v>0</v>
      </c>
      <c r="H7" s="5">
        <f>FMECA!T8</f>
        <v>0</v>
      </c>
      <c r="I7" s="5">
        <f>FMECA!U8</f>
        <v>0</v>
      </c>
      <c r="J7" s="5">
        <f t="shared" si="0"/>
        <v>0</v>
      </c>
      <c r="K7" s="5">
        <f t="shared" si="1"/>
        <v>0</v>
      </c>
      <c r="L7" s="5">
        <f t="shared" si="2"/>
        <v>0</v>
      </c>
      <c r="M7" s="5">
        <f t="shared" si="3"/>
        <v>0</v>
      </c>
      <c r="O7" s="127" t="s">
        <v>1323</v>
      </c>
      <c r="P7" s="72" t="s">
        <v>1321</v>
      </c>
      <c r="Q7" s="87">
        <f>_xlfn.MODE.SNGL(J6:J223)</f>
        <v>3</v>
      </c>
      <c r="R7" s="85">
        <f>COUNTIFS(J:J,Q7)</f>
        <v>105</v>
      </c>
      <c r="S7" s="81">
        <f>R7/218</f>
        <v>0.48165137614678899</v>
      </c>
    </row>
    <row r="8" spans="1:19">
      <c r="A8" s="5" t="str">
        <f>FMECA!A9</f>
        <v>UC_Diag</v>
      </c>
      <c r="B8" s="71" t="str">
        <f>FMECA!B9</f>
        <v>Output 'Dig_Out2' stuck low</v>
      </c>
      <c r="C8" s="5">
        <f>FMECA!D9</f>
        <v>0.03</v>
      </c>
      <c r="D8" s="5">
        <f>FMECA!V9</f>
        <v>0</v>
      </c>
      <c r="E8" s="5">
        <f>FMECA!S9</f>
        <v>0</v>
      </c>
      <c r="F8" s="5">
        <f>FMECA!W9</f>
        <v>0</v>
      </c>
      <c r="G8" s="5">
        <f>FMECA!X9</f>
        <v>0</v>
      </c>
      <c r="H8" s="5">
        <f>FMECA!T9</f>
        <v>0</v>
      </c>
      <c r="I8" s="5">
        <f>FMECA!U9</f>
        <v>0</v>
      </c>
      <c r="J8" s="5">
        <f t="shared" si="0"/>
        <v>0</v>
      </c>
      <c r="K8" s="5">
        <f t="shared" si="1"/>
        <v>0</v>
      </c>
      <c r="L8" s="5">
        <f t="shared" si="2"/>
        <v>0</v>
      </c>
      <c r="M8" s="5">
        <f t="shared" si="3"/>
        <v>0</v>
      </c>
      <c r="O8" s="128"/>
      <c r="P8" s="40" t="s">
        <v>1320</v>
      </c>
      <c r="Q8" s="88">
        <v>3</v>
      </c>
      <c r="R8" s="85">
        <f>COUNTIFS(K:K,Q8)</f>
        <v>104</v>
      </c>
      <c r="S8" s="81">
        <f t="shared" ref="S8:S10" si="4">R8/218</f>
        <v>0.47706422018348627</v>
      </c>
    </row>
    <row r="9" spans="1:19">
      <c r="A9" s="5" t="str">
        <f>FMECA!A10</f>
        <v>UC_Diag</v>
      </c>
      <c r="B9" s="71" t="str">
        <f>FMECA!B10</f>
        <v>Bidirectional Pin 'SPI' stuck low</v>
      </c>
      <c r="C9" s="5">
        <f>FMECA!D10</f>
        <v>0.03</v>
      </c>
      <c r="D9" s="5">
        <f>FMECA!V10</f>
        <v>54</v>
      </c>
      <c r="E9" s="5">
        <f>FMECA!S10</f>
        <v>4092</v>
      </c>
      <c r="F9" s="5">
        <f>FMECA!W10</f>
        <v>51</v>
      </c>
      <c r="G9" s="5">
        <f>FMECA!X10</f>
        <v>57</v>
      </c>
      <c r="H9" s="5">
        <f>FMECA!T10</f>
        <v>4091</v>
      </c>
      <c r="I9" s="5">
        <f>FMECA!U10</f>
        <v>4095</v>
      </c>
      <c r="J9" s="5">
        <f t="shared" si="0"/>
        <v>3</v>
      </c>
      <c r="K9" s="5">
        <f t="shared" si="1"/>
        <v>3</v>
      </c>
      <c r="L9" s="5">
        <f t="shared" si="2"/>
        <v>1</v>
      </c>
      <c r="M9" s="5">
        <f t="shared" si="3"/>
        <v>3</v>
      </c>
      <c r="O9" s="128"/>
      <c r="P9" s="40" t="s">
        <v>1318</v>
      </c>
      <c r="Q9" s="88">
        <v>1</v>
      </c>
      <c r="R9" s="85">
        <f>COUNTIFS(L:L,Q9)</f>
        <v>105</v>
      </c>
      <c r="S9" s="81">
        <f t="shared" si="4"/>
        <v>0.48165137614678899</v>
      </c>
    </row>
    <row r="10" spans="1:19" ht="15.75" thickBot="1">
      <c r="A10" s="5" t="str">
        <f>FMECA!A11</f>
        <v>UC_Diag</v>
      </c>
      <c r="B10" s="71" t="str">
        <f>FMECA!B11</f>
        <v>Output 'Dig_Out1' stuck high</v>
      </c>
      <c r="C10" s="5">
        <f>FMECA!D11</f>
        <v>2.6666666666666668E-2</v>
      </c>
      <c r="D10" s="5">
        <f>FMECA!V11</f>
        <v>4092</v>
      </c>
      <c r="E10" s="5">
        <f>FMECA!S11</f>
        <v>4093</v>
      </c>
      <c r="F10" s="5">
        <f>FMECA!W11</f>
        <v>4092</v>
      </c>
      <c r="G10" s="5">
        <f>FMECA!X11</f>
        <v>4092</v>
      </c>
      <c r="H10" s="5">
        <f>FMECA!T11</f>
        <v>4093</v>
      </c>
      <c r="I10" s="5">
        <f>FMECA!U11</f>
        <v>4093</v>
      </c>
      <c r="J10" s="5">
        <f t="shared" si="0"/>
        <v>0</v>
      </c>
      <c r="K10" s="5">
        <f t="shared" si="1"/>
        <v>0</v>
      </c>
      <c r="L10" s="5">
        <f t="shared" si="2"/>
        <v>0</v>
      </c>
      <c r="M10" s="5">
        <f t="shared" si="3"/>
        <v>0</v>
      </c>
      <c r="O10" s="129"/>
      <c r="P10" s="73" t="s">
        <v>1319</v>
      </c>
      <c r="Q10" s="89">
        <v>3</v>
      </c>
      <c r="R10" s="86">
        <f>COUNTIFS(M:M,Q10)</f>
        <v>105</v>
      </c>
      <c r="S10" s="82">
        <f t="shared" si="4"/>
        <v>0.48165137614678899</v>
      </c>
    </row>
    <row r="11" spans="1:19">
      <c r="A11" s="5" t="str">
        <f>FMECA!A12</f>
        <v>UC_Diag</v>
      </c>
      <c r="B11" s="71" t="str">
        <f>FMECA!B12</f>
        <v>Output 'Dig_Out2' stuck high</v>
      </c>
      <c r="C11" s="5">
        <f>FMECA!D12</f>
        <v>2.6666666666666668E-2</v>
      </c>
      <c r="D11" s="5">
        <f>FMECA!V12</f>
        <v>54</v>
      </c>
      <c r="E11" s="5">
        <f>FMECA!S12</f>
        <v>4092</v>
      </c>
      <c r="F11" s="5">
        <f>FMECA!W12</f>
        <v>51</v>
      </c>
      <c r="G11" s="5">
        <f>FMECA!X12</f>
        <v>57</v>
      </c>
      <c r="H11" s="5">
        <f>FMECA!T12</f>
        <v>4091</v>
      </c>
      <c r="I11" s="5">
        <f>FMECA!U12</f>
        <v>4095</v>
      </c>
      <c r="J11" s="5">
        <f t="shared" si="0"/>
        <v>3</v>
      </c>
      <c r="K11" s="5">
        <f t="shared" si="1"/>
        <v>3</v>
      </c>
      <c r="L11" s="5">
        <f t="shared" si="2"/>
        <v>1</v>
      </c>
      <c r="M11" s="5">
        <f t="shared" si="3"/>
        <v>3</v>
      </c>
    </row>
    <row r="12" spans="1:19" ht="15.75" thickBot="1">
      <c r="A12" s="5" t="str">
        <f>FMECA!A13</f>
        <v>UC_Diag</v>
      </c>
      <c r="B12" s="71" t="str">
        <f>FMECA!B13</f>
        <v>Bidirectional 'SPI' Pin stuck high</v>
      </c>
      <c r="C12" s="5">
        <f>FMECA!D13</f>
        <v>2.6666666666666668E-2</v>
      </c>
      <c r="D12" s="5">
        <f>FMECA!V13</f>
        <v>54</v>
      </c>
      <c r="E12" s="5">
        <f>FMECA!S13</f>
        <v>4092</v>
      </c>
      <c r="F12" s="5">
        <f>FMECA!W13</f>
        <v>51</v>
      </c>
      <c r="G12" s="5">
        <f>FMECA!X13</f>
        <v>57</v>
      </c>
      <c r="H12" s="5">
        <f>FMECA!T13</f>
        <v>4091</v>
      </c>
      <c r="I12" s="5">
        <f>FMECA!U13</f>
        <v>4095</v>
      </c>
      <c r="J12" s="5">
        <f t="shared" si="0"/>
        <v>3</v>
      </c>
      <c r="K12" s="5">
        <f t="shared" si="1"/>
        <v>3</v>
      </c>
      <c r="L12" s="5">
        <f t="shared" si="2"/>
        <v>1</v>
      </c>
      <c r="M12" s="5">
        <f t="shared" si="3"/>
        <v>3</v>
      </c>
      <c r="P12" s="90" t="s">
        <v>1325</v>
      </c>
      <c r="Q12" s="91">
        <f>MAX(Q7:Q10)</f>
        <v>3</v>
      </c>
    </row>
    <row r="13" spans="1:19">
      <c r="A13" s="5" t="str">
        <f>FMECA!A14</f>
        <v>UC_Diag</v>
      </c>
      <c r="B13" s="71" t="str">
        <f>FMECA!B14</f>
        <v>Input 'Anal_In1' open</v>
      </c>
      <c r="C13" s="5">
        <f>FMECA!D14</f>
        <v>0.12</v>
      </c>
      <c r="D13" s="5">
        <f>FMECA!V14</f>
        <v>194</v>
      </c>
      <c r="E13" s="5">
        <f>FMECA!S14</f>
        <v>191</v>
      </c>
      <c r="F13" s="5">
        <f>FMECA!W14</f>
        <v>120</v>
      </c>
      <c r="G13" s="5">
        <f>FMECA!X14</f>
        <v>315</v>
      </c>
      <c r="H13" s="5">
        <f>FMECA!T14</f>
        <v>191</v>
      </c>
      <c r="I13" s="5">
        <f>FMECA!U14</f>
        <v>191</v>
      </c>
      <c r="J13" s="5">
        <f t="shared" si="0"/>
        <v>74</v>
      </c>
      <c r="K13" s="5">
        <f t="shared" si="1"/>
        <v>121</v>
      </c>
      <c r="L13" s="5">
        <f t="shared" si="2"/>
        <v>0</v>
      </c>
      <c r="M13" s="5">
        <f t="shared" si="3"/>
        <v>0</v>
      </c>
    </row>
    <row r="14" spans="1:19">
      <c r="A14" s="5" t="str">
        <f>FMECA!A15</f>
        <v>UC_Diag</v>
      </c>
      <c r="B14" s="71" t="str">
        <f>FMECA!B15</f>
        <v>Input 'Dig_In1' open</v>
      </c>
      <c r="C14" s="5">
        <f>FMECA!D15</f>
        <v>0.12</v>
      </c>
      <c r="D14" s="5">
        <f>FMECA!V15</f>
        <v>54</v>
      </c>
      <c r="E14" s="5">
        <f>FMECA!S15</f>
        <v>4092</v>
      </c>
      <c r="F14" s="5">
        <f>FMECA!W15</f>
        <v>51</v>
      </c>
      <c r="G14" s="5">
        <f>FMECA!X15</f>
        <v>57</v>
      </c>
      <c r="H14" s="5">
        <f>FMECA!T15</f>
        <v>4091</v>
      </c>
      <c r="I14" s="5">
        <f>FMECA!U15</f>
        <v>4095</v>
      </c>
      <c r="J14" s="5">
        <f t="shared" si="0"/>
        <v>3</v>
      </c>
      <c r="K14" s="5">
        <f t="shared" si="1"/>
        <v>3</v>
      </c>
      <c r="L14" s="5">
        <f t="shared" si="2"/>
        <v>1</v>
      </c>
      <c r="M14" s="5">
        <f t="shared" si="3"/>
        <v>3</v>
      </c>
    </row>
    <row r="15" spans="1:19">
      <c r="A15" s="5" t="str">
        <f>FMECA!A16</f>
        <v>Flash_Diag</v>
      </c>
      <c r="B15" s="71" t="str">
        <f>FMECA!B16</f>
        <v>Data bit loss</v>
      </c>
      <c r="C15" s="5">
        <f>FMECA!D16</f>
        <v>0.34</v>
      </c>
      <c r="D15" s="5">
        <f>FMECA!V16</f>
        <v>54</v>
      </c>
      <c r="E15" s="5">
        <f>FMECA!S16</f>
        <v>4092</v>
      </c>
      <c r="F15" s="5">
        <f>FMECA!W16</f>
        <v>51</v>
      </c>
      <c r="G15" s="5">
        <f>FMECA!X16</f>
        <v>57</v>
      </c>
      <c r="H15" s="5">
        <f>FMECA!T16</f>
        <v>4091</v>
      </c>
      <c r="I15" s="5">
        <f>FMECA!U16</f>
        <v>4095</v>
      </c>
      <c r="J15" s="5">
        <f t="shared" si="0"/>
        <v>3</v>
      </c>
      <c r="K15" s="5">
        <f t="shared" si="1"/>
        <v>3</v>
      </c>
      <c r="L15" s="5">
        <f t="shared" si="2"/>
        <v>1</v>
      </c>
      <c r="M15" s="5">
        <f t="shared" si="3"/>
        <v>3</v>
      </c>
    </row>
    <row r="16" spans="1:19">
      <c r="A16" s="5" t="str">
        <f>FMECA!A17</f>
        <v>Flash_Diag</v>
      </c>
      <c r="B16" s="71" t="str">
        <f>FMECA!B17</f>
        <v>Slow transfer of data</v>
      </c>
      <c r="C16" s="5">
        <f>FMECA!D17</f>
        <v>0.17</v>
      </c>
      <c r="D16" s="5">
        <f>FMECA!V17</f>
        <v>54</v>
      </c>
      <c r="E16" s="5">
        <f>FMECA!S17</f>
        <v>4092</v>
      </c>
      <c r="F16" s="5">
        <f>FMECA!W17</f>
        <v>51</v>
      </c>
      <c r="G16" s="5">
        <f>FMECA!X17</f>
        <v>57</v>
      </c>
      <c r="H16" s="5">
        <f>FMECA!T17</f>
        <v>4091</v>
      </c>
      <c r="I16" s="5">
        <f>FMECA!U17</f>
        <v>4095</v>
      </c>
      <c r="J16" s="5">
        <f t="shared" si="0"/>
        <v>3</v>
      </c>
      <c r="K16" s="5">
        <f t="shared" si="1"/>
        <v>3</v>
      </c>
      <c r="L16" s="5">
        <f t="shared" si="2"/>
        <v>1</v>
      </c>
      <c r="M16" s="5">
        <f t="shared" si="3"/>
        <v>3</v>
      </c>
    </row>
    <row r="17" spans="1:13">
      <c r="A17" s="5" t="str">
        <f>FMECA!A18</f>
        <v>Flash_Diag</v>
      </c>
      <c r="B17" s="71" t="str">
        <f>FMECA!B18</f>
        <v>Open</v>
      </c>
      <c r="C17" s="5">
        <f>FMECA!D18</f>
        <v>0.23</v>
      </c>
      <c r="D17" s="5">
        <f>FMECA!V18</f>
        <v>54</v>
      </c>
      <c r="E17" s="5">
        <f>FMECA!S18</f>
        <v>4092</v>
      </c>
      <c r="F17" s="5">
        <f>FMECA!W18</f>
        <v>51</v>
      </c>
      <c r="G17" s="5">
        <f>FMECA!X18</f>
        <v>57</v>
      </c>
      <c r="H17" s="5">
        <f>FMECA!T18</f>
        <v>4091</v>
      </c>
      <c r="I17" s="5">
        <f>FMECA!U18</f>
        <v>4095</v>
      </c>
      <c r="J17" s="5">
        <f t="shared" si="0"/>
        <v>3</v>
      </c>
      <c r="K17" s="5">
        <f t="shared" si="1"/>
        <v>3</v>
      </c>
      <c r="L17" s="5">
        <f t="shared" si="2"/>
        <v>1</v>
      </c>
      <c r="M17" s="5">
        <f t="shared" si="3"/>
        <v>3</v>
      </c>
    </row>
    <row r="18" spans="1:13">
      <c r="A18" s="5" t="str">
        <f>FMECA!A19</f>
        <v>Flash_Diag</v>
      </c>
      <c r="B18" s="71" t="str">
        <f>FMECA!B19</f>
        <v>Short-circuit</v>
      </c>
      <c r="C18" s="5">
        <f>FMECA!D19</f>
        <v>0.26</v>
      </c>
      <c r="D18" s="5">
        <f>FMECA!V19</f>
        <v>54</v>
      </c>
      <c r="E18" s="5">
        <f>FMECA!S19</f>
        <v>4092</v>
      </c>
      <c r="F18" s="5">
        <f>FMECA!W19</f>
        <v>51</v>
      </c>
      <c r="G18" s="5">
        <f>FMECA!X19</f>
        <v>57</v>
      </c>
      <c r="H18" s="5">
        <f>FMECA!T19</f>
        <v>4091</v>
      </c>
      <c r="I18" s="5">
        <f>FMECA!U19</f>
        <v>4095</v>
      </c>
      <c r="J18" s="5">
        <f t="shared" si="0"/>
        <v>3</v>
      </c>
      <c r="K18" s="5">
        <f t="shared" si="1"/>
        <v>3</v>
      </c>
      <c r="L18" s="5">
        <f t="shared" si="2"/>
        <v>1</v>
      </c>
      <c r="M18" s="5">
        <f t="shared" si="3"/>
        <v>3</v>
      </c>
    </row>
    <row r="19" spans="1:13">
      <c r="A19" s="5" t="str">
        <f>FMECA!A20</f>
        <v>R1_Diag</v>
      </c>
      <c r="B19" s="71" t="str">
        <f>FMECA!B20</f>
        <v>Open</v>
      </c>
      <c r="C19" s="5">
        <f>FMECA!D20</f>
        <v>0.59</v>
      </c>
      <c r="D19" s="5">
        <f>FMECA!V20</f>
        <v>54</v>
      </c>
      <c r="E19" s="5">
        <f>FMECA!S20</f>
        <v>4092</v>
      </c>
      <c r="F19" s="5">
        <f>FMECA!W20</f>
        <v>51</v>
      </c>
      <c r="G19" s="5">
        <f>FMECA!X20</f>
        <v>57</v>
      </c>
      <c r="H19" s="5">
        <f>FMECA!T20</f>
        <v>4091</v>
      </c>
      <c r="I19" s="5">
        <f>FMECA!U20</f>
        <v>4095</v>
      </c>
      <c r="J19" s="5">
        <f t="shared" si="0"/>
        <v>3</v>
      </c>
      <c r="K19" s="5">
        <f t="shared" si="1"/>
        <v>3</v>
      </c>
      <c r="L19" s="5">
        <f t="shared" si="2"/>
        <v>1</v>
      </c>
      <c r="M19" s="5">
        <f t="shared" si="3"/>
        <v>3</v>
      </c>
    </row>
    <row r="20" spans="1:13">
      <c r="A20" s="5" t="str">
        <f>FMECA!A21</f>
        <v>R1_Diag</v>
      </c>
      <c r="B20" s="71" t="str">
        <f>FMECA!B21</f>
        <v>Short-Circuit</v>
      </c>
      <c r="C20" s="5">
        <f>FMECA!D21</f>
        <v>0.05</v>
      </c>
      <c r="D20" s="5">
        <f>FMECA!V21</f>
        <v>54</v>
      </c>
      <c r="E20" s="5">
        <f>FMECA!S21</f>
        <v>4092</v>
      </c>
      <c r="F20" s="5">
        <f>FMECA!W21</f>
        <v>51</v>
      </c>
      <c r="G20" s="5">
        <f>FMECA!X21</f>
        <v>57</v>
      </c>
      <c r="H20" s="5">
        <f>FMECA!T21</f>
        <v>4091</v>
      </c>
      <c r="I20" s="5">
        <f>FMECA!U21</f>
        <v>4095</v>
      </c>
      <c r="J20" s="5">
        <f t="shared" si="0"/>
        <v>3</v>
      </c>
      <c r="K20" s="5">
        <f t="shared" si="1"/>
        <v>3</v>
      </c>
      <c r="L20" s="5">
        <f t="shared" si="2"/>
        <v>1</v>
      </c>
      <c r="M20" s="5">
        <f t="shared" si="3"/>
        <v>3</v>
      </c>
    </row>
    <row r="21" spans="1:13">
      <c r="A21" s="5" t="str">
        <f>FMECA!A22</f>
        <v>R1_Diag</v>
      </c>
      <c r="B21" s="71" t="str">
        <f>FMECA!B22</f>
        <v>Increase of Resistance Value</v>
      </c>
      <c r="C21" s="5">
        <f>FMECA!D22</f>
        <v>0.18</v>
      </c>
      <c r="D21" s="5">
        <f>FMECA!V22</f>
        <v>54</v>
      </c>
      <c r="E21" s="5">
        <f>FMECA!S22</f>
        <v>4092</v>
      </c>
      <c r="F21" s="5">
        <f>FMECA!W22</f>
        <v>51</v>
      </c>
      <c r="G21" s="5">
        <f>FMECA!X22</f>
        <v>57</v>
      </c>
      <c r="H21" s="5">
        <f>FMECA!T22</f>
        <v>4091</v>
      </c>
      <c r="I21" s="5">
        <f>FMECA!U22</f>
        <v>4095</v>
      </c>
      <c r="J21" s="5">
        <f t="shared" si="0"/>
        <v>3</v>
      </c>
      <c r="K21" s="5">
        <f t="shared" si="1"/>
        <v>3</v>
      </c>
      <c r="L21" s="5">
        <f t="shared" si="2"/>
        <v>1</v>
      </c>
      <c r="M21" s="5">
        <f t="shared" si="3"/>
        <v>3</v>
      </c>
    </row>
    <row r="22" spans="1:13">
      <c r="A22" s="5" t="str">
        <f>FMECA!A23</f>
        <v>R1_Diag</v>
      </c>
      <c r="B22" s="71" t="str">
        <f>FMECA!B23</f>
        <v>Decrease of Resistance Value</v>
      </c>
      <c r="C22" s="5">
        <f>FMECA!D23</f>
        <v>0.18</v>
      </c>
      <c r="D22" s="5">
        <f>FMECA!V23</f>
        <v>54</v>
      </c>
      <c r="E22" s="5">
        <f>FMECA!S23</f>
        <v>4092</v>
      </c>
      <c r="F22" s="5">
        <f>FMECA!W23</f>
        <v>51</v>
      </c>
      <c r="G22" s="5">
        <f>FMECA!X23</f>
        <v>57</v>
      </c>
      <c r="H22" s="5">
        <f>FMECA!T23</f>
        <v>4091</v>
      </c>
      <c r="I22" s="5">
        <f>FMECA!U23</f>
        <v>4095</v>
      </c>
      <c r="J22" s="5">
        <f t="shared" si="0"/>
        <v>3</v>
      </c>
      <c r="K22" s="5">
        <f t="shared" si="1"/>
        <v>3</v>
      </c>
      <c r="L22" s="5">
        <f t="shared" si="2"/>
        <v>1</v>
      </c>
      <c r="M22" s="5">
        <f t="shared" si="3"/>
        <v>3</v>
      </c>
    </row>
    <row r="23" spans="1:13">
      <c r="A23" s="5" t="str">
        <f>FMECA!A24</f>
        <v>R1_Diag</v>
      </c>
      <c r="B23" s="71" t="str">
        <f>FMECA!B24</f>
        <v>Short-Circuit to Casing</v>
      </c>
      <c r="C23" s="5">
        <f>FMECA!D24</f>
        <v>0</v>
      </c>
      <c r="D23" s="5">
        <f>FMECA!V24</f>
        <v>54</v>
      </c>
      <c r="E23" s="5">
        <f>FMECA!S24</f>
        <v>4092</v>
      </c>
      <c r="F23" s="5">
        <f>FMECA!W24</f>
        <v>51</v>
      </c>
      <c r="G23" s="5">
        <f>FMECA!X24</f>
        <v>57</v>
      </c>
      <c r="H23" s="5">
        <f>FMECA!T24</f>
        <v>4091</v>
      </c>
      <c r="I23" s="5">
        <f>FMECA!U24</f>
        <v>4095</v>
      </c>
      <c r="J23" s="5">
        <f t="shared" si="0"/>
        <v>3</v>
      </c>
      <c r="K23" s="5">
        <f t="shared" si="1"/>
        <v>3</v>
      </c>
      <c r="L23" s="5">
        <f t="shared" si="2"/>
        <v>1</v>
      </c>
      <c r="M23" s="5">
        <f t="shared" si="3"/>
        <v>3</v>
      </c>
    </row>
    <row r="24" spans="1:13">
      <c r="A24" s="5" t="str">
        <f>FMECA!A25</f>
        <v>OC_Diag</v>
      </c>
      <c r="B24" s="71" t="str">
        <f>FMECA!B25</f>
        <v>Open diode</v>
      </c>
      <c r="C24" s="5">
        <f>FMECA!D25</f>
        <v>8.3333329999999997E-2</v>
      </c>
      <c r="D24" s="5">
        <f>FMECA!V25</f>
        <v>54</v>
      </c>
      <c r="E24" s="5">
        <f>FMECA!S25</f>
        <v>4092</v>
      </c>
      <c r="F24" s="5">
        <f>FMECA!W25</f>
        <v>51</v>
      </c>
      <c r="G24" s="5">
        <f>FMECA!X25</f>
        <v>57</v>
      </c>
      <c r="H24" s="5">
        <f>FMECA!T25</f>
        <v>4091</v>
      </c>
      <c r="I24" s="5">
        <f>FMECA!U25</f>
        <v>4095</v>
      </c>
      <c r="J24" s="5">
        <f t="shared" si="0"/>
        <v>3</v>
      </c>
      <c r="K24" s="5">
        <f t="shared" si="1"/>
        <v>3</v>
      </c>
      <c r="L24" s="5">
        <f t="shared" si="2"/>
        <v>1</v>
      </c>
      <c r="M24" s="5">
        <f t="shared" si="3"/>
        <v>3</v>
      </c>
    </row>
    <row r="25" spans="1:13">
      <c r="A25" s="5" t="str">
        <f>FMECA!A26</f>
        <v>OC_Diag</v>
      </c>
      <c r="B25" s="71" t="str">
        <f>FMECA!B26</f>
        <v>Open emitter</v>
      </c>
      <c r="C25" s="5">
        <f>FMECA!D26</f>
        <v>8.3333329999999997E-2</v>
      </c>
      <c r="D25" s="5">
        <f>FMECA!V26</f>
        <v>54</v>
      </c>
      <c r="E25" s="5">
        <f>FMECA!S26</f>
        <v>4092</v>
      </c>
      <c r="F25" s="5">
        <f>FMECA!W26</f>
        <v>51</v>
      </c>
      <c r="G25" s="5">
        <f>FMECA!X26</f>
        <v>57</v>
      </c>
      <c r="H25" s="5">
        <f>FMECA!T26</f>
        <v>4091</v>
      </c>
      <c r="I25" s="5">
        <f>FMECA!U26</f>
        <v>4095</v>
      </c>
      <c r="J25" s="5">
        <f t="shared" si="0"/>
        <v>3</v>
      </c>
      <c r="K25" s="5">
        <f t="shared" si="1"/>
        <v>3</v>
      </c>
      <c r="L25" s="5">
        <f t="shared" si="2"/>
        <v>1</v>
      </c>
      <c r="M25" s="5">
        <f t="shared" si="3"/>
        <v>3</v>
      </c>
    </row>
    <row r="26" spans="1:13">
      <c r="A26" s="5" t="str">
        <f>FMECA!A27</f>
        <v>OC_Diag</v>
      </c>
      <c r="B26" s="71" t="str">
        <f>FMECA!B27</f>
        <v>Open collector</v>
      </c>
      <c r="C26" s="5">
        <f>FMECA!D27</f>
        <v>8.3333329999999997E-2</v>
      </c>
      <c r="D26" s="5">
        <f>FMECA!V27</f>
        <v>54</v>
      </c>
      <c r="E26" s="5">
        <f>FMECA!S27</f>
        <v>4092</v>
      </c>
      <c r="F26" s="5">
        <f>FMECA!W27</f>
        <v>51</v>
      </c>
      <c r="G26" s="5">
        <f>FMECA!X27</f>
        <v>57</v>
      </c>
      <c r="H26" s="5">
        <f>FMECA!T27</f>
        <v>4091</v>
      </c>
      <c r="I26" s="5">
        <f>FMECA!U27</f>
        <v>4095</v>
      </c>
      <c r="J26" s="5">
        <f t="shared" si="0"/>
        <v>3</v>
      </c>
      <c r="K26" s="5">
        <f t="shared" si="1"/>
        <v>3</v>
      </c>
      <c r="L26" s="5">
        <f t="shared" si="2"/>
        <v>1</v>
      </c>
      <c r="M26" s="5">
        <f t="shared" si="3"/>
        <v>3</v>
      </c>
    </row>
    <row r="27" spans="1:13">
      <c r="A27" s="5" t="str">
        <f>FMECA!A28</f>
        <v>OC_Diag</v>
      </c>
      <c r="B27" s="71" t="str">
        <f>FMECA!B28</f>
        <v>Open base</v>
      </c>
      <c r="C27" s="5">
        <f>FMECA!D28</f>
        <v>8.3333329999999997E-2</v>
      </c>
      <c r="D27" s="5">
        <f>FMECA!V28</f>
        <v>54</v>
      </c>
      <c r="E27" s="5">
        <f>FMECA!S28</f>
        <v>4092</v>
      </c>
      <c r="F27" s="5">
        <f>FMECA!W28</f>
        <v>51</v>
      </c>
      <c r="G27" s="5">
        <f>FMECA!X28</f>
        <v>57</v>
      </c>
      <c r="H27" s="5">
        <f>FMECA!T28</f>
        <v>4091</v>
      </c>
      <c r="I27" s="5">
        <f>FMECA!U28</f>
        <v>4095</v>
      </c>
      <c r="J27" s="5">
        <f t="shared" si="0"/>
        <v>3</v>
      </c>
      <c r="K27" s="5">
        <f t="shared" si="1"/>
        <v>3</v>
      </c>
      <c r="L27" s="5">
        <f t="shared" si="2"/>
        <v>1</v>
      </c>
      <c r="M27" s="5">
        <f t="shared" si="3"/>
        <v>3</v>
      </c>
    </row>
    <row r="28" spans="1:13">
      <c r="A28" s="5" t="str">
        <f>FMECA!A29</f>
        <v>OC_Diag</v>
      </c>
      <c r="B28" s="71" t="str">
        <f>FMECA!B29</f>
        <v>Increase of light sensitivity</v>
      </c>
      <c r="C28" s="5">
        <f>FMECA!D29</f>
        <v>8.3333329999999997E-2</v>
      </c>
      <c r="D28" s="5">
        <f>FMECA!V29</f>
        <v>54</v>
      </c>
      <c r="E28" s="5">
        <f>FMECA!S29</f>
        <v>4092</v>
      </c>
      <c r="F28" s="5">
        <f>FMECA!W29</f>
        <v>51</v>
      </c>
      <c r="G28" s="5">
        <f>FMECA!X29</f>
        <v>57</v>
      </c>
      <c r="H28" s="5">
        <f>FMECA!T29</f>
        <v>4091</v>
      </c>
      <c r="I28" s="5">
        <f>FMECA!U29</f>
        <v>4095</v>
      </c>
      <c r="J28" s="5">
        <f t="shared" si="0"/>
        <v>3</v>
      </c>
      <c r="K28" s="5">
        <f t="shared" si="1"/>
        <v>3</v>
      </c>
      <c r="L28" s="5">
        <f t="shared" si="2"/>
        <v>1</v>
      </c>
      <c r="M28" s="5">
        <f t="shared" si="3"/>
        <v>3</v>
      </c>
    </row>
    <row r="29" spans="1:13">
      <c r="A29" s="5" t="str">
        <f>FMECA!A30</f>
        <v>OC_Diag</v>
      </c>
      <c r="B29" s="71" t="str">
        <f>FMECA!B30</f>
        <v>Decrease of light sensitivity</v>
      </c>
      <c r="C29" s="5">
        <f>FMECA!D30</f>
        <v>8.3333329999999997E-2</v>
      </c>
      <c r="D29" s="5">
        <f>FMECA!V30</f>
        <v>54</v>
      </c>
      <c r="E29" s="5">
        <f>FMECA!S30</f>
        <v>4092</v>
      </c>
      <c r="F29" s="5">
        <f>FMECA!W30</f>
        <v>51</v>
      </c>
      <c r="G29" s="5">
        <f>FMECA!X30</f>
        <v>57</v>
      </c>
      <c r="H29" s="5">
        <f>FMECA!T30</f>
        <v>4091</v>
      </c>
      <c r="I29" s="5">
        <f>FMECA!U30</f>
        <v>4095</v>
      </c>
      <c r="J29" s="5">
        <f t="shared" si="0"/>
        <v>3</v>
      </c>
      <c r="K29" s="5">
        <f t="shared" si="1"/>
        <v>3</v>
      </c>
      <c r="L29" s="5">
        <f t="shared" si="2"/>
        <v>1</v>
      </c>
      <c r="M29" s="5">
        <f t="shared" si="3"/>
        <v>3</v>
      </c>
    </row>
    <row r="30" spans="1:13">
      <c r="A30" s="5" t="str">
        <f>FMECA!A31</f>
        <v>OC_Diag</v>
      </c>
      <c r="B30" s="71" t="str">
        <f>FMECA!B31</f>
        <v>Increase of leakage current</v>
      </c>
      <c r="C30" s="5">
        <f>FMECA!D31</f>
        <v>0.125</v>
      </c>
      <c r="D30" s="5">
        <f>FMECA!V31</f>
        <v>54</v>
      </c>
      <c r="E30" s="5">
        <f>FMECA!S31</f>
        <v>4092</v>
      </c>
      <c r="F30" s="5">
        <f>FMECA!W31</f>
        <v>51</v>
      </c>
      <c r="G30" s="5">
        <f>FMECA!X31</f>
        <v>57</v>
      </c>
      <c r="H30" s="5">
        <f>FMECA!T31</f>
        <v>4091</v>
      </c>
      <c r="I30" s="5">
        <f>FMECA!U31</f>
        <v>4095</v>
      </c>
      <c r="J30" s="5">
        <f t="shared" si="0"/>
        <v>3</v>
      </c>
      <c r="K30" s="5">
        <f t="shared" si="1"/>
        <v>3</v>
      </c>
      <c r="L30" s="5">
        <f t="shared" si="2"/>
        <v>1</v>
      </c>
      <c r="M30" s="5">
        <f t="shared" si="3"/>
        <v>3</v>
      </c>
    </row>
    <row r="31" spans="1:13">
      <c r="A31" s="5" t="str">
        <f>FMECA!A32</f>
        <v>OC_Diag</v>
      </c>
      <c r="B31" s="71" t="str">
        <f>FMECA!B32</f>
        <v>Reduced insulation between input and output</v>
      </c>
      <c r="C31" s="5">
        <f>FMECA!D32</f>
        <v>0.125</v>
      </c>
      <c r="D31" s="5">
        <f>FMECA!V32</f>
        <v>54</v>
      </c>
      <c r="E31" s="5">
        <f>FMECA!S32</f>
        <v>4092</v>
      </c>
      <c r="F31" s="5">
        <f>FMECA!W32</f>
        <v>51</v>
      </c>
      <c r="G31" s="5">
        <f>FMECA!X32</f>
        <v>57</v>
      </c>
      <c r="H31" s="5">
        <f>FMECA!T32</f>
        <v>4091</v>
      </c>
      <c r="I31" s="5">
        <f>FMECA!U32</f>
        <v>4095</v>
      </c>
      <c r="J31" s="5">
        <f t="shared" si="0"/>
        <v>3</v>
      </c>
      <c r="K31" s="5">
        <f t="shared" si="1"/>
        <v>3</v>
      </c>
      <c r="L31" s="5">
        <f t="shared" si="2"/>
        <v>1</v>
      </c>
      <c r="M31" s="5">
        <f t="shared" si="3"/>
        <v>3</v>
      </c>
    </row>
    <row r="32" spans="1:13">
      <c r="A32" s="5" t="str">
        <f>FMECA!A33</f>
        <v>OC_Diag</v>
      </c>
      <c r="B32" s="71" t="str">
        <f>FMECA!B33</f>
        <v>Change on switching time</v>
      </c>
      <c r="C32" s="5">
        <f>FMECA!D33</f>
        <v>8.3333329999999997E-2</v>
      </c>
      <c r="D32" s="5">
        <f>FMECA!V33</f>
        <v>54</v>
      </c>
      <c r="E32" s="5">
        <f>FMECA!S33</f>
        <v>4092</v>
      </c>
      <c r="F32" s="5">
        <f>FMECA!W33</f>
        <v>51</v>
      </c>
      <c r="G32" s="5">
        <f>FMECA!X33</f>
        <v>57</v>
      </c>
      <c r="H32" s="5">
        <f>FMECA!T33</f>
        <v>4091</v>
      </c>
      <c r="I32" s="5">
        <f>FMECA!U33</f>
        <v>4095</v>
      </c>
      <c r="J32" s="5">
        <f t="shared" si="0"/>
        <v>3</v>
      </c>
      <c r="K32" s="5">
        <f t="shared" si="1"/>
        <v>3</v>
      </c>
      <c r="L32" s="5">
        <f t="shared" si="2"/>
        <v>1</v>
      </c>
      <c r="M32" s="5">
        <f t="shared" si="3"/>
        <v>3</v>
      </c>
    </row>
    <row r="33" spans="1:13">
      <c r="A33" s="5" t="str">
        <f>FMECA!A34</f>
        <v>OC_Diag</v>
      </c>
      <c r="B33" s="71" t="str">
        <f>FMECA!B34</f>
        <v>Increase of current gain</v>
      </c>
      <c r="C33" s="5">
        <f>FMECA!D34</f>
        <v>8.3333329999999997E-2</v>
      </c>
      <c r="D33" s="5">
        <f>FMECA!V34</f>
        <v>54</v>
      </c>
      <c r="E33" s="5">
        <f>FMECA!S34</f>
        <v>4092</v>
      </c>
      <c r="F33" s="5">
        <f>FMECA!W34</f>
        <v>51</v>
      </c>
      <c r="G33" s="5">
        <f>FMECA!X34</f>
        <v>57</v>
      </c>
      <c r="H33" s="5">
        <f>FMECA!T34</f>
        <v>4091</v>
      </c>
      <c r="I33" s="5">
        <f>FMECA!U34</f>
        <v>4095</v>
      </c>
      <c r="J33" s="5">
        <f t="shared" si="0"/>
        <v>3</v>
      </c>
      <c r="K33" s="5">
        <f t="shared" si="1"/>
        <v>3</v>
      </c>
      <c r="L33" s="5">
        <f t="shared" si="2"/>
        <v>1</v>
      </c>
      <c r="M33" s="5">
        <f t="shared" si="3"/>
        <v>3</v>
      </c>
    </row>
    <row r="34" spans="1:13">
      <c r="A34" s="5" t="str">
        <f>FMECA!A35</f>
        <v>OC_Diag</v>
      </c>
      <c r="B34" s="71" t="str">
        <f>FMECA!B35</f>
        <v>Decrease of current gain</v>
      </c>
      <c r="C34" s="5">
        <f>FMECA!D35</f>
        <v>8.3333329999999997E-2</v>
      </c>
      <c r="D34" s="5">
        <f>FMECA!V35</f>
        <v>54</v>
      </c>
      <c r="E34" s="5">
        <f>FMECA!S35</f>
        <v>4092</v>
      </c>
      <c r="F34" s="5">
        <f>FMECA!W35</f>
        <v>51</v>
      </c>
      <c r="G34" s="5">
        <f>FMECA!X35</f>
        <v>57</v>
      </c>
      <c r="H34" s="5">
        <f>FMECA!T35</f>
        <v>4091</v>
      </c>
      <c r="I34" s="5">
        <f>FMECA!U35</f>
        <v>4095</v>
      </c>
      <c r="J34" s="5">
        <f t="shared" si="0"/>
        <v>3</v>
      </c>
      <c r="K34" s="5">
        <f t="shared" si="1"/>
        <v>3</v>
      </c>
      <c r="L34" s="5">
        <f t="shared" si="2"/>
        <v>1</v>
      </c>
      <c r="M34" s="5">
        <f t="shared" si="3"/>
        <v>3</v>
      </c>
    </row>
    <row r="35" spans="1:13">
      <c r="A35" s="5" t="str">
        <f>FMECA!A36</f>
        <v>R2_Diag</v>
      </c>
      <c r="B35" s="71" t="str">
        <f>FMECA!B36</f>
        <v>Open</v>
      </c>
      <c r="C35" s="5">
        <f>FMECA!D36</f>
        <v>0.59</v>
      </c>
      <c r="D35" s="5">
        <f>FMECA!V36</f>
        <v>54</v>
      </c>
      <c r="E35" s="5">
        <f>FMECA!S36</f>
        <v>4092</v>
      </c>
      <c r="F35" s="5">
        <f>FMECA!W36</f>
        <v>51</v>
      </c>
      <c r="G35" s="5">
        <f>FMECA!X36</f>
        <v>57</v>
      </c>
      <c r="H35" s="5">
        <f>FMECA!T36</f>
        <v>4091</v>
      </c>
      <c r="I35" s="5">
        <f>FMECA!U36</f>
        <v>4095</v>
      </c>
      <c r="J35" s="5">
        <f t="shared" si="0"/>
        <v>3</v>
      </c>
      <c r="K35" s="5">
        <f t="shared" si="1"/>
        <v>3</v>
      </c>
      <c r="L35" s="5">
        <f t="shared" si="2"/>
        <v>1</v>
      </c>
      <c r="M35" s="5">
        <f t="shared" si="3"/>
        <v>3</v>
      </c>
    </row>
    <row r="36" spans="1:13">
      <c r="A36" s="5" t="str">
        <f>FMECA!A37</f>
        <v>R2_Diag</v>
      </c>
      <c r="B36" s="71" t="str">
        <f>FMECA!B37</f>
        <v>Short-Circuit</v>
      </c>
      <c r="C36" s="5">
        <f>FMECA!D37</f>
        <v>0.05</v>
      </c>
      <c r="D36" s="5">
        <f>FMECA!V37</f>
        <v>0</v>
      </c>
      <c r="E36" s="5">
        <f>FMECA!S37</f>
        <v>0</v>
      </c>
      <c r="F36" s="5">
        <f>FMECA!W37</f>
        <v>0</v>
      </c>
      <c r="G36" s="5">
        <f>FMECA!X37</f>
        <v>0</v>
      </c>
      <c r="H36" s="5">
        <f>FMECA!T37</f>
        <v>0</v>
      </c>
      <c r="I36" s="5">
        <f>FMECA!U37</f>
        <v>0</v>
      </c>
      <c r="J36" s="5">
        <f t="shared" si="0"/>
        <v>0</v>
      </c>
      <c r="K36" s="5">
        <f t="shared" si="1"/>
        <v>0</v>
      </c>
      <c r="L36" s="5">
        <f t="shared" si="2"/>
        <v>0</v>
      </c>
      <c r="M36" s="5">
        <f t="shared" si="3"/>
        <v>0</v>
      </c>
    </row>
    <row r="37" spans="1:13">
      <c r="A37" s="5" t="str">
        <f>FMECA!A38</f>
        <v>R2_Diag</v>
      </c>
      <c r="B37" s="71" t="str">
        <f>FMECA!B38</f>
        <v>Increase of Resistance Value</v>
      </c>
      <c r="C37" s="5">
        <f>FMECA!D38</f>
        <v>0.18</v>
      </c>
      <c r="D37" s="5">
        <f>FMECA!V38</f>
        <v>54</v>
      </c>
      <c r="E37" s="5">
        <f>FMECA!S38</f>
        <v>4092</v>
      </c>
      <c r="F37" s="5">
        <f>FMECA!W38</f>
        <v>51</v>
      </c>
      <c r="G37" s="5">
        <f>FMECA!X38</f>
        <v>57</v>
      </c>
      <c r="H37" s="5">
        <f>FMECA!T38</f>
        <v>4091</v>
      </c>
      <c r="I37" s="5">
        <f>FMECA!U38</f>
        <v>4095</v>
      </c>
      <c r="J37" s="5">
        <f t="shared" si="0"/>
        <v>3</v>
      </c>
      <c r="K37" s="5">
        <f t="shared" si="1"/>
        <v>3</v>
      </c>
      <c r="L37" s="5">
        <f t="shared" si="2"/>
        <v>1</v>
      </c>
      <c r="M37" s="5">
        <f t="shared" si="3"/>
        <v>3</v>
      </c>
    </row>
    <row r="38" spans="1:13">
      <c r="A38" s="5" t="str">
        <f>FMECA!A39</f>
        <v>R2_Diag</v>
      </c>
      <c r="B38" s="71" t="str">
        <f>FMECA!B39</f>
        <v>Decrease of Resistance Value</v>
      </c>
      <c r="C38" s="5">
        <f>FMECA!D39</f>
        <v>0.18</v>
      </c>
      <c r="D38" s="5">
        <f>FMECA!V39</f>
        <v>0</v>
      </c>
      <c r="E38" s="5">
        <f>FMECA!S39</f>
        <v>0</v>
      </c>
      <c r="F38" s="5">
        <f>FMECA!W39</f>
        <v>0</v>
      </c>
      <c r="G38" s="5">
        <f>FMECA!X39</f>
        <v>0</v>
      </c>
      <c r="H38" s="5">
        <f>FMECA!T39</f>
        <v>0</v>
      </c>
      <c r="I38" s="5">
        <f>FMECA!U39</f>
        <v>0</v>
      </c>
      <c r="J38" s="5">
        <f t="shared" si="0"/>
        <v>0</v>
      </c>
      <c r="K38" s="5">
        <f t="shared" si="1"/>
        <v>0</v>
      </c>
      <c r="L38" s="5">
        <f t="shared" si="2"/>
        <v>0</v>
      </c>
      <c r="M38" s="5">
        <f t="shared" si="3"/>
        <v>0</v>
      </c>
    </row>
    <row r="39" spans="1:13">
      <c r="A39" s="5" t="str">
        <f>FMECA!A40</f>
        <v>R2_Diag</v>
      </c>
      <c r="B39" s="71" t="str">
        <f>FMECA!B40</f>
        <v>Short-Circuit to Casing</v>
      </c>
      <c r="C39" s="5">
        <f>FMECA!D40</f>
        <v>0</v>
      </c>
      <c r="D39" s="5">
        <f>FMECA!V40</f>
        <v>54</v>
      </c>
      <c r="E39" s="5">
        <f>FMECA!S40</f>
        <v>4092</v>
      </c>
      <c r="F39" s="5">
        <f>FMECA!W40</f>
        <v>51</v>
      </c>
      <c r="G39" s="5">
        <f>FMECA!X40</f>
        <v>57</v>
      </c>
      <c r="H39" s="5">
        <f>FMECA!T40</f>
        <v>4091</v>
      </c>
      <c r="I39" s="5">
        <f>FMECA!U40</f>
        <v>4095</v>
      </c>
      <c r="J39" s="5">
        <f t="shared" si="0"/>
        <v>3</v>
      </c>
      <c r="K39" s="5">
        <f t="shared" si="1"/>
        <v>3</v>
      </c>
      <c r="L39" s="5">
        <f t="shared" si="2"/>
        <v>1</v>
      </c>
      <c r="M39" s="5">
        <f t="shared" si="3"/>
        <v>3</v>
      </c>
    </row>
    <row r="40" spans="1:13" ht="45">
      <c r="A40" s="5" t="str">
        <f>FMECA!A41</f>
        <v>DC_DC_Diag</v>
      </c>
      <c r="B40" s="71" t="str">
        <f>FMECA!B41</f>
        <v>No Output</v>
      </c>
      <c r="C40" s="5">
        <f>FMECA!D41</f>
        <v>0.23</v>
      </c>
      <c r="D40" s="5" t="str">
        <f>FMECA!V41</f>
        <v>Not Applicable (supervisor turned off)</v>
      </c>
      <c r="E40" s="5" t="str">
        <f>FMECA!S41</f>
        <v>Not Applicable (supervisor turned off)</v>
      </c>
      <c r="F40" s="5" t="str">
        <f>FMECA!W41</f>
        <v>Not Applicable (supervisor turned off)</v>
      </c>
      <c r="G40" s="5" t="str">
        <f>FMECA!X41</f>
        <v>Not Applicable (supervisor turned off)</v>
      </c>
      <c r="H40" s="5" t="str">
        <f>FMECA!T41</f>
        <v>Not Applicable (supervisor turned off)</v>
      </c>
      <c r="I40" s="5" t="str">
        <f>FMECA!U41</f>
        <v>Not Applicable (supervisor turned off)</v>
      </c>
      <c r="J40" s="5">
        <v>0</v>
      </c>
      <c r="K40" s="5">
        <v>0</v>
      </c>
      <c r="L40" s="5">
        <v>0</v>
      </c>
      <c r="M40" s="5">
        <v>0</v>
      </c>
    </row>
    <row r="41" spans="1:13">
      <c r="A41" s="5" t="str">
        <f>FMECA!A42</f>
        <v>DC_DC_Diag</v>
      </c>
      <c r="B41" s="71" t="str">
        <f>FMECA!B42</f>
        <v>Increase in Output Voltage</v>
      </c>
      <c r="C41" s="5">
        <f>FMECA!D42</f>
        <v>0.25666666666666665</v>
      </c>
      <c r="D41" s="5">
        <f>FMECA!V42</f>
        <v>0</v>
      </c>
      <c r="E41" s="5">
        <f>FMECA!S42</f>
        <v>0</v>
      </c>
      <c r="F41" s="5">
        <f>FMECA!W42</f>
        <v>0</v>
      </c>
      <c r="G41" s="5">
        <f>FMECA!X42</f>
        <v>0</v>
      </c>
      <c r="H41" s="5">
        <f>FMECA!T42</f>
        <v>0</v>
      </c>
      <c r="I41" s="5">
        <f>FMECA!U42</f>
        <v>0</v>
      </c>
      <c r="J41" s="5">
        <f t="shared" si="0"/>
        <v>0</v>
      </c>
      <c r="K41" s="5">
        <f t="shared" si="1"/>
        <v>0</v>
      </c>
      <c r="L41" s="5">
        <f t="shared" si="2"/>
        <v>0</v>
      </c>
      <c r="M41" s="5">
        <f t="shared" si="3"/>
        <v>0</v>
      </c>
    </row>
    <row r="42" spans="1:13">
      <c r="A42" s="5" t="str">
        <f>FMECA!A43</f>
        <v>DC_DC_Diag</v>
      </c>
      <c r="B42" s="71" t="str">
        <f>FMECA!B43</f>
        <v>Decrease in Output Voltage</v>
      </c>
      <c r="C42" s="5">
        <f>FMECA!D43</f>
        <v>0.25666666666666665</v>
      </c>
      <c r="D42" s="5">
        <f>FMECA!V43</f>
        <v>0</v>
      </c>
      <c r="E42" s="5">
        <f>FMECA!S43</f>
        <v>0</v>
      </c>
      <c r="F42" s="5">
        <f>FMECA!W43</f>
        <v>0</v>
      </c>
      <c r="G42" s="5">
        <f>FMECA!X43</f>
        <v>0</v>
      </c>
      <c r="H42" s="5">
        <f>FMECA!T43</f>
        <v>0</v>
      </c>
      <c r="I42" s="5">
        <f>FMECA!U43</f>
        <v>0</v>
      </c>
      <c r="J42" s="5">
        <f t="shared" si="0"/>
        <v>0</v>
      </c>
      <c r="K42" s="5">
        <f t="shared" si="1"/>
        <v>0</v>
      </c>
      <c r="L42" s="5">
        <f t="shared" si="2"/>
        <v>0</v>
      </c>
      <c r="M42" s="5">
        <f t="shared" si="3"/>
        <v>0</v>
      </c>
    </row>
    <row r="43" spans="1:13">
      <c r="A43" s="5" t="str">
        <f>FMECA!A44</f>
        <v>DC_DC_Diag</v>
      </c>
      <c r="B43" s="71" t="str">
        <f>FMECA!B44</f>
        <v>Noisy Output</v>
      </c>
      <c r="C43" s="5">
        <f>FMECA!D44</f>
        <v>0.25666666666666665</v>
      </c>
      <c r="D43" s="5">
        <f>FMECA!V44</f>
        <v>0</v>
      </c>
      <c r="E43" s="5">
        <f>FMECA!S44</f>
        <v>0</v>
      </c>
      <c r="F43" s="5">
        <f>FMECA!W44</f>
        <v>0</v>
      </c>
      <c r="G43" s="5">
        <f>FMECA!X44</f>
        <v>0</v>
      </c>
      <c r="H43" s="5">
        <f>FMECA!T44</f>
        <v>0</v>
      </c>
      <c r="I43" s="5">
        <f>FMECA!U44</f>
        <v>0</v>
      </c>
      <c r="J43" s="5">
        <f t="shared" si="0"/>
        <v>0</v>
      </c>
      <c r="K43" s="5">
        <f t="shared" si="1"/>
        <v>0</v>
      </c>
      <c r="L43" s="5">
        <f t="shared" si="2"/>
        <v>0</v>
      </c>
      <c r="M43" s="5">
        <f t="shared" si="3"/>
        <v>0</v>
      </c>
    </row>
    <row r="44" spans="1:13">
      <c r="A44" s="5" t="str">
        <f>FMECA!A45</f>
        <v>R1_Sys</v>
      </c>
      <c r="B44" s="71" t="str">
        <f>FMECA!B45</f>
        <v>Open</v>
      </c>
      <c r="C44" s="5">
        <f>FMECA!D45</f>
        <v>0.59</v>
      </c>
      <c r="D44" s="5">
        <f>FMECA!V45</f>
        <v>4092</v>
      </c>
      <c r="E44" s="5">
        <f>FMECA!S45</f>
        <v>4093</v>
      </c>
      <c r="F44" s="5">
        <f>FMECA!W45</f>
        <v>4092</v>
      </c>
      <c r="G44" s="5">
        <f>FMECA!X45</f>
        <v>4092</v>
      </c>
      <c r="H44" s="5">
        <f>FMECA!T45</f>
        <v>4093</v>
      </c>
      <c r="I44" s="5">
        <f>FMECA!U45</f>
        <v>4093</v>
      </c>
      <c r="J44" s="5">
        <f t="shared" si="0"/>
        <v>0</v>
      </c>
      <c r="K44" s="5">
        <f t="shared" si="1"/>
        <v>0</v>
      </c>
      <c r="L44" s="5">
        <f t="shared" si="2"/>
        <v>0</v>
      </c>
      <c r="M44" s="5">
        <f t="shared" si="3"/>
        <v>0</v>
      </c>
    </row>
    <row r="45" spans="1:13">
      <c r="A45" s="5" t="str">
        <f>FMECA!A46</f>
        <v>R1_Sys</v>
      </c>
      <c r="B45" s="71" t="str">
        <f>FMECA!B46</f>
        <v>Short-Circuit</v>
      </c>
      <c r="C45" s="5">
        <f>FMECA!D46</f>
        <v>0.05</v>
      </c>
      <c r="D45" s="5">
        <f>FMECA!V46</f>
        <v>0</v>
      </c>
      <c r="E45" s="5">
        <f>FMECA!S46</f>
        <v>0</v>
      </c>
      <c r="F45" s="5">
        <f>FMECA!W46</f>
        <v>0</v>
      </c>
      <c r="G45" s="5">
        <f>FMECA!X46</f>
        <v>0</v>
      </c>
      <c r="H45" s="5">
        <f>FMECA!T46</f>
        <v>0</v>
      </c>
      <c r="I45" s="5">
        <f>FMECA!U46</f>
        <v>0</v>
      </c>
      <c r="J45" s="5">
        <f t="shared" si="0"/>
        <v>0</v>
      </c>
      <c r="K45" s="5">
        <f t="shared" si="1"/>
        <v>0</v>
      </c>
      <c r="L45" s="5">
        <f t="shared" si="2"/>
        <v>0</v>
      </c>
      <c r="M45" s="5">
        <f t="shared" si="3"/>
        <v>0</v>
      </c>
    </row>
    <row r="46" spans="1:13">
      <c r="A46" s="5" t="str">
        <f>FMECA!A47</f>
        <v>R1_Sys</v>
      </c>
      <c r="B46" s="71" t="str">
        <f>FMECA!B47</f>
        <v>Increase of Resistance Value</v>
      </c>
      <c r="C46" s="5">
        <f>FMECA!D47</f>
        <v>0.18</v>
      </c>
      <c r="D46" s="5">
        <f>FMECA!V47</f>
        <v>54</v>
      </c>
      <c r="E46" s="5">
        <f>FMECA!S47</f>
        <v>4093</v>
      </c>
      <c r="F46" s="5">
        <f>FMECA!W47</f>
        <v>51</v>
      </c>
      <c r="G46" s="5">
        <f>FMECA!X47</f>
        <v>4092</v>
      </c>
      <c r="H46" s="5">
        <f>FMECA!T47</f>
        <v>4093</v>
      </c>
      <c r="I46" s="5">
        <f>FMECA!U47</f>
        <v>4093</v>
      </c>
      <c r="J46" s="5">
        <f t="shared" si="0"/>
        <v>3</v>
      </c>
      <c r="K46" s="5">
        <f t="shared" si="1"/>
        <v>4038</v>
      </c>
      <c r="L46" s="5">
        <f t="shared" si="2"/>
        <v>0</v>
      </c>
      <c r="M46" s="5">
        <f t="shared" si="3"/>
        <v>0</v>
      </c>
    </row>
    <row r="47" spans="1:13">
      <c r="A47" s="5" t="str">
        <f>FMECA!A48</f>
        <v>R1_Sys</v>
      </c>
      <c r="B47" s="71" t="str">
        <f>FMECA!B48</f>
        <v>Decrease of Resistance Value</v>
      </c>
      <c r="C47" s="5">
        <f>FMECA!D48</f>
        <v>0.18</v>
      </c>
      <c r="D47" s="5">
        <f>FMECA!V48</f>
        <v>0</v>
      </c>
      <c r="E47" s="5">
        <f>FMECA!S48</f>
        <v>3806</v>
      </c>
      <c r="F47" s="5">
        <f>FMECA!W48</f>
        <v>0</v>
      </c>
      <c r="G47" s="5">
        <f>FMECA!X48</f>
        <v>0</v>
      </c>
      <c r="H47" s="5">
        <f>FMECA!T48</f>
        <v>0</v>
      </c>
      <c r="I47" s="5">
        <f>FMECA!U48</f>
        <v>4093</v>
      </c>
      <c r="J47" s="5">
        <f t="shared" si="0"/>
        <v>0</v>
      </c>
      <c r="K47" s="5">
        <f t="shared" si="1"/>
        <v>0</v>
      </c>
      <c r="L47" s="5">
        <f t="shared" si="2"/>
        <v>3806</v>
      </c>
      <c r="M47" s="5">
        <f t="shared" si="3"/>
        <v>287</v>
      </c>
    </row>
    <row r="48" spans="1:13">
      <c r="A48" s="5" t="str">
        <f>FMECA!A49</f>
        <v>R1_Sys</v>
      </c>
      <c r="B48" s="71" t="str">
        <f>FMECA!B49</f>
        <v>Short-Circuit to Casing</v>
      </c>
      <c r="C48" s="5">
        <f>FMECA!D49</f>
        <v>0</v>
      </c>
      <c r="D48" s="5">
        <f>FMECA!V49</f>
        <v>54</v>
      </c>
      <c r="E48" s="5">
        <f>FMECA!S49</f>
        <v>4092</v>
      </c>
      <c r="F48" s="5">
        <f>FMECA!W49</f>
        <v>51</v>
      </c>
      <c r="G48" s="5">
        <f>FMECA!X49</f>
        <v>57</v>
      </c>
      <c r="H48" s="5">
        <f>FMECA!T49</f>
        <v>4091</v>
      </c>
      <c r="I48" s="5">
        <f>FMECA!U49</f>
        <v>4095</v>
      </c>
      <c r="J48" s="5">
        <f t="shared" si="0"/>
        <v>3</v>
      </c>
      <c r="K48" s="5">
        <f t="shared" si="1"/>
        <v>3</v>
      </c>
      <c r="L48" s="5">
        <f t="shared" si="2"/>
        <v>1</v>
      </c>
      <c r="M48" s="5">
        <f t="shared" si="3"/>
        <v>3</v>
      </c>
    </row>
    <row r="49" spans="1:13">
      <c r="A49" s="5" t="str">
        <f>FMECA!A50</f>
        <v>OC1_Sys</v>
      </c>
      <c r="B49" s="71" t="str">
        <f>FMECA!B50</f>
        <v>Open diode</v>
      </c>
      <c r="C49" s="5">
        <f>FMECA!D50</f>
        <v>8.3333329999999997E-2</v>
      </c>
      <c r="D49" s="5">
        <f>FMECA!V50</f>
        <v>0</v>
      </c>
      <c r="E49" s="5">
        <f>FMECA!S50</f>
        <v>0</v>
      </c>
      <c r="F49" s="5">
        <f>FMECA!W50</f>
        <v>0</v>
      </c>
      <c r="G49" s="5">
        <f>FMECA!X50</f>
        <v>0</v>
      </c>
      <c r="H49" s="5">
        <f>FMECA!T50</f>
        <v>0</v>
      </c>
      <c r="I49" s="5">
        <f>FMECA!U50</f>
        <v>0</v>
      </c>
      <c r="J49" s="5">
        <f t="shared" si="0"/>
        <v>0</v>
      </c>
      <c r="K49" s="5">
        <f t="shared" si="1"/>
        <v>0</v>
      </c>
      <c r="L49" s="5">
        <f t="shared" si="2"/>
        <v>0</v>
      </c>
      <c r="M49" s="5">
        <f t="shared" si="3"/>
        <v>0</v>
      </c>
    </row>
    <row r="50" spans="1:13">
      <c r="A50" s="5" t="str">
        <f>FMECA!A51</f>
        <v>OC1_Sys</v>
      </c>
      <c r="B50" s="71" t="str">
        <f>FMECA!B51</f>
        <v>Open emitter</v>
      </c>
      <c r="C50" s="5">
        <f>FMECA!D51</f>
        <v>8.3333329999999997E-2</v>
      </c>
      <c r="D50" s="5">
        <f>FMECA!V51</f>
        <v>0</v>
      </c>
      <c r="E50" s="5">
        <f>FMECA!S51</f>
        <v>0</v>
      </c>
      <c r="F50" s="5">
        <f>FMECA!W51</f>
        <v>0</v>
      </c>
      <c r="G50" s="5">
        <f>FMECA!X51</f>
        <v>0</v>
      </c>
      <c r="H50" s="5">
        <f>FMECA!T51</f>
        <v>0</v>
      </c>
      <c r="I50" s="5">
        <f>FMECA!U51</f>
        <v>0</v>
      </c>
      <c r="J50" s="5">
        <f t="shared" si="0"/>
        <v>0</v>
      </c>
      <c r="K50" s="5">
        <f t="shared" si="1"/>
        <v>0</v>
      </c>
      <c r="L50" s="5">
        <f t="shared" si="2"/>
        <v>0</v>
      </c>
      <c r="M50" s="5">
        <f t="shared" si="3"/>
        <v>0</v>
      </c>
    </row>
    <row r="51" spans="1:13">
      <c r="A51" s="5" t="str">
        <f>FMECA!A52</f>
        <v>OC1_Sys</v>
      </c>
      <c r="B51" s="71" t="str">
        <f>FMECA!B52</f>
        <v>Open collector</v>
      </c>
      <c r="C51" s="5">
        <f>FMECA!D52</f>
        <v>8.3333329999999997E-2</v>
      </c>
      <c r="D51" s="5">
        <f>FMECA!V52</f>
        <v>0</v>
      </c>
      <c r="E51" s="5">
        <f>FMECA!S52</f>
        <v>0</v>
      </c>
      <c r="F51" s="5">
        <f>FMECA!W52</f>
        <v>0</v>
      </c>
      <c r="G51" s="5">
        <f>FMECA!X52</f>
        <v>0</v>
      </c>
      <c r="H51" s="5">
        <f>FMECA!T52</f>
        <v>0</v>
      </c>
      <c r="I51" s="5">
        <f>FMECA!U52</f>
        <v>0</v>
      </c>
      <c r="J51" s="5">
        <f t="shared" si="0"/>
        <v>0</v>
      </c>
      <c r="K51" s="5">
        <f t="shared" si="1"/>
        <v>0</v>
      </c>
      <c r="L51" s="5">
        <f t="shared" si="2"/>
        <v>0</v>
      </c>
      <c r="M51" s="5">
        <f t="shared" si="3"/>
        <v>0</v>
      </c>
    </row>
    <row r="52" spans="1:13">
      <c r="A52" s="5" t="str">
        <f>FMECA!A53</f>
        <v>OC1_Sys</v>
      </c>
      <c r="B52" s="71" t="str">
        <f>FMECA!B53</f>
        <v>Open base</v>
      </c>
      <c r="C52" s="5">
        <f>FMECA!D53</f>
        <v>8.3333329999999997E-2</v>
      </c>
      <c r="D52" s="5">
        <f>FMECA!V53</f>
        <v>54</v>
      </c>
      <c r="E52" s="5">
        <f>FMECA!S53</f>
        <v>4092</v>
      </c>
      <c r="F52" s="5">
        <f>FMECA!W53</f>
        <v>51</v>
      </c>
      <c r="G52" s="5">
        <f>FMECA!X53</f>
        <v>57</v>
      </c>
      <c r="H52" s="5">
        <f>FMECA!T53</f>
        <v>4091</v>
      </c>
      <c r="I52" s="5">
        <f>FMECA!U53</f>
        <v>4095</v>
      </c>
      <c r="J52" s="5">
        <f t="shared" si="0"/>
        <v>3</v>
      </c>
      <c r="K52" s="5">
        <f t="shared" si="1"/>
        <v>3</v>
      </c>
      <c r="L52" s="5">
        <f t="shared" si="2"/>
        <v>1</v>
      </c>
      <c r="M52" s="5">
        <f t="shared" si="3"/>
        <v>3</v>
      </c>
    </row>
    <row r="53" spans="1:13">
      <c r="A53" s="5" t="str">
        <f>FMECA!A54</f>
        <v>OC1_Sys</v>
      </c>
      <c r="B53" s="71" t="str">
        <f>FMECA!B54</f>
        <v>Increase of light sensitivity</v>
      </c>
      <c r="C53" s="5">
        <f>FMECA!D54</f>
        <v>8.3333329999999997E-2</v>
      </c>
      <c r="D53" s="5">
        <f>FMECA!V54</f>
        <v>54</v>
      </c>
      <c r="E53" s="5">
        <f>FMECA!S54</f>
        <v>4092</v>
      </c>
      <c r="F53" s="5">
        <f>FMECA!W54</f>
        <v>51</v>
      </c>
      <c r="G53" s="5">
        <f>FMECA!X54</f>
        <v>57</v>
      </c>
      <c r="H53" s="5">
        <f>FMECA!T54</f>
        <v>4091</v>
      </c>
      <c r="I53" s="5">
        <f>FMECA!U54</f>
        <v>4095</v>
      </c>
      <c r="J53" s="5">
        <f t="shared" si="0"/>
        <v>3</v>
      </c>
      <c r="K53" s="5">
        <f t="shared" si="1"/>
        <v>3</v>
      </c>
      <c r="L53" s="5">
        <f t="shared" si="2"/>
        <v>1</v>
      </c>
      <c r="M53" s="5">
        <f t="shared" si="3"/>
        <v>3</v>
      </c>
    </row>
    <row r="54" spans="1:13">
      <c r="A54" s="5" t="str">
        <f>FMECA!A55</f>
        <v>OC1_Sys</v>
      </c>
      <c r="B54" s="71" t="str">
        <f>FMECA!B55</f>
        <v>Decrease of light sensitivity</v>
      </c>
      <c r="C54" s="5">
        <f>FMECA!D55</f>
        <v>8.3333329999999997E-2</v>
      </c>
      <c r="D54" s="5">
        <f>FMECA!V55</f>
        <v>0</v>
      </c>
      <c r="E54" s="5">
        <f>FMECA!S55</f>
        <v>2038</v>
      </c>
      <c r="F54" s="5">
        <f>FMECA!W55</f>
        <v>0</v>
      </c>
      <c r="G54" s="5">
        <f>FMECA!X55</f>
        <v>0</v>
      </c>
      <c r="H54" s="5">
        <f>FMECA!T55</f>
        <v>0</v>
      </c>
      <c r="I54" s="5">
        <f>FMECA!U55</f>
        <v>4091</v>
      </c>
      <c r="J54" s="5">
        <f t="shared" si="0"/>
        <v>0</v>
      </c>
      <c r="K54" s="5">
        <f t="shared" si="1"/>
        <v>0</v>
      </c>
      <c r="L54" s="5">
        <f t="shared" si="2"/>
        <v>2038</v>
      </c>
      <c r="M54" s="5">
        <f t="shared" si="3"/>
        <v>2053</v>
      </c>
    </row>
    <row r="55" spans="1:13">
      <c r="A55" s="5" t="str">
        <f>FMECA!A56</f>
        <v>OC1_Sys</v>
      </c>
      <c r="B55" s="71" t="str">
        <f>FMECA!B56</f>
        <v>Increase of leakage current</v>
      </c>
      <c r="C55" s="5">
        <f>FMECA!D56</f>
        <v>0.125</v>
      </c>
      <c r="D55" s="5">
        <f>FMECA!V56</f>
        <v>0</v>
      </c>
      <c r="E55" s="5">
        <f>FMECA!S56</f>
        <v>2038</v>
      </c>
      <c r="F55" s="5">
        <f>FMECA!W56</f>
        <v>0</v>
      </c>
      <c r="G55" s="5">
        <f>FMECA!X56</f>
        <v>0</v>
      </c>
      <c r="H55" s="5">
        <f>FMECA!T56</f>
        <v>0</v>
      </c>
      <c r="I55" s="5">
        <f>FMECA!U56</f>
        <v>4091</v>
      </c>
      <c r="J55" s="5">
        <f t="shared" si="0"/>
        <v>0</v>
      </c>
      <c r="K55" s="5">
        <f t="shared" si="1"/>
        <v>0</v>
      </c>
      <c r="L55" s="5">
        <f t="shared" si="2"/>
        <v>2038</v>
      </c>
      <c r="M55" s="5">
        <f t="shared" si="3"/>
        <v>2053</v>
      </c>
    </row>
    <row r="56" spans="1:13">
      <c r="A56" s="5" t="str">
        <f>FMECA!A57</f>
        <v>OC1_Sys</v>
      </c>
      <c r="B56" s="71" t="str">
        <f>FMECA!B57</f>
        <v>Reduced insulation between input and output</v>
      </c>
      <c r="C56" s="5">
        <f>FMECA!D57</f>
        <v>0.125</v>
      </c>
      <c r="D56" s="5">
        <f>FMECA!V57</f>
        <v>0</v>
      </c>
      <c r="E56" s="5">
        <f>FMECA!S57</f>
        <v>0</v>
      </c>
      <c r="F56" s="5">
        <f>FMECA!W57</f>
        <v>0</v>
      </c>
      <c r="G56" s="5">
        <f>FMECA!X57</f>
        <v>0</v>
      </c>
      <c r="H56" s="5">
        <f>FMECA!T57</f>
        <v>0</v>
      </c>
      <c r="I56" s="5">
        <f>FMECA!U57</f>
        <v>0</v>
      </c>
      <c r="J56" s="5">
        <f t="shared" si="0"/>
        <v>0</v>
      </c>
      <c r="K56" s="5">
        <f t="shared" si="1"/>
        <v>0</v>
      </c>
      <c r="L56" s="5">
        <f t="shared" si="2"/>
        <v>0</v>
      </c>
      <c r="M56" s="5">
        <f t="shared" si="3"/>
        <v>0</v>
      </c>
    </row>
    <row r="57" spans="1:13">
      <c r="A57" s="5" t="str">
        <f>FMECA!A58</f>
        <v>OC1_Sys</v>
      </c>
      <c r="B57" s="71" t="str">
        <f>FMECA!B58</f>
        <v>Change on switching time</v>
      </c>
      <c r="C57" s="5">
        <f>FMECA!D58</f>
        <v>8.3333329999999997E-2</v>
      </c>
      <c r="D57" s="5">
        <f>FMECA!V58</f>
        <v>4092</v>
      </c>
      <c r="E57" s="5">
        <f>FMECA!S58</f>
        <v>4093</v>
      </c>
      <c r="F57" s="5">
        <f>FMECA!W58</f>
        <v>4092</v>
      </c>
      <c r="G57" s="5">
        <f>FMECA!X58</f>
        <v>4092</v>
      </c>
      <c r="H57" s="5">
        <f>FMECA!T58</f>
        <v>4093</v>
      </c>
      <c r="I57" s="5">
        <f>FMECA!U58</f>
        <v>4093</v>
      </c>
      <c r="J57" s="5">
        <f t="shared" si="0"/>
        <v>0</v>
      </c>
      <c r="K57" s="5">
        <f t="shared" si="1"/>
        <v>0</v>
      </c>
      <c r="L57" s="5">
        <f t="shared" si="2"/>
        <v>0</v>
      </c>
      <c r="M57" s="5">
        <f t="shared" si="3"/>
        <v>0</v>
      </c>
    </row>
    <row r="58" spans="1:13">
      <c r="A58" s="5" t="str">
        <f>FMECA!A59</f>
        <v>OC1_Sys</v>
      </c>
      <c r="B58" s="71" t="str">
        <f>FMECA!B59</f>
        <v>Increase of current gain</v>
      </c>
      <c r="C58" s="5">
        <f>FMECA!D59</f>
        <v>8.3333329999999997E-2</v>
      </c>
      <c r="D58" s="5">
        <f>FMECA!V59</f>
        <v>54</v>
      </c>
      <c r="E58" s="5">
        <f>FMECA!S59</f>
        <v>4092</v>
      </c>
      <c r="F58" s="5">
        <f>FMECA!W59</f>
        <v>51</v>
      </c>
      <c r="G58" s="5">
        <f>FMECA!X59</f>
        <v>57</v>
      </c>
      <c r="H58" s="5">
        <f>FMECA!T59</f>
        <v>4091</v>
      </c>
      <c r="I58" s="5">
        <f>FMECA!U59</f>
        <v>4095</v>
      </c>
      <c r="J58" s="5">
        <f t="shared" si="0"/>
        <v>3</v>
      </c>
      <c r="K58" s="5">
        <f t="shared" si="1"/>
        <v>3</v>
      </c>
      <c r="L58" s="5">
        <f t="shared" si="2"/>
        <v>1</v>
      </c>
      <c r="M58" s="5">
        <f t="shared" si="3"/>
        <v>3</v>
      </c>
    </row>
    <row r="59" spans="1:13">
      <c r="A59" s="5" t="str">
        <f>FMECA!A60</f>
        <v>OC1_Sys</v>
      </c>
      <c r="B59" s="71" t="str">
        <f>FMECA!B60</f>
        <v>Decrease of current gain</v>
      </c>
      <c r="C59" s="5">
        <f>FMECA!D60</f>
        <v>8.3333329999999997E-2</v>
      </c>
      <c r="D59" s="5">
        <f>FMECA!V60</f>
        <v>4092</v>
      </c>
      <c r="E59" s="5">
        <f>FMECA!S60</f>
        <v>4093</v>
      </c>
      <c r="F59" s="5">
        <f>FMECA!W60</f>
        <v>4092</v>
      </c>
      <c r="G59" s="5">
        <f>FMECA!X60</f>
        <v>4092</v>
      </c>
      <c r="H59" s="5">
        <f>FMECA!T60</f>
        <v>5</v>
      </c>
      <c r="I59" s="5">
        <f>FMECA!U60</f>
        <v>4093</v>
      </c>
      <c r="J59" s="5">
        <f t="shared" si="0"/>
        <v>0</v>
      </c>
      <c r="K59" s="5">
        <f t="shared" si="1"/>
        <v>0</v>
      </c>
      <c r="L59" s="5">
        <f t="shared" si="2"/>
        <v>4088</v>
      </c>
      <c r="M59" s="5">
        <f t="shared" si="3"/>
        <v>0</v>
      </c>
    </row>
    <row r="60" spans="1:13">
      <c r="A60" s="5" t="str">
        <f>FMECA!A61</f>
        <v>R2_Sys</v>
      </c>
      <c r="B60" s="71" t="str">
        <f>FMECA!B61</f>
        <v>Open</v>
      </c>
      <c r="C60" s="5">
        <f>FMECA!D61</f>
        <v>0.59</v>
      </c>
      <c r="D60" s="5">
        <f>FMECA!V61</f>
        <v>0</v>
      </c>
      <c r="E60" s="5">
        <f>FMECA!S61</f>
        <v>0</v>
      </c>
      <c r="F60" s="5">
        <f>FMECA!W61</f>
        <v>0</v>
      </c>
      <c r="G60" s="5">
        <f>FMECA!X61</f>
        <v>0</v>
      </c>
      <c r="H60" s="5">
        <f>FMECA!T61</f>
        <v>0</v>
      </c>
      <c r="I60" s="5">
        <f>FMECA!U61</f>
        <v>0</v>
      </c>
      <c r="J60" s="5">
        <f t="shared" si="0"/>
        <v>0</v>
      </c>
      <c r="K60" s="5">
        <f t="shared" si="1"/>
        <v>0</v>
      </c>
      <c r="L60" s="5">
        <f t="shared" si="2"/>
        <v>0</v>
      </c>
      <c r="M60" s="5">
        <f t="shared" si="3"/>
        <v>0</v>
      </c>
    </row>
    <row r="61" spans="1:13">
      <c r="A61" s="5" t="str">
        <f>FMECA!A62</f>
        <v>R2_Sys</v>
      </c>
      <c r="B61" s="71" t="str">
        <f>FMECA!B62</f>
        <v>Short-Circuit</v>
      </c>
      <c r="C61" s="5">
        <f>FMECA!D62</f>
        <v>0.05</v>
      </c>
      <c r="D61" s="5">
        <f>FMECA!V62</f>
        <v>0</v>
      </c>
      <c r="E61" s="5">
        <f>FMECA!S62</f>
        <v>0</v>
      </c>
      <c r="F61" s="5">
        <f>FMECA!W62</f>
        <v>0</v>
      </c>
      <c r="G61" s="5">
        <f>FMECA!X62</f>
        <v>0</v>
      </c>
      <c r="H61" s="5">
        <f>FMECA!T62</f>
        <v>0</v>
      </c>
      <c r="I61" s="5">
        <f>FMECA!U62</f>
        <v>0</v>
      </c>
      <c r="J61" s="5">
        <f t="shared" si="0"/>
        <v>0</v>
      </c>
      <c r="K61" s="5">
        <f t="shared" si="1"/>
        <v>0</v>
      </c>
      <c r="L61" s="5">
        <f t="shared" si="2"/>
        <v>0</v>
      </c>
      <c r="M61" s="5">
        <f t="shared" si="3"/>
        <v>0</v>
      </c>
    </row>
    <row r="62" spans="1:13">
      <c r="A62" s="5" t="str">
        <f>FMECA!A63</f>
        <v>R2_Sys</v>
      </c>
      <c r="B62" s="71" t="str">
        <f>FMECA!B63</f>
        <v>Increase of Resistance Value</v>
      </c>
      <c r="C62" s="5">
        <f>FMECA!D63</f>
        <v>0.18</v>
      </c>
      <c r="D62" s="5">
        <f>FMECA!V63</f>
        <v>0</v>
      </c>
      <c r="E62" s="5">
        <f>FMECA!S63</f>
        <v>0</v>
      </c>
      <c r="F62" s="5">
        <f>FMECA!W63</f>
        <v>0</v>
      </c>
      <c r="G62" s="5">
        <f>FMECA!X63</f>
        <v>0</v>
      </c>
      <c r="H62" s="5">
        <f>FMECA!T63</f>
        <v>0</v>
      </c>
      <c r="I62" s="5">
        <f>FMECA!U63</f>
        <v>0</v>
      </c>
      <c r="J62" s="5">
        <f t="shared" si="0"/>
        <v>0</v>
      </c>
      <c r="K62" s="5">
        <f t="shared" si="1"/>
        <v>0</v>
      </c>
      <c r="L62" s="5">
        <f t="shared" si="2"/>
        <v>0</v>
      </c>
      <c r="M62" s="5">
        <f t="shared" si="3"/>
        <v>0</v>
      </c>
    </row>
    <row r="63" spans="1:13">
      <c r="A63" s="5" t="str">
        <f>FMECA!A64</f>
        <v>R2_Sys</v>
      </c>
      <c r="B63" s="71" t="str">
        <f>FMECA!B64</f>
        <v>Decrease of Resistance Value</v>
      </c>
      <c r="C63" s="5">
        <f>FMECA!D64</f>
        <v>0.18</v>
      </c>
      <c r="D63" s="5">
        <f>FMECA!V64</f>
        <v>0</v>
      </c>
      <c r="E63" s="5">
        <f>FMECA!S64</f>
        <v>0</v>
      </c>
      <c r="F63" s="5">
        <f>FMECA!W64</f>
        <v>0</v>
      </c>
      <c r="G63" s="5">
        <f>FMECA!X64</f>
        <v>0</v>
      </c>
      <c r="H63" s="5">
        <f>FMECA!T64</f>
        <v>0</v>
      </c>
      <c r="I63" s="5">
        <f>FMECA!U64</f>
        <v>0</v>
      </c>
      <c r="J63" s="5">
        <f t="shared" si="0"/>
        <v>0</v>
      </c>
      <c r="K63" s="5">
        <f t="shared" si="1"/>
        <v>0</v>
      </c>
      <c r="L63" s="5">
        <f t="shared" si="2"/>
        <v>0</v>
      </c>
      <c r="M63" s="5">
        <f t="shared" si="3"/>
        <v>0</v>
      </c>
    </row>
    <row r="64" spans="1:13">
      <c r="A64" s="5" t="str">
        <f>FMECA!A65</f>
        <v>R2_Sys</v>
      </c>
      <c r="B64" s="71" t="str">
        <f>FMECA!B65</f>
        <v>Short-Circuit to Casing</v>
      </c>
      <c r="C64" s="5">
        <f>FMECA!D65</f>
        <v>0</v>
      </c>
      <c r="D64" s="5">
        <f>FMECA!V65</f>
        <v>54</v>
      </c>
      <c r="E64" s="5">
        <f>FMECA!S65</f>
        <v>4092</v>
      </c>
      <c r="F64" s="5">
        <f>FMECA!W65</f>
        <v>51</v>
      </c>
      <c r="G64" s="5">
        <f>FMECA!X65</f>
        <v>57</v>
      </c>
      <c r="H64" s="5">
        <f>FMECA!T65</f>
        <v>4091</v>
      </c>
      <c r="I64" s="5">
        <f>FMECA!U65</f>
        <v>4095</v>
      </c>
      <c r="J64" s="5">
        <f t="shared" si="0"/>
        <v>3</v>
      </c>
      <c r="K64" s="5">
        <f t="shared" si="1"/>
        <v>3</v>
      </c>
      <c r="L64" s="5">
        <f t="shared" si="2"/>
        <v>1</v>
      </c>
      <c r="M64" s="5">
        <f t="shared" si="3"/>
        <v>3</v>
      </c>
    </row>
    <row r="65" spans="1:13">
      <c r="A65" s="5" t="str">
        <f>FMECA!A66</f>
        <v>OC2_Sys</v>
      </c>
      <c r="B65" s="71" t="str">
        <f>FMECA!B66</f>
        <v>Open diode</v>
      </c>
      <c r="C65" s="5">
        <f>FMECA!D66</f>
        <v>8.3333329999999997E-2</v>
      </c>
      <c r="D65" s="5">
        <f>FMECA!V66</f>
        <v>0</v>
      </c>
      <c r="E65" s="5">
        <f>FMECA!S66</f>
        <v>0</v>
      </c>
      <c r="F65" s="5">
        <f>FMECA!W66</f>
        <v>0</v>
      </c>
      <c r="G65" s="5">
        <f>FMECA!X66</f>
        <v>0</v>
      </c>
      <c r="H65" s="5">
        <f>FMECA!T66</f>
        <v>0</v>
      </c>
      <c r="I65" s="5">
        <f>FMECA!U66</f>
        <v>0</v>
      </c>
      <c r="J65" s="5">
        <f t="shared" si="0"/>
        <v>0</v>
      </c>
      <c r="K65" s="5">
        <f t="shared" si="1"/>
        <v>0</v>
      </c>
      <c r="L65" s="5">
        <f t="shared" si="2"/>
        <v>0</v>
      </c>
      <c r="M65" s="5">
        <f t="shared" si="3"/>
        <v>0</v>
      </c>
    </row>
    <row r="66" spans="1:13">
      <c r="A66" s="5" t="str">
        <f>FMECA!A67</f>
        <v>OC2_Sys</v>
      </c>
      <c r="B66" s="71" t="str">
        <f>FMECA!B67</f>
        <v>Open emitter</v>
      </c>
      <c r="C66" s="5">
        <f>FMECA!D67</f>
        <v>8.3333329999999997E-2</v>
      </c>
      <c r="D66" s="5">
        <f>FMECA!V67</f>
        <v>0</v>
      </c>
      <c r="E66" s="5">
        <f>FMECA!S67</f>
        <v>0</v>
      </c>
      <c r="F66" s="5">
        <f>FMECA!W67</f>
        <v>0</v>
      </c>
      <c r="G66" s="5">
        <f>FMECA!X67</f>
        <v>0</v>
      </c>
      <c r="H66" s="5">
        <f>FMECA!T67</f>
        <v>0</v>
      </c>
      <c r="I66" s="5">
        <f>FMECA!U67</f>
        <v>0</v>
      </c>
      <c r="J66" s="5">
        <f t="shared" si="0"/>
        <v>0</v>
      </c>
      <c r="K66" s="5">
        <f t="shared" si="1"/>
        <v>0</v>
      </c>
      <c r="L66" s="5">
        <f t="shared" si="2"/>
        <v>0</v>
      </c>
      <c r="M66" s="5">
        <f t="shared" si="3"/>
        <v>0</v>
      </c>
    </row>
    <row r="67" spans="1:13">
      <c r="A67" s="5" t="str">
        <f>FMECA!A68</f>
        <v>OC2_Sys</v>
      </c>
      <c r="B67" s="71" t="str">
        <f>FMECA!B68</f>
        <v>Open collector</v>
      </c>
      <c r="C67" s="5">
        <f>FMECA!D68</f>
        <v>8.3333329999999997E-2</v>
      </c>
      <c r="D67" s="5">
        <f>FMECA!V68</f>
        <v>0</v>
      </c>
      <c r="E67" s="5">
        <f>FMECA!S68</f>
        <v>0</v>
      </c>
      <c r="F67" s="5">
        <f>FMECA!W68</f>
        <v>0</v>
      </c>
      <c r="G67" s="5">
        <f>FMECA!X68</f>
        <v>0</v>
      </c>
      <c r="H67" s="5">
        <f>FMECA!T68</f>
        <v>0</v>
      </c>
      <c r="I67" s="5">
        <f>FMECA!U68</f>
        <v>0</v>
      </c>
      <c r="J67" s="5">
        <f t="shared" ref="J67:J130" si="5">ABS(D67-F67)</f>
        <v>0</v>
      </c>
      <c r="K67" s="5">
        <f t="shared" ref="K67:K130" si="6">ABS(D67-G67)</f>
        <v>0</v>
      </c>
      <c r="L67" s="5">
        <f t="shared" ref="L67:L130" si="7">ABS(E67-H67)</f>
        <v>0</v>
      </c>
      <c r="M67" s="5">
        <f t="shared" ref="M67:M130" si="8">ABS(E67-I67)</f>
        <v>0</v>
      </c>
    </row>
    <row r="68" spans="1:13">
      <c r="A68" s="5" t="str">
        <f>FMECA!A69</f>
        <v>OC2_Sys</v>
      </c>
      <c r="B68" s="71" t="str">
        <f>FMECA!B69</f>
        <v>Open base</v>
      </c>
      <c r="C68" s="5">
        <f>FMECA!D69</f>
        <v>8.3333329999999997E-2</v>
      </c>
      <c r="D68" s="5">
        <f>FMECA!V69</f>
        <v>54</v>
      </c>
      <c r="E68" s="5">
        <f>FMECA!S69</f>
        <v>4092</v>
      </c>
      <c r="F68" s="5">
        <f>FMECA!W69</f>
        <v>51</v>
      </c>
      <c r="G68" s="5">
        <f>FMECA!X69</f>
        <v>57</v>
      </c>
      <c r="H68" s="5">
        <f>FMECA!T69</f>
        <v>4091</v>
      </c>
      <c r="I68" s="5">
        <f>FMECA!U69</f>
        <v>4095</v>
      </c>
      <c r="J68" s="5">
        <f t="shared" si="5"/>
        <v>3</v>
      </c>
      <c r="K68" s="5">
        <f t="shared" si="6"/>
        <v>3</v>
      </c>
      <c r="L68" s="5">
        <f t="shared" si="7"/>
        <v>1</v>
      </c>
      <c r="M68" s="5">
        <f t="shared" si="8"/>
        <v>3</v>
      </c>
    </row>
    <row r="69" spans="1:13">
      <c r="A69" s="5" t="str">
        <f>FMECA!A70</f>
        <v>OC2_Sys</v>
      </c>
      <c r="B69" s="71" t="str">
        <f>FMECA!B70</f>
        <v>Increase of light sensitivity</v>
      </c>
      <c r="C69" s="5">
        <f>FMECA!D70</f>
        <v>8.3333329999999997E-2</v>
      </c>
      <c r="D69" s="5">
        <f>FMECA!V70</f>
        <v>54</v>
      </c>
      <c r="E69" s="5">
        <f>FMECA!S70</f>
        <v>4092</v>
      </c>
      <c r="F69" s="5">
        <f>FMECA!W70</f>
        <v>51</v>
      </c>
      <c r="G69" s="5">
        <f>FMECA!X70</f>
        <v>57</v>
      </c>
      <c r="H69" s="5">
        <f>FMECA!T70</f>
        <v>4091</v>
      </c>
      <c r="I69" s="5">
        <f>FMECA!U70</f>
        <v>4095</v>
      </c>
      <c r="J69" s="5">
        <f t="shared" si="5"/>
        <v>3</v>
      </c>
      <c r="K69" s="5">
        <f t="shared" si="6"/>
        <v>3</v>
      </c>
      <c r="L69" s="5">
        <f t="shared" si="7"/>
        <v>1</v>
      </c>
      <c r="M69" s="5">
        <f t="shared" si="8"/>
        <v>3</v>
      </c>
    </row>
    <row r="70" spans="1:13">
      <c r="A70" s="5" t="str">
        <f>FMECA!A71</f>
        <v>OC2_Sys</v>
      </c>
      <c r="B70" s="71" t="str">
        <f>FMECA!B71</f>
        <v>Decrease of light sensitivity</v>
      </c>
      <c r="C70" s="5">
        <f>FMECA!D71</f>
        <v>8.3333329999999997E-2</v>
      </c>
      <c r="D70" s="5">
        <f>FMECA!V71</f>
        <v>0</v>
      </c>
      <c r="E70" s="5">
        <f>FMECA!S71</f>
        <v>0</v>
      </c>
      <c r="F70" s="5">
        <f>FMECA!W71</f>
        <v>0</v>
      </c>
      <c r="G70" s="5">
        <f>FMECA!X71</f>
        <v>0</v>
      </c>
      <c r="H70" s="5">
        <f>FMECA!T71</f>
        <v>0</v>
      </c>
      <c r="I70" s="5">
        <f>FMECA!U71</f>
        <v>0</v>
      </c>
      <c r="J70" s="5">
        <f t="shared" si="5"/>
        <v>0</v>
      </c>
      <c r="K70" s="5">
        <f t="shared" si="6"/>
        <v>0</v>
      </c>
      <c r="L70" s="5">
        <f t="shared" si="7"/>
        <v>0</v>
      </c>
      <c r="M70" s="5">
        <f t="shared" si="8"/>
        <v>0</v>
      </c>
    </row>
    <row r="71" spans="1:13">
      <c r="A71" s="5" t="str">
        <f>FMECA!A72</f>
        <v>OC2_Sys</v>
      </c>
      <c r="B71" s="71" t="str">
        <f>FMECA!B72</f>
        <v>Increase of leakage current</v>
      </c>
      <c r="C71" s="5">
        <f>FMECA!D72</f>
        <v>0.125</v>
      </c>
      <c r="D71" s="5">
        <f>FMECA!V72</f>
        <v>0</v>
      </c>
      <c r="E71" s="5">
        <f>FMECA!S72</f>
        <v>0</v>
      </c>
      <c r="F71" s="5">
        <f>FMECA!W72</f>
        <v>0</v>
      </c>
      <c r="G71" s="5">
        <f>FMECA!X72</f>
        <v>0</v>
      </c>
      <c r="H71" s="5">
        <f>FMECA!T72</f>
        <v>0</v>
      </c>
      <c r="I71" s="5">
        <f>FMECA!U72</f>
        <v>0</v>
      </c>
      <c r="J71" s="5">
        <f t="shared" si="5"/>
        <v>0</v>
      </c>
      <c r="K71" s="5">
        <f t="shared" si="6"/>
        <v>0</v>
      </c>
      <c r="L71" s="5">
        <f t="shared" si="7"/>
        <v>0</v>
      </c>
      <c r="M71" s="5">
        <f t="shared" si="8"/>
        <v>0</v>
      </c>
    </row>
    <row r="72" spans="1:13">
      <c r="A72" s="5" t="str">
        <f>FMECA!A73</f>
        <v>OC2_Sys</v>
      </c>
      <c r="B72" s="71" t="str">
        <f>FMECA!B73</f>
        <v>Reduced insulation between input and output</v>
      </c>
      <c r="C72" s="5">
        <f>FMECA!D73</f>
        <v>0.125</v>
      </c>
      <c r="D72" s="5">
        <f>FMECA!V73</f>
        <v>0</v>
      </c>
      <c r="E72" s="5">
        <f>FMECA!S73</f>
        <v>0</v>
      </c>
      <c r="F72" s="5">
        <f>FMECA!W73</f>
        <v>0</v>
      </c>
      <c r="G72" s="5">
        <f>FMECA!X73</f>
        <v>0</v>
      </c>
      <c r="H72" s="5">
        <f>FMECA!T73</f>
        <v>0</v>
      </c>
      <c r="I72" s="5">
        <f>FMECA!U73</f>
        <v>0</v>
      </c>
      <c r="J72" s="5">
        <f t="shared" si="5"/>
        <v>0</v>
      </c>
      <c r="K72" s="5">
        <f t="shared" si="6"/>
        <v>0</v>
      </c>
      <c r="L72" s="5">
        <f t="shared" si="7"/>
        <v>0</v>
      </c>
      <c r="M72" s="5">
        <f t="shared" si="8"/>
        <v>0</v>
      </c>
    </row>
    <row r="73" spans="1:13">
      <c r="A73" s="5" t="str">
        <f>FMECA!A74</f>
        <v>OC2_Sys</v>
      </c>
      <c r="B73" s="71" t="str">
        <f>FMECA!B74</f>
        <v>Change on switching time</v>
      </c>
      <c r="C73" s="5">
        <f>FMECA!D74</f>
        <v>8.3333329999999997E-2</v>
      </c>
      <c r="D73" s="5">
        <f>FMECA!V74</f>
        <v>0</v>
      </c>
      <c r="E73" s="5">
        <f>FMECA!S74</f>
        <v>0</v>
      </c>
      <c r="F73" s="5">
        <f>FMECA!W74</f>
        <v>0</v>
      </c>
      <c r="G73" s="5">
        <f>FMECA!X74</f>
        <v>0</v>
      </c>
      <c r="H73" s="5">
        <f>FMECA!T74</f>
        <v>0</v>
      </c>
      <c r="I73" s="5">
        <f>FMECA!U74</f>
        <v>0</v>
      </c>
      <c r="J73" s="5">
        <f t="shared" si="5"/>
        <v>0</v>
      </c>
      <c r="K73" s="5">
        <f t="shared" si="6"/>
        <v>0</v>
      </c>
      <c r="L73" s="5">
        <f t="shared" si="7"/>
        <v>0</v>
      </c>
      <c r="M73" s="5">
        <f t="shared" si="8"/>
        <v>0</v>
      </c>
    </row>
    <row r="74" spans="1:13">
      <c r="A74" s="5" t="str">
        <f>FMECA!A75</f>
        <v>OC2_Sys</v>
      </c>
      <c r="B74" s="71" t="str">
        <f>FMECA!B75</f>
        <v>Increase of current gain</v>
      </c>
      <c r="C74" s="5">
        <f>FMECA!D75</f>
        <v>8.3333329999999997E-2</v>
      </c>
      <c r="D74" s="5">
        <f>FMECA!V75</f>
        <v>54</v>
      </c>
      <c r="E74" s="5">
        <f>FMECA!S75</f>
        <v>4092</v>
      </c>
      <c r="F74" s="5">
        <f>FMECA!W75</f>
        <v>51</v>
      </c>
      <c r="G74" s="5">
        <f>FMECA!X75</f>
        <v>57</v>
      </c>
      <c r="H74" s="5">
        <f>FMECA!T75</f>
        <v>4091</v>
      </c>
      <c r="I74" s="5">
        <f>FMECA!U75</f>
        <v>4095</v>
      </c>
      <c r="J74" s="5">
        <f t="shared" si="5"/>
        <v>3</v>
      </c>
      <c r="K74" s="5">
        <f t="shared" si="6"/>
        <v>3</v>
      </c>
      <c r="L74" s="5">
        <f t="shared" si="7"/>
        <v>1</v>
      </c>
      <c r="M74" s="5">
        <f t="shared" si="8"/>
        <v>3</v>
      </c>
    </row>
    <row r="75" spans="1:13">
      <c r="A75" s="5" t="str">
        <f>FMECA!A76</f>
        <v>OC2_Sys</v>
      </c>
      <c r="B75" s="71" t="str">
        <f>FMECA!B76</f>
        <v>Decrease of current gain</v>
      </c>
      <c r="C75" s="5">
        <f>FMECA!D76</f>
        <v>8.3333329999999997E-2</v>
      </c>
      <c r="D75" s="5">
        <f>FMECA!V76</f>
        <v>0</v>
      </c>
      <c r="E75" s="5">
        <f>FMECA!S76</f>
        <v>0</v>
      </c>
      <c r="F75" s="5">
        <f>FMECA!W76</f>
        <v>0</v>
      </c>
      <c r="G75" s="5">
        <f>FMECA!X76</f>
        <v>0</v>
      </c>
      <c r="H75" s="5">
        <f>FMECA!T76</f>
        <v>0</v>
      </c>
      <c r="I75" s="5">
        <f>FMECA!U76</f>
        <v>0</v>
      </c>
      <c r="J75" s="5">
        <f t="shared" si="5"/>
        <v>0</v>
      </c>
      <c r="K75" s="5">
        <f t="shared" si="6"/>
        <v>0</v>
      </c>
      <c r="L75" s="5">
        <f t="shared" si="7"/>
        <v>0</v>
      </c>
      <c r="M75" s="5">
        <f t="shared" si="8"/>
        <v>0</v>
      </c>
    </row>
    <row r="76" spans="1:13">
      <c r="A76" s="5" t="str">
        <f>FMECA!A77</f>
        <v>R3_Sys</v>
      </c>
      <c r="B76" s="71" t="str">
        <f>FMECA!B77</f>
        <v>Open</v>
      </c>
      <c r="C76" s="5">
        <f>FMECA!D77</f>
        <v>0.59</v>
      </c>
      <c r="D76" s="5">
        <f>FMECA!V77</f>
        <v>0</v>
      </c>
      <c r="E76" s="5">
        <f>FMECA!S77</f>
        <v>0</v>
      </c>
      <c r="F76" s="5">
        <f>FMECA!W77</f>
        <v>0</v>
      </c>
      <c r="G76" s="5">
        <f>FMECA!X77</f>
        <v>0</v>
      </c>
      <c r="H76" s="5">
        <f>FMECA!T77</f>
        <v>0</v>
      </c>
      <c r="I76" s="5">
        <f>FMECA!U77</f>
        <v>0</v>
      </c>
      <c r="J76" s="5">
        <f t="shared" si="5"/>
        <v>0</v>
      </c>
      <c r="K76" s="5">
        <f t="shared" si="6"/>
        <v>0</v>
      </c>
      <c r="L76" s="5">
        <f t="shared" si="7"/>
        <v>0</v>
      </c>
      <c r="M76" s="5">
        <f t="shared" si="8"/>
        <v>0</v>
      </c>
    </row>
    <row r="77" spans="1:13">
      <c r="A77" s="5" t="str">
        <f>FMECA!A78</f>
        <v>R3_Sys</v>
      </c>
      <c r="B77" s="71" t="str">
        <f>FMECA!B78</f>
        <v>Short-Circuit</v>
      </c>
      <c r="C77" s="5">
        <f>FMECA!D78</f>
        <v>0.05</v>
      </c>
      <c r="D77" s="5">
        <f>FMECA!V78</f>
        <v>54</v>
      </c>
      <c r="E77" s="5">
        <f>FMECA!S78</f>
        <v>4092</v>
      </c>
      <c r="F77" s="5">
        <f>FMECA!W78</f>
        <v>51</v>
      </c>
      <c r="G77" s="5">
        <f>FMECA!X78</f>
        <v>57</v>
      </c>
      <c r="H77" s="5">
        <f>FMECA!T78</f>
        <v>4091</v>
      </c>
      <c r="I77" s="5">
        <f>FMECA!U78</f>
        <v>4095</v>
      </c>
      <c r="J77" s="5">
        <f t="shared" si="5"/>
        <v>3</v>
      </c>
      <c r="K77" s="5">
        <f t="shared" si="6"/>
        <v>3</v>
      </c>
      <c r="L77" s="5">
        <f t="shared" si="7"/>
        <v>1</v>
      </c>
      <c r="M77" s="5">
        <f t="shared" si="8"/>
        <v>3</v>
      </c>
    </row>
    <row r="78" spans="1:13">
      <c r="A78" s="5" t="str">
        <f>FMECA!A79</f>
        <v>R3_Sys</v>
      </c>
      <c r="B78" s="71" t="str">
        <f>FMECA!B79</f>
        <v>Increase of Resistance Value</v>
      </c>
      <c r="C78" s="5">
        <f>FMECA!D79</f>
        <v>0.18</v>
      </c>
      <c r="D78" s="5">
        <f>FMECA!V79</f>
        <v>0</v>
      </c>
      <c r="E78" s="5">
        <f>FMECA!S79</f>
        <v>0</v>
      </c>
      <c r="F78" s="5">
        <f>FMECA!W79</f>
        <v>0</v>
      </c>
      <c r="G78" s="5">
        <f>FMECA!X79</f>
        <v>0</v>
      </c>
      <c r="H78" s="5">
        <f>FMECA!T79</f>
        <v>0</v>
      </c>
      <c r="I78" s="5">
        <f>FMECA!U79</f>
        <v>0</v>
      </c>
      <c r="J78" s="5">
        <f t="shared" si="5"/>
        <v>0</v>
      </c>
      <c r="K78" s="5">
        <f t="shared" si="6"/>
        <v>0</v>
      </c>
      <c r="L78" s="5">
        <f t="shared" si="7"/>
        <v>0</v>
      </c>
      <c r="M78" s="5">
        <f t="shared" si="8"/>
        <v>0</v>
      </c>
    </row>
    <row r="79" spans="1:13">
      <c r="A79" s="5" t="str">
        <f>FMECA!A80</f>
        <v>R3_Sys</v>
      </c>
      <c r="B79" s="71" t="str">
        <f>FMECA!B80</f>
        <v>Decrease of Resistance Value</v>
      </c>
      <c r="C79" s="5">
        <f>FMECA!D80</f>
        <v>0.18</v>
      </c>
      <c r="D79" s="5">
        <f>FMECA!V80</f>
        <v>54</v>
      </c>
      <c r="E79" s="5">
        <f>FMECA!S80</f>
        <v>4092</v>
      </c>
      <c r="F79" s="5">
        <f>FMECA!W80</f>
        <v>51</v>
      </c>
      <c r="G79" s="5">
        <f>FMECA!X80</f>
        <v>57</v>
      </c>
      <c r="H79" s="5">
        <f>FMECA!T80</f>
        <v>4091</v>
      </c>
      <c r="I79" s="5">
        <f>FMECA!U80</f>
        <v>4095</v>
      </c>
      <c r="J79" s="5">
        <f t="shared" si="5"/>
        <v>3</v>
      </c>
      <c r="K79" s="5">
        <f t="shared" si="6"/>
        <v>3</v>
      </c>
      <c r="L79" s="5">
        <f t="shared" si="7"/>
        <v>1</v>
      </c>
      <c r="M79" s="5">
        <f t="shared" si="8"/>
        <v>3</v>
      </c>
    </row>
    <row r="80" spans="1:13">
      <c r="A80" s="5" t="str">
        <f>FMECA!A81</f>
        <v>R3_Sys</v>
      </c>
      <c r="B80" s="71" t="str">
        <f>FMECA!B81</f>
        <v>Short-Circuit to Casing</v>
      </c>
      <c r="C80" s="5">
        <f>FMECA!D81</f>
        <v>0</v>
      </c>
      <c r="D80" s="5">
        <f>FMECA!V81</f>
        <v>54</v>
      </c>
      <c r="E80" s="5">
        <f>FMECA!S81</f>
        <v>4092</v>
      </c>
      <c r="F80" s="5">
        <f>FMECA!W81</f>
        <v>51</v>
      </c>
      <c r="G80" s="5">
        <f>FMECA!X81</f>
        <v>57</v>
      </c>
      <c r="H80" s="5">
        <f>FMECA!T81</f>
        <v>4091</v>
      </c>
      <c r="I80" s="5">
        <f>FMECA!U81</f>
        <v>4095</v>
      </c>
      <c r="J80" s="5">
        <f t="shared" si="5"/>
        <v>3</v>
      </c>
      <c r="K80" s="5">
        <f t="shared" si="6"/>
        <v>3</v>
      </c>
      <c r="L80" s="5">
        <f t="shared" si="7"/>
        <v>1</v>
      </c>
      <c r="M80" s="5">
        <f t="shared" si="8"/>
        <v>3</v>
      </c>
    </row>
    <row r="81" spans="1:13">
      <c r="A81" s="5" t="str">
        <f>FMECA!A82</f>
        <v>OC3_Sys</v>
      </c>
      <c r="B81" s="71" t="str">
        <f>FMECA!B82</f>
        <v>Open diode</v>
      </c>
      <c r="C81" s="5">
        <f>FMECA!D82</f>
        <v>8.3333329999999997E-2</v>
      </c>
      <c r="D81" s="5">
        <f>FMECA!V82</f>
        <v>0</v>
      </c>
      <c r="E81" s="5">
        <f>FMECA!S82</f>
        <v>0</v>
      </c>
      <c r="F81" s="5">
        <f>FMECA!W82</f>
        <v>0</v>
      </c>
      <c r="G81" s="5">
        <f>FMECA!X82</f>
        <v>0</v>
      </c>
      <c r="H81" s="5">
        <f>FMECA!T82</f>
        <v>0</v>
      </c>
      <c r="I81" s="5">
        <f>FMECA!U82</f>
        <v>0</v>
      </c>
      <c r="J81" s="5">
        <f t="shared" si="5"/>
        <v>0</v>
      </c>
      <c r="K81" s="5">
        <f t="shared" si="6"/>
        <v>0</v>
      </c>
      <c r="L81" s="5">
        <f t="shared" si="7"/>
        <v>0</v>
      </c>
      <c r="M81" s="5">
        <f t="shared" si="8"/>
        <v>0</v>
      </c>
    </row>
    <row r="82" spans="1:13">
      <c r="A82" s="5" t="str">
        <f>FMECA!A83</f>
        <v>OC3_Sys</v>
      </c>
      <c r="B82" s="71" t="str">
        <f>FMECA!B83</f>
        <v>Open emitter</v>
      </c>
      <c r="C82" s="5">
        <f>FMECA!D83</f>
        <v>8.3333329999999997E-2</v>
      </c>
      <c r="D82" s="5">
        <f>FMECA!V83</f>
        <v>0</v>
      </c>
      <c r="E82" s="5">
        <f>FMECA!S83</f>
        <v>0</v>
      </c>
      <c r="F82" s="5">
        <f>FMECA!W83</f>
        <v>0</v>
      </c>
      <c r="G82" s="5">
        <f>FMECA!X83</f>
        <v>0</v>
      </c>
      <c r="H82" s="5">
        <f>FMECA!T83</f>
        <v>0</v>
      </c>
      <c r="I82" s="5">
        <f>FMECA!U83</f>
        <v>0</v>
      </c>
      <c r="J82" s="5">
        <f t="shared" si="5"/>
        <v>0</v>
      </c>
      <c r="K82" s="5">
        <f t="shared" si="6"/>
        <v>0</v>
      </c>
      <c r="L82" s="5">
        <f t="shared" si="7"/>
        <v>0</v>
      </c>
      <c r="M82" s="5">
        <f t="shared" si="8"/>
        <v>0</v>
      </c>
    </row>
    <row r="83" spans="1:13">
      <c r="A83" s="5" t="str">
        <f>FMECA!A84</f>
        <v>OC3_Sys</v>
      </c>
      <c r="B83" s="71" t="str">
        <f>FMECA!B84</f>
        <v>Open collector</v>
      </c>
      <c r="C83" s="5">
        <f>FMECA!D84</f>
        <v>8.3333329999999997E-2</v>
      </c>
      <c r="D83" s="5">
        <f>FMECA!V84</f>
        <v>0</v>
      </c>
      <c r="E83" s="5">
        <f>FMECA!S84</f>
        <v>0</v>
      </c>
      <c r="F83" s="5">
        <f>FMECA!W84</f>
        <v>0</v>
      </c>
      <c r="G83" s="5">
        <f>FMECA!X84</f>
        <v>0</v>
      </c>
      <c r="H83" s="5">
        <f>FMECA!T84</f>
        <v>0</v>
      </c>
      <c r="I83" s="5">
        <f>FMECA!U84</f>
        <v>0</v>
      </c>
      <c r="J83" s="5">
        <f t="shared" si="5"/>
        <v>0</v>
      </c>
      <c r="K83" s="5">
        <f t="shared" si="6"/>
        <v>0</v>
      </c>
      <c r="L83" s="5">
        <f t="shared" si="7"/>
        <v>0</v>
      </c>
      <c r="M83" s="5">
        <f t="shared" si="8"/>
        <v>0</v>
      </c>
    </row>
    <row r="84" spans="1:13">
      <c r="A84" s="5" t="str">
        <f>FMECA!A85</f>
        <v>OC3_Sys</v>
      </c>
      <c r="B84" s="71" t="str">
        <f>FMECA!B85</f>
        <v>Open base</v>
      </c>
      <c r="C84" s="5">
        <f>FMECA!D85</f>
        <v>8.3333329999999997E-2</v>
      </c>
      <c r="D84" s="5">
        <f>FMECA!V85</f>
        <v>54</v>
      </c>
      <c r="E84" s="5">
        <f>FMECA!S85</f>
        <v>4092</v>
      </c>
      <c r="F84" s="5">
        <f>FMECA!W85</f>
        <v>51</v>
      </c>
      <c r="G84" s="5">
        <f>FMECA!X85</f>
        <v>57</v>
      </c>
      <c r="H84" s="5">
        <f>FMECA!T85</f>
        <v>4091</v>
      </c>
      <c r="I84" s="5">
        <f>FMECA!U85</f>
        <v>4095</v>
      </c>
      <c r="J84" s="5">
        <f t="shared" si="5"/>
        <v>3</v>
      </c>
      <c r="K84" s="5">
        <f t="shared" si="6"/>
        <v>3</v>
      </c>
      <c r="L84" s="5">
        <f t="shared" si="7"/>
        <v>1</v>
      </c>
      <c r="M84" s="5">
        <f t="shared" si="8"/>
        <v>3</v>
      </c>
    </row>
    <row r="85" spans="1:13">
      <c r="A85" s="5" t="str">
        <f>FMECA!A86</f>
        <v>OC3_Sys</v>
      </c>
      <c r="B85" s="71" t="str">
        <f>FMECA!B86</f>
        <v>Increase of light sensitivity</v>
      </c>
      <c r="C85" s="5">
        <f>FMECA!D86</f>
        <v>8.3333329999999997E-2</v>
      </c>
      <c r="D85" s="5">
        <f>FMECA!V86</f>
        <v>54</v>
      </c>
      <c r="E85" s="5">
        <f>FMECA!S86</f>
        <v>4092</v>
      </c>
      <c r="F85" s="5">
        <f>FMECA!W86</f>
        <v>51</v>
      </c>
      <c r="G85" s="5">
        <f>FMECA!X86</f>
        <v>57</v>
      </c>
      <c r="H85" s="5">
        <f>FMECA!T86</f>
        <v>4091</v>
      </c>
      <c r="I85" s="5">
        <f>FMECA!U86</f>
        <v>4095</v>
      </c>
      <c r="J85" s="5">
        <f t="shared" si="5"/>
        <v>3</v>
      </c>
      <c r="K85" s="5">
        <f t="shared" si="6"/>
        <v>3</v>
      </c>
      <c r="L85" s="5">
        <f t="shared" si="7"/>
        <v>1</v>
      </c>
      <c r="M85" s="5">
        <f t="shared" si="8"/>
        <v>3</v>
      </c>
    </row>
    <row r="86" spans="1:13">
      <c r="A86" s="5" t="str">
        <f>FMECA!A87</f>
        <v>OC3_Sys</v>
      </c>
      <c r="B86" s="71" t="str">
        <f>FMECA!B87</f>
        <v>Decrease of light sensitivity</v>
      </c>
      <c r="C86" s="5">
        <f>FMECA!D87</f>
        <v>8.3333329999999997E-2</v>
      </c>
      <c r="D86" s="5">
        <f>FMECA!V87</f>
        <v>0</v>
      </c>
      <c r="E86" s="5">
        <f>FMECA!S87</f>
        <v>0</v>
      </c>
      <c r="F86" s="5">
        <f>FMECA!W87</f>
        <v>0</v>
      </c>
      <c r="G86" s="5">
        <f>FMECA!X87</f>
        <v>0</v>
      </c>
      <c r="H86" s="5">
        <f>FMECA!T87</f>
        <v>0</v>
      </c>
      <c r="I86" s="5">
        <f>FMECA!U87</f>
        <v>0</v>
      </c>
      <c r="J86" s="5">
        <f t="shared" si="5"/>
        <v>0</v>
      </c>
      <c r="K86" s="5">
        <f t="shared" si="6"/>
        <v>0</v>
      </c>
      <c r="L86" s="5">
        <f t="shared" si="7"/>
        <v>0</v>
      </c>
      <c r="M86" s="5">
        <f t="shared" si="8"/>
        <v>0</v>
      </c>
    </row>
    <row r="87" spans="1:13">
      <c r="A87" s="5" t="str">
        <f>FMECA!A88</f>
        <v>OC3_Sys</v>
      </c>
      <c r="B87" s="71" t="str">
        <f>FMECA!B88</f>
        <v>Increase of leakage current</v>
      </c>
      <c r="C87" s="5">
        <f>FMECA!D88</f>
        <v>0.125</v>
      </c>
      <c r="D87" s="5">
        <f>FMECA!V88</f>
        <v>0</v>
      </c>
      <c r="E87" s="5">
        <f>FMECA!S88</f>
        <v>0</v>
      </c>
      <c r="F87" s="5">
        <f>FMECA!W88</f>
        <v>0</v>
      </c>
      <c r="G87" s="5">
        <f>FMECA!X88</f>
        <v>0</v>
      </c>
      <c r="H87" s="5">
        <f>FMECA!T88</f>
        <v>0</v>
      </c>
      <c r="I87" s="5">
        <f>FMECA!U88</f>
        <v>0</v>
      </c>
      <c r="J87" s="5">
        <f t="shared" si="5"/>
        <v>0</v>
      </c>
      <c r="K87" s="5">
        <f t="shared" si="6"/>
        <v>0</v>
      </c>
      <c r="L87" s="5">
        <f t="shared" si="7"/>
        <v>0</v>
      </c>
      <c r="M87" s="5">
        <f t="shared" si="8"/>
        <v>0</v>
      </c>
    </row>
    <row r="88" spans="1:13">
      <c r="A88" s="5" t="str">
        <f>FMECA!A89</f>
        <v>OC3_Sys</v>
      </c>
      <c r="B88" s="71" t="str">
        <f>FMECA!B89</f>
        <v>Reduced insulation between input and output</v>
      </c>
      <c r="C88" s="5">
        <f>FMECA!D89</f>
        <v>0.125</v>
      </c>
      <c r="D88" s="5">
        <f>FMECA!V89</f>
        <v>54</v>
      </c>
      <c r="E88" s="5">
        <f>FMECA!S89</f>
        <v>4092</v>
      </c>
      <c r="F88" s="5">
        <f>FMECA!W89</f>
        <v>51</v>
      </c>
      <c r="G88" s="5">
        <f>FMECA!X89</f>
        <v>57</v>
      </c>
      <c r="H88" s="5">
        <f>FMECA!T89</f>
        <v>4091</v>
      </c>
      <c r="I88" s="5">
        <f>FMECA!U89</f>
        <v>4095</v>
      </c>
      <c r="J88" s="5">
        <f t="shared" si="5"/>
        <v>3</v>
      </c>
      <c r="K88" s="5">
        <f t="shared" si="6"/>
        <v>3</v>
      </c>
      <c r="L88" s="5">
        <f t="shared" si="7"/>
        <v>1</v>
      </c>
      <c r="M88" s="5">
        <f t="shared" si="8"/>
        <v>3</v>
      </c>
    </row>
    <row r="89" spans="1:13">
      <c r="A89" s="5" t="str">
        <f>FMECA!A90</f>
        <v>OC3_Sys</v>
      </c>
      <c r="B89" s="71" t="str">
        <f>FMECA!B90</f>
        <v>Change on switching time</v>
      </c>
      <c r="C89" s="5">
        <f>FMECA!D90</f>
        <v>8.3333329999999997E-2</v>
      </c>
      <c r="D89" s="5">
        <f>FMECA!V90</f>
        <v>54</v>
      </c>
      <c r="E89" s="5">
        <f>FMECA!S90</f>
        <v>4092</v>
      </c>
      <c r="F89" s="5">
        <f>FMECA!W90</f>
        <v>51</v>
      </c>
      <c r="G89" s="5">
        <f>FMECA!X90</f>
        <v>57</v>
      </c>
      <c r="H89" s="5">
        <f>FMECA!T90</f>
        <v>4091</v>
      </c>
      <c r="I89" s="5">
        <f>FMECA!U90</f>
        <v>4095</v>
      </c>
      <c r="J89" s="5">
        <f t="shared" si="5"/>
        <v>3</v>
      </c>
      <c r="K89" s="5">
        <f t="shared" si="6"/>
        <v>3</v>
      </c>
      <c r="L89" s="5">
        <f t="shared" si="7"/>
        <v>1</v>
      </c>
      <c r="M89" s="5">
        <f t="shared" si="8"/>
        <v>3</v>
      </c>
    </row>
    <row r="90" spans="1:13">
      <c r="A90" s="5" t="str">
        <f>FMECA!A91</f>
        <v>OC3_Sys</v>
      </c>
      <c r="B90" s="71" t="str">
        <f>FMECA!B91</f>
        <v>Increase of current gain</v>
      </c>
      <c r="C90" s="5">
        <f>FMECA!D91</f>
        <v>8.3333329999999997E-2</v>
      </c>
      <c r="D90" s="5">
        <f>FMECA!V91</f>
        <v>54</v>
      </c>
      <c r="E90" s="5">
        <f>FMECA!S91</f>
        <v>4092</v>
      </c>
      <c r="F90" s="5">
        <f>FMECA!W91</f>
        <v>51</v>
      </c>
      <c r="G90" s="5">
        <f>FMECA!X91</f>
        <v>57</v>
      </c>
      <c r="H90" s="5">
        <f>FMECA!T91</f>
        <v>4091</v>
      </c>
      <c r="I90" s="5">
        <f>FMECA!U91</f>
        <v>4095</v>
      </c>
      <c r="J90" s="5">
        <f t="shared" si="5"/>
        <v>3</v>
      </c>
      <c r="K90" s="5">
        <f t="shared" si="6"/>
        <v>3</v>
      </c>
      <c r="L90" s="5">
        <f t="shared" si="7"/>
        <v>1</v>
      </c>
      <c r="M90" s="5">
        <f t="shared" si="8"/>
        <v>3</v>
      </c>
    </row>
    <row r="91" spans="1:13">
      <c r="A91" s="5" t="str">
        <f>FMECA!A92</f>
        <v>OC3_Sys</v>
      </c>
      <c r="B91" s="71" t="str">
        <f>FMECA!B92</f>
        <v>Decrease of current gain</v>
      </c>
      <c r="C91" s="5">
        <f>FMECA!D92</f>
        <v>8.3333329999999997E-2</v>
      </c>
      <c r="D91" s="5">
        <f>FMECA!V92</f>
        <v>0</v>
      </c>
      <c r="E91" s="5">
        <f>FMECA!S92</f>
        <v>0</v>
      </c>
      <c r="F91" s="5">
        <f>FMECA!W92</f>
        <v>0</v>
      </c>
      <c r="G91" s="5">
        <f>FMECA!X92</f>
        <v>0</v>
      </c>
      <c r="H91" s="5">
        <f>FMECA!T92</f>
        <v>0</v>
      </c>
      <c r="I91" s="5">
        <f>FMECA!U92</f>
        <v>0</v>
      </c>
      <c r="J91" s="5">
        <f t="shared" si="5"/>
        <v>0</v>
      </c>
      <c r="K91" s="5">
        <f t="shared" si="6"/>
        <v>0</v>
      </c>
      <c r="L91" s="5">
        <f t="shared" si="7"/>
        <v>0</v>
      </c>
      <c r="M91" s="5">
        <f t="shared" si="8"/>
        <v>0</v>
      </c>
    </row>
    <row r="92" spans="1:13">
      <c r="A92" s="5" t="str">
        <f>FMECA!A93</f>
        <v>D_Sys</v>
      </c>
      <c r="B92" s="71" t="str">
        <f>FMECA!B93</f>
        <v>Open</v>
      </c>
      <c r="C92" s="5">
        <f>FMECA!D93</f>
        <v>0.28999999999999998</v>
      </c>
      <c r="D92" s="5">
        <f>FMECA!V93</f>
        <v>54</v>
      </c>
      <c r="E92" s="5">
        <f>FMECA!S93</f>
        <v>4092</v>
      </c>
      <c r="F92" s="5">
        <f>FMECA!W93</f>
        <v>51</v>
      </c>
      <c r="G92" s="5">
        <f>FMECA!X93</f>
        <v>57</v>
      </c>
      <c r="H92" s="5">
        <f>FMECA!T93</f>
        <v>4091</v>
      </c>
      <c r="I92" s="5">
        <f>FMECA!U93</f>
        <v>4095</v>
      </c>
      <c r="J92" s="5">
        <f t="shared" si="5"/>
        <v>3</v>
      </c>
      <c r="K92" s="5">
        <f t="shared" si="6"/>
        <v>3</v>
      </c>
      <c r="L92" s="5">
        <f t="shared" si="7"/>
        <v>1</v>
      </c>
      <c r="M92" s="5">
        <f t="shared" si="8"/>
        <v>3</v>
      </c>
    </row>
    <row r="93" spans="1:13">
      <c r="A93" s="5" t="str">
        <f>FMECA!A94</f>
        <v>D_Sys</v>
      </c>
      <c r="B93" s="71" t="str">
        <f>FMECA!B94</f>
        <v>Short-Circuit</v>
      </c>
      <c r="C93" s="5">
        <f>FMECA!D94</f>
        <v>0.51</v>
      </c>
      <c r="D93" s="5">
        <f>FMECA!V94</f>
        <v>0</v>
      </c>
      <c r="E93" s="5">
        <f>FMECA!S94</f>
        <v>0</v>
      </c>
      <c r="F93" s="5">
        <f>FMECA!W94</f>
        <v>0</v>
      </c>
      <c r="G93" s="5">
        <f>FMECA!X94</f>
        <v>0</v>
      </c>
      <c r="H93" s="5">
        <f>FMECA!T94</f>
        <v>0</v>
      </c>
      <c r="I93" s="5">
        <f>FMECA!U94</f>
        <v>0</v>
      </c>
      <c r="J93" s="5">
        <f t="shared" si="5"/>
        <v>0</v>
      </c>
      <c r="K93" s="5">
        <f t="shared" si="6"/>
        <v>0</v>
      </c>
      <c r="L93" s="5">
        <f t="shared" si="7"/>
        <v>0</v>
      </c>
      <c r="M93" s="5">
        <f t="shared" si="8"/>
        <v>0</v>
      </c>
    </row>
    <row r="94" spans="1:13">
      <c r="A94" s="5" t="str">
        <f>FMECA!A95</f>
        <v>D_Sys</v>
      </c>
      <c r="B94" s="71" t="str">
        <f>FMECA!B95</f>
        <v>Increase of Reverse Current</v>
      </c>
      <c r="C94" s="5">
        <f>FMECA!D95</f>
        <v>3.3333333333333333E-2</v>
      </c>
      <c r="D94" s="5">
        <f>FMECA!V95</f>
        <v>0</v>
      </c>
      <c r="E94" s="5">
        <f>FMECA!S95</f>
        <v>0</v>
      </c>
      <c r="F94" s="5">
        <f>FMECA!W95</f>
        <v>0</v>
      </c>
      <c r="G94" s="5">
        <f>FMECA!X95</f>
        <v>0</v>
      </c>
      <c r="H94" s="5">
        <f>FMECA!T95</f>
        <v>0</v>
      </c>
      <c r="I94" s="5">
        <f>FMECA!U95</f>
        <v>0</v>
      </c>
      <c r="J94" s="5">
        <f t="shared" si="5"/>
        <v>0</v>
      </c>
      <c r="K94" s="5">
        <f t="shared" si="6"/>
        <v>0</v>
      </c>
      <c r="L94" s="5">
        <f t="shared" si="7"/>
        <v>0</v>
      </c>
      <c r="M94" s="5">
        <f t="shared" si="8"/>
        <v>0</v>
      </c>
    </row>
    <row r="95" spans="1:13">
      <c r="A95" s="5" t="str">
        <f>FMECA!A96</f>
        <v>D_Sys</v>
      </c>
      <c r="B95" s="71" t="str">
        <f>FMECA!B96</f>
        <v>Decrease of Reverse Breakdown Voltage</v>
      </c>
      <c r="C95" s="5">
        <f>FMECA!D96</f>
        <v>3.3333333333333333E-2</v>
      </c>
      <c r="D95" s="5">
        <f>FMECA!V96</f>
        <v>0</v>
      </c>
      <c r="E95" s="5">
        <f>FMECA!S96</f>
        <v>0</v>
      </c>
      <c r="F95" s="5">
        <f>FMECA!W96</f>
        <v>0</v>
      </c>
      <c r="G95" s="5">
        <f>FMECA!X96</f>
        <v>0</v>
      </c>
      <c r="H95" s="5">
        <f>FMECA!T96</f>
        <v>0</v>
      </c>
      <c r="I95" s="5">
        <f>FMECA!U96</f>
        <v>0</v>
      </c>
      <c r="J95" s="5">
        <f t="shared" si="5"/>
        <v>0</v>
      </c>
      <c r="K95" s="5">
        <f t="shared" si="6"/>
        <v>0</v>
      </c>
      <c r="L95" s="5">
        <f t="shared" si="7"/>
        <v>0</v>
      </c>
      <c r="M95" s="5">
        <f t="shared" si="8"/>
        <v>0</v>
      </c>
    </row>
    <row r="96" spans="1:13">
      <c r="A96" s="5" t="str">
        <f>FMECA!A97</f>
        <v>D_Sys</v>
      </c>
      <c r="B96" s="71" t="str">
        <f>FMECA!B97</f>
        <v>Increase of Conducting-State Voltage</v>
      </c>
      <c r="C96" s="5">
        <f>FMECA!D97</f>
        <v>3.3333333333333333E-2</v>
      </c>
      <c r="D96" s="5">
        <f>FMECA!V97</f>
        <v>54</v>
      </c>
      <c r="E96" s="5">
        <f>FMECA!S97</f>
        <v>4092</v>
      </c>
      <c r="F96" s="5">
        <f>FMECA!W97</f>
        <v>51</v>
      </c>
      <c r="G96" s="5">
        <f>FMECA!X97</f>
        <v>57</v>
      </c>
      <c r="H96" s="5">
        <f>FMECA!T97</f>
        <v>4091</v>
      </c>
      <c r="I96" s="5">
        <f>FMECA!U97</f>
        <v>4095</v>
      </c>
      <c r="J96" s="5">
        <f t="shared" si="5"/>
        <v>3</v>
      </c>
      <c r="K96" s="5">
        <f t="shared" si="6"/>
        <v>3</v>
      </c>
      <c r="L96" s="5">
        <f t="shared" si="7"/>
        <v>1</v>
      </c>
      <c r="M96" s="5">
        <f t="shared" si="8"/>
        <v>3</v>
      </c>
    </row>
    <row r="97" spans="1:13">
      <c r="A97" s="5" t="str">
        <f>FMECA!A98</f>
        <v>D_Sys</v>
      </c>
      <c r="B97" s="71" t="str">
        <f>FMECA!B98</f>
        <v>Decrease of Conducting-State Voltage</v>
      </c>
      <c r="C97" s="5">
        <f>FMECA!D98</f>
        <v>3.3333333333333333E-2</v>
      </c>
      <c r="D97" s="5">
        <f>FMECA!V98</f>
        <v>0</v>
      </c>
      <c r="E97" s="5">
        <f>FMECA!S98</f>
        <v>0</v>
      </c>
      <c r="F97" s="5">
        <f>FMECA!W98</f>
        <v>0</v>
      </c>
      <c r="G97" s="5">
        <f>FMECA!X98</f>
        <v>0</v>
      </c>
      <c r="H97" s="5">
        <f>FMECA!T98</f>
        <v>0</v>
      </c>
      <c r="I97" s="5">
        <f>FMECA!U98</f>
        <v>0</v>
      </c>
      <c r="J97" s="5">
        <f t="shared" si="5"/>
        <v>0</v>
      </c>
      <c r="K97" s="5">
        <f t="shared" si="6"/>
        <v>0</v>
      </c>
      <c r="L97" s="5">
        <f t="shared" si="7"/>
        <v>0</v>
      </c>
      <c r="M97" s="5">
        <f t="shared" si="8"/>
        <v>0</v>
      </c>
    </row>
    <row r="98" spans="1:13">
      <c r="A98" s="5" t="str">
        <f>FMECA!A99</f>
        <v>D_Sys</v>
      </c>
      <c r="B98" s="71" t="str">
        <f>FMECA!B99</f>
        <v>Increase of Threshold Voltage</v>
      </c>
      <c r="C98" s="5">
        <f>FMECA!D99</f>
        <v>3.3333333333333333E-2</v>
      </c>
      <c r="D98" s="5">
        <f>FMECA!V99</f>
        <v>54</v>
      </c>
      <c r="E98" s="5">
        <f>FMECA!S99</f>
        <v>4092</v>
      </c>
      <c r="F98" s="5">
        <f>FMECA!W99</f>
        <v>51</v>
      </c>
      <c r="G98" s="5">
        <f>FMECA!X99</f>
        <v>57</v>
      </c>
      <c r="H98" s="5">
        <f>FMECA!T99</f>
        <v>4091</v>
      </c>
      <c r="I98" s="5">
        <f>FMECA!U99</f>
        <v>4095</v>
      </c>
      <c r="J98" s="5">
        <f t="shared" si="5"/>
        <v>3</v>
      </c>
      <c r="K98" s="5">
        <f t="shared" si="6"/>
        <v>3</v>
      </c>
      <c r="L98" s="5">
        <f t="shared" si="7"/>
        <v>1</v>
      </c>
      <c r="M98" s="5">
        <f t="shared" si="8"/>
        <v>3</v>
      </c>
    </row>
    <row r="99" spans="1:13">
      <c r="A99" s="5" t="str">
        <f>FMECA!A100</f>
        <v>D_Sys</v>
      </c>
      <c r="B99" s="71" t="str">
        <f>FMECA!B100</f>
        <v>Decrease of Threshold Voltage</v>
      </c>
      <c r="C99" s="5">
        <f>FMECA!D100</f>
        <v>3.3333333333333333E-2</v>
      </c>
      <c r="D99" s="5">
        <f>FMECA!V100</f>
        <v>0</v>
      </c>
      <c r="E99" s="5">
        <f>FMECA!S100</f>
        <v>0</v>
      </c>
      <c r="F99" s="5">
        <f>FMECA!W100</f>
        <v>0</v>
      </c>
      <c r="G99" s="5">
        <f>FMECA!X100</f>
        <v>0</v>
      </c>
      <c r="H99" s="5">
        <f>FMECA!T100</f>
        <v>0</v>
      </c>
      <c r="I99" s="5">
        <f>FMECA!U100</f>
        <v>0</v>
      </c>
      <c r="J99" s="5">
        <f t="shared" si="5"/>
        <v>0</v>
      </c>
      <c r="K99" s="5">
        <f t="shared" si="6"/>
        <v>0</v>
      </c>
      <c r="L99" s="5">
        <f t="shared" si="7"/>
        <v>0</v>
      </c>
      <c r="M99" s="5">
        <f t="shared" si="8"/>
        <v>0</v>
      </c>
    </row>
    <row r="100" spans="1:13">
      <c r="A100" s="5" t="str">
        <f>FMECA!A101</f>
        <v>D_Sys</v>
      </c>
      <c r="B100" s="71" t="str">
        <f>FMECA!B101</f>
        <v>Short-Circuit to Conductive Casing</v>
      </c>
      <c r="C100" s="5">
        <f>FMECA!D101</f>
        <v>0</v>
      </c>
      <c r="D100" s="5">
        <f>FMECA!V101</f>
        <v>54</v>
      </c>
      <c r="E100" s="5">
        <f>FMECA!S101</f>
        <v>4092</v>
      </c>
      <c r="F100" s="5">
        <f>FMECA!W101</f>
        <v>51</v>
      </c>
      <c r="G100" s="5">
        <f>FMECA!X101</f>
        <v>57</v>
      </c>
      <c r="H100" s="5">
        <f>FMECA!T101</f>
        <v>4091</v>
      </c>
      <c r="I100" s="5">
        <f>FMECA!U101</f>
        <v>4095</v>
      </c>
      <c r="J100" s="5">
        <f t="shared" si="5"/>
        <v>3</v>
      </c>
      <c r="K100" s="5">
        <f t="shared" si="6"/>
        <v>3</v>
      </c>
      <c r="L100" s="5">
        <f t="shared" si="7"/>
        <v>1</v>
      </c>
      <c r="M100" s="5">
        <f t="shared" si="8"/>
        <v>3</v>
      </c>
    </row>
    <row r="101" spans="1:13">
      <c r="A101" s="5" t="str">
        <f>FMECA!A102</f>
        <v>K_Sys</v>
      </c>
      <c r="B101" s="71" t="str">
        <f>FMECA!B102</f>
        <v>Interruption of any coil</v>
      </c>
      <c r="C101" s="5">
        <f>FMECA!D102</f>
        <v>7.8571428571428584E-2</v>
      </c>
      <c r="D101" s="5">
        <f>FMECA!V102</f>
        <v>0</v>
      </c>
      <c r="E101" s="5">
        <f>FMECA!S102</f>
        <v>0</v>
      </c>
      <c r="F101" s="5">
        <f>FMECA!W102</f>
        <v>0</v>
      </c>
      <c r="G101" s="5">
        <f>FMECA!X102</f>
        <v>0</v>
      </c>
      <c r="H101" s="5">
        <f>FMECA!T102</f>
        <v>0</v>
      </c>
      <c r="I101" s="5">
        <f>FMECA!U102</f>
        <v>0</v>
      </c>
      <c r="J101" s="5">
        <f t="shared" si="5"/>
        <v>0</v>
      </c>
      <c r="K101" s="5">
        <f t="shared" si="6"/>
        <v>0</v>
      </c>
      <c r="L101" s="5">
        <f t="shared" si="7"/>
        <v>0</v>
      </c>
      <c r="M101" s="5">
        <f t="shared" si="8"/>
        <v>0</v>
      </c>
    </row>
    <row r="102" spans="1:13">
      <c r="A102" s="5" t="str">
        <f>FMECA!A103</f>
        <v>K_Sys</v>
      </c>
      <c r="B102" s="71" t="str">
        <f>FMECA!B103</f>
        <v>Interruption of NO contact</v>
      </c>
      <c r="C102" s="5">
        <f>FMECA!D103</f>
        <v>1.4444444444444446E-2</v>
      </c>
      <c r="D102" s="5">
        <f>FMECA!V103</f>
        <v>0</v>
      </c>
      <c r="E102" s="5">
        <f>FMECA!S103</f>
        <v>0</v>
      </c>
      <c r="F102" s="5">
        <f>FMECA!W103</f>
        <v>0</v>
      </c>
      <c r="G102" s="5">
        <f>FMECA!X103</f>
        <v>0</v>
      </c>
      <c r="H102" s="5">
        <f>FMECA!T103</f>
        <v>0</v>
      </c>
      <c r="I102" s="5">
        <f>FMECA!U103</f>
        <v>0</v>
      </c>
      <c r="J102" s="5">
        <f t="shared" si="5"/>
        <v>0</v>
      </c>
      <c r="K102" s="5">
        <f t="shared" si="6"/>
        <v>0</v>
      </c>
      <c r="L102" s="5">
        <f t="shared" si="7"/>
        <v>0</v>
      </c>
      <c r="M102" s="5">
        <f t="shared" si="8"/>
        <v>0</v>
      </c>
    </row>
    <row r="103" spans="1:13">
      <c r="A103" s="5" t="str">
        <f>FMECA!A104</f>
        <v>K_Sys</v>
      </c>
      <c r="B103" s="71" t="str">
        <f>FMECA!B104</f>
        <v>Interruption of NC contact</v>
      </c>
      <c r="C103" s="5">
        <f>FMECA!D104</f>
        <v>1.4444444444444446E-2</v>
      </c>
      <c r="D103" s="5">
        <f>FMECA!V104</f>
        <v>54</v>
      </c>
      <c r="E103" s="5">
        <f>FMECA!S104</f>
        <v>4092</v>
      </c>
      <c r="F103" s="5">
        <f>FMECA!W104</f>
        <v>51</v>
      </c>
      <c r="G103" s="5">
        <f>FMECA!X104</f>
        <v>57</v>
      </c>
      <c r="H103" s="5">
        <f>FMECA!T104</f>
        <v>4091</v>
      </c>
      <c r="I103" s="5">
        <f>FMECA!U104</f>
        <v>4095</v>
      </c>
      <c r="J103" s="5">
        <f t="shared" si="5"/>
        <v>3</v>
      </c>
      <c r="K103" s="5">
        <f t="shared" si="6"/>
        <v>3</v>
      </c>
      <c r="L103" s="5">
        <f t="shared" si="7"/>
        <v>1</v>
      </c>
      <c r="M103" s="5">
        <f t="shared" si="8"/>
        <v>3</v>
      </c>
    </row>
    <row r="104" spans="1:13">
      <c r="A104" s="5" t="str">
        <f>FMECA!A105</f>
        <v>K_Sys</v>
      </c>
      <c r="B104" s="71" t="str">
        <f>FMECA!B105</f>
        <v>Short-circuit or decrease of insulation resistance across open contacts</v>
      </c>
      <c r="C104" s="5">
        <f>FMECA!D105</f>
        <v>6.3333333333333339E-2</v>
      </c>
      <c r="D104" s="5">
        <f>FMECA!V105</f>
        <v>54</v>
      </c>
      <c r="E104" s="5">
        <f>FMECA!S105</f>
        <v>4092</v>
      </c>
      <c r="F104" s="5">
        <f>FMECA!W105</f>
        <v>51</v>
      </c>
      <c r="G104" s="5">
        <f>FMECA!X105</f>
        <v>57</v>
      </c>
      <c r="H104" s="5">
        <f>FMECA!T105</f>
        <v>4091</v>
      </c>
      <c r="I104" s="5">
        <f>FMECA!U105</f>
        <v>4095</v>
      </c>
      <c r="J104" s="5">
        <f t="shared" si="5"/>
        <v>3</v>
      </c>
      <c r="K104" s="5">
        <f t="shared" si="6"/>
        <v>3</v>
      </c>
      <c r="L104" s="5">
        <f t="shared" si="7"/>
        <v>1</v>
      </c>
      <c r="M104" s="5">
        <f t="shared" si="8"/>
        <v>3</v>
      </c>
    </row>
    <row r="105" spans="1:13">
      <c r="A105" s="5" t="str">
        <f>FMECA!A106</f>
        <v>K_Sys</v>
      </c>
      <c r="B105" s="71" t="str">
        <f>FMECA!B106</f>
        <v>Short-circuit or decrease of insulation resistance between coil and coil</v>
      </c>
      <c r="C105" s="5">
        <f>FMECA!D106</f>
        <v>0</v>
      </c>
      <c r="D105" s="5">
        <f>FMECA!V106</f>
        <v>54</v>
      </c>
      <c r="E105" s="5">
        <f>FMECA!S106</f>
        <v>4092</v>
      </c>
      <c r="F105" s="5">
        <f>FMECA!W106</f>
        <v>51</v>
      </c>
      <c r="G105" s="5">
        <f>FMECA!X106</f>
        <v>57</v>
      </c>
      <c r="H105" s="5">
        <f>FMECA!T106</f>
        <v>4091</v>
      </c>
      <c r="I105" s="5">
        <f>FMECA!U106</f>
        <v>4095</v>
      </c>
      <c r="J105" s="5">
        <f t="shared" si="5"/>
        <v>3</v>
      </c>
      <c r="K105" s="5">
        <f t="shared" si="6"/>
        <v>3</v>
      </c>
      <c r="L105" s="5">
        <f t="shared" si="7"/>
        <v>1</v>
      </c>
      <c r="M105" s="5">
        <f t="shared" si="8"/>
        <v>3</v>
      </c>
    </row>
    <row r="106" spans="1:13">
      <c r="A106" s="5" t="str">
        <f>FMECA!A107</f>
        <v>K_Sys</v>
      </c>
      <c r="B106" s="71" t="str">
        <f>FMECA!B107</f>
        <v>Short-circuit or decrease of insulation resistance between coil and contact</v>
      </c>
      <c r="C106" s="5">
        <f>FMECA!D107</f>
        <v>6.3333333333333339E-2</v>
      </c>
      <c r="D106" s="5">
        <f>FMECA!V107</f>
        <v>54</v>
      </c>
      <c r="E106" s="5">
        <f>FMECA!S107</f>
        <v>4092</v>
      </c>
      <c r="F106" s="5">
        <f>FMECA!W107</f>
        <v>51</v>
      </c>
      <c r="G106" s="5">
        <f>FMECA!X107</f>
        <v>57</v>
      </c>
      <c r="H106" s="5">
        <f>FMECA!T107</f>
        <v>4091</v>
      </c>
      <c r="I106" s="5">
        <f>FMECA!U107</f>
        <v>4095</v>
      </c>
      <c r="J106" s="5">
        <f t="shared" si="5"/>
        <v>3</v>
      </c>
      <c r="K106" s="5">
        <f t="shared" si="6"/>
        <v>3</v>
      </c>
      <c r="L106" s="5">
        <f t="shared" si="7"/>
        <v>1</v>
      </c>
      <c r="M106" s="5">
        <f t="shared" si="8"/>
        <v>3</v>
      </c>
    </row>
    <row r="107" spans="1:13">
      <c r="A107" s="5" t="str">
        <f>FMECA!A108</f>
        <v>K_Sys</v>
      </c>
      <c r="B107" s="71" t="str">
        <f>FMECA!B108</f>
        <v>Short-circuit or decrease of insulation resistance between coil and case</v>
      </c>
      <c r="C107" s="5">
        <f>FMECA!D108</f>
        <v>0</v>
      </c>
      <c r="D107" s="5">
        <f>FMECA!V108</f>
        <v>54</v>
      </c>
      <c r="E107" s="5">
        <f>FMECA!S108</f>
        <v>4092</v>
      </c>
      <c r="F107" s="5">
        <f>FMECA!W108</f>
        <v>51</v>
      </c>
      <c r="G107" s="5">
        <f>FMECA!X108</f>
        <v>57</v>
      </c>
      <c r="H107" s="5">
        <f>FMECA!T108</f>
        <v>4091</v>
      </c>
      <c r="I107" s="5">
        <f>FMECA!U108</f>
        <v>4095</v>
      </c>
      <c r="J107" s="5">
        <f t="shared" si="5"/>
        <v>3</v>
      </c>
      <c r="K107" s="5">
        <f t="shared" si="6"/>
        <v>3</v>
      </c>
      <c r="L107" s="5">
        <f t="shared" si="7"/>
        <v>1</v>
      </c>
      <c r="M107" s="5">
        <f t="shared" si="8"/>
        <v>3</v>
      </c>
    </row>
    <row r="108" spans="1:13">
      <c r="A108" s="5" t="str">
        <f>FMECA!A109</f>
        <v>K_Sys</v>
      </c>
      <c r="B108" s="71" t="str">
        <f>FMECA!B109</f>
        <v>Short-circuit or decrease of insulation resistance between contact and contact</v>
      </c>
      <c r="C108" s="5">
        <f>FMECA!D109</f>
        <v>6.3333333333333339E-2</v>
      </c>
      <c r="D108" s="5">
        <f>FMECA!V109</f>
        <v>0</v>
      </c>
      <c r="E108" s="5">
        <f>FMECA!S109</f>
        <v>0</v>
      </c>
      <c r="F108" s="5">
        <f>FMECA!W109</f>
        <v>0</v>
      </c>
      <c r="G108" s="5">
        <f>FMECA!X109</f>
        <v>0</v>
      </c>
      <c r="H108" s="5">
        <f>FMECA!T109</f>
        <v>0</v>
      </c>
      <c r="I108" s="5">
        <f>FMECA!U109</f>
        <v>0</v>
      </c>
      <c r="J108" s="5">
        <f t="shared" si="5"/>
        <v>0</v>
      </c>
      <c r="K108" s="5">
        <f t="shared" si="6"/>
        <v>0</v>
      </c>
      <c r="L108" s="5">
        <f t="shared" si="7"/>
        <v>0</v>
      </c>
      <c r="M108" s="5">
        <f t="shared" si="8"/>
        <v>0</v>
      </c>
    </row>
    <row r="109" spans="1:13">
      <c r="A109" s="5" t="str">
        <f>FMECA!A110</f>
        <v>K_Sys</v>
      </c>
      <c r="B109" s="71" t="str">
        <f>FMECA!B110</f>
        <v>Short-circuit or decrease of insulation resistance between contact and case</v>
      </c>
      <c r="C109" s="5">
        <f>FMECA!D110</f>
        <v>0</v>
      </c>
      <c r="D109" s="5">
        <f>FMECA!V110</f>
        <v>54</v>
      </c>
      <c r="E109" s="5">
        <f>FMECA!S110</f>
        <v>4092</v>
      </c>
      <c r="F109" s="5">
        <f>FMECA!W110</f>
        <v>51</v>
      </c>
      <c r="G109" s="5">
        <f>FMECA!X110</f>
        <v>57</v>
      </c>
      <c r="H109" s="5">
        <f>FMECA!T110</f>
        <v>4091</v>
      </c>
      <c r="I109" s="5">
        <f>FMECA!U110</f>
        <v>4095</v>
      </c>
      <c r="J109" s="5">
        <f t="shared" si="5"/>
        <v>3</v>
      </c>
      <c r="K109" s="5">
        <f t="shared" si="6"/>
        <v>3</v>
      </c>
      <c r="L109" s="5">
        <f t="shared" si="7"/>
        <v>1</v>
      </c>
      <c r="M109" s="5">
        <f t="shared" si="8"/>
        <v>3</v>
      </c>
    </row>
    <row r="110" spans="1:13">
      <c r="A110" s="5" t="str">
        <f>FMECA!A111</f>
        <v>K_Sys</v>
      </c>
      <c r="B110" s="71" t="str">
        <f>FMECA!B111</f>
        <v>Welding of NO contacts</v>
      </c>
      <c r="C110" s="5">
        <f>FMECA!D111</f>
        <v>1.4444444444444446E-2</v>
      </c>
      <c r="D110" s="5">
        <f>FMECA!V111</f>
        <v>54</v>
      </c>
      <c r="E110" s="5">
        <f>FMECA!S111</f>
        <v>4092</v>
      </c>
      <c r="F110" s="5">
        <f>FMECA!W111</f>
        <v>51</v>
      </c>
      <c r="G110" s="5">
        <f>FMECA!X111</f>
        <v>57</v>
      </c>
      <c r="H110" s="5">
        <f>FMECA!T111</f>
        <v>4091</v>
      </c>
      <c r="I110" s="5">
        <f>FMECA!U111</f>
        <v>4095</v>
      </c>
      <c r="J110" s="5">
        <f t="shared" si="5"/>
        <v>3</v>
      </c>
      <c r="K110" s="5">
        <f t="shared" si="6"/>
        <v>3</v>
      </c>
      <c r="L110" s="5">
        <f t="shared" si="7"/>
        <v>1</v>
      </c>
      <c r="M110" s="5">
        <f t="shared" si="8"/>
        <v>3</v>
      </c>
    </row>
    <row r="111" spans="1:13">
      <c r="A111" s="5" t="str">
        <f>FMECA!A112</f>
        <v>K_Sys</v>
      </c>
      <c r="B111" s="71" t="str">
        <f>FMECA!B112</f>
        <v>Welding of NC contacts</v>
      </c>
      <c r="C111" s="5">
        <f>FMECA!D112</f>
        <v>1.4444444444444446E-2</v>
      </c>
      <c r="D111" s="5">
        <f>FMECA!V112</f>
        <v>0</v>
      </c>
      <c r="E111" s="5">
        <f>FMECA!S112</f>
        <v>0</v>
      </c>
      <c r="F111" s="5">
        <f>FMECA!W112</f>
        <v>0</v>
      </c>
      <c r="G111" s="5">
        <f>FMECA!X112</f>
        <v>0</v>
      </c>
      <c r="H111" s="5">
        <f>FMECA!T112</f>
        <v>0</v>
      </c>
      <c r="I111" s="5">
        <f>FMECA!U112</f>
        <v>0</v>
      </c>
      <c r="J111" s="5">
        <f t="shared" si="5"/>
        <v>0</v>
      </c>
      <c r="K111" s="5">
        <f t="shared" si="6"/>
        <v>0</v>
      </c>
      <c r="L111" s="5">
        <f t="shared" si="7"/>
        <v>0</v>
      </c>
      <c r="M111" s="5">
        <f t="shared" si="8"/>
        <v>0</v>
      </c>
    </row>
    <row r="112" spans="1:13">
      <c r="A112" s="5" t="str">
        <f>FMECA!A113</f>
        <v>K_Sys</v>
      </c>
      <c r="B112" s="71" t="str">
        <f>FMECA!B113</f>
        <v>Increase of NO contact resistance</v>
      </c>
      <c r="C112" s="5">
        <f>FMECA!D113</f>
        <v>1.4444444444444446E-2</v>
      </c>
      <c r="D112" s="5">
        <f>FMECA!V113</f>
        <v>0</v>
      </c>
      <c r="E112" s="5">
        <f>FMECA!S113</f>
        <v>0</v>
      </c>
      <c r="F112" s="5">
        <f>FMECA!W113</f>
        <v>0</v>
      </c>
      <c r="G112" s="5">
        <f>FMECA!X113</f>
        <v>0</v>
      </c>
      <c r="H112" s="5">
        <f>FMECA!T113</f>
        <v>0</v>
      </c>
      <c r="I112" s="5">
        <f>FMECA!U113</f>
        <v>0</v>
      </c>
      <c r="J112" s="5">
        <f t="shared" si="5"/>
        <v>0</v>
      </c>
      <c r="K112" s="5">
        <f t="shared" si="6"/>
        <v>0</v>
      </c>
      <c r="L112" s="5">
        <f t="shared" si="7"/>
        <v>0</v>
      </c>
      <c r="M112" s="5">
        <f t="shared" si="8"/>
        <v>0</v>
      </c>
    </row>
    <row r="113" spans="1:13">
      <c r="A113" s="5" t="str">
        <f>FMECA!A114</f>
        <v>K_Sys</v>
      </c>
      <c r="B113" s="71" t="str">
        <f>FMECA!B114</f>
        <v>Increase of NC contact resistance</v>
      </c>
      <c r="C113" s="5">
        <f>FMECA!D114</f>
        <v>1.4444444444444446E-2</v>
      </c>
      <c r="D113" s="5">
        <f>FMECA!V114</f>
        <v>54</v>
      </c>
      <c r="E113" s="5">
        <f>FMECA!S114</f>
        <v>4092</v>
      </c>
      <c r="F113" s="5">
        <f>FMECA!W114</f>
        <v>51</v>
      </c>
      <c r="G113" s="5">
        <f>FMECA!X114</f>
        <v>57</v>
      </c>
      <c r="H113" s="5">
        <f>FMECA!T114</f>
        <v>4091</v>
      </c>
      <c r="I113" s="5">
        <f>FMECA!U114</f>
        <v>4095</v>
      </c>
      <c r="J113" s="5">
        <f t="shared" si="5"/>
        <v>3</v>
      </c>
      <c r="K113" s="5">
        <f t="shared" si="6"/>
        <v>3</v>
      </c>
      <c r="L113" s="5">
        <f t="shared" si="7"/>
        <v>1</v>
      </c>
      <c r="M113" s="5">
        <f t="shared" si="8"/>
        <v>3</v>
      </c>
    </row>
    <row r="114" spans="1:13">
      <c r="A114" s="5" t="str">
        <f>FMECA!A115</f>
        <v>K_Sys</v>
      </c>
      <c r="B114" s="71" t="str">
        <f>FMECA!B115</f>
        <v>Contact chatter</v>
      </c>
      <c r="C114" s="5">
        <f>FMECA!D115</f>
        <v>2.8888888888888891E-2</v>
      </c>
      <c r="D114" s="5">
        <f>FMECA!V115</f>
        <v>0</v>
      </c>
      <c r="E114" s="5">
        <f>FMECA!S115</f>
        <v>0</v>
      </c>
      <c r="F114" s="5">
        <f>FMECA!W115</f>
        <v>0</v>
      </c>
      <c r="G114" s="5">
        <f>FMECA!X115</f>
        <v>0</v>
      </c>
      <c r="H114" s="5">
        <f>FMECA!T115</f>
        <v>0</v>
      </c>
      <c r="I114" s="5">
        <f>FMECA!U115</f>
        <v>0</v>
      </c>
      <c r="J114" s="5">
        <f t="shared" si="5"/>
        <v>0</v>
      </c>
      <c r="K114" s="5">
        <f t="shared" si="6"/>
        <v>0</v>
      </c>
      <c r="L114" s="5">
        <f t="shared" si="7"/>
        <v>0</v>
      </c>
      <c r="M114" s="5">
        <f t="shared" si="8"/>
        <v>0</v>
      </c>
    </row>
    <row r="115" spans="1:13">
      <c r="A115" s="5" t="str">
        <f>FMECA!A116</f>
        <v>K_Sys</v>
      </c>
      <c r="B115" s="71" t="str">
        <f>FMECA!B116</f>
        <v>Increase of pick-up current</v>
      </c>
      <c r="C115" s="5">
        <f>FMECA!D116</f>
        <v>7.8571428571428584E-2</v>
      </c>
      <c r="D115" s="5">
        <f>FMECA!V116</f>
        <v>0</v>
      </c>
      <c r="E115" s="5">
        <f>FMECA!S116</f>
        <v>0</v>
      </c>
      <c r="F115" s="5">
        <f>FMECA!W116</f>
        <v>0</v>
      </c>
      <c r="G115" s="5">
        <f>FMECA!X116</f>
        <v>0</v>
      </c>
      <c r="H115" s="5">
        <f>FMECA!T116</f>
        <v>0</v>
      </c>
      <c r="I115" s="5">
        <f>FMECA!U116</f>
        <v>0</v>
      </c>
      <c r="J115" s="5">
        <f t="shared" si="5"/>
        <v>0</v>
      </c>
      <c r="K115" s="5">
        <f t="shared" si="6"/>
        <v>0</v>
      </c>
      <c r="L115" s="5">
        <f t="shared" si="7"/>
        <v>0</v>
      </c>
      <c r="M115" s="5">
        <f t="shared" si="8"/>
        <v>0</v>
      </c>
    </row>
    <row r="116" spans="1:13">
      <c r="A116" s="5" t="str">
        <f>FMECA!A117</f>
        <v>K_Sys</v>
      </c>
      <c r="B116" s="71" t="str">
        <f>FMECA!B117</f>
        <v>Decrease of pick-up current</v>
      </c>
      <c r="C116" s="5">
        <f>FMECA!D117</f>
        <v>2.8888888888888891E-2</v>
      </c>
      <c r="D116" s="5">
        <f>FMECA!V117</f>
        <v>54</v>
      </c>
      <c r="E116" s="5">
        <f>FMECA!S117</f>
        <v>4092</v>
      </c>
      <c r="F116" s="5">
        <f>FMECA!W117</f>
        <v>51</v>
      </c>
      <c r="G116" s="5">
        <f>FMECA!X117</f>
        <v>57</v>
      </c>
      <c r="H116" s="5">
        <f>FMECA!T117</f>
        <v>4091</v>
      </c>
      <c r="I116" s="5">
        <f>FMECA!U117</f>
        <v>4095</v>
      </c>
      <c r="J116" s="5">
        <f t="shared" si="5"/>
        <v>3</v>
      </c>
      <c r="K116" s="5">
        <f t="shared" si="6"/>
        <v>3</v>
      </c>
      <c r="L116" s="5">
        <f t="shared" si="7"/>
        <v>1</v>
      </c>
      <c r="M116" s="5">
        <f t="shared" si="8"/>
        <v>3</v>
      </c>
    </row>
    <row r="117" spans="1:13">
      <c r="A117" s="5" t="str">
        <f>FMECA!A118</f>
        <v>K_Sys</v>
      </c>
      <c r="B117" s="71" t="str">
        <f>FMECA!B118</f>
        <v>Increase of drop-away current</v>
      </c>
      <c r="C117" s="5">
        <f>FMECA!D118</f>
        <v>7.8571428571428584E-2</v>
      </c>
      <c r="D117" s="5">
        <f>FMECA!V118</f>
        <v>54</v>
      </c>
      <c r="E117" s="5">
        <f>FMECA!S118</f>
        <v>4092</v>
      </c>
      <c r="F117" s="5">
        <f>FMECA!W118</f>
        <v>51</v>
      </c>
      <c r="G117" s="5">
        <f>FMECA!X118</f>
        <v>57</v>
      </c>
      <c r="H117" s="5">
        <f>FMECA!T118</f>
        <v>4091</v>
      </c>
      <c r="I117" s="5">
        <f>FMECA!U118</f>
        <v>4095</v>
      </c>
      <c r="J117" s="5">
        <f t="shared" si="5"/>
        <v>3</v>
      </c>
      <c r="K117" s="5">
        <f t="shared" si="6"/>
        <v>3</v>
      </c>
      <c r="L117" s="5">
        <f t="shared" si="7"/>
        <v>1</v>
      </c>
      <c r="M117" s="5">
        <f t="shared" si="8"/>
        <v>3</v>
      </c>
    </row>
    <row r="118" spans="1:13">
      <c r="A118" s="5" t="str">
        <f>FMECA!A119</f>
        <v>K_Sys</v>
      </c>
      <c r="B118" s="71" t="str">
        <f>FMECA!B119</f>
        <v>Decrease of drop-away current</v>
      </c>
      <c r="C118" s="5">
        <f>FMECA!D119</f>
        <v>2.8888888888888891E-2</v>
      </c>
      <c r="D118" s="5">
        <f>FMECA!V119</f>
        <v>54</v>
      </c>
      <c r="E118" s="5">
        <f>FMECA!S119</f>
        <v>4092</v>
      </c>
      <c r="F118" s="5">
        <f>FMECA!W119</f>
        <v>51</v>
      </c>
      <c r="G118" s="5">
        <f>FMECA!X119</f>
        <v>57</v>
      </c>
      <c r="H118" s="5">
        <f>FMECA!T119</f>
        <v>4091</v>
      </c>
      <c r="I118" s="5">
        <f>FMECA!U119</f>
        <v>4095</v>
      </c>
      <c r="J118" s="5">
        <f t="shared" si="5"/>
        <v>3</v>
      </c>
      <c r="K118" s="5">
        <f t="shared" si="6"/>
        <v>3</v>
      </c>
      <c r="L118" s="5">
        <f t="shared" si="7"/>
        <v>1</v>
      </c>
      <c r="M118" s="5">
        <f t="shared" si="8"/>
        <v>3</v>
      </c>
    </row>
    <row r="119" spans="1:13">
      <c r="A119" s="5" t="str">
        <f>FMECA!A120</f>
        <v>K_Sys</v>
      </c>
      <c r="B119" s="71" t="str">
        <f>FMECA!B120</f>
        <v>Change of pick-up to drop-away ratio</v>
      </c>
      <c r="C119" s="5">
        <f>FMECA!D120</f>
        <v>2.8888888888888891E-2</v>
      </c>
      <c r="D119" s="5">
        <f>FMECA!V120</f>
        <v>54</v>
      </c>
      <c r="E119" s="5">
        <f>FMECA!S120</f>
        <v>4092</v>
      </c>
      <c r="F119" s="5">
        <f>FMECA!W120</f>
        <v>51</v>
      </c>
      <c r="G119" s="5">
        <f>FMECA!X120</f>
        <v>57</v>
      </c>
      <c r="H119" s="5">
        <f>FMECA!T120</f>
        <v>4091</v>
      </c>
      <c r="I119" s="5">
        <f>FMECA!U120</f>
        <v>4095</v>
      </c>
      <c r="J119" s="5">
        <f t="shared" si="5"/>
        <v>3</v>
      </c>
      <c r="K119" s="5">
        <f t="shared" si="6"/>
        <v>3</v>
      </c>
      <c r="L119" s="5">
        <f t="shared" si="7"/>
        <v>1</v>
      </c>
      <c r="M119" s="5">
        <f t="shared" si="8"/>
        <v>3</v>
      </c>
    </row>
    <row r="120" spans="1:13">
      <c r="A120" s="5" t="str">
        <f>FMECA!A121</f>
        <v>K_Sys</v>
      </c>
      <c r="B120" s="71" t="str">
        <f>FMECA!B121</f>
        <v>Increase of pick-up time</v>
      </c>
      <c r="C120" s="5">
        <f>FMECA!D121</f>
        <v>7.8571428571428584E-2</v>
      </c>
      <c r="D120" s="5">
        <f>FMECA!V121</f>
        <v>0</v>
      </c>
      <c r="E120" s="5">
        <f>FMECA!S121</f>
        <v>0</v>
      </c>
      <c r="F120" s="5">
        <f>FMECA!W121</f>
        <v>0</v>
      </c>
      <c r="G120" s="5">
        <f>FMECA!X121</f>
        <v>0</v>
      </c>
      <c r="H120" s="5">
        <f>FMECA!T121</f>
        <v>0</v>
      </c>
      <c r="I120" s="5">
        <f>FMECA!U121</f>
        <v>0</v>
      </c>
      <c r="J120" s="5">
        <f t="shared" si="5"/>
        <v>0</v>
      </c>
      <c r="K120" s="5">
        <f t="shared" si="6"/>
        <v>0</v>
      </c>
      <c r="L120" s="5">
        <f t="shared" si="7"/>
        <v>0</v>
      </c>
      <c r="M120" s="5">
        <f t="shared" si="8"/>
        <v>0</v>
      </c>
    </row>
    <row r="121" spans="1:13">
      <c r="A121" s="5" t="str">
        <f>FMECA!A122</f>
        <v>K_Sys</v>
      </c>
      <c r="B121" s="71" t="str">
        <f>FMECA!B122</f>
        <v>Decrease of pick-up time</v>
      </c>
      <c r="C121" s="5">
        <f>FMECA!D122</f>
        <v>2.8888888888888891E-2</v>
      </c>
      <c r="D121" s="5">
        <f>FMECA!V122</f>
        <v>54</v>
      </c>
      <c r="E121" s="5">
        <f>FMECA!S122</f>
        <v>4092</v>
      </c>
      <c r="F121" s="5">
        <f>FMECA!W122</f>
        <v>51</v>
      </c>
      <c r="G121" s="5">
        <f>FMECA!X122</f>
        <v>57</v>
      </c>
      <c r="H121" s="5">
        <f>FMECA!T122</f>
        <v>4091</v>
      </c>
      <c r="I121" s="5">
        <f>FMECA!U122</f>
        <v>4095</v>
      </c>
      <c r="J121" s="5">
        <f t="shared" si="5"/>
        <v>3</v>
      </c>
      <c r="K121" s="5">
        <f t="shared" si="6"/>
        <v>3</v>
      </c>
      <c r="L121" s="5">
        <f t="shared" si="7"/>
        <v>1</v>
      </c>
      <c r="M121" s="5">
        <f t="shared" si="8"/>
        <v>3</v>
      </c>
    </row>
    <row r="122" spans="1:13">
      <c r="A122" s="5" t="str">
        <f>FMECA!A123</f>
        <v>K_Sys</v>
      </c>
      <c r="B122" s="71" t="str">
        <f>FMECA!B123</f>
        <v>Increase of drop-away time</v>
      </c>
      <c r="C122" s="5">
        <f>FMECA!D123</f>
        <v>7.8571428571428584E-2</v>
      </c>
      <c r="D122" s="5">
        <f>FMECA!V123</f>
        <v>54</v>
      </c>
      <c r="E122" s="5">
        <f>FMECA!S123</f>
        <v>4092</v>
      </c>
      <c r="F122" s="5">
        <f>FMECA!W123</f>
        <v>51</v>
      </c>
      <c r="G122" s="5">
        <f>FMECA!X123</f>
        <v>57</v>
      </c>
      <c r="H122" s="5">
        <f>FMECA!T123</f>
        <v>4091</v>
      </c>
      <c r="I122" s="5">
        <f>FMECA!U123</f>
        <v>4095</v>
      </c>
      <c r="J122" s="5">
        <f t="shared" si="5"/>
        <v>3</v>
      </c>
      <c r="K122" s="5">
        <f t="shared" si="6"/>
        <v>3</v>
      </c>
      <c r="L122" s="5">
        <f t="shared" si="7"/>
        <v>1</v>
      </c>
      <c r="M122" s="5">
        <f t="shared" si="8"/>
        <v>3</v>
      </c>
    </row>
    <row r="123" spans="1:13">
      <c r="A123" s="5" t="str">
        <f>FMECA!A124</f>
        <v>K_Sys</v>
      </c>
      <c r="B123" s="71" t="str">
        <f>FMECA!B124</f>
        <v>Decrease of drop-away time</v>
      </c>
      <c r="C123" s="5">
        <f>FMECA!D124</f>
        <v>2.8888888888888891E-2</v>
      </c>
      <c r="D123" s="5">
        <f>FMECA!V124</f>
        <v>54</v>
      </c>
      <c r="E123" s="5">
        <f>FMECA!S124</f>
        <v>4092</v>
      </c>
      <c r="F123" s="5">
        <f>FMECA!W124</f>
        <v>51</v>
      </c>
      <c r="G123" s="5">
        <f>FMECA!X124</f>
        <v>57</v>
      </c>
      <c r="H123" s="5">
        <f>FMECA!T124</f>
        <v>4091</v>
      </c>
      <c r="I123" s="5">
        <f>FMECA!U124</f>
        <v>4095</v>
      </c>
      <c r="J123" s="5">
        <f t="shared" si="5"/>
        <v>3</v>
      </c>
      <c r="K123" s="5">
        <f t="shared" si="6"/>
        <v>3</v>
      </c>
      <c r="L123" s="5">
        <f t="shared" si="7"/>
        <v>1</v>
      </c>
      <c r="M123" s="5">
        <f t="shared" si="8"/>
        <v>3</v>
      </c>
    </row>
    <row r="124" spans="1:13">
      <c r="A124" s="5" t="str">
        <f>FMECA!A125</f>
        <v>K_Sys</v>
      </c>
      <c r="B124" s="71" t="str">
        <f>FMECA!B125</f>
        <v>Relay does not pick up</v>
      </c>
      <c r="C124" s="5">
        <f>FMECA!D125</f>
        <v>7.8571428571428584E-2</v>
      </c>
      <c r="D124" s="5">
        <f>FMECA!V125</f>
        <v>0</v>
      </c>
      <c r="E124" s="5">
        <f>FMECA!S125</f>
        <v>0</v>
      </c>
      <c r="F124" s="5">
        <f>FMECA!W125</f>
        <v>0</v>
      </c>
      <c r="G124" s="5">
        <f>FMECA!X125</f>
        <v>0</v>
      </c>
      <c r="H124" s="5">
        <f>FMECA!T125</f>
        <v>0</v>
      </c>
      <c r="I124" s="5">
        <f>FMECA!U125</f>
        <v>0</v>
      </c>
      <c r="J124" s="5">
        <f t="shared" si="5"/>
        <v>0</v>
      </c>
      <c r="K124" s="5">
        <f t="shared" si="6"/>
        <v>0</v>
      </c>
      <c r="L124" s="5">
        <f t="shared" si="7"/>
        <v>0</v>
      </c>
      <c r="M124" s="5">
        <f t="shared" si="8"/>
        <v>0</v>
      </c>
    </row>
    <row r="125" spans="1:13">
      <c r="A125" s="5" t="str">
        <f>FMECA!A126</f>
        <v>K_Sys</v>
      </c>
      <c r="B125" s="71" t="str">
        <f>FMECA!B126</f>
        <v>Relay does not drop away</v>
      </c>
      <c r="C125" s="5">
        <f>FMECA!D126</f>
        <v>7.8571428571428584E-2</v>
      </c>
      <c r="D125" s="5">
        <f>FMECA!V126</f>
        <v>54</v>
      </c>
      <c r="E125" s="5">
        <f>FMECA!S126</f>
        <v>4092</v>
      </c>
      <c r="F125" s="5">
        <f>FMECA!W126</f>
        <v>51</v>
      </c>
      <c r="G125" s="5">
        <f>FMECA!X126</f>
        <v>57</v>
      </c>
      <c r="H125" s="5">
        <f>FMECA!T126</f>
        <v>4091</v>
      </c>
      <c r="I125" s="5">
        <f>FMECA!U126</f>
        <v>4095</v>
      </c>
      <c r="J125" s="5">
        <f t="shared" si="5"/>
        <v>3</v>
      </c>
      <c r="K125" s="5">
        <f t="shared" si="6"/>
        <v>3</v>
      </c>
      <c r="L125" s="5">
        <f t="shared" si="7"/>
        <v>1</v>
      </c>
      <c r="M125" s="5">
        <f t="shared" si="8"/>
        <v>3</v>
      </c>
    </row>
    <row r="126" spans="1:13">
      <c r="A126" s="5" t="str">
        <f>FMECA!A127</f>
        <v>K_Sys</v>
      </c>
      <c r="B126" s="71" t="str">
        <f>FMECA!B127</f>
        <v>Closure of any front contact at the same time as any back contact (transient or continuous)</v>
      </c>
      <c r="C126" s="5">
        <f>FMECA!D127</f>
        <v>0</v>
      </c>
      <c r="D126" s="5">
        <f>FMECA!V127</f>
        <v>54</v>
      </c>
      <c r="E126" s="5">
        <f>FMECA!S127</f>
        <v>4092</v>
      </c>
      <c r="F126" s="5">
        <f>FMECA!W127</f>
        <v>51</v>
      </c>
      <c r="G126" s="5">
        <f>FMECA!X127</f>
        <v>57</v>
      </c>
      <c r="H126" s="5">
        <f>FMECA!T127</f>
        <v>4091</v>
      </c>
      <c r="I126" s="5">
        <f>FMECA!U127</f>
        <v>4095</v>
      </c>
      <c r="J126" s="5">
        <f t="shared" si="5"/>
        <v>3</v>
      </c>
      <c r="K126" s="5">
        <f t="shared" si="6"/>
        <v>3</v>
      </c>
      <c r="L126" s="5">
        <f t="shared" si="7"/>
        <v>1</v>
      </c>
      <c r="M126" s="5">
        <f t="shared" si="8"/>
        <v>3</v>
      </c>
    </row>
    <row r="127" spans="1:13">
      <c r="A127" s="5" t="str">
        <f>FMECA!A128</f>
        <v>K_Sys</v>
      </c>
      <c r="B127" s="71" t="str">
        <f>FMECA!B128</f>
        <v>Non-correspondence between front contacts</v>
      </c>
      <c r="C127" s="5">
        <f>FMECA!D128</f>
        <v>0</v>
      </c>
      <c r="D127" s="5">
        <f>FMECA!V128</f>
        <v>54</v>
      </c>
      <c r="E127" s="5">
        <f>FMECA!S128</f>
        <v>4092</v>
      </c>
      <c r="F127" s="5">
        <f>FMECA!W128</f>
        <v>51</v>
      </c>
      <c r="G127" s="5">
        <f>FMECA!X128</f>
        <v>57</v>
      </c>
      <c r="H127" s="5">
        <f>FMECA!T128</f>
        <v>4091</v>
      </c>
      <c r="I127" s="5">
        <f>FMECA!U128</f>
        <v>4095</v>
      </c>
      <c r="J127" s="5">
        <f t="shared" si="5"/>
        <v>3</v>
      </c>
      <c r="K127" s="5">
        <f t="shared" si="6"/>
        <v>3</v>
      </c>
      <c r="L127" s="5">
        <f t="shared" si="7"/>
        <v>1</v>
      </c>
      <c r="M127" s="5">
        <f t="shared" si="8"/>
        <v>3</v>
      </c>
    </row>
    <row r="128" spans="1:13">
      <c r="A128" s="5" t="str">
        <f>FMECA!A129</f>
        <v>K_Sys</v>
      </c>
      <c r="B128" s="71" t="str">
        <f>FMECA!B129</f>
        <v>Non-correspondence between back contacts</v>
      </c>
      <c r="C128" s="5">
        <f>FMECA!D129</f>
        <v>0</v>
      </c>
      <c r="D128" s="5">
        <f>FMECA!V129</f>
        <v>54</v>
      </c>
      <c r="E128" s="5">
        <f>FMECA!S129</f>
        <v>4092</v>
      </c>
      <c r="F128" s="5">
        <f>FMECA!W129</f>
        <v>51</v>
      </c>
      <c r="G128" s="5">
        <f>FMECA!X129</f>
        <v>57</v>
      </c>
      <c r="H128" s="5">
        <f>FMECA!T129</f>
        <v>4091</v>
      </c>
      <c r="I128" s="5">
        <f>FMECA!U129</f>
        <v>4095</v>
      </c>
      <c r="J128" s="5">
        <f t="shared" si="5"/>
        <v>3</v>
      </c>
      <c r="K128" s="5">
        <f t="shared" si="6"/>
        <v>3</v>
      </c>
      <c r="L128" s="5">
        <f t="shared" si="7"/>
        <v>1</v>
      </c>
      <c r="M128" s="5">
        <f t="shared" si="8"/>
        <v>3</v>
      </c>
    </row>
    <row r="129" spans="1:13">
      <c r="A129" s="5" t="str">
        <f>FMECA!A130</f>
        <v>OR_Sys</v>
      </c>
      <c r="B129" s="71" t="str">
        <f>FMECA!B130</f>
        <v>VCC Supply open</v>
      </c>
      <c r="C129" s="5">
        <f>FMECA!D130</f>
        <v>0.06</v>
      </c>
      <c r="D129" s="5">
        <f>FMECA!V130</f>
        <v>4092</v>
      </c>
      <c r="E129" s="5">
        <f>FMECA!S130</f>
        <v>4093</v>
      </c>
      <c r="F129" s="5">
        <f>FMECA!W130</f>
        <v>4092</v>
      </c>
      <c r="G129" s="5">
        <f>FMECA!X130</f>
        <v>4092</v>
      </c>
      <c r="H129" s="5">
        <f>FMECA!T130</f>
        <v>4093</v>
      </c>
      <c r="I129" s="5">
        <f>FMECA!U130</f>
        <v>4093</v>
      </c>
      <c r="J129" s="5">
        <f t="shared" si="5"/>
        <v>0</v>
      </c>
      <c r="K129" s="5">
        <f t="shared" si="6"/>
        <v>0</v>
      </c>
      <c r="L129" s="5">
        <f t="shared" si="7"/>
        <v>0</v>
      </c>
      <c r="M129" s="5">
        <f t="shared" si="8"/>
        <v>0</v>
      </c>
    </row>
    <row r="130" spans="1:13">
      <c r="A130" s="5" t="str">
        <f>FMECA!A131</f>
        <v>OR_Sys</v>
      </c>
      <c r="B130" s="71" t="str">
        <f>FMECA!B131</f>
        <v>GND Supply open</v>
      </c>
      <c r="C130" s="5">
        <f>FMECA!D131</f>
        <v>0.06</v>
      </c>
      <c r="D130" s="5">
        <f>FMECA!V131</f>
        <v>0</v>
      </c>
      <c r="E130" s="5">
        <f>FMECA!S131</f>
        <v>0</v>
      </c>
      <c r="F130" s="5">
        <f>FMECA!W131</f>
        <v>0</v>
      </c>
      <c r="G130" s="5">
        <f>FMECA!X131</f>
        <v>0</v>
      </c>
      <c r="H130" s="5">
        <f>FMECA!T131</f>
        <v>0</v>
      </c>
      <c r="I130" s="5">
        <f>FMECA!U131</f>
        <v>0</v>
      </c>
      <c r="J130" s="5">
        <f t="shared" si="5"/>
        <v>0</v>
      </c>
      <c r="K130" s="5">
        <f t="shared" si="6"/>
        <v>0</v>
      </c>
      <c r="L130" s="5">
        <f t="shared" si="7"/>
        <v>0</v>
      </c>
      <c r="M130" s="5">
        <f t="shared" si="8"/>
        <v>0</v>
      </c>
    </row>
    <row r="131" spans="1:13">
      <c r="A131" s="5" t="str">
        <f>FMECA!A132</f>
        <v>OR_Sys</v>
      </c>
      <c r="B131" s="71" t="str">
        <f>FMECA!B132</f>
        <v>Output 'Y' open</v>
      </c>
      <c r="C131" s="5">
        <f>FMECA!D132</f>
        <v>0.36</v>
      </c>
      <c r="D131" s="5">
        <f>FMECA!V132</f>
        <v>4092</v>
      </c>
      <c r="E131" s="5">
        <f>FMECA!S132</f>
        <v>4093</v>
      </c>
      <c r="F131" s="5">
        <f>FMECA!W132</f>
        <v>4092</v>
      </c>
      <c r="G131" s="5">
        <f>FMECA!X132</f>
        <v>4092</v>
      </c>
      <c r="H131" s="5">
        <f>FMECA!T132</f>
        <v>4093</v>
      </c>
      <c r="I131" s="5">
        <f>FMECA!U132</f>
        <v>4093</v>
      </c>
      <c r="J131" s="5">
        <f t="shared" ref="J131:J194" si="9">ABS(D131-F131)</f>
        <v>0</v>
      </c>
      <c r="K131" s="5">
        <f t="shared" ref="K131:K194" si="10">ABS(D131-G131)</f>
        <v>0</v>
      </c>
      <c r="L131" s="5">
        <f t="shared" ref="L131:L194" si="11">ABS(E131-H131)</f>
        <v>0</v>
      </c>
      <c r="M131" s="5">
        <f t="shared" ref="M131:M194" si="12">ABS(E131-I131)</f>
        <v>0</v>
      </c>
    </row>
    <row r="132" spans="1:13">
      <c r="A132" s="5" t="str">
        <f>FMECA!A133</f>
        <v>OR_Sys</v>
      </c>
      <c r="B132" s="71" t="str">
        <f>FMECA!B133</f>
        <v>Output 'Y' stuck low</v>
      </c>
      <c r="C132" s="5">
        <f>FMECA!D133</f>
        <v>0.09</v>
      </c>
      <c r="D132" s="5">
        <f>FMECA!V133</f>
        <v>4092</v>
      </c>
      <c r="E132" s="5">
        <f>FMECA!S133</f>
        <v>4093</v>
      </c>
      <c r="F132" s="5">
        <f>FMECA!W133</f>
        <v>4092</v>
      </c>
      <c r="G132" s="5">
        <f>FMECA!X133</f>
        <v>4092</v>
      </c>
      <c r="H132" s="5">
        <f>FMECA!T133</f>
        <v>4093</v>
      </c>
      <c r="I132" s="5">
        <f>FMECA!U133</f>
        <v>4093</v>
      </c>
      <c r="J132" s="5">
        <f t="shared" si="9"/>
        <v>0</v>
      </c>
      <c r="K132" s="5">
        <f t="shared" si="10"/>
        <v>0</v>
      </c>
      <c r="L132" s="5">
        <f t="shared" si="11"/>
        <v>0</v>
      </c>
      <c r="M132" s="5">
        <f t="shared" si="12"/>
        <v>0</v>
      </c>
    </row>
    <row r="133" spans="1:13">
      <c r="A133" s="5" t="str">
        <f>FMECA!A134</f>
        <v>OR_Sys</v>
      </c>
      <c r="B133" s="71" t="str">
        <f>FMECA!B134</f>
        <v>Output 'Y' stuck high</v>
      </c>
      <c r="C133" s="5">
        <f>FMECA!D134</f>
        <v>0.08</v>
      </c>
      <c r="D133" s="5">
        <f>FMECA!V134</f>
        <v>0</v>
      </c>
      <c r="E133" s="5">
        <f>FMECA!S134</f>
        <v>0</v>
      </c>
      <c r="F133" s="5">
        <f>FMECA!W134</f>
        <v>0</v>
      </c>
      <c r="G133" s="5">
        <f>FMECA!X134</f>
        <v>0</v>
      </c>
      <c r="H133" s="5">
        <f>FMECA!T134</f>
        <v>0</v>
      </c>
      <c r="I133" s="5">
        <f>FMECA!U134</f>
        <v>0</v>
      </c>
      <c r="J133" s="5">
        <f t="shared" si="9"/>
        <v>0</v>
      </c>
      <c r="K133" s="5">
        <f t="shared" si="10"/>
        <v>0</v>
      </c>
      <c r="L133" s="5">
        <f t="shared" si="11"/>
        <v>0</v>
      </c>
      <c r="M133" s="5">
        <f t="shared" si="12"/>
        <v>0</v>
      </c>
    </row>
    <row r="134" spans="1:13">
      <c r="A134" s="5" t="str">
        <f>FMECA!A135</f>
        <v>OR_Sys</v>
      </c>
      <c r="B134" s="71" t="str">
        <f>FMECA!B135</f>
        <v>Input 'A' open</v>
      </c>
      <c r="C134" s="5">
        <f>FMECA!D135</f>
        <v>0.12</v>
      </c>
      <c r="D134" s="5">
        <f>FMECA!V135</f>
        <v>4092</v>
      </c>
      <c r="E134" s="5">
        <f>FMECA!S135</f>
        <v>4093</v>
      </c>
      <c r="F134" s="5">
        <f>FMECA!W135</f>
        <v>4092</v>
      </c>
      <c r="G134" s="5">
        <f>FMECA!X135</f>
        <v>4092</v>
      </c>
      <c r="H134" s="5">
        <f>FMECA!T135</f>
        <v>4093</v>
      </c>
      <c r="I134" s="5">
        <f>FMECA!U135</f>
        <v>4093</v>
      </c>
      <c r="J134" s="5">
        <f t="shared" si="9"/>
        <v>0</v>
      </c>
      <c r="K134" s="5">
        <f t="shared" si="10"/>
        <v>0</v>
      </c>
      <c r="L134" s="5">
        <f t="shared" si="11"/>
        <v>0</v>
      </c>
      <c r="M134" s="5">
        <f t="shared" si="12"/>
        <v>0</v>
      </c>
    </row>
    <row r="135" spans="1:13">
      <c r="A135" s="5" t="str">
        <f>FMECA!A136</f>
        <v>OR_Sys</v>
      </c>
      <c r="B135" s="71" t="str">
        <f>FMECA!B136</f>
        <v>Input 'B' open</v>
      </c>
      <c r="C135" s="5">
        <f>FMECA!D136</f>
        <v>0.12</v>
      </c>
      <c r="D135" s="5">
        <f>FMECA!V136</f>
        <v>4092</v>
      </c>
      <c r="E135" s="5">
        <f>FMECA!S136</f>
        <v>4093</v>
      </c>
      <c r="F135" s="5">
        <f>FMECA!W136</f>
        <v>4092</v>
      </c>
      <c r="G135" s="5">
        <f>FMECA!X136</f>
        <v>4092</v>
      </c>
      <c r="H135" s="5">
        <f>FMECA!T136</f>
        <v>4093</v>
      </c>
      <c r="I135" s="5">
        <f>FMECA!U136</f>
        <v>4093</v>
      </c>
      <c r="J135" s="5">
        <f t="shared" si="9"/>
        <v>0</v>
      </c>
      <c r="K135" s="5">
        <f t="shared" si="10"/>
        <v>0</v>
      </c>
      <c r="L135" s="5">
        <f t="shared" si="11"/>
        <v>0</v>
      </c>
      <c r="M135" s="5">
        <f t="shared" si="12"/>
        <v>0</v>
      </c>
    </row>
    <row r="136" spans="1:13">
      <c r="A136" s="5" t="str">
        <f>FMECA!A137</f>
        <v>OR_Sys</v>
      </c>
      <c r="B136" s="71" t="str">
        <f>FMECA!B137</f>
        <v>Input 'C' open</v>
      </c>
      <c r="C136" s="5">
        <f>FMECA!D137</f>
        <v>0.12</v>
      </c>
      <c r="D136" s="5">
        <f>FMECA!V137</f>
        <v>4092</v>
      </c>
      <c r="E136" s="5">
        <f>FMECA!S137</f>
        <v>4093</v>
      </c>
      <c r="F136" s="5">
        <f>FMECA!W137</f>
        <v>4092</v>
      </c>
      <c r="G136" s="5">
        <f>FMECA!X137</f>
        <v>4092</v>
      </c>
      <c r="H136" s="5">
        <f>FMECA!T137</f>
        <v>4093</v>
      </c>
      <c r="I136" s="5">
        <f>FMECA!U137</f>
        <v>4093</v>
      </c>
      <c r="J136" s="5">
        <f t="shared" si="9"/>
        <v>0</v>
      </c>
      <c r="K136" s="5">
        <f t="shared" si="10"/>
        <v>0</v>
      </c>
      <c r="L136" s="5">
        <f t="shared" si="11"/>
        <v>0</v>
      </c>
      <c r="M136" s="5">
        <f t="shared" si="12"/>
        <v>0</v>
      </c>
    </row>
    <row r="137" spans="1:13">
      <c r="A137" s="5" t="str">
        <f>FMECA!A138</f>
        <v>R4_Sys</v>
      </c>
      <c r="B137" s="71" t="str">
        <f>FMECA!B138</f>
        <v>Open</v>
      </c>
      <c r="C137" s="5">
        <f>FMECA!D138</f>
        <v>0.59</v>
      </c>
      <c r="D137" s="5">
        <f>FMECA!V138</f>
        <v>0</v>
      </c>
      <c r="E137" s="5">
        <f>FMECA!S138</f>
        <v>0</v>
      </c>
      <c r="F137" s="5">
        <f>FMECA!W138</f>
        <v>0</v>
      </c>
      <c r="G137" s="5">
        <f>FMECA!X138</f>
        <v>0</v>
      </c>
      <c r="H137" s="5">
        <f>FMECA!T138</f>
        <v>0</v>
      </c>
      <c r="I137" s="5">
        <f>FMECA!U138</f>
        <v>0</v>
      </c>
      <c r="J137" s="5">
        <f t="shared" si="9"/>
        <v>0</v>
      </c>
      <c r="K137" s="5">
        <f t="shared" si="10"/>
        <v>0</v>
      </c>
      <c r="L137" s="5">
        <f t="shared" si="11"/>
        <v>0</v>
      </c>
      <c r="M137" s="5">
        <f t="shared" si="12"/>
        <v>0</v>
      </c>
    </row>
    <row r="138" spans="1:13">
      <c r="A138" s="5" t="str">
        <f>FMECA!A139</f>
        <v>R4_Sys</v>
      </c>
      <c r="B138" s="71" t="str">
        <f>FMECA!B139</f>
        <v>Short-Circuit</v>
      </c>
      <c r="C138" s="5">
        <f>FMECA!D139</f>
        <v>0.05</v>
      </c>
      <c r="D138" s="5">
        <f>FMECA!V139</f>
        <v>0</v>
      </c>
      <c r="E138" s="5">
        <f>FMECA!S139</f>
        <v>0</v>
      </c>
      <c r="F138" s="5">
        <f>FMECA!W139</f>
        <v>0</v>
      </c>
      <c r="G138" s="5">
        <f>FMECA!X139</f>
        <v>0</v>
      </c>
      <c r="H138" s="5">
        <f>FMECA!T139</f>
        <v>0</v>
      </c>
      <c r="I138" s="5">
        <f>FMECA!U139</f>
        <v>0</v>
      </c>
      <c r="J138" s="5">
        <f t="shared" si="9"/>
        <v>0</v>
      </c>
      <c r="K138" s="5">
        <f t="shared" si="10"/>
        <v>0</v>
      </c>
      <c r="L138" s="5">
        <f t="shared" si="11"/>
        <v>0</v>
      </c>
      <c r="M138" s="5">
        <f t="shared" si="12"/>
        <v>0</v>
      </c>
    </row>
    <row r="139" spans="1:13">
      <c r="A139" s="5" t="str">
        <f>FMECA!A140</f>
        <v>R4_Sys</v>
      </c>
      <c r="B139" s="71" t="str">
        <f>FMECA!B140</f>
        <v>Increase of Resistance Value</v>
      </c>
      <c r="C139" s="5">
        <f>FMECA!D140</f>
        <v>0.18</v>
      </c>
      <c r="D139" s="5">
        <f>FMECA!V140</f>
        <v>28</v>
      </c>
      <c r="E139" s="5">
        <f>FMECA!S140</f>
        <v>2038</v>
      </c>
      <c r="F139" s="5">
        <f>FMECA!W140</f>
        <v>0</v>
      </c>
      <c r="G139" s="5">
        <f>FMECA!X140</f>
        <v>55</v>
      </c>
      <c r="H139" s="5">
        <f>FMECA!T140</f>
        <v>500</v>
      </c>
      <c r="I139" s="5">
        <f>FMECA!U140</f>
        <v>4089</v>
      </c>
      <c r="J139" s="5">
        <f t="shared" si="9"/>
        <v>28</v>
      </c>
      <c r="K139" s="5">
        <f t="shared" si="10"/>
        <v>27</v>
      </c>
      <c r="L139" s="5">
        <f t="shared" si="11"/>
        <v>1538</v>
      </c>
      <c r="M139" s="5">
        <f t="shared" si="12"/>
        <v>2051</v>
      </c>
    </row>
    <row r="140" spans="1:13">
      <c r="A140" s="5" t="str">
        <f>FMECA!A141</f>
        <v>R4_Sys</v>
      </c>
      <c r="B140" s="71" t="str">
        <f>FMECA!B141</f>
        <v>Decrease of Resistance Value</v>
      </c>
      <c r="C140" s="5">
        <f>FMECA!D141</f>
        <v>0.18</v>
      </c>
      <c r="D140" s="5">
        <f>FMECA!V141</f>
        <v>0</v>
      </c>
      <c r="E140" s="5">
        <f>FMECA!S141</f>
        <v>0</v>
      </c>
      <c r="F140" s="5">
        <f>FMECA!W141</f>
        <v>0</v>
      </c>
      <c r="G140" s="5">
        <f>FMECA!X141</f>
        <v>0</v>
      </c>
      <c r="H140" s="5">
        <f>FMECA!T141</f>
        <v>0</v>
      </c>
      <c r="I140" s="5">
        <f>FMECA!U141</f>
        <v>0</v>
      </c>
      <c r="J140" s="5">
        <f t="shared" si="9"/>
        <v>0</v>
      </c>
      <c r="K140" s="5">
        <f t="shared" si="10"/>
        <v>0</v>
      </c>
      <c r="L140" s="5">
        <f t="shared" si="11"/>
        <v>0</v>
      </c>
      <c r="M140" s="5">
        <f t="shared" si="12"/>
        <v>0</v>
      </c>
    </row>
    <row r="141" spans="1:13">
      <c r="A141" s="5" t="str">
        <f>FMECA!A142</f>
        <v>R4_Sys</v>
      </c>
      <c r="B141" s="71" t="str">
        <f>FMECA!B142</f>
        <v>Short-Circuit to Casing</v>
      </c>
      <c r="C141" s="5">
        <f>FMECA!D142</f>
        <v>0</v>
      </c>
      <c r="D141" s="5">
        <f>FMECA!V142</f>
        <v>54</v>
      </c>
      <c r="E141" s="5">
        <f>FMECA!S142</f>
        <v>4092</v>
      </c>
      <c r="F141" s="5">
        <f>FMECA!W142</f>
        <v>51</v>
      </c>
      <c r="G141" s="5">
        <f>FMECA!X142</f>
        <v>57</v>
      </c>
      <c r="H141" s="5">
        <f>FMECA!T142</f>
        <v>4091</v>
      </c>
      <c r="I141" s="5">
        <f>FMECA!U142</f>
        <v>4095</v>
      </c>
      <c r="J141" s="5">
        <f t="shared" si="9"/>
        <v>3</v>
      </c>
      <c r="K141" s="5">
        <f t="shared" si="10"/>
        <v>3</v>
      </c>
      <c r="L141" s="5">
        <f t="shared" si="11"/>
        <v>1</v>
      </c>
      <c r="M141" s="5">
        <f t="shared" si="12"/>
        <v>3</v>
      </c>
    </row>
    <row r="142" spans="1:13">
      <c r="A142" s="5" t="str">
        <f>FMECA!A143</f>
        <v>F_Sys</v>
      </c>
      <c r="B142" s="71" t="str">
        <f>FMECA!B143</f>
        <v>Interruption</v>
      </c>
      <c r="C142" s="5">
        <f>FMECA!D143</f>
        <v>0.08</v>
      </c>
      <c r="D142" s="5">
        <f>FMECA!V143</f>
        <v>0</v>
      </c>
      <c r="E142" s="5">
        <f>FMECA!S143</f>
        <v>0</v>
      </c>
      <c r="F142" s="5">
        <f>FMECA!W143</f>
        <v>0</v>
      </c>
      <c r="G142" s="5">
        <f>FMECA!X143</f>
        <v>0</v>
      </c>
      <c r="H142" s="5">
        <f>FMECA!T143</f>
        <v>0</v>
      </c>
      <c r="I142" s="5">
        <f>FMECA!U143</f>
        <v>0</v>
      </c>
      <c r="J142" s="5">
        <f t="shared" si="9"/>
        <v>0</v>
      </c>
      <c r="K142" s="5">
        <f t="shared" si="10"/>
        <v>0</v>
      </c>
      <c r="L142" s="5">
        <f t="shared" si="11"/>
        <v>0</v>
      </c>
      <c r="M142" s="5">
        <f t="shared" si="12"/>
        <v>0</v>
      </c>
    </row>
    <row r="143" spans="1:13">
      <c r="A143" s="5" t="str">
        <f>FMECA!A144</f>
        <v>F_Sys</v>
      </c>
      <c r="B143" s="71" t="str">
        <f>FMECA!B144</f>
        <v>Parallel short-circuit</v>
      </c>
      <c r="C143" s="5">
        <f>FMECA!D144</f>
        <v>0.16333333333333333</v>
      </c>
      <c r="D143" s="5">
        <f>FMECA!V144</f>
        <v>54</v>
      </c>
      <c r="E143" s="5">
        <f>FMECA!S144</f>
        <v>4092</v>
      </c>
      <c r="F143" s="5">
        <f>FMECA!W144</f>
        <v>51</v>
      </c>
      <c r="G143" s="5">
        <f>FMECA!X144</f>
        <v>57</v>
      </c>
      <c r="H143" s="5">
        <f>FMECA!T144</f>
        <v>4091</v>
      </c>
      <c r="I143" s="5">
        <f>FMECA!U144</f>
        <v>4095</v>
      </c>
      <c r="J143" s="5">
        <f t="shared" si="9"/>
        <v>3</v>
      </c>
      <c r="K143" s="5">
        <f t="shared" si="10"/>
        <v>3</v>
      </c>
      <c r="L143" s="5">
        <f t="shared" si="11"/>
        <v>1</v>
      </c>
      <c r="M143" s="5">
        <f t="shared" si="12"/>
        <v>3</v>
      </c>
    </row>
    <row r="144" spans="1:13">
      <c r="A144" s="5" t="str">
        <f>FMECA!A145</f>
        <v>F_Sys</v>
      </c>
      <c r="B144" s="71" t="str">
        <f>FMECA!B145</f>
        <v>Increase of rupture current</v>
      </c>
      <c r="C144" s="5">
        <f>FMECA!D145</f>
        <v>0.16333333333333333</v>
      </c>
      <c r="D144" s="5">
        <f>FMECA!V145</f>
        <v>54</v>
      </c>
      <c r="E144" s="5">
        <f>FMECA!S145</f>
        <v>4092</v>
      </c>
      <c r="F144" s="5">
        <f>FMECA!W145</f>
        <v>51</v>
      </c>
      <c r="G144" s="5">
        <f>FMECA!X145</f>
        <v>57</v>
      </c>
      <c r="H144" s="5">
        <f>FMECA!T145</f>
        <v>4091</v>
      </c>
      <c r="I144" s="5">
        <f>FMECA!U145</f>
        <v>4095</v>
      </c>
      <c r="J144" s="5">
        <f t="shared" si="9"/>
        <v>3</v>
      </c>
      <c r="K144" s="5">
        <f t="shared" si="10"/>
        <v>3</v>
      </c>
      <c r="L144" s="5">
        <f t="shared" si="11"/>
        <v>1</v>
      </c>
      <c r="M144" s="5">
        <f t="shared" si="12"/>
        <v>3</v>
      </c>
    </row>
    <row r="145" spans="1:13">
      <c r="A145" s="5" t="str">
        <f>FMECA!A146</f>
        <v>F_Sys</v>
      </c>
      <c r="B145" s="71" t="str">
        <f>FMECA!B146</f>
        <v>Increase of rupture time</v>
      </c>
      <c r="C145" s="5">
        <f>FMECA!D146</f>
        <v>0.43</v>
      </c>
      <c r="D145" s="5">
        <f>FMECA!V146</f>
        <v>54</v>
      </c>
      <c r="E145" s="5">
        <f>FMECA!S146</f>
        <v>4092</v>
      </c>
      <c r="F145" s="5">
        <f>FMECA!W146</f>
        <v>51</v>
      </c>
      <c r="G145" s="5">
        <f>FMECA!X146</f>
        <v>57</v>
      </c>
      <c r="H145" s="5">
        <f>FMECA!T146</f>
        <v>4091</v>
      </c>
      <c r="I145" s="5">
        <f>FMECA!U146</f>
        <v>4095</v>
      </c>
      <c r="J145" s="5">
        <f t="shared" si="9"/>
        <v>3</v>
      </c>
      <c r="K145" s="5">
        <f t="shared" si="10"/>
        <v>3</v>
      </c>
      <c r="L145" s="5">
        <f t="shared" si="11"/>
        <v>1</v>
      </c>
      <c r="M145" s="5">
        <f t="shared" si="12"/>
        <v>3</v>
      </c>
    </row>
    <row r="146" spans="1:13">
      <c r="A146" s="5" t="str">
        <f>FMECA!A147</f>
        <v>F_Sys</v>
      </c>
      <c r="B146" s="71" t="str">
        <f>FMECA!B147</f>
        <v>Reconnection after rupture</v>
      </c>
      <c r="C146" s="5">
        <f>FMECA!D147</f>
        <v>0.16333333333333333</v>
      </c>
      <c r="D146" s="5">
        <f>FMECA!V147</f>
        <v>54</v>
      </c>
      <c r="E146" s="5">
        <f>FMECA!S147</f>
        <v>4092</v>
      </c>
      <c r="F146" s="5">
        <f>FMECA!W147</f>
        <v>51</v>
      </c>
      <c r="G146" s="5">
        <f>FMECA!X147</f>
        <v>57</v>
      </c>
      <c r="H146" s="5">
        <f>FMECA!T147</f>
        <v>4091</v>
      </c>
      <c r="I146" s="5">
        <f>FMECA!U147</f>
        <v>4095</v>
      </c>
      <c r="J146" s="5">
        <f t="shared" si="9"/>
        <v>3</v>
      </c>
      <c r="K146" s="5">
        <f t="shared" si="10"/>
        <v>3</v>
      </c>
      <c r="L146" s="5">
        <f t="shared" si="11"/>
        <v>1</v>
      </c>
      <c r="M146" s="5">
        <f t="shared" si="12"/>
        <v>3</v>
      </c>
    </row>
    <row r="147" spans="1:13">
      <c r="A147" s="5" t="str">
        <f>FMECA!A148</f>
        <v>Q_Sys</v>
      </c>
      <c r="B147" s="71" t="str">
        <f>FMECA!B148</f>
        <v>Interruption of Gate</v>
      </c>
      <c r="C147" s="5">
        <f>FMECA!D148</f>
        <v>2.642857142857143E-2</v>
      </c>
      <c r="D147" s="5">
        <f>FMECA!V148</f>
        <v>4092</v>
      </c>
      <c r="E147" s="5">
        <f>FMECA!S148</f>
        <v>4093</v>
      </c>
      <c r="F147" s="5">
        <f>FMECA!W148</f>
        <v>4092</v>
      </c>
      <c r="G147" s="5">
        <f>FMECA!X148</f>
        <v>4092</v>
      </c>
      <c r="H147" s="5">
        <f>FMECA!T148</f>
        <v>4093</v>
      </c>
      <c r="I147" s="5">
        <f>FMECA!U148</f>
        <v>4093</v>
      </c>
      <c r="J147" s="5">
        <f t="shared" si="9"/>
        <v>0</v>
      </c>
      <c r="K147" s="5">
        <f t="shared" si="10"/>
        <v>0</v>
      </c>
      <c r="L147" s="5">
        <f t="shared" si="11"/>
        <v>0</v>
      </c>
      <c r="M147" s="5">
        <f t="shared" si="12"/>
        <v>0</v>
      </c>
    </row>
    <row r="148" spans="1:13">
      <c r="A148" s="5" t="str">
        <f>FMECA!A149</f>
        <v>Q_Sys</v>
      </c>
      <c r="B148" s="71" t="str">
        <f>FMECA!B149</f>
        <v>Interruption of Source</v>
      </c>
      <c r="C148" s="5">
        <f>FMECA!D149</f>
        <v>2.642857142857143E-2</v>
      </c>
      <c r="D148" s="5">
        <f>FMECA!V149</f>
        <v>4092</v>
      </c>
      <c r="E148" s="5">
        <f>FMECA!S149</f>
        <v>4093</v>
      </c>
      <c r="F148" s="5">
        <f>FMECA!W149</f>
        <v>4092</v>
      </c>
      <c r="G148" s="5">
        <f>FMECA!X149</f>
        <v>4092</v>
      </c>
      <c r="H148" s="5">
        <f>FMECA!T149</f>
        <v>4093</v>
      </c>
      <c r="I148" s="5">
        <f>FMECA!U149</f>
        <v>4093</v>
      </c>
      <c r="J148" s="5">
        <f t="shared" si="9"/>
        <v>0</v>
      </c>
      <c r="K148" s="5">
        <f t="shared" si="10"/>
        <v>0</v>
      </c>
      <c r="L148" s="5">
        <f t="shared" si="11"/>
        <v>0</v>
      </c>
      <c r="M148" s="5">
        <f t="shared" si="12"/>
        <v>0</v>
      </c>
    </row>
    <row r="149" spans="1:13">
      <c r="A149" s="5" t="str">
        <f>FMECA!A150</f>
        <v>Q_Sys</v>
      </c>
      <c r="B149" s="71" t="str">
        <f>FMECA!B150</f>
        <v>Interruption of Drain</v>
      </c>
      <c r="C149" s="5">
        <f>FMECA!D150</f>
        <v>2.642857142857143E-2</v>
      </c>
      <c r="D149" s="5">
        <f>FMECA!V150</f>
        <v>4092</v>
      </c>
      <c r="E149" s="5">
        <f>FMECA!S150</f>
        <v>4093</v>
      </c>
      <c r="F149" s="5">
        <f>FMECA!W150</f>
        <v>4092</v>
      </c>
      <c r="G149" s="5">
        <f>FMECA!X150</f>
        <v>4092</v>
      </c>
      <c r="H149" s="5">
        <f>FMECA!T150</f>
        <v>4093</v>
      </c>
      <c r="I149" s="5">
        <f>FMECA!U150</f>
        <v>4093</v>
      </c>
      <c r="J149" s="5">
        <f t="shared" si="9"/>
        <v>0</v>
      </c>
      <c r="K149" s="5">
        <f t="shared" si="10"/>
        <v>0</v>
      </c>
      <c r="L149" s="5">
        <f t="shared" si="11"/>
        <v>0</v>
      </c>
      <c r="M149" s="5">
        <f t="shared" si="12"/>
        <v>0</v>
      </c>
    </row>
    <row r="150" spans="1:13">
      <c r="A150" s="5" t="str">
        <f>FMECA!A151</f>
        <v>Q_Sys</v>
      </c>
      <c r="B150" s="71" t="str">
        <f>FMECA!B151</f>
        <v>Interruption of Gate and Source</v>
      </c>
      <c r="C150" s="5">
        <f>FMECA!D151</f>
        <v>2.642857142857143E-2</v>
      </c>
      <c r="D150" s="5">
        <f>FMECA!V151</f>
        <v>4092</v>
      </c>
      <c r="E150" s="5">
        <f>FMECA!S151</f>
        <v>4093</v>
      </c>
      <c r="F150" s="5">
        <f>FMECA!W151</f>
        <v>4092</v>
      </c>
      <c r="G150" s="5">
        <f>FMECA!X151</f>
        <v>4092</v>
      </c>
      <c r="H150" s="5">
        <f>FMECA!T151</f>
        <v>4093</v>
      </c>
      <c r="I150" s="5">
        <f>FMECA!U151</f>
        <v>4093</v>
      </c>
      <c r="J150" s="5">
        <f t="shared" si="9"/>
        <v>0</v>
      </c>
      <c r="K150" s="5">
        <f t="shared" si="10"/>
        <v>0</v>
      </c>
      <c r="L150" s="5">
        <f t="shared" si="11"/>
        <v>0</v>
      </c>
      <c r="M150" s="5">
        <f t="shared" si="12"/>
        <v>0</v>
      </c>
    </row>
    <row r="151" spans="1:13">
      <c r="A151" s="5" t="str">
        <f>FMECA!A152</f>
        <v>Q_Sys</v>
      </c>
      <c r="B151" s="71" t="str">
        <f>FMECA!B152</f>
        <v>Interruption of Gate and Drain</v>
      </c>
      <c r="C151" s="5">
        <f>FMECA!D152</f>
        <v>2.642857142857143E-2</v>
      </c>
      <c r="D151" s="5">
        <f>FMECA!V152</f>
        <v>4092</v>
      </c>
      <c r="E151" s="5">
        <f>FMECA!S152</f>
        <v>4093</v>
      </c>
      <c r="F151" s="5">
        <f>FMECA!W152</f>
        <v>4092</v>
      </c>
      <c r="G151" s="5">
        <f>FMECA!X152</f>
        <v>4092</v>
      </c>
      <c r="H151" s="5">
        <f>FMECA!T152</f>
        <v>4093</v>
      </c>
      <c r="I151" s="5">
        <f>FMECA!U152</f>
        <v>4093</v>
      </c>
      <c r="J151" s="5">
        <f t="shared" si="9"/>
        <v>0</v>
      </c>
      <c r="K151" s="5">
        <f t="shared" si="10"/>
        <v>0</v>
      </c>
      <c r="L151" s="5">
        <f t="shared" si="11"/>
        <v>0</v>
      </c>
      <c r="M151" s="5">
        <f t="shared" si="12"/>
        <v>0</v>
      </c>
    </row>
    <row r="152" spans="1:13">
      <c r="A152" s="5" t="str">
        <f>FMECA!A153</f>
        <v>Q_Sys</v>
      </c>
      <c r="B152" s="71" t="str">
        <f>FMECA!B153</f>
        <v>Interruption of Source and Drain</v>
      </c>
      <c r="C152" s="5">
        <f>FMECA!D153</f>
        <v>2.642857142857143E-2</v>
      </c>
      <c r="D152" s="5">
        <f>FMECA!V153</f>
        <v>4092</v>
      </c>
      <c r="E152" s="5">
        <f>FMECA!S153</f>
        <v>4093</v>
      </c>
      <c r="F152" s="5">
        <f>FMECA!W153</f>
        <v>4092</v>
      </c>
      <c r="G152" s="5">
        <f>FMECA!X153</f>
        <v>4092</v>
      </c>
      <c r="H152" s="5">
        <f>FMECA!T153</f>
        <v>4093</v>
      </c>
      <c r="I152" s="5">
        <f>FMECA!U153</f>
        <v>4093</v>
      </c>
      <c r="J152" s="5">
        <f t="shared" si="9"/>
        <v>0</v>
      </c>
      <c r="K152" s="5">
        <f t="shared" si="10"/>
        <v>0</v>
      </c>
      <c r="L152" s="5">
        <f t="shared" si="11"/>
        <v>0</v>
      </c>
      <c r="M152" s="5">
        <f t="shared" si="12"/>
        <v>0</v>
      </c>
    </row>
    <row r="153" spans="1:13">
      <c r="A153" s="5" t="str">
        <f>FMECA!A154</f>
        <v>Q_Sys</v>
      </c>
      <c r="B153" s="71" t="str">
        <f>FMECA!B154</f>
        <v>Interruption of Gate, Source and Drain</v>
      </c>
      <c r="C153" s="5">
        <f>FMECA!D154</f>
        <v>2.642857142857143E-2</v>
      </c>
      <c r="D153" s="5">
        <f>FMECA!V154</f>
        <v>4092</v>
      </c>
      <c r="E153" s="5">
        <f>FMECA!S154</f>
        <v>4093</v>
      </c>
      <c r="F153" s="5">
        <f>FMECA!W154</f>
        <v>4092</v>
      </c>
      <c r="G153" s="5">
        <f>FMECA!X154</f>
        <v>4092</v>
      </c>
      <c r="H153" s="5">
        <f>FMECA!T154</f>
        <v>4093</v>
      </c>
      <c r="I153" s="5">
        <f>FMECA!U154</f>
        <v>4093</v>
      </c>
      <c r="J153" s="5">
        <f t="shared" si="9"/>
        <v>0</v>
      </c>
      <c r="K153" s="5">
        <f t="shared" si="10"/>
        <v>0</v>
      </c>
      <c r="L153" s="5">
        <f t="shared" si="11"/>
        <v>0</v>
      </c>
      <c r="M153" s="5">
        <f t="shared" si="12"/>
        <v>0</v>
      </c>
    </row>
    <row r="154" spans="1:13">
      <c r="A154" s="5" t="str">
        <f>FMECA!A155</f>
        <v>Q_Sys</v>
      </c>
      <c r="B154" s="71" t="str">
        <f>FMECA!B155</f>
        <v>Short-Circuit Between Source and Drain</v>
      </c>
      <c r="C154" s="5">
        <f>FMECA!D155</f>
        <v>9.2142857142857151E-2</v>
      </c>
      <c r="D154" s="5">
        <f>FMECA!V155</f>
        <v>0</v>
      </c>
      <c r="E154" s="5">
        <f>FMECA!S155</f>
        <v>0</v>
      </c>
      <c r="F154" s="5">
        <f>FMECA!W155</f>
        <v>0</v>
      </c>
      <c r="G154" s="5">
        <f>FMECA!X155</f>
        <v>0</v>
      </c>
      <c r="H154" s="5">
        <f>FMECA!T155</f>
        <v>0</v>
      </c>
      <c r="I154" s="5">
        <f>FMECA!U155</f>
        <v>0</v>
      </c>
      <c r="J154" s="5">
        <f t="shared" si="9"/>
        <v>0</v>
      </c>
      <c r="K154" s="5">
        <f t="shared" si="10"/>
        <v>0</v>
      </c>
      <c r="L154" s="5">
        <f t="shared" si="11"/>
        <v>0</v>
      </c>
      <c r="M154" s="5">
        <f t="shared" si="12"/>
        <v>0</v>
      </c>
    </row>
    <row r="155" spans="1:13">
      <c r="A155" s="5" t="str">
        <f>FMECA!A156</f>
        <v>Q_Sys</v>
      </c>
      <c r="B155" s="71" t="str">
        <f>FMECA!B156</f>
        <v>Short-Circuit Between Gate and Drain</v>
      </c>
      <c r="C155" s="5">
        <f>FMECA!D156</f>
        <v>9.2142857142857151E-2</v>
      </c>
      <c r="D155" s="5">
        <f>FMECA!V156</f>
        <v>0</v>
      </c>
      <c r="E155" s="5">
        <f>FMECA!S156</f>
        <v>0</v>
      </c>
      <c r="F155" s="5">
        <f>FMECA!W156</f>
        <v>0</v>
      </c>
      <c r="G155" s="5">
        <f>FMECA!X156</f>
        <v>0</v>
      </c>
      <c r="H155" s="5">
        <f>FMECA!T156</f>
        <v>0</v>
      </c>
      <c r="I155" s="5">
        <f>FMECA!U156</f>
        <v>0</v>
      </c>
      <c r="J155" s="5">
        <f t="shared" si="9"/>
        <v>0</v>
      </c>
      <c r="K155" s="5">
        <f t="shared" si="10"/>
        <v>0</v>
      </c>
      <c r="L155" s="5">
        <f t="shared" si="11"/>
        <v>0</v>
      </c>
      <c r="M155" s="5">
        <f t="shared" si="12"/>
        <v>0</v>
      </c>
    </row>
    <row r="156" spans="1:13">
      <c r="A156" s="5" t="str">
        <f>FMECA!A157</f>
        <v>Q_Sys</v>
      </c>
      <c r="B156" s="71" t="str">
        <f>FMECA!B157</f>
        <v>Short-Circuit Between Source and Gate</v>
      </c>
      <c r="C156" s="5">
        <f>FMECA!D157</f>
        <v>9.2142857142857151E-2</v>
      </c>
      <c r="D156" s="5">
        <f>FMECA!V157</f>
        <v>4092</v>
      </c>
      <c r="E156" s="5">
        <f>FMECA!S157</f>
        <v>4093</v>
      </c>
      <c r="F156" s="5">
        <f>FMECA!W157</f>
        <v>4092</v>
      </c>
      <c r="G156" s="5">
        <f>FMECA!X157</f>
        <v>4092</v>
      </c>
      <c r="H156" s="5">
        <f>FMECA!T157</f>
        <v>4093</v>
      </c>
      <c r="I156" s="5">
        <f>FMECA!U157</f>
        <v>4093</v>
      </c>
      <c r="J156" s="5">
        <f t="shared" si="9"/>
        <v>0</v>
      </c>
      <c r="K156" s="5">
        <f t="shared" si="10"/>
        <v>0</v>
      </c>
      <c r="L156" s="5">
        <f t="shared" si="11"/>
        <v>0</v>
      </c>
      <c r="M156" s="5">
        <f t="shared" si="12"/>
        <v>0</v>
      </c>
    </row>
    <row r="157" spans="1:13">
      <c r="A157" s="5" t="str">
        <f>FMECA!A158</f>
        <v>Q_Sys</v>
      </c>
      <c r="B157" s="71" t="str">
        <f>FMECA!B158</f>
        <v>Short-Circuit Between Source, Gate and Drain</v>
      </c>
      <c r="C157" s="5">
        <f>FMECA!D158</f>
        <v>9.2142857142857151E-2</v>
      </c>
      <c r="D157" s="5">
        <f>FMECA!V158</f>
        <v>0</v>
      </c>
      <c r="E157" s="5">
        <f>FMECA!S158</f>
        <v>0</v>
      </c>
      <c r="F157" s="5">
        <f>FMECA!W158</f>
        <v>0</v>
      </c>
      <c r="G157" s="5">
        <f>FMECA!X158</f>
        <v>0</v>
      </c>
      <c r="H157" s="5">
        <f>FMECA!T158</f>
        <v>0</v>
      </c>
      <c r="I157" s="5">
        <f>FMECA!U158</f>
        <v>0</v>
      </c>
      <c r="J157" s="5">
        <f t="shared" si="9"/>
        <v>0</v>
      </c>
      <c r="K157" s="5">
        <f t="shared" si="10"/>
        <v>0</v>
      </c>
      <c r="L157" s="5">
        <f t="shared" si="11"/>
        <v>0</v>
      </c>
      <c r="M157" s="5">
        <f t="shared" si="12"/>
        <v>0</v>
      </c>
    </row>
    <row r="158" spans="1:13">
      <c r="A158" s="5" t="str">
        <f>FMECA!A159</f>
        <v>Q_Sys</v>
      </c>
      <c r="B158" s="71" t="str">
        <f>FMECA!B159</f>
        <v>Short-Circuit Between Source and Drain with Interruption of Gate</v>
      </c>
      <c r="C158" s="5">
        <f>FMECA!D159</f>
        <v>9.2142857142857151E-2</v>
      </c>
      <c r="D158" s="5">
        <f>FMECA!V159</f>
        <v>0</v>
      </c>
      <c r="E158" s="5">
        <f>FMECA!S159</f>
        <v>0</v>
      </c>
      <c r="F158" s="5">
        <f>FMECA!W159</f>
        <v>0</v>
      </c>
      <c r="G158" s="5">
        <f>FMECA!X159</f>
        <v>0</v>
      </c>
      <c r="H158" s="5">
        <f>FMECA!T159</f>
        <v>0</v>
      </c>
      <c r="I158" s="5">
        <f>FMECA!U159</f>
        <v>0</v>
      </c>
      <c r="J158" s="5">
        <f t="shared" si="9"/>
        <v>0</v>
      </c>
      <c r="K158" s="5">
        <f t="shared" si="10"/>
        <v>0</v>
      </c>
      <c r="L158" s="5">
        <f t="shared" si="11"/>
        <v>0</v>
      </c>
      <c r="M158" s="5">
        <f t="shared" si="12"/>
        <v>0</v>
      </c>
    </row>
    <row r="159" spans="1:13">
      <c r="A159" s="5" t="str">
        <f>FMECA!A160</f>
        <v>Q_Sys</v>
      </c>
      <c r="B159" s="71" t="str">
        <f>FMECA!B160</f>
        <v>Short-Circuit Between Gate and Drain with Interruption of Source</v>
      </c>
      <c r="C159" s="5">
        <f>FMECA!D160</f>
        <v>9.2142857142857151E-2</v>
      </c>
      <c r="D159" s="5">
        <f>FMECA!V160</f>
        <v>0</v>
      </c>
      <c r="E159" s="5">
        <f>FMECA!S160</f>
        <v>0</v>
      </c>
      <c r="F159" s="5">
        <f>FMECA!W160</f>
        <v>0</v>
      </c>
      <c r="G159" s="5">
        <f>FMECA!X160</f>
        <v>0</v>
      </c>
      <c r="H159" s="5">
        <f>FMECA!T160</f>
        <v>0</v>
      </c>
      <c r="I159" s="5">
        <f>FMECA!U160</f>
        <v>0</v>
      </c>
      <c r="J159" s="5">
        <f t="shared" si="9"/>
        <v>0</v>
      </c>
      <c r="K159" s="5">
        <f t="shared" si="10"/>
        <v>0</v>
      </c>
      <c r="L159" s="5">
        <f t="shared" si="11"/>
        <v>0</v>
      </c>
      <c r="M159" s="5">
        <f t="shared" si="12"/>
        <v>0</v>
      </c>
    </row>
    <row r="160" spans="1:13">
      <c r="A160" s="5" t="str">
        <f>FMECA!A161</f>
        <v>Q_Sys</v>
      </c>
      <c r="B160" s="71" t="str">
        <f>FMECA!B161</f>
        <v>Short-Circuit Between Source and Gate with Interruption of Drain</v>
      </c>
      <c r="C160" s="5">
        <f>FMECA!D161</f>
        <v>9.2142857142857151E-2</v>
      </c>
      <c r="D160" s="5">
        <f>FMECA!V161</f>
        <v>4092</v>
      </c>
      <c r="E160" s="5">
        <f>FMECA!S161</f>
        <v>4093</v>
      </c>
      <c r="F160" s="5">
        <f>FMECA!W161</f>
        <v>4092</v>
      </c>
      <c r="G160" s="5">
        <f>FMECA!X161</f>
        <v>4092</v>
      </c>
      <c r="H160" s="5">
        <f>FMECA!T161</f>
        <v>4093</v>
      </c>
      <c r="I160" s="5">
        <f>FMECA!U161</f>
        <v>4093</v>
      </c>
      <c r="J160" s="5">
        <f t="shared" si="9"/>
        <v>0</v>
      </c>
      <c r="K160" s="5">
        <f t="shared" si="10"/>
        <v>0</v>
      </c>
      <c r="L160" s="5">
        <f t="shared" si="11"/>
        <v>0</v>
      </c>
      <c r="M160" s="5">
        <f t="shared" si="12"/>
        <v>0</v>
      </c>
    </row>
    <row r="161" spans="1:13">
      <c r="A161" s="5" t="str">
        <f>FMECA!A162</f>
        <v>Q_Sys</v>
      </c>
      <c r="B161" s="71" t="str">
        <f>FMECA!B162</f>
        <v>Short-Circuit Between Casing and Source</v>
      </c>
      <c r="C161" s="5">
        <f>FMECA!D162</f>
        <v>0</v>
      </c>
      <c r="D161" s="5">
        <f>FMECA!V162</f>
        <v>54</v>
      </c>
      <c r="E161" s="5">
        <f>FMECA!S162</f>
        <v>4092</v>
      </c>
      <c r="F161" s="5">
        <f>FMECA!W162</f>
        <v>51</v>
      </c>
      <c r="G161" s="5">
        <f>FMECA!X162</f>
        <v>57</v>
      </c>
      <c r="H161" s="5">
        <f>FMECA!T162</f>
        <v>4091</v>
      </c>
      <c r="I161" s="5">
        <f>FMECA!U162</f>
        <v>4095</v>
      </c>
      <c r="J161" s="5">
        <f t="shared" si="9"/>
        <v>3</v>
      </c>
      <c r="K161" s="5">
        <f t="shared" si="10"/>
        <v>3</v>
      </c>
      <c r="L161" s="5">
        <f t="shared" si="11"/>
        <v>1</v>
      </c>
      <c r="M161" s="5">
        <f t="shared" si="12"/>
        <v>3</v>
      </c>
    </row>
    <row r="162" spans="1:13">
      <c r="A162" s="5" t="str">
        <f>FMECA!A163</f>
        <v>Q_Sys</v>
      </c>
      <c r="B162" s="71" t="str">
        <f>FMECA!B163</f>
        <v>Short-Circuit Between Casing and Gate</v>
      </c>
      <c r="C162" s="5">
        <f>FMECA!D163</f>
        <v>0</v>
      </c>
      <c r="D162" s="5">
        <f>FMECA!V163</f>
        <v>54</v>
      </c>
      <c r="E162" s="5">
        <f>FMECA!S163</f>
        <v>4092</v>
      </c>
      <c r="F162" s="5">
        <f>FMECA!W163</f>
        <v>51</v>
      </c>
      <c r="G162" s="5">
        <f>FMECA!X163</f>
        <v>57</v>
      </c>
      <c r="H162" s="5">
        <f>FMECA!T163</f>
        <v>4091</v>
      </c>
      <c r="I162" s="5">
        <f>FMECA!U163</f>
        <v>4095</v>
      </c>
      <c r="J162" s="5">
        <f t="shared" si="9"/>
        <v>3</v>
      </c>
      <c r="K162" s="5">
        <f t="shared" si="10"/>
        <v>3</v>
      </c>
      <c r="L162" s="5">
        <f t="shared" si="11"/>
        <v>1</v>
      </c>
      <c r="M162" s="5">
        <f t="shared" si="12"/>
        <v>3</v>
      </c>
    </row>
    <row r="163" spans="1:13">
      <c r="A163" s="5" t="str">
        <f>FMECA!A164</f>
        <v>Q_Sys</v>
      </c>
      <c r="B163" s="71" t="str">
        <f>FMECA!B164</f>
        <v>Short-Circuit Between Casing and Drain</v>
      </c>
      <c r="C163" s="5">
        <f>FMECA!D164</f>
        <v>0</v>
      </c>
      <c r="D163" s="5">
        <f>FMECA!V164</f>
        <v>54</v>
      </c>
      <c r="E163" s="5">
        <f>FMECA!S164</f>
        <v>4092</v>
      </c>
      <c r="F163" s="5">
        <f>FMECA!W164</f>
        <v>51</v>
      </c>
      <c r="G163" s="5">
        <f>FMECA!X164</f>
        <v>57</v>
      </c>
      <c r="H163" s="5">
        <f>FMECA!T164</f>
        <v>4091</v>
      </c>
      <c r="I163" s="5">
        <f>FMECA!U164</f>
        <v>4095</v>
      </c>
      <c r="J163" s="5">
        <f t="shared" si="9"/>
        <v>3</v>
      </c>
      <c r="K163" s="5">
        <f t="shared" si="10"/>
        <v>3</v>
      </c>
      <c r="L163" s="5">
        <f t="shared" si="11"/>
        <v>1</v>
      </c>
      <c r="M163" s="5">
        <f t="shared" si="12"/>
        <v>3</v>
      </c>
    </row>
    <row r="164" spans="1:13">
      <c r="A164" s="5" t="str">
        <f>FMECA!A165</f>
        <v>Q_Sys</v>
      </c>
      <c r="B164" s="71" t="str">
        <f>FMECA!B165</f>
        <v>Increase of Forward Transcondutance</v>
      </c>
      <c r="C164" s="5">
        <f>FMECA!D165</f>
        <v>1.3076923076923078E-2</v>
      </c>
      <c r="D164" s="5">
        <f>FMECA!V165</f>
        <v>54</v>
      </c>
      <c r="E164" s="5">
        <f>FMECA!S165</f>
        <v>4092</v>
      </c>
      <c r="F164" s="5">
        <f>FMECA!W165</f>
        <v>51</v>
      </c>
      <c r="G164" s="5">
        <f>FMECA!X165</f>
        <v>57</v>
      </c>
      <c r="H164" s="5">
        <f>FMECA!T165</f>
        <v>4091</v>
      </c>
      <c r="I164" s="5">
        <f>FMECA!U165</f>
        <v>4095</v>
      </c>
      <c r="J164" s="5">
        <f t="shared" si="9"/>
        <v>3</v>
      </c>
      <c r="K164" s="5">
        <f t="shared" si="10"/>
        <v>3</v>
      </c>
      <c r="L164" s="5">
        <f t="shared" si="11"/>
        <v>1</v>
      </c>
      <c r="M164" s="5">
        <f t="shared" si="12"/>
        <v>3</v>
      </c>
    </row>
    <row r="165" spans="1:13">
      <c r="A165" s="5" t="str">
        <f>FMECA!A166</f>
        <v>Q_Sys</v>
      </c>
      <c r="B165" s="71" t="str">
        <f>FMECA!B166</f>
        <v>Decrease of Forward Transcondutance</v>
      </c>
      <c r="C165" s="5">
        <f>FMECA!D166</f>
        <v>1.3076923076923078E-2</v>
      </c>
      <c r="D165" s="5">
        <f>FMECA!V166</f>
        <v>2038</v>
      </c>
      <c r="E165" s="5">
        <f>FMECA!S166</f>
        <v>4093</v>
      </c>
      <c r="F165" s="5">
        <f>FMECA!W166</f>
        <v>51</v>
      </c>
      <c r="G165" s="5">
        <f>FMECA!X166</f>
        <v>4092</v>
      </c>
      <c r="H165" s="5">
        <f>FMECA!T166</f>
        <v>4093</v>
      </c>
      <c r="I165" s="5">
        <f>FMECA!U166</f>
        <v>4093</v>
      </c>
      <c r="J165" s="5">
        <f t="shared" si="9"/>
        <v>1987</v>
      </c>
      <c r="K165" s="5">
        <f t="shared" si="10"/>
        <v>2054</v>
      </c>
      <c r="L165" s="5">
        <f t="shared" si="11"/>
        <v>0</v>
      </c>
      <c r="M165" s="5">
        <f t="shared" si="12"/>
        <v>0</v>
      </c>
    </row>
    <row r="166" spans="1:13">
      <c r="A166" s="5" t="str">
        <f>FMECA!A167</f>
        <v>Q_Sys</v>
      </c>
      <c r="B166" s="71" t="str">
        <f>FMECA!B167</f>
        <v>Increase of Gate Threshold Voltage</v>
      </c>
      <c r="C166" s="5">
        <f>FMECA!D167</f>
        <v>1.3076923076923078E-2</v>
      </c>
      <c r="D166" s="5">
        <f>FMECA!V167</f>
        <v>2038</v>
      </c>
      <c r="E166" s="5">
        <f>FMECA!S167</f>
        <v>4093</v>
      </c>
      <c r="F166" s="5">
        <f>FMECA!W167</f>
        <v>51</v>
      </c>
      <c r="G166" s="5">
        <f>FMECA!X167</f>
        <v>4092</v>
      </c>
      <c r="H166" s="5">
        <f>FMECA!T167</f>
        <v>4093</v>
      </c>
      <c r="I166" s="5">
        <f>FMECA!U167</f>
        <v>4093</v>
      </c>
      <c r="J166" s="5">
        <f t="shared" si="9"/>
        <v>1987</v>
      </c>
      <c r="K166" s="5">
        <f t="shared" si="10"/>
        <v>2054</v>
      </c>
      <c r="L166" s="5">
        <f t="shared" si="11"/>
        <v>0</v>
      </c>
      <c r="M166" s="5">
        <f t="shared" si="12"/>
        <v>0</v>
      </c>
    </row>
    <row r="167" spans="1:13">
      <c r="A167" s="5" t="str">
        <f>FMECA!A168</f>
        <v>Q_Sys</v>
      </c>
      <c r="B167" s="71" t="str">
        <f>FMECA!B168</f>
        <v>Decrease of Gate Threshold Voltage</v>
      </c>
      <c r="C167" s="5">
        <f>FMECA!D168</f>
        <v>1.3076923076923078E-2</v>
      </c>
      <c r="D167" s="5">
        <f>FMECA!V168</f>
        <v>0</v>
      </c>
      <c r="E167" s="5">
        <f>FMECA!S168</f>
        <v>2038</v>
      </c>
      <c r="F167" s="5">
        <f>FMECA!W168</f>
        <v>0</v>
      </c>
      <c r="G167" s="5">
        <f>FMECA!X168</f>
        <v>0</v>
      </c>
      <c r="H167" s="5">
        <f>FMECA!T168</f>
        <v>0</v>
      </c>
      <c r="I167" s="5">
        <f>FMECA!U168</f>
        <v>4093</v>
      </c>
      <c r="J167" s="5">
        <f t="shared" si="9"/>
        <v>0</v>
      </c>
      <c r="K167" s="5">
        <f t="shared" si="10"/>
        <v>0</v>
      </c>
      <c r="L167" s="5">
        <f t="shared" si="11"/>
        <v>2038</v>
      </c>
      <c r="M167" s="5">
        <f t="shared" si="12"/>
        <v>2055</v>
      </c>
    </row>
    <row r="168" spans="1:13">
      <c r="A168" s="5" t="str">
        <f>FMECA!A169</f>
        <v>Q_Sys</v>
      </c>
      <c r="B168" s="71" t="str">
        <f>FMECA!B169</f>
        <v>Decrease of Drain-Source Breakdown Voltage</v>
      </c>
      <c r="C168" s="5">
        <f>FMECA!D169</f>
        <v>1.3076923076923078E-2</v>
      </c>
      <c r="D168" s="5">
        <f>FMECA!V169</f>
        <v>0</v>
      </c>
      <c r="E168" s="5">
        <f>FMECA!S169</f>
        <v>2038</v>
      </c>
      <c r="F168" s="5">
        <f>FMECA!W169</f>
        <v>0</v>
      </c>
      <c r="G168" s="5">
        <f>FMECA!X169</f>
        <v>0</v>
      </c>
      <c r="H168" s="5">
        <f>FMECA!T169</f>
        <v>0</v>
      </c>
      <c r="I168" s="5">
        <f>FMECA!U169</f>
        <v>4093</v>
      </c>
      <c r="J168" s="5">
        <f t="shared" si="9"/>
        <v>0</v>
      </c>
      <c r="K168" s="5">
        <f t="shared" si="10"/>
        <v>0</v>
      </c>
      <c r="L168" s="5">
        <f t="shared" si="11"/>
        <v>2038</v>
      </c>
      <c r="M168" s="5">
        <f t="shared" si="12"/>
        <v>2055</v>
      </c>
    </row>
    <row r="169" spans="1:13">
      <c r="A169" s="5" t="str">
        <f>FMECA!A170</f>
        <v>Q_Sys</v>
      </c>
      <c r="B169" s="71" t="str">
        <f>FMECA!B170</f>
        <v>Decrease of Gate-Source Maximum Rated Voltage</v>
      </c>
      <c r="C169" s="5">
        <f>FMECA!D170</f>
        <v>1.3076923076923078E-2</v>
      </c>
      <c r="D169" s="5">
        <f>FMECA!V170</f>
        <v>2038</v>
      </c>
      <c r="E169" s="5">
        <f>FMECA!S170</f>
        <v>4093</v>
      </c>
      <c r="F169" s="5">
        <f>FMECA!W170</f>
        <v>51</v>
      </c>
      <c r="G169" s="5">
        <f>FMECA!X170</f>
        <v>4092</v>
      </c>
      <c r="H169" s="5">
        <f>FMECA!T170</f>
        <v>4093</v>
      </c>
      <c r="I169" s="5">
        <f>FMECA!U170</f>
        <v>4093</v>
      </c>
      <c r="J169" s="5">
        <f t="shared" si="9"/>
        <v>1987</v>
      </c>
      <c r="K169" s="5">
        <f t="shared" si="10"/>
        <v>2054</v>
      </c>
      <c r="L169" s="5">
        <f t="shared" si="11"/>
        <v>0</v>
      </c>
      <c r="M169" s="5">
        <f t="shared" si="12"/>
        <v>0</v>
      </c>
    </row>
    <row r="170" spans="1:13">
      <c r="A170" s="5" t="str">
        <f>FMECA!A171</f>
        <v>Q_Sys</v>
      </c>
      <c r="B170" s="71" t="str">
        <f>FMECA!B171</f>
        <v>Decrease of Drain-Gate Maximum Rated Voltage</v>
      </c>
      <c r="C170" s="5">
        <f>FMECA!D171</f>
        <v>1.3076923076923078E-2</v>
      </c>
      <c r="D170" s="5">
        <f>FMECA!V171</f>
        <v>2038</v>
      </c>
      <c r="E170" s="5">
        <f>FMECA!S171</f>
        <v>2038</v>
      </c>
      <c r="F170" s="5">
        <f>FMECA!W171</f>
        <v>0</v>
      </c>
      <c r="G170" s="5">
        <f>FMECA!X171</f>
        <v>4093</v>
      </c>
      <c r="H170" s="5">
        <f>FMECA!T171</f>
        <v>0</v>
      </c>
      <c r="I170" s="5">
        <f>FMECA!U171</f>
        <v>4093</v>
      </c>
      <c r="J170" s="5">
        <f t="shared" si="9"/>
        <v>2038</v>
      </c>
      <c r="K170" s="5">
        <f t="shared" si="10"/>
        <v>2055</v>
      </c>
      <c r="L170" s="5">
        <f t="shared" si="11"/>
        <v>2038</v>
      </c>
      <c r="M170" s="5">
        <f t="shared" si="12"/>
        <v>2055</v>
      </c>
    </row>
    <row r="171" spans="1:13">
      <c r="A171" s="5" t="str">
        <f>FMECA!A172</f>
        <v>Q_Sys</v>
      </c>
      <c r="B171" s="71" t="str">
        <f>FMECA!B172</f>
        <v>Change of Turn-On Time</v>
      </c>
      <c r="C171" s="5">
        <f>FMECA!D172</f>
        <v>1.3076923076923078E-2</v>
      </c>
      <c r="D171" s="5">
        <f>FMECA!V172</f>
        <v>0</v>
      </c>
      <c r="E171" s="5">
        <f>FMECA!S172</f>
        <v>0</v>
      </c>
      <c r="F171" s="5">
        <f>FMECA!W172</f>
        <v>0</v>
      </c>
      <c r="G171" s="5">
        <f>FMECA!X172</f>
        <v>0</v>
      </c>
      <c r="H171" s="5">
        <f>FMECA!T172</f>
        <v>0</v>
      </c>
      <c r="I171" s="5">
        <f>FMECA!U172</f>
        <v>0</v>
      </c>
      <c r="J171" s="5">
        <f t="shared" si="9"/>
        <v>0</v>
      </c>
      <c r="K171" s="5">
        <f t="shared" si="10"/>
        <v>0</v>
      </c>
      <c r="L171" s="5">
        <f t="shared" si="11"/>
        <v>0</v>
      </c>
      <c r="M171" s="5">
        <f t="shared" si="12"/>
        <v>0</v>
      </c>
    </row>
    <row r="172" spans="1:13">
      <c r="A172" s="5" t="str">
        <f>FMECA!A173</f>
        <v>Q_Sys</v>
      </c>
      <c r="B172" s="71" t="str">
        <f>FMECA!B173</f>
        <v>Change of Turn-Off Time</v>
      </c>
      <c r="C172" s="5">
        <f>FMECA!D173</f>
        <v>1.3076923076923078E-2</v>
      </c>
      <c r="D172" s="5">
        <f>FMECA!V173</f>
        <v>0</v>
      </c>
      <c r="E172" s="5">
        <f>FMECA!S173</f>
        <v>0</v>
      </c>
      <c r="F172" s="5">
        <f>FMECA!W173</f>
        <v>0</v>
      </c>
      <c r="G172" s="5">
        <f>FMECA!X173</f>
        <v>0</v>
      </c>
      <c r="H172" s="5">
        <f>FMECA!T173</f>
        <v>0</v>
      </c>
      <c r="I172" s="5">
        <f>FMECA!U173</f>
        <v>0</v>
      </c>
      <c r="J172" s="5">
        <f t="shared" si="9"/>
        <v>0</v>
      </c>
      <c r="K172" s="5">
        <f t="shared" si="10"/>
        <v>0</v>
      </c>
      <c r="L172" s="5">
        <f t="shared" si="11"/>
        <v>0</v>
      </c>
      <c r="M172" s="5">
        <f t="shared" si="12"/>
        <v>0</v>
      </c>
    </row>
    <row r="173" spans="1:13">
      <c r="A173" s="5" t="str">
        <f>FMECA!A174</f>
        <v>Q_Sys</v>
      </c>
      <c r="B173" s="71" t="str">
        <f>FMECA!B174</f>
        <v>Increase of Leakage Current IGS</v>
      </c>
      <c r="C173" s="5">
        <f>FMECA!D174</f>
        <v>1.3076923076923078E-2</v>
      </c>
      <c r="D173" s="5">
        <f>FMECA!V174</f>
        <v>2038</v>
      </c>
      <c r="E173" s="5">
        <f>FMECA!S174</f>
        <v>4093</v>
      </c>
      <c r="F173" s="5">
        <f>FMECA!W174</f>
        <v>51</v>
      </c>
      <c r="G173" s="5">
        <f>FMECA!X174</f>
        <v>4092</v>
      </c>
      <c r="H173" s="5">
        <f>FMECA!T174</f>
        <v>4093</v>
      </c>
      <c r="I173" s="5">
        <f>FMECA!U174</f>
        <v>4093</v>
      </c>
      <c r="J173" s="5">
        <f t="shared" si="9"/>
        <v>1987</v>
      </c>
      <c r="K173" s="5">
        <f t="shared" si="10"/>
        <v>2054</v>
      </c>
      <c r="L173" s="5">
        <f t="shared" si="11"/>
        <v>0</v>
      </c>
      <c r="M173" s="5">
        <f t="shared" si="12"/>
        <v>0</v>
      </c>
    </row>
    <row r="174" spans="1:13">
      <c r="A174" s="5" t="str">
        <f>FMECA!A175</f>
        <v>Q_Sys</v>
      </c>
      <c r="B174" s="71" t="str">
        <f>FMECA!B175</f>
        <v>Increase of Leakage Current IDS</v>
      </c>
      <c r="C174" s="5">
        <f>FMECA!D175</f>
        <v>1.3076923076923078E-2</v>
      </c>
      <c r="D174" s="5">
        <f>FMECA!V175</f>
        <v>0</v>
      </c>
      <c r="E174" s="5">
        <f>FMECA!S175</f>
        <v>2038</v>
      </c>
      <c r="F174" s="5">
        <f>FMECA!W175</f>
        <v>0</v>
      </c>
      <c r="G174" s="5">
        <f>FMECA!X175</f>
        <v>0</v>
      </c>
      <c r="H174" s="5">
        <f>FMECA!T175</f>
        <v>0</v>
      </c>
      <c r="I174" s="5">
        <f>FMECA!U175</f>
        <v>4093</v>
      </c>
      <c r="J174" s="5">
        <f t="shared" si="9"/>
        <v>0</v>
      </c>
      <c r="K174" s="5">
        <f t="shared" si="10"/>
        <v>0</v>
      </c>
      <c r="L174" s="5">
        <f t="shared" si="11"/>
        <v>2038</v>
      </c>
      <c r="M174" s="5">
        <f t="shared" si="12"/>
        <v>2055</v>
      </c>
    </row>
    <row r="175" spans="1:13">
      <c r="A175" s="5" t="str">
        <f>FMECA!A176</f>
        <v>Q_Sys</v>
      </c>
      <c r="B175" s="71" t="str">
        <f>FMECA!B176</f>
        <v>Increase of Leakage Current IGD</v>
      </c>
      <c r="C175" s="5">
        <f>FMECA!D176</f>
        <v>1.3076923076923078E-2</v>
      </c>
      <c r="D175" s="5">
        <f>FMECA!V176</f>
        <v>2038</v>
      </c>
      <c r="E175" s="5">
        <f>FMECA!S176</f>
        <v>2038</v>
      </c>
      <c r="F175" s="5">
        <f>FMECA!W176</f>
        <v>0</v>
      </c>
      <c r="G175" s="5">
        <f>FMECA!X176</f>
        <v>4093</v>
      </c>
      <c r="H175" s="5">
        <f>FMECA!T176</f>
        <v>0</v>
      </c>
      <c r="I175" s="5">
        <f>FMECA!U176</f>
        <v>4093</v>
      </c>
      <c r="J175" s="5">
        <f t="shared" si="9"/>
        <v>2038</v>
      </c>
      <c r="K175" s="5">
        <f t="shared" si="10"/>
        <v>2055</v>
      </c>
      <c r="L175" s="5">
        <f t="shared" si="11"/>
        <v>2038</v>
      </c>
      <c r="M175" s="5">
        <f t="shared" si="12"/>
        <v>2055</v>
      </c>
    </row>
    <row r="176" spans="1:13">
      <c r="A176" s="5" t="str">
        <f>FMECA!A177</f>
        <v>Q_Sys</v>
      </c>
      <c r="B176" s="71" t="str">
        <f>FMECA!B177</f>
        <v>Change of Static Drain to Source On-State Resistance</v>
      </c>
      <c r="C176" s="5">
        <f>FMECA!D177</f>
        <v>1.3076923076923078E-2</v>
      </c>
      <c r="D176" s="5">
        <f>FMECA!V177</f>
        <v>2063</v>
      </c>
      <c r="E176" s="5">
        <f>FMECA!S177</f>
        <v>4092</v>
      </c>
      <c r="F176" s="5">
        <f>FMECA!W177</f>
        <v>111</v>
      </c>
      <c r="G176" s="5">
        <f>FMECA!X177</f>
        <v>4087</v>
      </c>
      <c r="H176" s="5">
        <f>FMECA!T177</f>
        <v>4091</v>
      </c>
      <c r="I176" s="5">
        <f>FMECA!U177</f>
        <v>4095</v>
      </c>
      <c r="J176" s="5">
        <f t="shared" si="9"/>
        <v>1952</v>
      </c>
      <c r="K176" s="5">
        <f t="shared" si="10"/>
        <v>2024</v>
      </c>
      <c r="L176" s="5">
        <f t="shared" si="11"/>
        <v>1</v>
      </c>
      <c r="M176" s="5">
        <f t="shared" si="12"/>
        <v>3</v>
      </c>
    </row>
    <row r="177" spans="1:13">
      <c r="A177" s="5" t="str">
        <f>FMECA!A178</f>
        <v>DZ_Sys</v>
      </c>
      <c r="B177" s="71" t="str">
        <f>FMECA!B178</f>
        <v>Open</v>
      </c>
      <c r="C177" s="5">
        <f>FMECA!D178</f>
        <v>0.45</v>
      </c>
      <c r="D177" s="5">
        <f>FMECA!V178</f>
        <v>0</v>
      </c>
      <c r="E177" s="5">
        <f>FMECA!S178</f>
        <v>0</v>
      </c>
      <c r="F177" s="5">
        <f>FMECA!W178</f>
        <v>0</v>
      </c>
      <c r="G177" s="5">
        <f>FMECA!X178</f>
        <v>0</v>
      </c>
      <c r="H177" s="5">
        <f>FMECA!T178</f>
        <v>0</v>
      </c>
      <c r="I177" s="5">
        <f>FMECA!U178</f>
        <v>0</v>
      </c>
      <c r="J177" s="5">
        <f t="shared" si="9"/>
        <v>0</v>
      </c>
      <c r="K177" s="5">
        <f t="shared" si="10"/>
        <v>0</v>
      </c>
      <c r="L177" s="5">
        <f t="shared" si="11"/>
        <v>0</v>
      </c>
      <c r="M177" s="5">
        <f t="shared" si="12"/>
        <v>0</v>
      </c>
    </row>
    <row r="178" spans="1:13">
      <c r="A178" s="5" t="str">
        <f>FMECA!A179</f>
        <v>DZ_Sys</v>
      </c>
      <c r="B178" s="71" t="str">
        <f>FMECA!B179</f>
        <v>Short-Circuit</v>
      </c>
      <c r="C178" s="5">
        <f>FMECA!D179</f>
        <v>0.2</v>
      </c>
      <c r="D178" s="5">
        <f>FMECA!V179</f>
        <v>0</v>
      </c>
      <c r="E178" s="5">
        <f>FMECA!S179</f>
        <v>0</v>
      </c>
      <c r="F178" s="5">
        <f>FMECA!W179</f>
        <v>0</v>
      </c>
      <c r="G178" s="5">
        <f>FMECA!X179</f>
        <v>0</v>
      </c>
      <c r="H178" s="5">
        <f>FMECA!T179</f>
        <v>0</v>
      </c>
      <c r="I178" s="5">
        <f>FMECA!U179</f>
        <v>0</v>
      </c>
      <c r="J178" s="5">
        <f t="shared" si="9"/>
        <v>0</v>
      </c>
      <c r="K178" s="5">
        <f t="shared" si="10"/>
        <v>0</v>
      </c>
      <c r="L178" s="5">
        <f t="shared" si="11"/>
        <v>0</v>
      </c>
      <c r="M178" s="5">
        <f t="shared" si="12"/>
        <v>0</v>
      </c>
    </row>
    <row r="179" spans="1:13">
      <c r="A179" s="5" t="str">
        <f>FMECA!A180</f>
        <v>DZ_Sys</v>
      </c>
      <c r="B179" s="71" t="str">
        <f>FMECA!B180</f>
        <v>Increase of Zener Voltage</v>
      </c>
      <c r="C179" s="5">
        <f>FMECA!D180</f>
        <v>4.3749999999999997E-2</v>
      </c>
      <c r="D179" s="5">
        <f>FMECA!V180</f>
        <v>0</v>
      </c>
      <c r="E179" s="5">
        <f>FMECA!S180</f>
        <v>0</v>
      </c>
      <c r="F179" s="5">
        <f>FMECA!W180</f>
        <v>0</v>
      </c>
      <c r="G179" s="5">
        <f>FMECA!X180</f>
        <v>0</v>
      </c>
      <c r="H179" s="5">
        <f>FMECA!T180</f>
        <v>0</v>
      </c>
      <c r="I179" s="5">
        <f>FMECA!U180</f>
        <v>0</v>
      </c>
      <c r="J179" s="5">
        <f t="shared" si="9"/>
        <v>0</v>
      </c>
      <c r="K179" s="5">
        <f t="shared" si="10"/>
        <v>0</v>
      </c>
      <c r="L179" s="5">
        <f t="shared" si="11"/>
        <v>0</v>
      </c>
      <c r="M179" s="5">
        <f t="shared" si="12"/>
        <v>0</v>
      </c>
    </row>
    <row r="180" spans="1:13">
      <c r="A180" s="5" t="str">
        <f>FMECA!A181</f>
        <v>DZ_Sys</v>
      </c>
      <c r="B180" s="71" t="str">
        <f>FMECA!B181</f>
        <v>Decrease of Zener Voltage</v>
      </c>
      <c r="C180" s="5">
        <f>FMECA!D181</f>
        <v>4.3749999999999997E-2</v>
      </c>
      <c r="D180" s="5">
        <f>FMECA!V181</f>
        <v>0</v>
      </c>
      <c r="E180" s="5">
        <f>FMECA!S181</f>
        <v>2038</v>
      </c>
      <c r="F180" s="5">
        <f>FMECA!W181</f>
        <v>0</v>
      </c>
      <c r="G180" s="5">
        <f>FMECA!X181</f>
        <v>0</v>
      </c>
      <c r="H180" s="5">
        <f>FMECA!T181</f>
        <v>0</v>
      </c>
      <c r="I180" s="5">
        <f>FMECA!U181</f>
        <v>4095</v>
      </c>
      <c r="J180" s="5">
        <f t="shared" si="9"/>
        <v>0</v>
      </c>
      <c r="K180" s="5">
        <f t="shared" si="10"/>
        <v>0</v>
      </c>
      <c r="L180" s="5">
        <f t="shared" si="11"/>
        <v>2038</v>
      </c>
      <c r="M180" s="5">
        <f t="shared" si="12"/>
        <v>2057</v>
      </c>
    </row>
    <row r="181" spans="1:13">
      <c r="A181" s="5" t="str">
        <f>FMECA!A182</f>
        <v>DZ_Sys</v>
      </c>
      <c r="B181" s="71" t="str">
        <f>FMECA!B182</f>
        <v>Increase of Leakage Current</v>
      </c>
      <c r="C181" s="5">
        <f>FMECA!D182</f>
        <v>4.3749999999999997E-2</v>
      </c>
      <c r="D181" s="5">
        <f>FMECA!V182</f>
        <v>0</v>
      </c>
      <c r="E181" s="5">
        <f>FMECA!S182</f>
        <v>2038</v>
      </c>
      <c r="F181" s="5">
        <f>FMECA!W182</f>
        <v>0</v>
      </c>
      <c r="G181" s="5">
        <f>FMECA!X182</f>
        <v>0</v>
      </c>
      <c r="H181" s="5">
        <f>FMECA!T182</f>
        <v>0</v>
      </c>
      <c r="I181" s="5">
        <f>FMECA!U182</f>
        <v>4095</v>
      </c>
      <c r="J181" s="5">
        <f t="shared" si="9"/>
        <v>0</v>
      </c>
      <c r="K181" s="5">
        <f t="shared" si="10"/>
        <v>0</v>
      </c>
      <c r="L181" s="5">
        <f t="shared" si="11"/>
        <v>2038</v>
      </c>
      <c r="M181" s="5">
        <f t="shared" si="12"/>
        <v>2057</v>
      </c>
    </row>
    <row r="182" spans="1:13">
      <c r="A182" s="5" t="str">
        <f>FMECA!A183</f>
        <v>DZ_Sys</v>
      </c>
      <c r="B182" s="71" t="str">
        <f>FMECA!B183</f>
        <v>Change of Differential Resistance</v>
      </c>
      <c r="C182" s="5">
        <f>FMECA!D183</f>
        <v>4.3749999999999997E-2</v>
      </c>
      <c r="D182" s="5">
        <f>FMECA!V183</f>
        <v>0</v>
      </c>
      <c r="E182" s="5">
        <f>FMECA!S183</f>
        <v>0</v>
      </c>
      <c r="F182" s="5">
        <f>FMECA!W183</f>
        <v>0</v>
      </c>
      <c r="G182" s="5">
        <f>FMECA!X183</f>
        <v>0</v>
      </c>
      <c r="H182" s="5">
        <f>FMECA!T183</f>
        <v>0</v>
      </c>
      <c r="I182" s="5">
        <f>FMECA!U183</f>
        <v>0</v>
      </c>
      <c r="J182" s="5">
        <f t="shared" si="9"/>
        <v>0</v>
      </c>
      <c r="K182" s="5">
        <f t="shared" si="10"/>
        <v>0</v>
      </c>
      <c r="L182" s="5">
        <f t="shared" si="11"/>
        <v>0</v>
      </c>
      <c r="M182" s="5">
        <f t="shared" si="12"/>
        <v>0</v>
      </c>
    </row>
    <row r="183" spans="1:13">
      <c r="A183" s="5" t="str">
        <f>FMECA!A184</f>
        <v>DZ_Sys</v>
      </c>
      <c r="B183" s="71" t="str">
        <f>FMECA!B184</f>
        <v>Increase of Forward Conducting-State Voltage</v>
      </c>
      <c r="C183" s="5">
        <f>FMECA!D184</f>
        <v>4.3749999999999997E-2</v>
      </c>
      <c r="D183" s="5">
        <f>FMECA!V184</f>
        <v>54</v>
      </c>
      <c r="E183" s="5">
        <f>FMECA!S184</f>
        <v>4092</v>
      </c>
      <c r="F183" s="5">
        <f>FMECA!W184</f>
        <v>51</v>
      </c>
      <c r="G183" s="5">
        <f>FMECA!X184</f>
        <v>57</v>
      </c>
      <c r="H183" s="5">
        <f>FMECA!T184</f>
        <v>4091</v>
      </c>
      <c r="I183" s="5">
        <f>FMECA!U184</f>
        <v>4095</v>
      </c>
      <c r="J183" s="5">
        <f t="shared" si="9"/>
        <v>3</v>
      </c>
      <c r="K183" s="5">
        <f t="shared" si="10"/>
        <v>3</v>
      </c>
      <c r="L183" s="5">
        <f t="shared" si="11"/>
        <v>1</v>
      </c>
      <c r="M183" s="5">
        <f t="shared" si="12"/>
        <v>3</v>
      </c>
    </row>
    <row r="184" spans="1:13">
      <c r="A184" s="5" t="str">
        <f>FMECA!A185</f>
        <v>DZ_Sys</v>
      </c>
      <c r="B184" s="71" t="str">
        <f>FMECA!B185</f>
        <v>Decrease of Forward Conducting-State Voltage</v>
      </c>
      <c r="C184" s="5">
        <f>FMECA!D185</f>
        <v>4.3749999999999997E-2</v>
      </c>
      <c r="D184" s="5">
        <f>FMECA!V185</f>
        <v>54</v>
      </c>
      <c r="E184" s="5">
        <f>FMECA!S185</f>
        <v>4092</v>
      </c>
      <c r="F184" s="5">
        <f>FMECA!W185</f>
        <v>51</v>
      </c>
      <c r="G184" s="5">
        <f>FMECA!X185</f>
        <v>57</v>
      </c>
      <c r="H184" s="5">
        <f>FMECA!T185</f>
        <v>4091</v>
      </c>
      <c r="I184" s="5">
        <f>FMECA!U185</f>
        <v>4095</v>
      </c>
      <c r="J184" s="5">
        <f t="shared" si="9"/>
        <v>3</v>
      </c>
      <c r="K184" s="5">
        <f t="shared" si="10"/>
        <v>3</v>
      </c>
      <c r="L184" s="5">
        <f t="shared" si="11"/>
        <v>1</v>
      </c>
      <c r="M184" s="5">
        <f t="shared" si="12"/>
        <v>3</v>
      </c>
    </row>
    <row r="185" spans="1:13">
      <c r="A185" s="5" t="str">
        <f>FMECA!A186</f>
        <v>DZ_Sys</v>
      </c>
      <c r="B185" s="71" t="str">
        <f>FMECA!B186</f>
        <v>Increase of Forward Threshold Voltage</v>
      </c>
      <c r="C185" s="5">
        <f>FMECA!D186</f>
        <v>4.3749999999999997E-2</v>
      </c>
      <c r="D185" s="5">
        <f>FMECA!V186</f>
        <v>54</v>
      </c>
      <c r="E185" s="5">
        <f>FMECA!S186</f>
        <v>4092</v>
      </c>
      <c r="F185" s="5">
        <f>FMECA!W186</f>
        <v>51</v>
      </c>
      <c r="G185" s="5">
        <f>FMECA!X186</f>
        <v>57</v>
      </c>
      <c r="H185" s="5">
        <f>FMECA!T186</f>
        <v>4091</v>
      </c>
      <c r="I185" s="5">
        <f>FMECA!U186</f>
        <v>4095</v>
      </c>
      <c r="J185" s="5">
        <f t="shared" si="9"/>
        <v>3</v>
      </c>
      <c r="K185" s="5">
        <f t="shared" si="10"/>
        <v>3</v>
      </c>
      <c r="L185" s="5">
        <f t="shared" si="11"/>
        <v>1</v>
      </c>
      <c r="M185" s="5">
        <f t="shared" si="12"/>
        <v>3</v>
      </c>
    </row>
    <row r="186" spans="1:13">
      <c r="A186" s="5" t="str">
        <f>FMECA!A187</f>
        <v>DZ_Sys</v>
      </c>
      <c r="B186" s="71" t="str">
        <f>FMECA!B187</f>
        <v>Decrease of Forward Threshold Voltage</v>
      </c>
      <c r="C186" s="5">
        <f>FMECA!D187</f>
        <v>4.3749999999999997E-2</v>
      </c>
      <c r="D186" s="5">
        <f>FMECA!V187</f>
        <v>54</v>
      </c>
      <c r="E186" s="5">
        <f>FMECA!S187</f>
        <v>4092</v>
      </c>
      <c r="F186" s="5">
        <f>FMECA!W187</f>
        <v>51</v>
      </c>
      <c r="G186" s="5">
        <f>FMECA!X187</f>
        <v>57</v>
      </c>
      <c r="H186" s="5">
        <f>FMECA!T187</f>
        <v>4091</v>
      </c>
      <c r="I186" s="5">
        <f>FMECA!U187</f>
        <v>4095</v>
      </c>
      <c r="J186" s="5">
        <f t="shared" si="9"/>
        <v>3</v>
      </c>
      <c r="K186" s="5">
        <f t="shared" si="10"/>
        <v>3</v>
      </c>
      <c r="L186" s="5">
        <f t="shared" si="11"/>
        <v>1</v>
      </c>
      <c r="M186" s="5">
        <f t="shared" si="12"/>
        <v>3</v>
      </c>
    </row>
    <row r="187" spans="1:13">
      <c r="A187" s="5" t="str">
        <f>FMECA!A188</f>
        <v>DZ_Sys</v>
      </c>
      <c r="B187" s="71" t="str">
        <f>FMECA!B188</f>
        <v>Short-Circuit to Conductive Casing</v>
      </c>
      <c r="C187" s="5">
        <f>FMECA!D188</f>
        <v>0</v>
      </c>
      <c r="D187" s="5">
        <f>FMECA!V188</f>
        <v>54</v>
      </c>
      <c r="E187" s="5">
        <f>FMECA!S188</f>
        <v>4092</v>
      </c>
      <c r="F187" s="5">
        <f>FMECA!W188</f>
        <v>51</v>
      </c>
      <c r="G187" s="5">
        <f>FMECA!X188</f>
        <v>57</v>
      </c>
      <c r="H187" s="5">
        <f>FMECA!T188</f>
        <v>4091</v>
      </c>
      <c r="I187" s="5">
        <f>FMECA!U188</f>
        <v>4095</v>
      </c>
      <c r="J187" s="5">
        <f t="shared" si="9"/>
        <v>3</v>
      </c>
      <c r="K187" s="5">
        <f t="shared" si="10"/>
        <v>3</v>
      </c>
      <c r="L187" s="5">
        <f t="shared" si="11"/>
        <v>1</v>
      </c>
      <c r="M187" s="5">
        <f t="shared" si="12"/>
        <v>3</v>
      </c>
    </row>
    <row r="188" spans="1:13">
      <c r="A188" s="5" t="str">
        <f>FMECA!A189</f>
        <v>R5_Sys</v>
      </c>
      <c r="B188" s="71" t="str">
        <f>FMECA!B189</f>
        <v>Open</v>
      </c>
      <c r="C188" s="5">
        <f>FMECA!D189</f>
        <v>0.59</v>
      </c>
      <c r="D188" s="5">
        <f>FMECA!V189</f>
        <v>259</v>
      </c>
      <c r="E188" s="5">
        <f>FMECA!S189</f>
        <v>259</v>
      </c>
      <c r="F188" s="5">
        <f>FMECA!W189</f>
        <v>192</v>
      </c>
      <c r="G188" s="5">
        <f>FMECA!X189</f>
        <v>315</v>
      </c>
      <c r="H188" s="5">
        <f>FMECA!T189</f>
        <v>192</v>
      </c>
      <c r="I188" s="5">
        <f>FMECA!U189</f>
        <v>315</v>
      </c>
      <c r="J188" s="5">
        <f t="shared" si="9"/>
        <v>67</v>
      </c>
      <c r="K188" s="5">
        <f t="shared" si="10"/>
        <v>56</v>
      </c>
      <c r="L188" s="5">
        <f t="shared" si="11"/>
        <v>67</v>
      </c>
      <c r="M188" s="5">
        <f t="shared" si="12"/>
        <v>56</v>
      </c>
    </row>
    <row r="189" spans="1:13">
      <c r="A189" s="5" t="str">
        <f>FMECA!A190</f>
        <v>R5_Sys</v>
      </c>
      <c r="B189" s="71" t="str">
        <f>FMECA!B190</f>
        <v>Short-Circuit</v>
      </c>
      <c r="C189" s="5">
        <f>FMECA!D190</f>
        <v>0.05</v>
      </c>
      <c r="D189" s="5">
        <f>FMECA!V190</f>
        <v>0</v>
      </c>
      <c r="E189" s="5">
        <f>FMECA!S190</f>
        <v>0</v>
      </c>
      <c r="F189" s="5">
        <f>FMECA!W190</f>
        <v>0</v>
      </c>
      <c r="G189" s="5">
        <f>FMECA!X190</f>
        <v>0</v>
      </c>
      <c r="H189" s="5">
        <f>FMECA!T190</f>
        <v>0</v>
      </c>
      <c r="I189" s="5">
        <f>FMECA!U190</f>
        <v>0</v>
      </c>
      <c r="J189" s="5">
        <f t="shared" si="9"/>
        <v>0</v>
      </c>
      <c r="K189" s="5">
        <f t="shared" si="10"/>
        <v>0</v>
      </c>
      <c r="L189" s="5">
        <f t="shared" si="11"/>
        <v>0</v>
      </c>
      <c r="M189" s="5">
        <f t="shared" si="12"/>
        <v>0</v>
      </c>
    </row>
    <row r="190" spans="1:13">
      <c r="A190" s="5" t="str">
        <f>FMECA!A191</f>
        <v>R5_Sys</v>
      </c>
      <c r="B190" s="71" t="str">
        <f>FMECA!B191</f>
        <v>Increase of Resistance Value</v>
      </c>
      <c r="C190" s="5">
        <f>FMECA!D191</f>
        <v>0.18</v>
      </c>
      <c r="D190" s="5">
        <f>FMECA!V191</f>
        <v>259</v>
      </c>
      <c r="E190" s="5">
        <f>FMECA!S191</f>
        <v>259</v>
      </c>
      <c r="F190" s="5">
        <f>FMECA!W191</f>
        <v>192</v>
      </c>
      <c r="G190" s="5">
        <f>FMECA!X191</f>
        <v>315</v>
      </c>
      <c r="H190" s="5">
        <f>FMECA!T191</f>
        <v>192</v>
      </c>
      <c r="I190" s="5">
        <f>FMECA!U191</f>
        <v>315</v>
      </c>
      <c r="J190" s="5">
        <f t="shared" si="9"/>
        <v>67</v>
      </c>
      <c r="K190" s="5">
        <f t="shared" si="10"/>
        <v>56</v>
      </c>
      <c r="L190" s="5">
        <f t="shared" si="11"/>
        <v>67</v>
      </c>
      <c r="M190" s="5">
        <f t="shared" si="12"/>
        <v>56</v>
      </c>
    </row>
    <row r="191" spans="1:13">
      <c r="A191" s="5" t="str">
        <f>FMECA!A192</f>
        <v>R5_Sys</v>
      </c>
      <c r="B191" s="71" t="str">
        <f>FMECA!B192</f>
        <v>Decrease of Resistance Value</v>
      </c>
      <c r="C191" s="5">
        <f>FMECA!D192</f>
        <v>0.18</v>
      </c>
      <c r="D191" s="5">
        <f>FMECA!V192</f>
        <v>0</v>
      </c>
      <c r="E191" s="5">
        <f>FMECA!S192</f>
        <v>0</v>
      </c>
      <c r="F191" s="5">
        <f>FMECA!W192</f>
        <v>0</v>
      </c>
      <c r="G191" s="5">
        <f>FMECA!X192</f>
        <v>0</v>
      </c>
      <c r="H191" s="5">
        <f>FMECA!T192</f>
        <v>0</v>
      </c>
      <c r="I191" s="5">
        <f>FMECA!U192</f>
        <v>0</v>
      </c>
      <c r="J191" s="5">
        <f t="shared" si="9"/>
        <v>0</v>
      </c>
      <c r="K191" s="5">
        <f t="shared" si="10"/>
        <v>0</v>
      </c>
      <c r="L191" s="5">
        <f t="shared" si="11"/>
        <v>0</v>
      </c>
      <c r="M191" s="5">
        <f t="shared" si="12"/>
        <v>0</v>
      </c>
    </row>
    <row r="192" spans="1:13">
      <c r="A192" s="5" t="str">
        <f>FMECA!A193</f>
        <v>R5_Sys</v>
      </c>
      <c r="B192" s="71" t="str">
        <f>FMECA!B193</f>
        <v>Short-Circuit to Casing</v>
      </c>
      <c r="C192" s="5">
        <f>FMECA!D193</f>
        <v>0</v>
      </c>
      <c r="D192" s="5">
        <f>FMECA!V193</f>
        <v>54</v>
      </c>
      <c r="E192" s="5">
        <f>FMECA!S193</f>
        <v>4092</v>
      </c>
      <c r="F192" s="5">
        <f>FMECA!W193</f>
        <v>51</v>
      </c>
      <c r="G192" s="5">
        <f>FMECA!X193</f>
        <v>57</v>
      </c>
      <c r="H192" s="5">
        <f>FMECA!T193</f>
        <v>4091</v>
      </c>
      <c r="I192" s="5">
        <f>FMECA!U193</f>
        <v>4095</v>
      </c>
      <c r="J192" s="5">
        <f t="shared" si="9"/>
        <v>3</v>
      </c>
      <c r="K192" s="5">
        <f t="shared" si="10"/>
        <v>3</v>
      </c>
      <c r="L192" s="5">
        <f t="shared" si="11"/>
        <v>1</v>
      </c>
      <c r="M192" s="5">
        <f t="shared" si="12"/>
        <v>3</v>
      </c>
    </row>
    <row r="193" spans="1:13">
      <c r="A193" s="5" t="str">
        <f>FMECA!A194</f>
        <v>UC_Sys</v>
      </c>
      <c r="B193" s="71" t="str">
        <f>FMECA!B194</f>
        <v>Supply open</v>
      </c>
      <c r="C193" s="5">
        <f>FMECA!D194</f>
        <v>0.12</v>
      </c>
      <c r="D193" s="5">
        <f>FMECA!V194</f>
        <v>0</v>
      </c>
      <c r="E193" s="5">
        <f>FMECA!S194</f>
        <v>0</v>
      </c>
      <c r="F193" s="5">
        <f>FMECA!W194</f>
        <v>0</v>
      </c>
      <c r="G193" s="5">
        <f>FMECA!X194</f>
        <v>0</v>
      </c>
      <c r="H193" s="5">
        <f>FMECA!T194</f>
        <v>0</v>
      </c>
      <c r="I193" s="5">
        <f>FMECA!U194</f>
        <v>0</v>
      </c>
      <c r="J193" s="5">
        <f t="shared" si="9"/>
        <v>0</v>
      </c>
      <c r="K193" s="5">
        <f t="shared" si="10"/>
        <v>0</v>
      </c>
      <c r="L193" s="5">
        <f t="shared" si="11"/>
        <v>0</v>
      </c>
      <c r="M193" s="5">
        <f t="shared" si="12"/>
        <v>0</v>
      </c>
    </row>
    <row r="194" spans="1:13">
      <c r="A194" s="5" t="str">
        <f>FMECA!A195</f>
        <v>UC_Sys</v>
      </c>
      <c r="B194" s="71" t="str">
        <f>FMECA!B195</f>
        <v>Output 'Dig_Out1' open</v>
      </c>
      <c r="C194" s="5">
        <f>FMECA!D195</f>
        <v>0.12</v>
      </c>
      <c r="D194" s="5">
        <f>FMECA!V195</f>
        <v>54</v>
      </c>
      <c r="E194" s="5">
        <f>FMECA!S195</f>
        <v>4092</v>
      </c>
      <c r="F194" s="5">
        <f>FMECA!W195</f>
        <v>51</v>
      </c>
      <c r="G194" s="5">
        <f>FMECA!X195</f>
        <v>57</v>
      </c>
      <c r="H194" s="5">
        <f>FMECA!T195</f>
        <v>4091</v>
      </c>
      <c r="I194" s="5">
        <f>FMECA!U195</f>
        <v>4095</v>
      </c>
      <c r="J194" s="5">
        <f t="shared" si="9"/>
        <v>3</v>
      </c>
      <c r="K194" s="5">
        <f t="shared" si="10"/>
        <v>3</v>
      </c>
      <c r="L194" s="5">
        <f t="shared" si="11"/>
        <v>1</v>
      </c>
      <c r="M194" s="5">
        <f t="shared" si="12"/>
        <v>3</v>
      </c>
    </row>
    <row r="195" spans="1:13">
      <c r="A195" s="5" t="str">
        <f>FMECA!A196</f>
        <v>UC_Sys</v>
      </c>
      <c r="B195" s="71" t="str">
        <f>FMECA!B196</f>
        <v>Output 'Dig_Out2' open</v>
      </c>
      <c r="C195" s="5">
        <f>FMECA!D196</f>
        <v>0.12</v>
      </c>
      <c r="D195" s="5">
        <f>FMECA!V196</f>
        <v>54</v>
      </c>
      <c r="E195" s="5">
        <f>FMECA!S196</f>
        <v>4092</v>
      </c>
      <c r="F195" s="5">
        <f>FMECA!W196</f>
        <v>51</v>
      </c>
      <c r="G195" s="5">
        <f>FMECA!X196</f>
        <v>57</v>
      </c>
      <c r="H195" s="5">
        <f>FMECA!T196</f>
        <v>4091</v>
      </c>
      <c r="I195" s="5">
        <f>FMECA!U196</f>
        <v>4095</v>
      </c>
      <c r="J195" s="5">
        <f t="shared" ref="J195:J219" si="13">ABS(D195-F195)</f>
        <v>3</v>
      </c>
      <c r="K195" s="5">
        <f t="shared" ref="K195:K219" si="14">ABS(D195-G195)</f>
        <v>3</v>
      </c>
      <c r="L195" s="5">
        <f t="shared" ref="L195:L219" si="15">ABS(E195-H195)</f>
        <v>1</v>
      </c>
      <c r="M195" s="5">
        <f t="shared" ref="M195:M219" si="16">ABS(E195-I195)</f>
        <v>3</v>
      </c>
    </row>
    <row r="196" spans="1:13">
      <c r="A196" s="5" t="str">
        <f>FMECA!A197</f>
        <v>UC_Sys</v>
      </c>
      <c r="B196" s="71" t="str">
        <f>FMECA!B197</f>
        <v>Bidirectional Pin 'SPI' open</v>
      </c>
      <c r="C196" s="5">
        <f>FMECA!D197</f>
        <v>0.3</v>
      </c>
      <c r="D196" s="5">
        <f>FMECA!V197</f>
        <v>54</v>
      </c>
      <c r="E196" s="5">
        <f>FMECA!S197</f>
        <v>4092</v>
      </c>
      <c r="F196" s="5">
        <f>FMECA!W197</f>
        <v>51</v>
      </c>
      <c r="G196" s="5">
        <f>FMECA!X197</f>
        <v>57</v>
      </c>
      <c r="H196" s="5">
        <f>FMECA!T197</f>
        <v>4091</v>
      </c>
      <c r="I196" s="5">
        <f>FMECA!U197</f>
        <v>4095</v>
      </c>
      <c r="J196" s="5">
        <f t="shared" si="13"/>
        <v>3</v>
      </c>
      <c r="K196" s="5">
        <f t="shared" si="14"/>
        <v>3</v>
      </c>
      <c r="L196" s="5">
        <f t="shared" si="15"/>
        <v>1</v>
      </c>
      <c r="M196" s="5">
        <f t="shared" si="16"/>
        <v>3</v>
      </c>
    </row>
    <row r="197" spans="1:13">
      <c r="A197" s="5" t="str">
        <f>FMECA!A198</f>
        <v>UC_Sys</v>
      </c>
      <c r="B197" s="71" t="str">
        <f>FMECA!B198</f>
        <v>Output 'Dig_Out1' stuck low</v>
      </c>
      <c r="C197" s="5">
        <f>FMECA!D198</f>
        <v>0.03</v>
      </c>
      <c r="D197" s="5">
        <f>FMECA!V198</f>
        <v>54</v>
      </c>
      <c r="E197" s="5">
        <f>FMECA!S198</f>
        <v>4092</v>
      </c>
      <c r="F197" s="5">
        <f>FMECA!W198</f>
        <v>51</v>
      </c>
      <c r="G197" s="5">
        <f>FMECA!X198</f>
        <v>57</v>
      </c>
      <c r="H197" s="5">
        <f>FMECA!T198</f>
        <v>4091</v>
      </c>
      <c r="I197" s="5">
        <f>FMECA!U198</f>
        <v>4095</v>
      </c>
      <c r="J197" s="5">
        <f t="shared" si="13"/>
        <v>3</v>
      </c>
      <c r="K197" s="5">
        <f t="shared" si="14"/>
        <v>3</v>
      </c>
      <c r="L197" s="5">
        <f t="shared" si="15"/>
        <v>1</v>
      </c>
      <c r="M197" s="5">
        <f t="shared" si="16"/>
        <v>3</v>
      </c>
    </row>
    <row r="198" spans="1:13">
      <c r="A198" s="5" t="str">
        <f>FMECA!A199</f>
        <v>UC_Sys</v>
      </c>
      <c r="B198" s="71" t="str">
        <f>FMECA!B199</f>
        <v>Output 'Dig_Out2' stuck low</v>
      </c>
      <c r="C198" s="5">
        <f>FMECA!D199</f>
        <v>0.03</v>
      </c>
      <c r="D198" s="5">
        <f>FMECA!V199</f>
        <v>54</v>
      </c>
      <c r="E198" s="5">
        <f>FMECA!S199</f>
        <v>4092</v>
      </c>
      <c r="F198" s="5">
        <f>FMECA!W199</f>
        <v>51</v>
      </c>
      <c r="G198" s="5">
        <f>FMECA!X199</f>
        <v>57</v>
      </c>
      <c r="H198" s="5">
        <f>FMECA!T199</f>
        <v>4091</v>
      </c>
      <c r="I198" s="5">
        <f>FMECA!U199</f>
        <v>4095</v>
      </c>
      <c r="J198" s="5">
        <f t="shared" si="13"/>
        <v>3</v>
      </c>
      <c r="K198" s="5">
        <f t="shared" si="14"/>
        <v>3</v>
      </c>
      <c r="L198" s="5">
        <f t="shared" si="15"/>
        <v>1</v>
      </c>
      <c r="M198" s="5">
        <f t="shared" si="16"/>
        <v>3</v>
      </c>
    </row>
    <row r="199" spans="1:13">
      <c r="A199" s="5" t="str">
        <f>FMECA!A200</f>
        <v>UC_Sys</v>
      </c>
      <c r="B199" s="71" t="str">
        <f>FMECA!B200</f>
        <v>Bidirectional Pin 'SPI' stuck low</v>
      </c>
      <c r="C199" s="5">
        <f>FMECA!D200</f>
        <v>0.03</v>
      </c>
      <c r="D199" s="5">
        <f>FMECA!V200</f>
        <v>54</v>
      </c>
      <c r="E199" s="5">
        <f>FMECA!S200</f>
        <v>4092</v>
      </c>
      <c r="F199" s="5">
        <f>FMECA!W200</f>
        <v>51</v>
      </c>
      <c r="G199" s="5">
        <f>FMECA!X200</f>
        <v>57</v>
      </c>
      <c r="H199" s="5">
        <f>FMECA!T200</f>
        <v>4091</v>
      </c>
      <c r="I199" s="5">
        <f>FMECA!U200</f>
        <v>4095</v>
      </c>
      <c r="J199" s="5">
        <f t="shared" si="13"/>
        <v>3</v>
      </c>
      <c r="K199" s="5">
        <f t="shared" si="14"/>
        <v>3</v>
      </c>
      <c r="L199" s="5">
        <f t="shared" si="15"/>
        <v>1</v>
      </c>
      <c r="M199" s="5">
        <f t="shared" si="16"/>
        <v>3</v>
      </c>
    </row>
    <row r="200" spans="1:13">
      <c r="A200" s="5" t="str">
        <f>FMECA!A201</f>
        <v>UC_Sys</v>
      </c>
      <c r="B200" s="71" t="str">
        <f>FMECA!B201</f>
        <v>Output 'Dig_Out1' stuck high</v>
      </c>
      <c r="C200" s="5">
        <f>FMECA!D201</f>
        <v>2.6666666666666668E-2</v>
      </c>
      <c r="D200" s="5">
        <f>FMECA!V201</f>
        <v>0</v>
      </c>
      <c r="E200" s="5">
        <f>FMECA!S201</f>
        <v>0</v>
      </c>
      <c r="F200" s="5">
        <f>FMECA!W201</f>
        <v>0</v>
      </c>
      <c r="G200" s="5">
        <f>FMECA!X201</f>
        <v>0</v>
      </c>
      <c r="H200" s="5">
        <f>FMECA!T201</f>
        <v>0</v>
      </c>
      <c r="I200" s="5">
        <f>FMECA!U201</f>
        <v>0</v>
      </c>
      <c r="J200" s="5">
        <f t="shared" si="13"/>
        <v>0</v>
      </c>
      <c r="K200" s="5">
        <f t="shared" si="14"/>
        <v>0</v>
      </c>
      <c r="L200" s="5">
        <f t="shared" si="15"/>
        <v>0</v>
      </c>
      <c r="M200" s="5">
        <f t="shared" si="16"/>
        <v>0</v>
      </c>
    </row>
    <row r="201" spans="1:13">
      <c r="A201" s="5" t="str">
        <f>FMECA!A202</f>
        <v>UC_Sys</v>
      </c>
      <c r="B201" s="71" t="str">
        <f>FMECA!B202</f>
        <v>Output 'Dig_Out2' stuck high</v>
      </c>
      <c r="C201" s="5">
        <f>FMECA!D202</f>
        <v>2.6666666666666668E-2</v>
      </c>
      <c r="D201" s="5">
        <f>FMECA!V202</f>
        <v>54</v>
      </c>
      <c r="E201" s="5">
        <f>FMECA!S202</f>
        <v>4092</v>
      </c>
      <c r="F201" s="5">
        <f>FMECA!W202</f>
        <v>51</v>
      </c>
      <c r="G201" s="5">
        <f>FMECA!X202</f>
        <v>57</v>
      </c>
      <c r="H201" s="5">
        <f>FMECA!T202</f>
        <v>4091</v>
      </c>
      <c r="I201" s="5">
        <f>FMECA!U202</f>
        <v>4095</v>
      </c>
      <c r="J201" s="5">
        <f t="shared" si="13"/>
        <v>3</v>
      </c>
      <c r="K201" s="5">
        <f t="shared" si="14"/>
        <v>3</v>
      </c>
      <c r="L201" s="5">
        <f t="shared" si="15"/>
        <v>1</v>
      </c>
      <c r="M201" s="5">
        <f t="shared" si="16"/>
        <v>3</v>
      </c>
    </row>
    <row r="202" spans="1:13">
      <c r="A202" s="5" t="str">
        <f>FMECA!A203</f>
        <v>UC_Sys</v>
      </c>
      <c r="B202" s="71" t="str">
        <f>FMECA!B203</f>
        <v>Bidirectional 'SPI' Pin stuck high</v>
      </c>
      <c r="C202" s="5">
        <f>FMECA!D203</f>
        <v>2.6666666666666668E-2</v>
      </c>
      <c r="D202" s="5">
        <f>FMECA!V203</f>
        <v>54</v>
      </c>
      <c r="E202" s="5">
        <f>FMECA!S203</f>
        <v>4092</v>
      </c>
      <c r="F202" s="5">
        <f>FMECA!W203</f>
        <v>51</v>
      </c>
      <c r="G202" s="5">
        <f>FMECA!X203</f>
        <v>57</v>
      </c>
      <c r="H202" s="5">
        <f>FMECA!T203</f>
        <v>4091</v>
      </c>
      <c r="I202" s="5">
        <f>FMECA!U203</f>
        <v>4095</v>
      </c>
      <c r="J202" s="5">
        <f t="shared" si="13"/>
        <v>3</v>
      </c>
      <c r="K202" s="5">
        <f t="shared" si="14"/>
        <v>3</v>
      </c>
      <c r="L202" s="5">
        <f t="shared" si="15"/>
        <v>1</v>
      </c>
      <c r="M202" s="5">
        <f t="shared" si="16"/>
        <v>3</v>
      </c>
    </row>
    <row r="203" spans="1:13">
      <c r="A203" s="5" t="str">
        <f>FMECA!A204</f>
        <v>UC_Sys</v>
      </c>
      <c r="B203" s="71" t="str">
        <f>FMECA!B204</f>
        <v>Input open</v>
      </c>
      <c r="C203" s="5">
        <f>FMECA!D204</f>
        <v>0.18</v>
      </c>
      <c r="D203" s="5">
        <f>FMECA!V204</f>
        <v>54</v>
      </c>
      <c r="E203" s="5">
        <f>FMECA!S204</f>
        <v>4092</v>
      </c>
      <c r="F203" s="5">
        <f>FMECA!W204</f>
        <v>51</v>
      </c>
      <c r="G203" s="5">
        <f>FMECA!X204</f>
        <v>57</v>
      </c>
      <c r="H203" s="5">
        <f>FMECA!T204</f>
        <v>4091</v>
      </c>
      <c r="I203" s="5">
        <f>FMECA!U204</f>
        <v>4095</v>
      </c>
      <c r="J203" s="5">
        <f t="shared" si="13"/>
        <v>3</v>
      </c>
      <c r="K203" s="5">
        <f t="shared" si="14"/>
        <v>3</v>
      </c>
      <c r="L203" s="5">
        <f t="shared" si="15"/>
        <v>1</v>
      </c>
      <c r="M203" s="5">
        <f t="shared" si="16"/>
        <v>3</v>
      </c>
    </row>
    <row r="204" spans="1:13">
      <c r="A204" s="5" t="str">
        <f>FMECA!A205</f>
        <v>Flash_Sys</v>
      </c>
      <c r="B204" s="71" t="str">
        <f>FMECA!B205</f>
        <v>Data bit loss</v>
      </c>
      <c r="C204" s="5">
        <f>FMECA!D205</f>
        <v>0.34</v>
      </c>
      <c r="D204" s="5">
        <f>FMECA!V205</f>
        <v>54</v>
      </c>
      <c r="E204" s="5">
        <f>FMECA!S205</f>
        <v>4092</v>
      </c>
      <c r="F204" s="5">
        <f>FMECA!W205</f>
        <v>51</v>
      </c>
      <c r="G204" s="5">
        <f>FMECA!X205</f>
        <v>57</v>
      </c>
      <c r="H204" s="5">
        <f>FMECA!T205</f>
        <v>4091</v>
      </c>
      <c r="I204" s="5">
        <f>FMECA!U205</f>
        <v>4095</v>
      </c>
      <c r="J204" s="5">
        <f t="shared" si="13"/>
        <v>3</v>
      </c>
      <c r="K204" s="5">
        <f t="shared" si="14"/>
        <v>3</v>
      </c>
      <c r="L204" s="5">
        <f t="shared" si="15"/>
        <v>1</v>
      </c>
      <c r="M204" s="5">
        <f t="shared" si="16"/>
        <v>3</v>
      </c>
    </row>
    <row r="205" spans="1:13">
      <c r="A205" s="5" t="str">
        <f>FMECA!A206</f>
        <v>Flash_Sys</v>
      </c>
      <c r="B205" s="71" t="str">
        <f>FMECA!B206</f>
        <v>Slow transfer of data</v>
      </c>
      <c r="C205" s="5">
        <f>FMECA!D206</f>
        <v>0.17</v>
      </c>
      <c r="D205" s="5">
        <f>FMECA!V206</f>
        <v>54</v>
      </c>
      <c r="E205" s="5">
        <f>FMECA!S206</f>
        <v>4092</v>
      </c>
      <c r="F205" s="5">
        <f>FMECA!W206</f>
        <v>51</v>
      </c>
      <c r="G205" s="5">
        <f>FMECA!X206</f>
        <v>57</v>
      </c>
      <c r="H205" s="5">
        <f>FMECA!T206</f>
        <v>4091</v>
      </c>
      <c r="I205" s="5">
        <f>FMECA!U206</f>
        <v>4095</v>
      </c>
      <c r="J205" s="5">
        <f t="shared" si="13"/>
        <v>3</v>
      </c>
      <c r="K205" s="5">
        <f t="shared" si="14"/>
        <v>3</v>
      </c>
      <c r="L205" s="5">
        <f t="shared" si="15"/>
        <v>1</v>
      </c>
      <c r="M205" s="5">
        <f t="shared" si="16"/>
        <v>3</v>
      </c>
    </row>
    <row r="206" spans="1:13">
      <c r="A206" s="5" t="str">
        <f>FMECA!A207</f>
        <v>Flash_Sys</v>
      </c>
      <c r="B206" s="71" t="str">
        <f>FMECA!B207</f>
        <v>Open</v>
      </c>
      <c r="C206" s="5">
        <f>FMECA!D207</f>
        <v>0.23</v>
      </c>
      <c r="D206" s="5">
        <f>FMECA!V207</f>
        <v>54</v>
      </c>
      <c r="E206" s="5">
        <f>FMECA!S207</f>
        <v>4092</v>
      </c>
      <c r="F206" s="5">
        <f>FMECA!W207</f>
        <v>51</v>
      </c>
      <c r="G206" s="5">
        <f>FMECA!X207</f>
        <v>57</v>
      </c>
      <c r="H206" s="5">
        <f>FMECA!T207</f>
        <v>4091</v>
      </c>
      <c r="I206" s="5">
        <f>FMECA!U207</f>
        <v>4095</v>
      </c>
      <c r="J206" s="5">
        <f t="shared" si="13"/>
        <v>3</v>
      </c>
      <c r="K206" s="5">
        <f t="shared" si="14"/>
        <v>3</v>
      </c>
      <c r="L206" s="5">
        <f t="shared" si="15"/>
        <v>1</v>
      </c>
      <c r="M206" s="5">
        <f t="shared" si="16"/>
        <v>3</v>
      </c>
    </row>
    <row r="207" spans="1:13">
      <c r="A207" s="5" t="str">
        <f>FMECA!A208</f>
        <v>Flash_Sys</v>
      </c>
      <c r="B207" s="71" t="str">
        <f>FMECA!B208</f>
        <v>Short-circuit</v>
      </c>
      <c r="C207" s="5">
        <f>FMECA!D208</f>
        <v>0.26</v>
      </c>
      <c r="D207" s="5">
        <f>FMECA!V208</f>
        <v>54</v>
      </c>
      <c r="E207" s="5">
        <f>FMECA!S208</f>
        <v>4092</v>
      </c>
      <c r="F207" s="5">
        <f>FMECA!W208</f>
        <v>51</v>
      </c>
      <c r="G207" s="5">
        <f>FMECA!X208</f>
        <v>57</v>
      </c>
      <c r="H207" s="5">
        <f>FMECA!T208</f>
        <v>4091</v>
      </c>
      <c r="I207" s="5">
        <f>FMECA!U208</f>
        <v>4095</v>
      </c>
      <c r="J207" s="5">
        <f t="shared" si="13"/>
        <v>3</v>
      </c>
      <c r="K207" s="5">
        <f t="shared" si="14"/>
        <v>3</v>
      </c>
      <c r="L207" s="5">
        <f t="shared" si="15"/>
        <v>1</v>
      </c>
      <c r="M207" s="5">
        <f t="shared" si="16"/>
        <v>3</v>
      </c>
    </row>
    <row r="208" spans="1:13">
      <c r="A208" s="5" t="str">
        <f>FMECA!A209</f>
        <v>DC_DC_Sys</v>
      </c>
      <c r="B208" s="71" t="str">
        <f>FMECA!B209</f>
        <v>No Output</v>
      </c>
      <c r="C208" s="5">
        <f>FMECA!D209</f>
        <v>0.23</v>
      </c>
      <c r="D208" s="5">
        <f>FMECA!V209</f>
        <v>4092</v>
      </c>
      <c r="E208" s="5">
        <f>FMECA!S209</f>
        <v>4093</v>
      </c>
      <c r="F208" s="5">
        <f>FMECA!W209</f>
        <v>4092</v>
      </c>
      <c r="G208" s="5">
        <f>FMECA!X209</f>
        <v>4092</v>
      </c>
      <c r="H208" s="5">
        <f>FMECA!T209</f>
        <v>4093</v>
      </c>
      <c r="I208" s="5">
        <f>FMECA!U209</f>
        <v>4093</v>
      </c>
      <c r="J208" s="5">
        <f t="shared" si="13"/>
        <v>0</v>
      </c>
      <c r="K208" s="5">
        <f t="shared" si="14"/>
        <v>0</v>
      </c>
      <c r="L208" s="5">
        <f t="shared" si="15"/>
        <v>0</v>
      </c>
      <c r="M208" s="5">
        <f t="shared" si="16"/>
        <v>0</v>
      </c>
    </row>
    <row r="209" spans="1:13">
      <c r="A209" s="5" t="str">
        <f>FMECA!A210</f>
        <v>DC_DC_Sys</v>
      </c>
      <c r="B209" s="71" t="str">
        <f>FMECA!B210</f>
        <v>Increase in Output Voltage</v>
      </c>
      <c r="C209" s="5">
        <f>FMECA!D210</f>
        <v>0.25666666666666665</v>
      </c>
      <c r="D209" s="5">
        <f>FMECA!V210</f>
        <v>54</v>
      </c>
      <c r="E209" s="5">
        <f>FMECA!S210</f>
        <v>4092</v>
      </c>
      <c r="F209" s="5">
        <f>FMECA!W210</f>
        <v>51</v>
      </c>
      <c r="G209" s="5">
        <f>FMECA!X210</f>
        <v>57</v>
      </c>
      <c r="H209" s="5">
        <f>FMECA!T210</f>
        <v>4091</v>
      </c>
      <c r="I209" s="5">
        <f>FMECA!U210</f>
        <v>4095</v>
      </c>
      <c r="J209" s="5">
        <f t="shared" si="13"/>
        <v>3</v>
      </c>
      <c r="K209" s="5">
        <f t="shared" si="14"/>
        <v>3</v>
      </c>
      <c r="L209" s="5">
        <f t="shared" si="15"/>
        <v>1</v>
      </c>
      <c r="M209" s="5">
        <f t="shared" si="16"/>
        <v>3</v>
      </c>
    </row>
    <row r="210" spans="1:13">
      <c r="A210" s="5" t="str">
        <f>FMECA!A211</f>
        <v>DC_DC_Sys</v>
      </c>
      <c r="B210" s="71" t="str">
        <f>FMECA!B211</f>
        <v>Decrease in Output Voltage</v>
      </c>
      <c r="C210" s="5">
        <f>FMECA!D211</f>
        <v>0.25666666666666665</v>
      </c>
      <c r="D210" s="5">
        <f>FMECA!V211</f>
        <v>54</v>
      </c>
      <c r="E210" s="5">
        <f>FMECA!S211</f>
        <v>4092</v>
      </c>
      <c r="F210" s="5">
        <f>FMECA!W211</f>
        <v>51</v>
      </c>
      <c r="G210" s="5">
        <f>FMECA!X211</f>
        <v>57</v>
      </c>
      <c r="H210" s="5">
        <f>FMECA!T211</f>
        <v>4091</v>
      </c>
      <c r="I210" s="5">
        <f>FMECA!U211</f>
        <v>4095</v>
      </c>
      <c r="J210" s="5">
        <f t="shared" si="13"/>
        <v>3</v>
      </c>
      <c r="K210" s="5">
        <f t="shared" si="14"/>
        <v>3</v>
      </c>
      <c r="L210" s="5">
        <f t="shared" si="15"/>
        <v>1</v>
      </c>
      <c r="M210" s="5">
        <f t="shared" si="16"/>
        <v>3</v>
      </c>
    </row>
    <row r="211" spans="1:13">
      <c r="A211" s="5" t="str">
        <f>FMECA!A212</f>
        <v>DC_DC_Sys</v>
      </c>
      <c r="B211" s="71" t="str">
        <f>FMECA!B212</f>
        <v>Noisy Output</v>
      </c>
      <c r="C211" s="5">
        <f>FMECA!D212</f>
        <v>0.25666666666666665</v>
      </c>
      <c r="D211" s="5">
        <f>FMECA!V212</f>
        <v>54</v>
      </c>
      <c r="E211" s="5">
        <f>FMECA!S212</f>
        <v>4092</v>
      </c>
      <c r="F211" s="5">
        <f>FMECA!W212</f>
        <v>51</v>
      </c>
      <c r="G211" s="5">
        <f>FMECA!X212</f>
        <v>57</v>
      </c>
      <c r="H211" s="5">
        <f>FMECA!T212</f>
        <v>4091</v>
      </c>
      <c r="I211" s="5">
        <f>FMECA!U212</f>
        <v>4095</v>
      </c>
      <c r="J211" s="5">
        <f t="shared" si="13"/>
        <v>3</v>
      </c>
      <c r="K211" s="5">
        <f t="shared" si="14"/>
        <v>3</v>
      </c>
      <c r="L211" s="5">
        <f t="shared" si="15"/>
        <v>1</v>
      </c>
      <c r="M211" s="5">
        <f t="shared" si="16"/>
        <v>3</v>
      </c>
    </row>
    <row r="212" spans="1:13">
      <c r="A212" s="5" t="str">
        <f>FMECA!A213</f>
        <v>C_Sys</v>
      </c>
      <c r="B212" s="71" t="str">
        <f>FMECA!B213</f>
        <v>Open</v>
      </c>
      <c r="C212" s="5">
        <f>FMECA!D213</f>
        <v>0.35</v>
      </c>
      <c r="D212" s="5">
        <f>FMECA!V213</f>
        <v>54</v>
      </c>
      <c r="E212" s="5">
        <f>FMECA!S213</f>
        <v>4092</v>
      </c>
      <c r="F212" s="5">
        <f>FMECA!W213</f>
        <v>51</v>
      </c>
      <c r="G212" s="5">
        <f>FMECA!X213</f>
        <v>57</v>
      </c>
      <c r="H212" s="5">
        <f>FMECA!T213</f>
        <v>4091</v>
      </c>
      <c r="I212" s="5">
        <f>FMECA!U213</f>
        <v>4095</v>
      </c>
      <c r="J212" s="5">
        <f t="shared" si="13"/>
        <v>3</v>
      </c>
      <c r="K212" s="5">
        <f t="shared" si="14"/>
        <v>3</v>
      </c>
      <c r="L212" s="5">
        <f t="shared" si="15"/>
        <v>1</v>
      </c>
      <c r="M212" s="5">
        <f t="shared" si="16"/>
        <v>3</v>
      </c>
    </row>
    <row r="213" spans="1:13">
      <c r="A213" s="5" t="str">
        <f>FMECA!A214</f>
        <v>C_Sys</v>
      </c>
      <c r="B213" s="71" t="str">
        <f>FMECA!B214</f>
        <v>Short-Circuit</v>
      </c>
      <c r="C213" s="5">
        <f>FMECA!D214</f>
        <v>0.53</v>
      </c>
      <c r="D213" s="5">
        <f>FMECA!V214</f>
        <v>0</v>
      </c>
      <c r="E213" s="5">
        <f>FMECA!S214</f>
        <v>0</v>
      </c>
      <c r="F213" s="5">
        <f>FMECA!W214</f>
        <v>0</v>
      </c>
      <c r="G213" s="5">
        <f>FMECA!X214</f>
        <v>0</v>
      </c>
      <c r="H213" s="5">
        <f>FMECA!T214</f>
        <v>0</v>
      </c>
      <c r="I213" s="5">
        <f>FMECA!U214</f>
        <v>0</v>
      </c>
      <c r="J213" s="5">
        <f t="shared" si="13"/>
        <v>0</v>
      </c>
      <c r="K213" s="5">
        <f t="shared" si="14"/>
        <v>0</v>
      </c>
      <c r="L213" s="5">
        <f t="shared" si="15"/>
        <v>0</v>
      </c>
      <c r="M213" s="5">
        <f t="shared" si="16"/>
        <v>0</v>
      </c>
    </row>
    <row r="214" spans="1:13">
      <c r="A214" s="5" t="str">
        <f>FMECA!A215</f>
        <v>C_Sys</v>
      </c>
      <c r="B214" s="71" t="str">
        <f>FMECA!B215</f>
        <v>Decrease of Parallel Resistance</v>
      </c>
      <c r="C214" s="5">
        <f>FMECA!D215</f>
        <v>0</v>
      </c>
      <c r="D214" s="5">
        <f>FMECA!V215</f>
        <v>0</v>
      </c>
      <c r="E214" s="5">
        <f>FMECA!S215</f>
        <v>0</v>
      </c>
      <c r="F214" s="5">
        <f>FMECA!W215</f>
        <v>0</v>
      </c>
      <c r="G214" s="5">
        <f>FMECA!X215</f>
        <v>0</v>
      </c>
      <c r="H214" s="5">
        <f>FMECA!T215</f>
        <v>0</v>
      </c>
      <c r="I214" s="5">
        <f>FMECA!U215</f>
        <v>0</v>
      </c>
      <c r="J214" s="5">
        <f t="shared" si="13"/>
        <v>0</v>
      </c>
      <c r="K214" s="5">
        <f t="shared" si="14"/>
        <v>0</v>
      </c>
      <c r="L214" s="5">
        <f t="shared" si="15"/>
        <v>0</v>
      </c>
      <c r="M214" s="5">
        <f t="shared" si="16"/>
        <v>0</v>
      </c>
    </row>
    <row r="215" spans="1:13">
      <c r="A215" s="5" t="str">
        <f>FMECA!A216</f>
        <v>C_Sys</v>
      </c>
      <c r="B215" s="71" t="str">
        <f>FMECA!B216</f>
        <v>Increased Dissipation Factor</v>
      </c>
      <c r="C215" s="5">
        <f>FMECA!D216</f>
        <v>3.3333333333333333E-2</v>
      </c>
      <c r="D215" s="5">
        <f>FMECA!V216</f>
        <v>54</v>
      </c>
      <c r="E215" s="5">
        <f>FMECA!S216</f>
        <v>4092</v>
      </c>
      <c r="F215" s="5">
        <f>FMECA!W216</f>
        <v>51</v>
      </c>
      <c r="G215" s="5">
        <f>FMECA!X216</f>
        <v>57</v>
      </c>
      <c r="H215" s="5">
        <f>FMECA!T216</f>
        <v>4091</v>
      </c>
      <c r="I215" s="5">
        <f>FMECA!U216</f>
        <v>4095</v>
      </c>
      <c r="J215" s="5">
        <f t="shared" si="13"/>
        <v>3</v>
      </c>
      <c r="K215" s="5">
        <f t="shared" si="14"/>
        <v>3</v>
      </c>
      <c r="L215" s="5">
        <f t="shared" si="15"/>
        <v>1</v>
      </c>
      <c r="M215" s="5">
        <f t="shared" si="16"/>
        <v>3</v>
      </c>
    </row>
    <row r="216" spans="1:13">
      <c r="A216" s="5" t="str">
        <f>FMECA!A217</f>
        <v>C_Sys</v>
      </c>
      <c r="B216" s="71" t="str">
        <f>FMECA!B217</f>
        <v>Increase of Capacitance</v>
      </c>
      <c r="C216" s="5">
        <f>FMECA!D217</f>
        <v>0</v>
      </c>
      <c r="D216" s="5">
        <f>FMECA!V217</f>
        <v>0</v>
      </c>
      <c r="E216" s="5">
        <f>FMECA!S217</f>
        <v>0</v>
      </c>
      <c r="F216" s="5">
        <f>FMECA!W217</f>
        <v>0</v>
      </c>
      <c r="G216" s="5">
        <f>FMECA!X217</f>
        <v>0</v>
      </c>
      <c r="H216" s="5">
        <f>FMECA!T217</f>
        <v>0</v>
      </c>
      <c r="I216" s="5">
        <f>FMECA!U217</f>
        <v>0</v>
      </c>
      <c r="J216" s="5">
        <f t="shared" si="13"/>
        <v>0</v>
      </c>
      <c r="K216" s="5">
        <f t="shared" si="14"/>
        <v>0</v>
      </c>
      <c r="L216" s="5">
        <f t="shared" si="15"/>
        <v>0</v>
      </c>
      <c r="M216" s="5">
        <f t="shared" si="16"/>
        <v>0</v>
      </c>
    </row>
    <row r="217" spans="1:13">
      <c r="A217" s="5" t="str">
        <f>FMECA!A218</f>
        <v>C_Sys</v>
      </c>
      <c r="B217" s="71" t="str">
        <f>FMECA!B218</f>
        <v>Decrease of Capacitance</v>
      </c>
      <c r="C217" s="5">
        <f>FMECA!D218</f>
        <v>5.333333333333333E-2</v>
      </c>
      <c r="D217" s="5">
        <f>FMECA!V218</f>
        <v>54</v>
      </c>
      <c r="E217" s="5">
        <f>FMECA!S218</f>
        <v>4092</v>
      </c>
      <c r="F217" s="5">
        <f>FMECA!W218</f>
        <v>51</v>
      </c>
      <c r="G217" s="5">
        <f>FMECA!X218</f>
        <v>57</v>
      </c>
      <c r="H217" s="5">
        <f>FMECA!T218</f>
        <v>4091</v>
      </c>
      <c r="I217" s="5">
        <f>FMECA!U218</f>
        <v>4095</v>
      </c>
      <c r="J217" s="5">
        <f t="shared" si="13"/>
        <v>3</v>
      </c>
      <c r="K217" s="5">
        <f t="shared" si="14"/>
        <v>3</v>
      </c>
      <c r="L217" s="5">
        <f t="shared" si="15"/>
        <v>1</v>
      </c>
      <c r="M217" s="5">
        <f t="shared" si="16"/>
        <v>3</v>
      </c>
    </row>
    <row r="218" spans="1:13">
      <c r="A218" s="5" t="str">
        <f>FMECA!A219</f>
        <v>C_Sys</v>
      </c>
      <c r="B218" s="71" t="str">
        <f>FMECA!B219</f>
        <v>Increase of Series Resistance</v>
      </c>
      <c r="C218" s="5">
        <f>FMECA!D219</f>
        <v>3.3333333333333333E-2</v>
      </c>
      <c r="D218" s="5">
        <f>FMECA!V219</f>
        <v>54</v>
      </c>
      <c r="E218" s="5">
        <f>FMECA!S219</f>
        <v>4092</v>
      </c>
      <c r="F218" s="5">
        <f>FMECA!W219</f>
        <v>51</v>
      </c>
      <c r="G218" s="5">
        <f>FMECA!X219</f>
        <v>57</v>
      </c>
      <c r="H218" s="5">
        <f>FMECA!T219</f>
        <v>4091</v>
      </c>
      <c r="I218" s="5">
        <f>FMECA!U219</f>
        <v>4095</v>
      </c>
      <c r="J218" s="5">
        <f t="shared" si="13"/>
        <v>3</v>
      </c>
      <c r="K218" s="5">
        <f t="shared" si="14"/>
        <v>3</v>
      </c>
      <c r="L218" s="5">
        <f t="shared" si="15"/>
        <v>1</v>
      </c>
      <c r="M218" s="5">
        <f t="shared" si="16"/>
        <v>3</v>
      </c>
    </row>
    <row r="219" spans="1:13">
      <c r="A219" s="5" t="str">
        <f>FMECA!A220</f>
        <v>C_Sys</v>
      </c>
      <c r="B219" s="71" t="str">
        <f>FMECA!B220</f>
        <v>Short-Circuit to Casing</v>
      </c>
      <c r="C219" s="5">
        <f>FMECA!D220</f>
        <v>0</v>
      </c>
      <c r="D219" s="5">
        <f>FMECA!V220</f>
        <v>54</v>
      </c>
      <c r="E219" s="5">
        <f>FMECA!S220</f>
        <v>4092</v>
      </c>
      <c r="F219" s="5">
        <f>FMECA!W220</f>
        <v>51</v>
      </c>
      <c r="G219" s="5">
        <f>FMECA!X220</f>
        <v>57</v>
      </c>
      <c r="H219" s="5">
        <f>FMECA!T220</f>
        <v>4091</v>
      </c>
      <c r="I219" s="5">
        <f>FMECA!U220</f>
        <v>4095</v>
      </c>
      <c r="J219" s="5">
        <f t="shared" si="13"/>
        <v>3</v>
      </c>
      <c r="K219" s="5">
        <f t="shared" si="14"/>
        <v>3</v>
      </c>
      <c r="L219" s="5">
        <f t="shared" si="15"/>
        <v>1</v>
      </c>
      <c r="M219" s="5">
        <f t="shared" si="16"/>
        <v>3</v>
      </c>
    </row>
  </sheetData>
  <autoFilter ref="A1:M219"/>
  <mergeCells count="2">
    <mergeCell ref="O2:O5"/>
    <mergeCell ref="O7:O10"/>
  </mergeCells>
  <pageMargins left="0.511811024" right="0.511811024" top="0.78740157499999996" bottom="0.78740157499999996" header="0.31496062000000002" footer="0.31496062000000002"/>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70" zoomScaleNormal="70" workbookViewId="0">
      <selection activeCell="M60" sqref="M60"/>
    </sheetView>
  </sheetViews>
  <sheetFormatPr defaultRowHeight="15"/>
  <cols>
    <col min="1" max="1" width="12.42578125" style="39" customWidth="1"/>
    <col min="2" max="2" width="64.140625" style="6" customWidth="1"/>
    <col min="3" max="3" width="10.85546875" style="39" customWidth="1"/>
    <col min="4" max="4" width="22.7109375" style="39" customWidth="1"/>
    <col min="5" max="5" width="27.140625" style="39" customWidth="1"/>
    <col min="6" max="6" width="21" style="39" customWidth="1"/>
    <col min="7" max="7" width="21.42578125" style="39" customWidth="1"/>
    <col min="8" max="8" width="25.5703125" style="39" customWidth="1"/>
    <col min="9" max="9" width="25.85546875" style="39" customWidth="1"/>
    <col min="10" max="11" width="17.7109375" style="39" customWidth="1"/>
    <col min="12" max="13" width="17.7109375" style="39" bestFit="1" customWidth="1"/>
    <col min="14" max="14" width="26.5703125" style="39" customWidth="1"/>
    <col min="15" max="15" width="28.85546875" style="39" customWidth="1"/>
    <col min="16" max="16384" width="9.140625" style="6"/>
  </cols>
  <sheetData>
    <row r="1" spans="1:15" s="39" customFormat="1" ht="30">
      <c r="A1" s="40" t="s">
        <v>361</v>
      </c>
      <c r="B1" s="40" t="s">
        <v>685</v>
      </c>
      <c r="C1" s="40" t="s">
        <v>684</v>
      </c>
      <c r="D1" s="40" t="str">
        <f>FMECA!V2</f>
        <v>Mean Fuse_Result_Burn</v>
      </c>
      <c r="E1" s="40" t="str">
        <f>FMECA!S2</f>
        <v>Mean Fuse_Result_Not_Burn</v>
      </c>
      <c r="F1" s="40" t="str">
        <f>FMECA!W2</f>
        <v>Min Fuse_Result_Burn</v>
      </c>
      <c r="G1" s="40" t="str">
        <f>FMECA!X2</f>
        <v>Max Fuse_Result_Burn</v>
      </c>
      <c r="H1" s="40" t="str">
        <f>FMECA!T2</f>
        <v>Min Fuse_Result_Not_Burn</v>
      </c>
      <c r="I1" s="40" t="str">
        <f>FMECA!U2</f>
        <v>Max Fuse_Result_Not_Burn</v>
      </c>
      <c r="J1" s="40" t="str">
        <f>FMECA!Z2</f>
        <v>Keep_Power = 0</v>
      </c>
      <c r="K1" s="40" t="str">
        <f>FMECA!AA2</f>
        <v>Keep_Power = 1</v>
      </c>
      <c r="L1" s="40" t="s">
        <v>737</v>
      </c>
      <c r="M1" s="40" t="s">
        <v>738</v>
      </c>
      <c r="N1" s="40" t="s">
        <v>739</v>
      </c>
      <c r="O1" s="40" t="s">
        <v>740</v>
      </c>
    </row>
    <row r="2" spans="1:15" ht="60">
      <c r="A2" s="5" t="str">
        <f>FMECA!A3</f>
        <v>-</v>
      </c>
      <c r="B2" s="55" t="str">
        <f>FMECA!B3</f>
        <v>No faults on any component.</v>
      </c>
      <c r="C2" s="5" t="str">
        <f>FMECA!D3</f>
        <v>-</v>
      </c>
      <c r="D2" s="5">
        <f>FMECA!V3</f>
        <v>54</v>
      </c>
      <c r="E2" s="5">
        <f>FMECA!S3</f>
        <v>4092</v>
      </c>
      <c r="F2" s="5">
        <f>FMECA!W3</f>
        <v>51</v>
      </c>
      <c r="G2" s="5">
        <f>FMECA!X3</f>
        <v>57</v>
      </c>
      <c r="H2" s="5">
        <f>FMECA!T3</f>
        <v>4091</v>
      </c>
      <c r="I2" s="5">
        <f>FMECA!U3</f>
        <v>4095</v>
      </c>
      <c r="J2" s="5">
        <f>FMECA!Z3</f>
        <v>0</v>
      </c>
      <c r="K2" s="5">
        <f>FMECA!AA3</f>
        <v>1</v>
      </c>
      <c r="L2" s="5" t="str">
        <f>FMECA!H3</f>
        <v>Safe</v>
      </c>
      <c r="M2" s="5" t="str">
        <f>FMECA!K3</f>
        <v>No; impactless.</v>
      </c>
      <c r="N2" s="5" t="str">
        <f>FMECA!L3</f>
        <v>No; impactless.</v>
      </c>
      <c r="O2" s="5" t="str">
        <f>FMECA!AC3</f>
        <v>Not applicable. Assumed that only undetectable faults will be classified onto a 'multiple faults class of equivalence'.</v>
      </c>
    </row>
    <row r="3" spans="1:15" ht="60">
      <c r="A3" s="5" t="str">
        <f>FMECA!A4</f>
        <v>UC_Diag</v>
      </c>
      <c r="B3" s="55" t="str">
        <f>FMECA!B4</f>
        <v>Supply open</v>
      </c>
      <c r="C3" s="5">
        <f>FMECA!D4</f>
        <v>0.12</v>
      </c>
      <c r="D3" s="5">
        <f>FMECA!V4</f>
        <v>0</v>
      </c>
      <c r="E3" s="5">
        <f>FMECA!S4</f>
        <v>0</v>
      </c>
      <c r="F3" s="5">
        <f>FMECA!W4</f>
        <v>0</v>
      </c>
      <c r="G3" s="5">
        <f>FMECA!X4</f>
        <v>0</v>
      </c>
      <c r="H3" s="5">
        <f>FMECA!T4</f>
        <v>0</v>
      </c>
      <c r="I3" s="5">
        <f>FMECA!U4</f>
        <v>0</v>
      </c>
      <c r="J3" s="5">
        <f>FMECA!Z4</f>
        <v>0</v>
      </c>
      <c r="K3" s="5">
        <f>FMECA!AA4</f>
        <v>0</v>
      </c>
      <c r="L3" s="5" t="str">
        <f>FMECA!H4</f>
        <v>Safe</v>
      </c>
      <c r="M3" s="5" t="str">
        <f>FMECA!K4</f>
        <v>Yes</v>
      </c>
      <c r="N3" s="5" t="str">
        <f>FMECA!L4</f>
        <v>Yes</v>
      </c>
      <c r="O3" s="5" t="str">
        <f>FMECA!AC4</f>
        <v>Not applicable. Assumed that only undetectable faults will be classified onto a 'multiple faults class of equivalence'.</v>
      </c>
    </row>
    <row r="4" spans="1:15" ht="60">
      <c r="A4" s="5" t="str">
        <f>FMECA!A5</f>
        <v>UC_Diag</v>
      </c>
      <c r="B4" s="55" t="str">
        <f>FMECA!B5</f>
        <v>Output 'Dig_Out1' open</v>
      </c>
      <c r="C4" s="5">
        <f>FMECA!D5</f>
        <v>0.12</v>
      </c>
      <c r="D4" s="5">
        <f>FMECA!V5</f>
        <v>0</v>
      </c>
      <c r="E4" s="5">
        <f>FMECA!S5</f>
        <v>0</v>
      </c>
      <c r="F4" s="5">
        <f>FMECA!W5</f>
        <v>0</v>
      </c>
      <c r="G4" s="5">
        <f>FMECA!X5</f>
        <v>0</v>
      </c>
      <c r="H4" s="5">
        <f>FMECA!T5</f>
        <v>0</v>
      </c>
      <c r="I4" s="5">
        <f>FMECA!U5</f>
        <v>0</v>
      </c>
      <c r="J4" s="5">
        <f>FMECA!Z5</f>
        <v>0</v>
      </c>
      <c r="K4" s="5">
        <f>FMECA!AA5</f>
        <v>1</v>
      </c>
      <c r="L4" s="5" t="str">
        <f>FMECA!H5</f>
        <v>Safe</v>
      </c>
      <c r="M4" s="5" t="str">
        <f>FMECA!K5</f>
        <v>Yes</v>
      </c>
      <c r="N4" s="5" t="str">
        <f>FMECA!L5</f>
        <v>No</v>
      </c>
      <c r="O4" s="5" t="str">
        <f>FMECA!AC5</f>
        <v>Not applicable. Assumed that only undetectable faults will be classified onto a 'multiple faults class of equivalence'.</v>
      </c>
    </row>
    <row r="5" spans="1:15" ht="60">
      <c r="A5" s="5" t="str">
        <f>FMECA!A6</f>
        <v>UC_Diag</v>
      </c>
      <c r="B5" s="55" t="str">
        <f>FMECA!B6</f>
        <v>Output 'Dig_Out2' open</v>
      </c>
      <c r="C5" s="5">
        <f>FMECA!D6</f>
        <v>0.12</v>
      </c>
      <c r="D5" s="5">
        <f>FMECA!V6</f>
        <v>0</v>
      </c>
      <c r="E5" s="5">
        <f>FMECA!S6</f>
        <v>0</v>
      </c>
      <c r="F5" s="5">
        <f>FMECA!W6</f>
        <v>0</v>
      </c>
      <c r="G5" s="5">
        <f>FMECA!X6</f>
        <v>0</v>
      </c>
      <c r="H5" s="5">
        <f>FMECA!T6</f>
        <v>0</v>
      </c>
      <c r="I5" s="5">
        <f>FMECA!U6</f>
        <v>0</v>
      </c>
      <c r="J5" s="5">
        <f>FMECA!Z6</f>
        <v>0</v>
      </c>
      <c r="K5" s="5">
        <f>FMECA!AA6</f>
        <v>0</v>
      </c>
      <c r="L5" s="5" t="str">
        <f>FMECA!H6</f>
        <v>Safe</v>
      </c>
      <c r="M5" s="5" t="str">
        <f>FMECA!K6</f>
        <v>Yes</v>
      </c>
      <c r="N5" s="5" t="str">
        <f>FMECA!L6</f>
        <v>Yes</v>
      </c>
      <c r="O5" s="5" t="str">
        <f>FMECA!AC6</f>
        <v>Not applicable. Assumed that only undetectable faults will be classified onto a 'multiple faults class of equivalence'.</v>
      </c>
    </row>
    <row r="6" spans="1:15" ht="45">
      <c r="A6" s="5" t="str">
        <f>FMECA!A7</f>
        <v>UC_Diag</v>
      </c>
      <c r="B6" s="55" t="str">
        <f>FMECA!B7</f>
        <v>Bidirectional Pin 'SPI' open</v>
      </c>
      <c r="C6" s="5">
        <f>FMECA!D7</f>
        <v>0.24</v>
      </c>
      <c r="D6" s="5">
        <f>FMECA!V7</f>
        <v>54</v>
      </c>
      <c r="E6" s="5">
        <f>FMECA!S7</f>
        <v>4092</v>
      </c>
      <c r="F6" s="5">
        <f>FMECA!W7</f>
        <v>51</v>
      </c>
      <c r="G6" s="5">
        <f>FMECA!X7</f>
        <v>57</v>
      </c>
      <c r="H6" s="5">
        <f>FMECA!T7</f>
        <v>4091</v>
      </c>
      <c r="I6" s="5">
        <f>FMECA!U7</f>
        <v>4095</v>
      </c>
      <c r="J6" s="5">
        <f>FMECA!Z7</f>
        <v>0</v>
      </c>
      <c r="K6" s="5">
        <f>FMECA!AA7</f>
        <v>1</v>
      </c>
      <c r="L6" s="5" t="str">
        <f>FMECA!H7</f>
        <v>Safe</v>
      </c>
      <c r="M6" s="5" t="str">
        <f>FMECA!K7</f>
        <v>No</v>
      </c>
      <c r="N6" s="5" t="str">
        <f>FMECA!L7</f>
        <v>No</v>
      </c>
      <c r="O6" s="5" t="str">
        <f>FMECA!AC7</f>
        <v>CM0: If a second fault occurs, the effects of the second fault prevail.</v>
      </c>
    </row>
    <row r="7" spans="1:15" ht="60">
      <c r="A7" s="5" t="str">
        <f>FMECA!A8</f>
        <v>UC_Diag</v>
      </c>
      <c r="B7" s="55" t="str">
        <f>FMECA!B8</f>
        <v>Output 'Dig_Out1' stuck low</v>
      </c>
      <c r="C7" s="5">
        <f>FMECA!D8</f>
        <v>0.03</v>
      </c>
      <c r="D7" s="5">
        <f>FMECA!V8</f>
        <v>0</v>
      </c>
      <c r="E7" s="5">
        <f>FMECA!S8</f>
        <v>0</v>
      </c>
      <c r="F7" s="5">
        <f>FMECA!W8</f>
        <v>0</v>
      </c>
      <c r="G7" s="5">
        <f>FMECA!X8</f>
        <v>0</v>
      </c>
      <c r="H7" s="5">
        <f>FMECA!T8</f>
        <v>0</v>
      </c>
      <c r="I7" s="5">
        <f>FMECA!U8</f>
        <v>0</v>
      </c>
      <c r="J7" s="5">
        <f>FMECA!Z8</f>
        <v>1</v>
      </c>
      <c r="K7" s="5">
        <f>FMECA!AA8</f>
        <v>1</v>
      </c>
      <c r="L7" s="5" t="str">
        <f>FMECA!H8</f>
        <v>Safe</v>
      </c>
      <c r="M7" s="5" t="str">
        <f>FMECA!K8</f>
        <v>Yes</v>
      </c>
      <c r="N7" s="5" t="str">
        <f>FMECA!L8</f>
        <v>Yes</v>
      </c>
      <c r="O7" s="5" t="str">
        <f>FMECA!AC8</f>
        <v>Not applicable. Assumed that only undetectable faults will be classified onto a 'multiple faults class of equivalence'.</v>
      </c>
    </row>
    <row r="8" spans="1:15" ht="60">
      <c r="A8" s="5" t="str">
        <f>FMECA!A9</f>
        <v>UC_Diag</v>
      </c>
      <c r="B8" s="55" t="str">
        <f>FMECA!B9</f>
        <v>Output 'Dig_Out2' stuck low</v>
      </c>
      <c r="C8" s="5">
        <f>FMECA!D9</f>
        <v>0.03</v>
      </c>
      <c r="D8" s="5">
        <f>FMECA!V9</f>
        <v>0</v>
      </c>
      <c r="E8" s="5">
        <f>FMECA!S9</f>
        <v>0</v>
      </c>
      <c r="F8" s="5">
        <f>FMECA!W9</f>
        <v>0</v>
      </c>
      <c r="G8" s="5">
        <f>FMECA!X9</f>
        <v>0</v>
      </c>
      <c r="H8" s="5">
        <f>FMECA!T9</f>
        <v>0</v>
      </c>
      <c r="I8" s="5">
        <f>FMECA!U9</f>
        <v>0</v>
      </c>
      <c r="J8" s="5">
        <f>FMECA!Z9</f>
        <v>0</v>
      </c>
      <c r="K8" s="5">
        <f>FMECA!AA9</f>
        <v>0</v>
      </c>
      <c r="L8" s="5" t="str">
        <f>FMECA!H9</f>
        <v>Safe</v>
      </c>
      <c r="M8" s="5" t="str">
        <f>FMECA!K9</f>
        <v>Yes</v>
      </c>
      <c r="N8" s="5" t="str">
        <f>FMECA!L9</f>
        <v>Yes</v>
      </c>
      <c r="O8" s="5" t="str">
        <f>FMECA!AC9</f>
        <v>Not applicable. Assumed that only undetectable faults will be classified onto a 'multiple faults class of equivalence'.</v>
      </c>
    </row>
    <row r="9" spans="1:15" ht="45">
      <c r="A9" s="5" t="str">
        <f>FMECA!A10</f>
        <v>UC_Diag</v>
      </c>
      <c r="B9" s="55" t="str">
        <f>FMECA!B10</f>
        <v>Bidirectional Pin 'SPI' stuck low</v>
      </c>
      <c r="C9" s="5">
        <f>FMECA!D10</f>
        <v>0.03</v>
      </c>
      <c r="D9" s="5">
        <f>FMECA!V10</f>
        <v>54</v>
      </c>
      <c r="E9" s="5">
        <f>FMECA!S10</f>
        <v>4092</v>
      </c>
      <c r="F9" s="5">
        <f>FMECA!W10</f>
        <v>51</v>
      </c>
      <c r="G9" s="5">
        <f>FMECA!X10</f>
        <v>57</v>
      </c>
      <c r="H9" s="5">
        <f>FMECA!T10</f>
        <v>4091</v>
      </c>
      <c r="I9" s="5">
        <f>FMECA!U10</f>
        <v>4095</v>
      </c>
      <c r="J9" s="5">
        <f>FMECA!Z10</f>
        <v>0</v>
      </c>
      <c r="K9" s="5">
        <f>FMECA!AA10</f>
        <v>1</v>
      </c>
      <c r="L9" s="5" t="str">
        <f>FMECA!H10</f>
        <v>Safe</v>
      </c>
      <c r="M9" s="5" t="str">
        <f>FMECA!K10</f>
        <v>No</v>
      </c>
      <c r="N9" s="5" t="str">
        <f>FMECA!L10</f>
        <v>No</v>
      </c>
      <c r="O9" s="5" t="str">
        <f>FMECA!AC10</f>
        <v>CM0: If a second fault occurs, the effects of the second fault prevail.</v>
      </c>
    </row>
    <row r="10" spans="1:15" ht="60">
      <c r="A10" s="5" t="str">
        <f>FMECA!A11</f>
        <v>UC_Diag</v>
      </c>
      <c r="B10" s="55" t="str">
        <f>FMECA!B11</f>
        <v>Output 'Dig_Out1' stuck high</v>
      </c>
      <c r="C10" s="5">
        <f>FMECA!D11</f>
        <v>2.6666666666666668E-2</v>
      </c>
      <c r="D10" s="5">
        <f>FMECA!V11</f>
        <v>4092</v>
      </c>
      <c r="E10" s="5">
        <f>FMECA!S11</f>
        <v>4093</v>
      </c>
      <c r="F10" s="5">
        <f>FMECA!W11</f>
        <v>4092</v>
      </c>
      <c r="G10" s="5">
        <f>FMECA!X11</f>
        <v>4092</v>
      </c>
      <c r="H10" s="5">
        <f>FMECA!T11</f>
        <v>4093</v>
      </c>
      <c r="I10" s="5">
        <f>FMECA!U11</f>
        <v>4093</v>
      </c>
      <c r="J10" s="5">
        <f>FMECA!Z11</f>
        <v>0</v>
      </c>
      <c r="K10" s="5">
        <f>FMECA!AA11</f>
        <v>1</v>
      </c>
      <c r="L10" s="5" t="str">
        <f>FMECA!H11</f>
        <v>Safe</v>
      </c>
      <c r="M10" s="5" t="str">
        <f>FMECA!K11</f>
        <v>Yes</v>
      </c>
      <c r="N10" s="5" t="str">
        <f>FMECA!L11</f>
        <v>No</v>
      </c>
      <c r="O10" s="5" t="str">
        <f>FMECA!AC11</f>
        <v>Not applicable. Assumed that only undetectable faults will be classified onto a 'multiple faults class of equivalence'.</v>
      </c>
    </row>
    <row r="11" spans="1:15" ht="60">
      <c r="A11" s="5" t="str">
        <f>FMECA!A12</f>
        <v>UC_Diag</v>
      </c>
      <c r="B11" s="55" t="str">
        <f>FMECA!B12</f>
        <v>Output 'Dig_Out2' stuck high</v>
      </c>
      <c r="C11" s="5">
        <f>FMECA!D12</f>
        <v>2.6666666666666668E-2</v>
      </c>
      <c r="D11" s="5">
        <f>FMECA!V12</f>
        <v>54</v>
      </c>
      <c r="E11" s="5">
        <f>FMECA!S12</f>
        <v>4092</v>
      </c>
      <c r="F11" s="5">
        <f>FMECA!W12</f>
        <v>51</v>
      </c>
      <c r="G11" s="5">
        <f>FMECA!X12</f>
        <v>57</v>
      </c>
      <c r="H11" s="5">
        <f>FMECA!T12</f>
        <v>4091</v>
      </c>
      <c r="I11" s="5">
        <f>FMECA!U12</f>
        <v>4095</v>
      </c>
      <c r="J11" s="5">
        <f>FMECA!Z12</f>
        <v>1</v>
      </c>
      <c r="K11" s="5">
        <f>FMECA!AA12</f>
        <v>1</v>
      </c>
      <c r="L11" s="5" t="str">
        <f>FMECA!H12</f>
        <v>Safe</v>
      </c>
      <c r="M11" s="5" t="str">
        <f>FMECA!K12</f>
        <v>No</v>
      </c>
      <c r="N11" s="5" t="str">
        <f>FMECA!L12</f>
        <v>Yes</v>
      </c>
      <c r="O11" s="5" t="str">
        <f>FMECA!AC12</f>
        <v>Not applicable. Assumed that only undetectable faults will be classified onto a 'multiple faults class of equivalence'.</v>
      </c>
    </row>
    <row r="12" spans="1:15" ht="45">
      <c r="A12" s="5" t="str">
        <f>FMECA!A13</f>
        <v>UC_Diag</v>
      </c>
      <c r="B12" s="55" t="str">
        <f>FMECA!B13</f>
        <v>Bidirectional 'SPI' Pin stuck high</v>
      </c>
      <c r="C12" s="5">
        <f>FMECA!D13</f>
        <v>2.6666666666666668E-2</v>
      </c>
      <c r="D12" s="5">
        <f>FMECA!V13</f>
        <v>54</v>
      </c>
      <c r="E12" s="5">
        <f>FMECA!S13</f>
        <v>4092</v>
      </c>
      <c r="F12" s="5">
        <f>FMECA!W13</f>
        <v>51</v>
      </c>
      <c r="G12" s="5">
        <f>FMECA!X13</f>
        <v>57</v>
      </c>
      <c r="H12" s="5">
        <f>FMECA!T13</f>
        <v>4091</v>
      </c>
      <c r="I12" s="5">
        <f>FMECA!U13</f>
        <v>4095</v>
      </c>
      <c r="J12" s="5">
        <f>FMECA!Z13</f>
        <v>0</v>
      </c>
      <c r="K12" s="5">
        <f>FMECA!AA13</f>
        <v>1</v>
      </c>
      <c r="L12" s="5" t="str">
        <f>FMECA!H13</f>
        <v>Safe</v>
      </c>
      <c r="M12" s="5" t="str">
        <f>FMECA!K13</f>
        <v>No</v>
      </c>
      <c r="N12" s="5" t="str">
        <f>FMECA!L13</f>
        <v>No</v>
      </c>
      <c r="O12" s="5" t="str">
        <f>FMECA!AC13</f>
        <v>CM0: If a second fault occurs, the effects of the second fault prevail.</v>
      </c>
    </row>
    <row r="13" spans="1:15" ht="60">
      <c r="A13" s="5" t="str">
        <f>FMECA!A14</f>
        <v>UC_Diag</v>
      </c>
      <c r="B13" s="55" t="str">
        <f>FMECA!B14</f>
        <v>Input 'Anal_In1' open</v>
      </c>
      <c r="C13" s="5">
        <f>FMECA!D14</f>
        <v>0.12</v>
      </c>
      <c r="D13" s="5">
        <f>FMECA!V14</f>
        <v>194</v>
      </c>
      <c r="E13" s="5">
        <f>FMECA!S14</f>
        <v>191</v>
      </c>
      <c r="F13" s="5">
        <f>FMECA!W14</f>
        <v>120</v>
      </c>
      <c r="G13" s="5">
        <f>FMECA!X14</f>
        <v>315</v>
      </c>
      <c r="H13" s="5">
        <f>FMECA!T14</f>
        <v>191</v>
      </c>
      <c r="I13" s="5">
        <f>FMECA!U14</f>
        <v>191</v>
      </c>
      <c r="J13" s="5">
        <f>FMECA!Z14</f>
        <v>0</v>
      </c>
      <c r="K13" s="5">
        <f>FMECA!AA14</f>
        <v>1</v>
      </c>
      <c r="L13" s="5" t="str">
        <f>FMECA!H14</f>
        <v>Safe</v>
      </c>
      <c r="M13" s="5" t="str">
        <f>FMECA!K14</f>
        <v>Yes</v>
      </c>
      <c r="N13" s="5" t="str">
        <f>FMECA!L14</f>
        <v>No</v>
      </c>
      <c r="O13" s="5" t="str">
        <f>FMECA!AC14</f>
        <v>Not applicable. Assumed that only undetectable faults will be classified onto a 'multiple faults class of equivalence'.</v>
      </c>
    </row>
    <row r="14" spans="1:15" ht="90">
      <c r="A14" s="5" t="str">
        <f>FMECA!A15</f>
        <v>UC_Diag</v>
      </c>
      <c r="B14" s="55" t="str">
        <f>FMECA!B15</f>
        <v>Input 'Dig_In1' open</v>
      </c>
      <c r="C14" s="5">
        <f>FMECA!D15</f>
        <v>0.12</v>
      </c>
      <c r="D14" s="5">
        <f>FMECA!V15</f>
        <v>54</v>
      </c>
      <c r="E14" s="5">
        <f>FMECA!S15</f>
        <v>4092</v>
      </c>
      <c r="F14" s="5">
        <f>FMECA!W15</f>
        <v>51</v>
      </c>
      <c r="G14" s="5">
        <f>FMECA!X15</f>
        <v>57</v>
      </c>
      <c r="H14" s="5">
        <f>FMECA!T15</f>
        <v>4091</v>
      </c>
      <c r="I14" s="5">
        <f>FMECA!U15</f>
        <v>4095</v>
      </c>
      <c r="J14" s="5">
        <f>FMECA!Z15</f>
        <v>0</v>
      </c>
      <c r="K14" s="5">
        <f>FMECA!AA15</f>
        <v>1</v>
      </c>
      <c r="L14" s="5" t="str">
        <f>FMECA!H15</f>
        <v>Safe</v>
      </c>
      <c r="M14" s="5" t="str">
        <f>FMECA!K15</f>
        <v>No</v>
      </c>
      <c r="N14" s="5" t="str">
        <f>FMECA!L15</f>
        <v>No</v>
      </c>
      <c r="O14" s="5" t="str">
        <f>FMECA!AC15</f>
        <v>CM1: If this fault occurs,  Keep_Power_Readback will always be considered correct (worst case), and Fuse_Result will be extracted from the second fault.</v>
      </c>
    </row>
    <row r="15" spans="1:15" ht="45">
      <c r="A15" s="5" t="str">
        <f>FMECA!A16</f>
        <v>Flash_Diag</v>
      </c>
      <c r="B15" s="55" t="str">
        <f>FMECA!B16</f>
        <v>Data bit loss</v>
      </c>
      <c r="C15" s="5">
        <f>FMECA!D16</f>
        <v>0.34</v>
      </c>
      <c r="D15" s="5">
        <f>FMECA!V16</f>
        <v>54</v>
      </c>
      <c r="E15" s="5">
        <f>FMECA!S16</f>
        <v>4092</v>
      </c>
      <c r="F15" s="5">
        <f>FMECA!W16</f>
        <v>51</v>
      </c>
      <c r="G15" s="5">
        <f>FMECA!X16</f>
        <v>57</v>
      </c>
      <c r="H15" s="5">
        <f>FMECA!T16</f>
        <v>4091</v>
      </c>
      <c r="I15" s="5">
        <f>FMECA!U16</f>
        <v>4095</v>
      </c>
      <c r="J15" s="5">
        <f>FMECA!Z16</f>
        <v>0</v>
      </c>
      <c r="K15" s="5">
        <f>FMECA!AA16</f>
        <v>1</v>
      </c>
      <c r="L15" s="5" t="str">
        <f>FMECA!H16</f>
        <v>Safe</v>
      </c>
      <c r="M15" s="5" t="str">
        <f>FMECA!K16</f>
        <v>No</v>
      </c>
      <c r="N15" s="5" t="str">
        <f>FMECA!L16</f>
        <v>No</v>
      </c>
      <c r="O15" s="5" t="str">
        <f>FMECA!AC16</f>
        <v>CM0: If a second fault occurs, the effects of the second fault prevail.</v>
      </c>
    </row>
    <row r="16" spans="1:15" ht="45">
      <c r="A16" s="5" t="str">
        <f>FMECA!A17</f>
        <v>Flash_Diag</v>
      </c>
      <c r="B16" s="55" t="str">
        <f>FMECA!B17</f>
        <v>Slow transfer of data</v>
      </c>
      <c r="C16" s="5">
        <f>FMECA!D17</f>
        <v>0.17</v>
      </c>
      <c r="D16" s="5">
        <f>FMECA!V17</f>
        <v>54</v>
      </c>
      <c r="E16" s="5">
        <f>FMECA!S17</f>
        <v>4092</v>
      </c>
      <c r="F16" s="5">
        <f>FMECA!W17</f>
        <v>51</v>
      </c>
      <c r="G16" s="5">
        <f>FMECA!X17</f>
        <v>57</v>
      </c>
      <c r="H16" s="5">
        <f>FMECA!T17</f>
        <v>4091</v>
      </c>
      <c r="I16" s="5">
        <f>FMECA!U17</f>
        <v>4095</v>
      </c>
      <c r="J16" s="5">
        <f>FMECA!Z17</f>
        <v>0</v>
      </c>
      <c r="K16" s="5">
        <f>FMECA!AA17</f>
        <v>1</v>
      </c>
      <c r="L16" s="5" t="str">
        <f>FMECA!H17</f>
        <v>Safe</v>
      </c>
      <c r="M16" s="5" t="str">
        <f>FMECA!K17</f>
        <v>No</v>
      </c>
      <c r="N16" s="5" t="str">
        <f>FMECA!L17</f>
        <v>No</v>
      </c>
      <c r="O16" s="5" t="str">
        <f>FMECA!AC17</f>
        <v>CM0: If a second fault occurs, the effects of the second fault prevail.</v>
      </c>
    </row>
    <row r="17" spans="1:15" ht="45">
      <c r="A17" s="5" t="str">
        <f>FMECA!A18</f>
        <v>Flash_Diag</v>
      </c>
      <c r="B17" s="55" t="str">
        <f>FMECA!B18</f>
        <v>Open</v>
      </c>
      <c r="C17" s="5">
        <f>FMECA!D18</f>
        <v>0.23</v>
      </c>
      <c r="D17" s="5">
        <f>FMECA!V18</f>
        <v>54</v>
      </c>
      <c r="E17" s="5">
        <f>FMECA!S18</f>
        <v>4092</v>
      </c>
      <c r="F17" s="5">
        <f>FMECA!W18</f>
        <v>51</v>
      </c>
      <c r="G17" s="5">
        <f>FMECA!X18</f>
        <v>57</v>
      </c>
      <c r="H17" s="5">
        <f>FMECA!T18</f>
        <v>4091</v>
      </c>
      <c r="I17" s="5">
        <f>FMECA!U18</f>
        <v>4095</v>
      </c>
      <c r="J17" s="5">
        <f>FMECA!Z18</f>
        <v>0</v>
      </c>
      <c r="K17" s="5">
        <f>FMECA!AA18</f>
        <v>1</v>
      </c>
      <c r="L17" s="5" t="str">
        <f>FMECA!H18</f>
        <v>Safe</v>
      </c>
      <c r="M17" s="5" t="str">
        <f>FMECA!K18</f>
        <v>No</v>
      </c>
      <c r="N17" s="5" t="str">
        <f>FMECA!L18</f>
        <v>No</v>
      </c>
      <c r="O17" s="5" t="str">
        <f>FMECA!AC18</f>
        <v>CM0: If a second fault occurs, the effects of the second fault prevail.</v>
      </c>
    </row>
    <row r="18" spans="1:15" ht="45">
      <c r="A18" s="5" t="str">
        <f>FMECA!A19</f>
        <v>Flash_Diag</v>
      </c>
      <c r="B18" s="55" t="str">
        <f>FMECA!B19</f>
        <v>Short-circuit</v>
      </c>
      <c r="C18" s="5">
        <f>FMECA!D19</f>
        <v>0.26</v>
      </c>
      <c r="D18" s="5">
        <f>FMECA!V19</f>
        <v>54</v>
      </c>
      <c r="E18" s="5">
        <f>FMECA!S19</f>
        <v>4092</v>
      </c>
      <c r="F18" s="5">
        <f>FMECA!W19</f>
        <v>51</v>
      </c>
      <c r="G18" s="5">
        <f>FMECA!X19</f>
        <v>57</v>
      </c>
      <c r="H18" s="5">
        <f>FMECA!T19</f>
        <v>4091</v>
      </c>
      <c r="I18" s="5">
        <f>FMECA!U19</f>
        <v>4095</v>
      </c>
      <c r="J18" s="5">
        <f>FMECA!Z19</f>
        <v>0</v>
      </c>
      <c r="K18" s="5">
        <f>FMECA!AA19</f>
        <v>1</v>
      </c>
      <c r="L18" s="5" t="str">
        <f>FMECA!H19</f>
        <v>Safe</v>
      </c>
      <c r="M18" s="5" t="str">
        <f>FMECA!K19</f>
        <v>No</v>
      </c>
      <c r="N18" s="5" t="str">
        <f>FMECA!L19</f>
        <v>No</v>
      </c>
      <c r="O18" s="5" t="str">
        <f>FMECA!AC19</f>
        <v>CM0: If a second fault occurs, the effects of the second fault prevail.</v>
      </c>
    </row>
    <row r="19" spans="1:15" ht="60">
      <c r="A19" s="5" t="str">
        <f>FMECA!A20</f>
        <v>R1_Diag</v>
      </c>
      <c r="B19" s="55" t="str">
        <f>FMECA!B20</f>
        <v>Open</v>
      </c>
      <c r="C19" s="5">
        <f>FMECA!D20</f>
        <v>0.59</v>
      </c>
      <c r="D19" s="5">
        <f>FMECA!V20</f>
        <v>54</v>
      </c>
      <c r="E19" s="5">
        <f>FMECA!S20</f>
        <v>4092</v>
      </c>
      <c r="F19" s="5">
        <f>FMECA!W20</f>
        <v>51</v>
      </c>
      <c r="G19" s="5">
        <f>FMECA!X20</f>
        <v>57</v>
      </c>
      <c r="H19" s="5">
        <f>FMECA!T20</f>
        <v>4091</v>
      </c>
      <c r="I19" s="5">
        <f>FMECA!U20</f>
        <v>4095</v>
      </c>
      <c r="J19" s="5">
        <f>FMECA!Z20</f>
        <v>1</v>
      </c>
      <c r="K19" s="5">
        <f>FMECA!AA20</f>
        <v>1</v>
      </c>
      <c r="L19" s="5" t="str">
        <f>FMECA!H20</f>
        <v>Safe</v>
      </c>
      <c r="M19" s="5" t="str">
        <f>FMECA!K20</f>
        <v>No</v>
      </c>
      <c r="N19" s="5" t="str">
        <f>FMECA!L20</f>
        <v>Yes</v>
      </c>
      <c r="O19" s="5" t="str">
        <f>FMECA!AC20</f>
        <v>Not applicable. Assumed that only undetectable faults will be classified onto a 'multiple faults class of equivalence'.</v>
      </c>
    </row>
    <row r="20" spans="1:15" ht="60">
      <c r="A20" s="5" t="str">
        <f>FMECA!A21</f>
        <v>R1_Diag</v>
      </c>
      <c r="B20" s="55" t="str">
        <f>FMECA!B21</f>
        <v>Short-Circuit</v>
      </c>
      <c r="C20" s="5">
        <f>FMECA!D21</f>
        <v>0.05</v>
      </c>
      <c r="D20" s="5">
        <f>FMECA!V21</f>
        <v>54</v>
      </c>
      <c r="E20" s="5">
        <f>FMECA!S21</f>
        <v>4092</v>
      </c>
      <c r="F20" s="5">
        <f>FMECA!W21</f>
        <v>51</v>
      </c>
      <c r="G20" s="5">
        <f>FMECA!X21</f>
        <v>57</v>
      </c>
      <c r="H20" s="5">
        <f>FMECA!T21</f>
        <v>4091</v>
      </c>
      <c r="I20" s="5">
        <f>FMECA!U21</f>
        <v>4095</v>
      </c>
      <c r="J20" s="5">
        <f>FMECA!Z21</f>
        <v>1</v>
      </c>
      <c r="K20" s="5">
        <f>FMECA!AA21</f>
        <v>1</v>
      </c>
      <c r="L20" s="5" t="str">
        <f>FMECA!H21</f>
        <v>Safe</v>
      </c>
      <c r="M20" s="5" t="str">
        <f>FMECA!K21</f>
        <v>No</v>
      </c>
      <c r="N20" s="5" t="str">
        <f>FMECA!L21</f>
        <v>Yes</v>
      </c>
      <c r="O20" s="5" t="str">
        <f>FMECA!AC21</f>
        <v>Not applicable. Assumed that only undetectable faults will be classified onto a 'multiple faults class of equivalence'.</v>
      </c>
    </row>
    <row r="21" spans="1:15" ht="60">
      <c r="A21" s="5" t="str">
        <f>FMECA!A22</f>
        <v>R1_Diag</v>
      </c>
      <c r="B21" s="55" t="str">
        <f>FMECA!B22</f>
        <v>Increase of Resistance Value</v>
      </c>
      <c r="C21" s="5">
        <f>FMECA!D22</f>
        <v>0.18</v>
      </c>
      <c r="D21" s="5">
        <f>FMECA!V22</f>
        <v>54</v>
      </c>
      <c r="E21" s="5">
        <f>FMECA!S22</f>
        <v>4092</v>
      </c>
      <c r="F21" s="5">
        <f>FMECA!W22</f>
        <v>51</v>
      </c>
      <c r="G21" s="5">
        <f>FMECA!X22</f>
        <v>57</v>
      </c>
      <c r="H21" s="5">
        <f>FMECA!T22</f>
        <v>4091</v>
      </c>
      <c r="I21" s="5">
        <f>FMECA!U22</f>
        <v>4095</v>
      </c>
      <c r="J21" s="5">
        <f>FMECA!Z22</f>
        <v>1</v>
      </c>
      <c r="K21" s="5">
        <f>FMECA!AA22</f>
        <v>1</v>
      </c>
      <c r="L21" s="5" t="str">
        <f>FMECA!H22</f>
        <v>Safe</v>
      </c>
      <c r="M21" s="5" t="str">
        <f>FMECA!K22</f>
        <v>No</v>
      </c>
      <c r="N21" s="5" t="str">
        <f>FMECA!L22</f>
        <v>Yes</v>
      </c>
      <c r="O21" s="5" t="str">
        <f>FMECA!AC22</f>
        <v>Not applicable. Assumed that only undetectable faults will be classified onto a 'multiple faults class of equivalence'.</v>
      </c>
    </row>
    <row r="22" spans="1:15" ht="60">
      <c r="A22" s="5" t="str">
        <f>FMECA!A23</f>
        <v>R1_Diag</v>
      </c>
      <c r="B22" s="55" t="str">
        <f>FMECA!B23</f>
        <v>Decrease of Resistance Value</v>
      </c>
      <c r="C22" s="5">
        <f>FMECA!D23</f>
        <v>0.18</v>
      </c>
      <c r="D22" s="5">
        <f>FMECA!V23</f>
        <v>54</v>
      </c>
      <c r="E22" s="5">
        <f>FMECA!S23</f>
        <v>4092</v>
      </c>
      <c r="F22" s="5">
        <f>FMECA!W23</f>
        <v>51</v>
      </c>
      <c r="G22" s="5">
        <f>FMECA!X23</f>
        <v>57</v>
      </c>
      <c r="H22" s="5">
        <f>FMECA!T23</f>
        <v>4091</v>
      </c>
      <c r="I22" s="5">
        <f>FMECA!U23</f>
        <v>4095</v>
      </c>
      <c r="J22" s="5">
        <f>FMECA!Z23</f>
        <v>1</v>
      </c>
      <c r="K22" s="5">
        <f>FMECA!AA23</f>
        <v>1</v>
      </c>
      <c r="L22" s="5" t="str">
        <f>FMECA!H23</f>
        <v>Safe</v>
      </c>
      <c r="M22" s="5" t="str">
        <f>FMECA!K23</f>
        <v>No</v>
      </c>
      <c r="N22" s="5" t="str">
        <f>FMECA!L23</f>
        <v>Yes</v>
      </c>
      <c r="O22" s="5" t="str">
        <f>FMECA!AC23</f>
        <v>Not applicable. Assumed that only undetectable faults will be classified onto a 'multiple faults class of equivalence'.</v>
      </c>
    </row>
    <row r="23" spans="1:15" ht="60">
      <c r="A23" s="5" t="str">
        <f>FMECA!A24</f>
        <v>R1_Diag</v>
      </c>
      <c r="B23" s="55" t="str">
        <f>FMECA!B24</f>
        <v>Short-Circuit to Casing</v>
      </c>
      <c r="C23" s="5">
        <f>FMECA!D24</f>
        <v>0</v>
      </c>
      <c r="D23" s="5">
        <f>FMECA!V24</f>
        <v>54</v>
      </c>
      <c r="E23" s="5">
        <f>FMECA!S24</f>
        <v>4092</v>
      </c>
      <c r="F23" s="5">
        <f>FMECA!W24</f>
        <v>51</v>
      </c>
      <c r="G23" s="5">
        <f>FMECA!X24</f>
        <v>57</v>
      </c>
      <c r="H23" s="5">
        <f>FMECA!T24</f>
        <v>4091</v>
      </c>
      <c r="I23" s="5">
        <f>FMECA!U24</f>
        <v>4095</v>
      </c>
      <c r="J23" s="5">
        <f>FMECA!Z24</f>
        <v>0</v>
      </c>
      <c r="K23" s="5">
        <f>FMECA!AA24</f>
        <v>1</v>
      </c>
      <c r="L23" s="5" t="str">
        <f>FMECA!H24</f>
        <v>Safe</v>
      </c>
      <c r="M23" s="5" t="str">
        <f>FMECA!K24</f>
        <v>No; impactless.</v>
      </c>
      <c r="N23" s="5" t="str">
        <f>FMECA!L24</f>
        <v>No; impactless.</v>
      </c>
      <c r="O23" s="5" t="str">
        <f>FMECA!AC24</f>
        <v>Not applicable. Assumed that only undetectable faults will be classified onto a 'multiple faults class of equivalence'.</v>
      </c>
    </row>
    <row r="24" spans="1:15" ht="60">
      <c r="A24" s="5" t="str">
        <f>FMECA!A25</f>
        <v>OC_Diag</v>
      </c>
      <c r="B24" s="55" t="str">
        <f>FMECA!B25</f>
        <v>Open diode</v>
      </c>
      <c r="C24" s="5">
        <f>FMECA!D25</f>
        <v>8.3333329999999997E-2</v>
      </c>
      <c r="D24" s="5">
        <f>FMECA!V25</f>
        <v>54</v>
      </c>
      <c r="E24" s="5">
        <f>FMECA!S25</f>
        <v>4092</v>
      </c>
      <c r="F24" s="5">
        <f>FMECA!W25</f>
        <v>51</v>
      </c>
      <c r="G24" s="5">
        <f>FMECA!X25</f>
        <v>57</v>
      </c>
      <c r="H24" s="5">
        <f>FMECA!T25</f>
        <v>4091</v>
      </c>
      <c r="I24" s="5">
        <f>FMECA!U25</f>
        <v>4095</v>
      </c>
      <c r="J24" s="5">
        <f>FMECA!Z25</f>
        <v>1</v>
      </c>
      <c r="K24" s="5">
        <f>FMECA!AA25</f>
        <v>1</v>
      </c>
      <c r="L24" s="5" t="str">
        <f>FMECA!H25</f>
        <v>Safe</v>
      </c>
      <c r="M24" s="5" t="str">
        <f>FMECA!K25</f>
        <v>No</v>
      </c>
      <c r="N24" s="5" t="str">
        <f>FMECA!L25</f>
        <v>Yes</v>
      </c>
      <c r="O24" s="5" t="str">
        <f>FMECA!AC25</f>
        <v>Not applicable. Assumed that only undetectable faults will be classified onto a 'multiple faults class of equivalence'.</v>
      </c>
    </row>
    <row r="25" spans="1:15" ht="60">
      <c r="A25" s="5" t="str">
        <f>FMECA!A26</f>
        <v>OC_Diag</v>
      </c>
      <c r="B25" s="55" t="str">
        <f>FMECA!B26</f>
        <v>Open emitter</v>
      </c>
      <c r="C25" s="5">
        <f>FMECA!D26</f>
        <v>8.3333329999999997E-2</v>
      </c>
      <c r="D25" s="5">
        <f>FMECA!V26</f>
        <v>54</v>
      </c>
      <c r="E25" s="5">
        <f>FMECA!S26</f>
        <v>4092</v>
      </c>
      <c r="F25" s="5">
        <f>FMECA!W26</f>
        <v>51</v>
      </c>
      <c r="G25" s="5">
        <f>FMECA!X26</f>
        <v>57</v>
      </c>
      <c r="H25" s="5">
        <f>FMECA!T26</f>
        <v>4091</v>
      </c>
      <c r="I25" s="5">
        <f>FMECA!U26</f>
        <v>4095</v>
      </c>
      <c r="J25" s="5">
        <f>FMECA!Z26</f>
        <v>1</v>
      </c>
      <c r="K25" s="5">
        <f>FMECA!AA26</f>
        <v>1</v>
      </c>
      <c r="L25" s="5" t="str">
        <f>FMECA!H26</f>
        <v>Safe</v>
      </c>
      <c r="M25" s="5" t="str">
        <f>FMECA!K26</f>
        <v>No</v>
      </c>
      <c r="N25" s="5" t="str">
        <f>FMECA!L26</f>
        <v>Yes</v>
      </c>
      <c r="O25" s="5" t="str">
        <f>FMECA!AC26</f>
        <v>Not applicable. Assumed that only undetectable faults will be classified onto a 'multiple faults class of equivalence'.</v>
      </c>
    </row>
    <row r="26" spans="1:15" ht="60">
      <c r="A26" s="5" t="str">
        <f>FMECA!A27</f>
        <v>OC_Diag</v>
      </c>
      <c r="B26" s="55" t="str">
        <f>FMECA!B27</f>
        <v>Open collector</v>
      </c>
      <c r="C26" s="5">
        <f>FMECA!D27</f>
        <v>8.3333329999999997E-2</v>
      </c>
      <c r="D26" s="5">
        <f>FMECA!V27</f>
        <v>54</v>
      </c>
      <c r="E26" s="5">
        <f>FMECA!S27</f>
        <v>4092</v>
      </c>
      <c r="F26" s="5">
        <f>FMECA!W27</f>
        <v>51</v>
      </c>
      <c r="G26" s="5">
        <f>FMECA!X27</f>
        <v>57</v>
      </c>
      <c r="H26" s="5">
        <f>FMECA!T27</f>
        <v>4091</v>
      </c>
      <c r="I26" s="5">
        <f>FMECA!U27</f>
        <v>4095</v>
      </c>
      <c r="J26" s="5">
        <f>FMECA!Z27</f>
        <v>1</v>
      </c>
      <c r="K26" s="5">
        <f>FMECA!AA27</f>
        <v>1</v>
      </c>
      <c r="L26" s="5" t="str">
        <f>FMECA!H27</f>
        <v>Safe</v>
      </c>
      <c r="M26" s="5" t="str">
        <f>FMECA!K27</f>
        <v>No</v>
      </c>
      <c r="N26" s="5" t="str">
        <f>FMECA!L27</f>
        <v>Yes</v>
      </c>
      <c r="O26" s="5" t="str">
        <f>FMECA!AC27</f>
        <v>Not applicable. Assumed that only undetectable faults will be classified onto a 'multiple faults class of equivalence'.</v>
      </c>
    </row>
    <row r="27" spans="1:15" ht="60">
      <c r="A27" s="5" t="str">
        <f>FMECA!A28</f>
        <v>OC_Diag</v>
      </c>
      <c r="B27" s="55" t="str">
        <f>FMECA!B28</f>
        <v>Open base</v>
      </c>
      <c r="C27" s="5">
        <f>FMECA!D28</f>
        <v>8.3333329999999997E-2</v>
      </c>
      <c r="D27" s="5">
        <f>FMECA!V28</f>
        <v>54</v>
      </c>
      <c r="E27" s="5">
        <f>FMECA!S28</f>
        <v>4092</v>
      </c>
      <c r="F27" s="5">
        <f>FMECA!W28</f>
        <v>51</v>
      </c>
      <c r="G27" s="5">
        <f>FMECA!X28</f>
        <v>57</v>
      </c>
      <c r="H27" s="5">
        <f>FMECA!T28</f>
        <v>4091</v>
      </c>
      <c r="I27" s="5">
        <f>FMECA!U28</f>
        <v>4095</v>
      </c>
      <c r="J27" s="5">
        <f>FMECA!Z28</f>
        <v>0</v>
      </c>
      <c r="K27" s="5">
        <f>FMECA!AA28</f>
        <v>1</v>
      </c>
      <c r="L27" s="5" t="str">
        <f>FMECA!H28</f>
        <v>Safe</v>
      </c>
      <c r="M27" s="5" t="str">
        <f>FMECA!K28</f>
        <v>No; impactless.</v>
      </c>
      <c r="N27" s="5" t="str">
        <f>FMECA!L28</f>
        <v>No; impactless.</v>
      </c>
      <c r="O27" s="5" t="str">
        <f>FMECA!AC28</f>
        <v>Not applicable. Assumed that only undetectable faults will be classified onto a 'multiple faults class of equivalence'.</v>
      </c>
    </row>
    <row r="28" spans="1:15" ht="60">
      <c r="A28" s="5" t="str">
        <f>FMECA!A29</f>
        <v>OC_Diag</v>
      </c>
      <c r="B28" s="55" t="str">
        <f>FMECA!B29</f>
        <v>Increase of light sensitivity</v>
      </c>
      <c r="C28" s="5">
        <f>FMECA!D29</f>
        <v>8.3333329999999997E-2</v>
      </c>
      <c r="D28" s="5">
        <f>FMECA!V29</f>
        <v>54</v>
      </c>
      <c r="E28" s="5">
        <f>FMECA!S29</f>
        <v>4092</v>
      </c>
      <c r="F28" s="5">
        <f>FMECA!W29</f>
        <v>51</v>
      </c>
      <c r="G28" s="5">
        <f>FMECA!X29</f>
        <v>57</v>
      </c>
      <c r="H28" s="5">
        <f>FMECA!T29</f>
        <v>4091</v>
      </c>
      <c r="I28" s="5">
        <f>FMECA!U29</f>
        <v>4095</v>
      </c>
      <c r="J28" s="5">
        <f>FMECA!Z29</f>
        <v>0</v>
      </c>
      <c r="K28" s="5">
        <f>FMECA!AA29</f>
        <v>1</v>
      </c>
      <c r="L28" s="5" t="str">
        <f>FMECA!H29</f>
        <v>Safe</v>
      </c>
      <c r="M28" s="5" t="str">
        <f>FMECA!K29</f>
        <v>No; impactless.</v>
      </c>
      <c r="N28" s="5" t="str">
        <f>FMECA!L29</f>
        <v>No; impactless.</v>
      </c>
      <c r="O28" s="5" t="str">
        <f>FMECA!AC29</f>
        <v>Not applicable. Assumed that only undetectable faults will be classified onto a 'multiple faults class of equivalence'.</v>
      </c>
    </row>
    <row r="29" spans="1:15" ht="60">
      <c r="A29" s="5" t="str">
        <f>FMECA!A30</f>
        <v>OC_Diag</v>
      </c>
      <c r="B29" s="55" t="str">
        <f>FMECA!B30</f>
        <v>Decrease of light sensitivity</v>
      </c>
      <c r="C29" s="5">
        <f>FMECA!D30</f>
        <v>8.3333329999999997E-2</v>
      </c>
      <c r="D29" s="5">
        <f>FMECA!V30</f>
        <v>54</v>
      </c>
      <c r="E29" s="5">
        <f>FMECA!S30</f>
        <v>4092</v>
      </c>
      <c r="F29" s="5">
        <f>FMECA!W30</f>
        <v>51</v>
      </c>
      <c r="G29" s="5">
        <f>FMECA!X30</f>
        <v>57</v>
      </c>
      <c r="H29" s="5">
        <f>FMECA!T30</f>
        <v>4091</v>
      </c>
      <c r="I29" s="5">
        <f>FMECA!U30</f>
        <v>4095</v>
      </c>
      <c r="J29" s="5">
        <f>FMECA!Z30</f>
        <v>1</v>
      </c>
      <c r="K29" s="5">
        <f>FMECA!AA30</f>
        <v>1</v>
      </c>
      <c r="L29" s="5" t="str">
        <f>FMECA!H30</f>
        <v>Safe</v>
      </c>
      <c r="M29" s="5" t="str">
        <f>FMECA!K30</f>
        <v>No</v>
      </c>
      <c r="N29" s="5" t="str">
        <f>FMECA!L30</f>
        <v>Yes</v>
      </c>
      <c r="O29" s="5" t="str">
        <f>FMECA!AC30</f>
        <v>Not applicable. Assumed that only undetectable faults will be classified onto a 'multiple faults class of equivalence'.</v>
      </c>
    </row>
    <row r="30" spans="1:15" ht="60">
      <c r="A30" s="5" t="str">
        <f>FMECA!A31</f>
        <v>OC_Diag</v>
      </c>
      <c r="B30" s="55" t="str">
        <f>FMECA!B31</f>
        <v>Increase of leakage current</v>
      </c>
      <c r="C30" s="5">
        <f>FMECA!D31</f>
        <v>0.125</v>
      </c>
      <c r="D30" s="5">
        <f>FMECA!V31</f>
        <v>54</v>
      </c>
      <c r="E30" s="5">
        <f>FMECA!S31</f>
        <v>4092</v>
      </c>
      <c r="F30" s="5">
        <f>FMECA!W31</f>
        <v>51</v>
      </c>
      <c r="G30" s="5">
        <f>FMECA!X31</f>
        <v>57</v>
      </c>
      <c r="H30" s="5">
        <f>FMECA!T31</f>
        <v>4091</v>
      </c>
      <c r="I30" s="5">
        <f>FMECA!U31</f>
        <v>4095</v>
      </c>
      <c r="J30" s="5">
        <f>FMECA!Z31</f>
        <v>1</v>
      </c>
      <c r="K30" s="5">
        <f>FMECA!AA31</f>
        <v>1</v>
      </c>
      <c r="L30" s="5" t="str">
        <f>FMECA!H31</f>
        <v>Safe</v>
      </c>
      <c r="M30" s="5" t="str">
        <f>FMECA!K31</f>
        <v>No</v>
      </c>
      <c r="N30" s="5" t="str">
        <f>FMECA!L31</f>
        <v>Yes</v>
      </c>
      <c r="O30" s="5" t="str">
        <f>FMECA!AC31</f>
        <v>Not applicable. Assumed that only undetectable faults will be classified onto a 'multiple faults class of equivalence'.</v>
      </c>
    </row>
    <row r="31" spans="1:15" ht="90">
      <c r="A31" s="5" t="str">
        <f>FMECA!A32</f>
        <v>OC_Diag</v>
      </c>
      <c r="B31" s="55" t="str">
        <f>FMECA!B32</f>
        <v>Reduced insulation between input and output</v>
      </c>
      <c r="C31" s="5">
        <f>FMECA!D32</f>
        <v>0.125</v>
      </c>
      <c r="D31" s="5">
        <f>FMECA!V32</f>
        <v>54</v>
      </c>
      <c r="E31" s="5">
        <f>FMECA!S32</f>
        <v>4092</v>
      </c>
      <c r="F31" s="5">
        <f>FMECA!W32</f>
        <v>51</v>
      </c>
      <c r="G31" s="5">
        <f>FMECA!X32</f>
        <v>57</v>
      </c>
      <c r="H31" s="5">
        <f>FMECA!T32</f>
        <v>4091</v>
      </c>
      <c r="I31" s="5">
        <f>FMECA!U32</f>
        <v>4095</v>
      </c>
      <c r="J31" s="5">
        <f>FMECA!Z32</f>
        <v>0</v>
      </c>
      <c r="K31" s="5">
        <f>FMECA!AA32</f>
        <v>1</v>
      </c>
      <c r="L31" s="5" t="str">
        <f>FMECA!H32</f>
        <v>Safe</v>
      </c>
      <c r="M31" s="5" t="str">
        <f>FMECA!K32</f>
        <v>No</v>
      </c>
      <c r="N31" s="5" t="str">
        <f>FMECA!L32</f>
        <v>No</v>
      </c>
      <c r="O31" s="5" t="str">
        <f>FMECA!AC32</f>
        <v>CM1: If this fault occurs,  Keep_Power_Readback will always be considered correct (worst case), and Fuse_Result will be extracted from the second fault.</v>
      </c>
    </row>
    <row r="32" spans="1:15" ht="90">
      <c r="A32" s="5" t="str">
        <f>FMECA!A33</f>
        <v>OC_Diag</v>
      </c>
      <c r="B32" s="55" t="str">
        <f>FMECA!B33</f>
        <v>Change on switching time</v>
      </c>
      <c r="C32" s="5">
        <f>FMECA!D33</f>
        <v>8.3333329999999997E-2</v>
      </c>
      <c r="D32" s="5">
        <f>FMECA!V33</f>
        <v>54</v>
      </c>
      <c r="E32" s="5">
        <f>FMECA!S33</f>
        <v>4092</v>
      </c>
      <c r="F32" s="5">
        <f>FMECA!W33</f>
        <v>51</v>
      </c>
      <c r="G32" s="5">
        <f>FMECA!X33</f>
        <v>57</v>
      </c>
      <c r="H32" s="5">
        <f>FMECA!T33</f>
        <v>4091</v>
      </c>
      <c r="I32" s="5">
        <f>FMECA!U33</f>
        <v>4095</v>
      </c>
      <c r="J32" s="5">
        <f>FMECA!Z33</f>
        <v>1</v>
      </c>
      <c r="K32" s="5">
        <f>FMECA!AA33</f>
        <v>0</v>
      </c>
      <c r="L32" s="5" t="str">
        <f>FMECA!H33</f>
        <v>Safe</v>
      </c>
      <c r="M32" s="5" t="str">
        <f>FMECA!K33</f>
        <v>No</v>
      </c>
      <c r="N32" s="5" t="str">
        <f>FMECA!L33</f>
        <v>No</v>
      </c>
      <c r="O32" s="5" t="str">
        <f>FMECA!AC33</f>
        <v>CM1: If this fault occurs,  Keep_Power_Readback will always be considered correct (worst case), and Fuse_Result will be extracted from the second fault.</v>
      </c>
    </row>
    <row r="33" spans="1:15" ht="60">
      <c r="A33" s="5" t="str">
        <f>FMECA!A34</f>
        <v>OC_Diag</v>
      </c>
      <c r="B33" s="55" t="str">
        <f>FMECA!B34</f>
        <v>Increase of current gain</v>
      </c>
      <c r="C33" s="5">
        <f>FMECA!D34</f>
        <v>8.3333329999999997E-2</v>
      </c>
      <c r="D33" s="5">
        <f>FMECA!V34</f>
        <v>54</v>
      </c>
      <c r="E33" s="5">
        <f>FMECA!S34</f>
        <v>4092</v>
      </c>
      <c r="F33" s="5">
        <f>FMECA!W34</f>
        <v>51</v>
      </c>
      <c r="G33" s="5">
        <f>FMECA!X34</f>
        <v>57</v>
      </c>
      <c r="H33" s="5">
        <f>FMECA!T34</f>
        <v>4091</v>
      </c>
      <c r="I33" s="5">
        <f>FMECA!U34</f>
        <v>4095</v>
      </c>
      <c r="J33" s="5">
        <f>FMECA!Z34</f>
        <v>0</v>
      </c>
      <c r="K33" s="5">
        <f>FMECA!AA34</f>
        <v>1</v>
      </c>
      <c r="L33" s="5" t="str">
        <f>FMECA!H34</f>
        <v>Safe</v>
      </c>
      <c r="M33" s="5" t="str">
        <f>FMECA!K34</f>
        <v>No; impactless.</v>
      </c>
      <c r="N33" s="5" t="str">
        <f>FMECA!L34</f>
        <v>No; impactless.</v>
      </c>
      <c r="O33" s="5" t="str">
        <f>FMECA!AC34</f>
        <v>Not applicable. Assumed that only undetectable faults will be classified onto a 'multiple faults class of equivalence'.</v>
      </c>
    </row>
    <row r="34" spans="1:15" ht="60">
      <c r="A34" s="5" t="str">
        <f>FMECA!A35</f>
        <v>OC_Diag</v>
      </c>
      <c r="B34" s="55" t="str">
        <f>FMECA!B35</f>
        <v>Decrease of current gain</v>
      </c>
      <c r="C34" s="5">
        <f>FMECA!D35</f>
        <v>8.3333329999999997E-2</v>
      </c>
      <c r="D34" s="5">
        <f>FMECA!V35</f>
        <v>54</v>
      </c>
      <c r="E34" s="5">
        <f>FMECA!S35</f>
        <v>4092</v>
      </c>
      <c r="F34" s="5">
        <f>FMECA!W35</f>
        <v>51</v>
      </c>
      <c r="G34" s="5">
        <f>FMECA!X35</f>
        <v>57</v>
      </c>
      <c r="H34" s="5">
        <f>FMECA!T35</f>
        <v>4091</v>
      </c>
      <c r="I34" s="5">
        <f>FMECA!U35</f>
        <v>4095</v>
      </c>
      <c r="J34" s="5">
        <f>FMECA!Z35</f>
        <v>1</v>
      </c>
      <c r="K34" s="5">
        <f>FMECA!AA35</f>
        <v>1</v>
      </c>
      <c r="L34" s="5" t="str">
        <f>FMECA!H35</f>
        <v>Safe</v>
      </c>
      <c r="M34" s="5" t="str">
        <f>FMECA!K35</f>
        <v>No</v>
      </c>
      <c r="N34" s="5" t="str">
        <f>FMECA!L35</f>
        <v>Yes</v>
      </c>
      <c r="O34" s="5" t="str">
        <f>FMECA!AC35</f>
        <v>Not applicable. Assumed that only undetectable faults will be classified onto a 'multiple faults class of equivalence'.</v>
      </c>
    </row>
    <row r="35" spans="1:15" ht="90">
      <c r="A35" s="5" t="str">
        <f>FMECA!A36</f>
        <v>R2_Diag</v>
      </c>
      <c r="B35" s="55" t="str">
        <f>FMECA!B36</f>
        <v>Open</v>
      </c>
      <c r="C35" s="5">
        <f>FMECA!D36</f>
        <v>0.59</v>
      </c>
      <c r="D35" s="5">
        <f>FMECA!V36</f>
        <v>54</v>
      </c>
      <c r="E35" s="5">
        <f>FMECA!S36</f>
        <v>4092</v>
      </c>
      <c r="F35" s="5">
        <f>FMECA!W36</f>
        <v>51</v>
      </c>
      <c r="G35" s="5">
        <f>FMECA!X36</f>
        <v>57</v>
      </c>
      <c r="H35" s="5">
        <f>FMECA!T36</f>
        <v>4091</v>
      </c>
      <c r="I35" s="5">
        <f>FMECA!U36</f>
        <v>4095</v>
      </c>
      <c r="J35" s="5">
        <f>FMECA!Z36</f>
        <v>0</v>
      </c>
      <c r="K35" s="5">
        <f>FMECA!AA36</f>
        <v>1</v>
      </c>
      <c r="L35" s="5" t="str">
        <f>FMECA!H36</f>
        <v>Safe</v>
      </c>
      <c r="M35" s="5" t="str">
        <f>FMECA!K36</f>
        <v>No</v>
      </c>
      <c r="N35" s="5" t="str">
        <f>FMECA!L36</f>
        <v>No</v>
      </c>
      <c r="O35" s="5" t="str">
        <f>FMECA!AC36</f>
        <v>CM1: If this fault occurs,  Keep_Power_Readback will always be considered correct (worst case), and Fuse_Result will be extracted from the second fault.</v>
      </c>
    </row>
    <row r="36" spans="1:15" ht="105">
      <c r="A36" s="5" t="str">
        <f>FMECA!A37</f>
        <v>R2_Diag</v>
      </c>
      <c r="B36" s="55" t="str">
        <f>FMECA!B37</f>
        <v>Short-Circuit</v>
      </c>
      <c r="C36" s="5">
        <f>FMECA!D37</f>
        <v>0.05</v>
      </c>
      <c r="D36" s="5">
        <f>FMECA!V37</f>
        <v>0</v>
      </c>
      <c r="E36" s="5">
        <f>FMECA!S37</f>
        <v>0</v>
      </c>
      <c r="F36" s="5">
        <f>FMECA!W37</f>
        <v>0</v>
      </c>
      <c r="G36" s="5">
        <f>FMECA!X37</f>
        <v>0</v>
      </c>
      <c r="H36" s="5">
        <f>FMECA!T37</f>
        <v>0</v>
      </c>
      <c r="I36" s="5">
        <f>FMECA!U37</f>
        <v>0</v>
      </c>
      <c r="J36" s="5">
        <f>FMECA!Z37</f>
        <v>1</v>
      </c>
      <c r="K36" s="5">
        <f>FMECA!AA37</f>
        <v>1</v>
      </c>
      <c r="L36" s="5" t="str">
        <f>FMECA!H37</f>
        <v>Safe</v>
      </c>
      <c r="M36" s="5" t="str">
        <f>FMECA!K37</f>
        <v>Outside the scope of the local channel, but it will be detected in the future (all outputs zeroed for the Fuse_Result test)</v>
      </c>
      <c r="N36" s="5" t="str">
        <f>FMECA!L37</f>
        <v>Yes</v>
      </c>
      <c r="O36" s="5" t="str">
        <f>FMECA!AC37</f>
        <v>Not applicable. Assumed that only undetectable faults will be classified onto a 'multiple faults class of equivalence'.</v>
      </c>
    </row>
    <row r="37" spans="1:15" ht="90">
      <c r="A37" s="5" t="str">
        <f>FMECA!A38</f>
        <v>R2_Diag</v>
      </c>
      <c r="B37" s="55" t="str">
        <f>FMECA!B38</f>
        <v>Increase of Resistance Value</v>
      </c>
      <c r="C37" s="5">
        <f>FMECA!D38</f>
        <v>0.18</v>
      </c>
      <c r="D37" s="5">
        <f>FMECA!V38</f>
        <v>54</v>
      </c>
      <c r="E37" s="5">
        <f>FMECA!S38</f>
        <v>4092</v>
      </c>
      <c r="F37" s="5">
        <f>FMECA!W38</f>
        <v>51</v>
      </c>
      <c r="G37" s="5">
        <f>FMECA!X38</f>
        <v>57</v>
      </c>
      <c r="H37" s="5">
        <f>FMECA!T38</f>
        <v>4091</v>
      </c>
      <c r="I37" s="5">
        <f>FMECA!U38</f>
        <v>4095</v>
      </c>
      <c r="J37" s="5">
        <f>FMECA!Z38</f>
        <v>0</v>
      </c>
      <c r="K37" s="5">
        <f>FMECA!AA38</f>
        <v>1</v>
      </c>
      <c r="L37" s="5" t="str">
        <f>FMECA!H38</f>
        <v>Safe</v>
      </c>
      <c r="M37" s="5" t="str">
        <f>FMECA!K38</f>
        <v>No</v>
      </c>
      <c r="N37" s="5" t="str">
        <f>FMECA!L38</f>
        <v>No</v>
      </c>
      <c r="O37" s="5" t="str">
        <f>FMECA!AC38</f>
        <v>CM1: If this fault occurs,  Keep_Power_Readback will always be considered correct (worst case), and Fuse_Result will be extracted from the second fault.</v>
      </c>
    </row>
    <row r="38" spans="1:15" ht="105">
      <c r="A38" s="5" t="str">
        <f>FMECA!A39</f>
        <v>R2_Diag</v>
      </c>
      <c r="B38" s="55" t="str">
        <f>FMECA!B39</f>
        <v>Decrease of Resistance Value</v>
      </c>
      <c r="C38" s="5">
        <f>FMECA!D39</f>
        <v>0.18</v>
      </c>
      <c r="D38" s="5">
        <f>FMECA!V39</f>
        <v>0</v>
      </c>
      <c r="E38" s="5">
        <f>FMECA!S39</f>
        <v>0</v>
      </c>
      <c r="F38" s="5">
        <f>FMECA!W39</f>
        <v>0</v>
      </c>
      <c r="G38" s="5">
        <f>FMECA!X39</f>
        <v>0</v>
      </c>
      <c r="H38" s="5">
        <f>FMECA!T39</f>
        <v>0</v>
      </c>
      <c r="I38" s="5">
        <f>FMECA!U39</f>
        <v>0</v>
      </c>
      <c r="J38" s="5">
        <f>FMECA!Z39</f>
        <v>1</v>
      </c>
      <c r="K38" s="5">
        <f>FMECA!AA39</f>
        <v>1</v>
      </c>
      <c r="L38" s="5" t="str">
        <f>FMECA!H39</f>
        <v>Safe</v>
      </c>
      <c r="M38" s="5" t="str">
        <f>FMECA!K39</f>
        <v>Outside the scope of the local channel, but it will be detected in the future (all outputs zeroed for the Fuse_Result test)</v>
      </c>
      <c r="N38" s="5" t="str">
        <f>FMECA!L39</f>
        <v>Yes</v>
      </c>
      <c r="O38" s="5" t="str">
        <f>FMECA!AC39</f>
        <v>Not applicable. Assumed that only undetectable faults will be classified onto a 'multiple faults class of equivalence'.</v>
      </c>
    </row>
    <row r="39" spans="1:15" ht="60">
      <c r="A39" s="5" t="str">
        <f>FMECA!A40</f>
        <v>R2_Diag</v>
      </c>
      <c r="B39" s="55" t="str">
        <f>FMECA!B40</f>
        <v>Short-Circuit to Casing</v>
      </c>
      <c r="C39" s="5">
        <f>FMECA!D40</f>
        <v>0</v>
      </c>
      <c r="D39" s="5">
        <f>FMECA!V40</f>
        <v>54</v>
      </c>
      <c r="E39" s="5">
        <f>FMECA!S40</f>
        <v>4092</v>
      </c>
      <c r="F39" s="5">
        <f>FMECA!W40</f>
        <v>51</v>
      </c>
      <c r="G39" s="5">
        <f>FMECA!X40</f>
        <v>57</v>
      </c>
      <c r="H39" s="5">
        <f>FMECA!T40</f>
        <v>4091</v>
      </c>
      <c r="I39" s="5">
        <f>FMECA!U40</f>
        <v>4095</v>
      </c>
      <c r="J39" s="5">
        <f>FMECA!Z40</f>
        <v>0</v>
      </c>
      <c r="K39" s="5">
        <f>FMECA!AA40</f>
        <v>1</v>
      </c>
      <c r="L39" s="5" t="str">
        <f>FMECA!H40</f>
        <v>Safe</v>
      </c>
      <c r="M39" s="5" t="str">
        <f>FMECA!K40</f>
        <v>No; impactless.</v>
      </c>
      <c r="N39" s="5" t="str">
        <f>FMECA!L40</f>
        <v>No; impactless.</v>
      </c>
      <c r="O39" s="5" t="str">
        <f>FMECA!AC40</f>
        <v>Not applicable. Assumed that only undetectable faults will be classified onto a 'multiple faults class of equivalence'.</v>
      </c>
    </row>
    <row r="40" spans="1:15" ht="60">
      <c r="A40" s="5" t="str">
        <f>FMECA!A41</f>
        <v>DC_DC_Diag</v>
      </c>
      <c r="B40" s="55" t="str">
        <f>FMECA!B41</f>
        <v>No Output</v>
      </c>
      <c r="C40" s="5">
        <f>FMECA!D41</f>
        <v>0.23</v>
      </c>
      <c r="D40" s="5" t="str">
        <f>FMECA!V41</f>
        <v>Not Applicable (supervisor turned off)</v>
      </c>
      <c r="E40" s="5" t="str">
        <f>FMECA!S41</f>
        <v>Not Applicable (supervisor turned off)</v>
      </c>
      <c r="F40" s="5" t="str">
        <f>FMECA!W41</f>
        <v>Not Applicable (supervisor turned off)</v>
      </c>
      <c r="G40" s="5" t="str">
        <f>FMECA!X41</f>
        <v>Not Applicable (supervisor turned off)</v>
      </c>
      <c r="H40" s="5" t="str">
        <f>FMECA!T41</f>
        <v>Not Applicable (supervisor turned off)</v>
      </c>
      <c r="I40" s="5" t="str">
        <f>FMECA!U41</f>
        <v>Not Applicable (supervisor turned off)</v>
      </c>
      <c r="J40" s="5" t="str">
        <f>FMECA!Z41</f>
        <v>Not Applicable (supervisor turned off)</v>
      </c>
      <c r="K40" s="5" t="str">
        <f>FMECA!AA41</f>
        <v>Not Applicable (supervisor turned off)</v>
      </c>
      <c r="L40" s="5" t="str">
        <f>FMECA!H41</f>
        <v>Safe</v>
      </c>
      <c r="M40" s="5" t="str">
        <f>FMECA!K41</f>
        <v>Not Applicable (supervisor turned off)</v>
      </c>
      <c r="N40" s="5" t="str">
        <f>FMECA!L41</f>
        <v>Not Applicable (supervisor turned off)</v>
      </c>
      <c r="O40" s="5" t="str">
        <f>FMECA!AC41</f>
        <v>Not applicable. Assumed that only undetectable faults will be classified onto a 'multiple faults class of equivalence'.</v>
      </c>
    </row>
    <row r="41" spans="1:15" ht="105">
      <c r="A41" s="5" t="str">
        <f>FMECA!A42</f>
        <v>DC_DC_Diag</v>
      </c>
      <c r="B41" s="55" t="str">
        <f>FMECA!B42</f>
        <v>Increase in Output Voltage</v>
      </c>
      <c r="C41" s="5">
        <f>FMECA!D42</f>
        <v>0.25666666666666665</v>
      </c>
      <c r="D41" s="5">
        <f>FMECA!V42</f>
        <v>0</v>
      </c>
      <c r="E41" s="5">
        <f>FMECA!S42</f>
        <v>0</v>
      </c>
      <c r="F41" s="5">
        <f>FMECA!W42</f>
        <v>0</v>
      </c>
      <c r="G41" s="5">
        <f>FMECA!X42</f>
        <v>0</v>
      </c>
      <c r="H41" s="5">
        <f>FMECA!T42</f>
        <v>0</v>
      </c>
      <c r="I41" s="5">
        <f>FMECA!U42</f>
        <v>0</v>
      </c>
      <c r="J41" s="5">
        <f>FMECA!Z42</f>
        <v>0</v>
      </c>
      <c r="K41" s="5">
        <f>FMECA!AA42</f>
        <v>1</v>
      </c>
      <c r="L41" s="5" t="str">
        <f>FMECA!H42</f>
        <v>Safe</v>
      </c>
      <c r="M41" s="5" t="str">
        <f>FMECA!K42</f>
        <v>Outside the scope of the local channel, but it will be detected in the future (all outputs zeroed for the Fuse_Result test)</v>
      </c>
      <c r="N41" s="5" t="str">
        <f>FMECA!L42</f>
        <v>No</v>
      </c>
      <c r="O41" s="5" t="str">
        <f>FMECA!AC42</f>
        <v>Not applicable. Assumed that only undetectable faults will be classified onto a 'multiple faults class of equivalence'.</v>
      </c>
    </row>
    <row r="42" spans="1:15" ht="105">
      <c r="A42" s="5" t="str">
        <f>FMECA!A43</f>
        <v>DC_DC_Diag</v>
      </c>
      <c r="B42" s="55" t="str">
        <f>FMECA!B43</f>
        <v>Decrease in Output Voltage</v>
      </c>
      <c r="C42" s="5">
        <f>FMECA!D43</f>
        <v>0.25666666666666665</v>
      </c>
      <c r="D42" s="5">
        <f>FMECA!V43</f>
        <v>0</v>
      </c>
      <c r="E42" s="5">
        <f>FMECA!S43</f>
        <v>0</v>
      </c>
      <c r="F42" s="5">
        <f>FMECA!W43</f>
        <v>0</v>
      </c>
      <c r="G42" s="5">
        <f>FMECA!X43</f>
        <v>0</v>
      </c>
      <c r="H42" s="5">
        <f>FMECA!T43</f>
        <v>0</v>
      </c>
      <c r="I42" s="5">
        <f>FMECA!U43</f>
        <v>0</v>
      </c>
      <c r="J42" s="5">
        <f>FMECA!Z43</f>
        <v>0</v>
      </c>
      <c r="K42" s="5">
        <f>FMECA!AA43</f>
        <v>1</v>
      </c>
      <c r="L42" s="5" t="str">
        <f>FMECA!H43</f>
        <v>Safe</v>
      </c>
      <c r="M42" s="5" t="str">
        <f>FMECA!K43</f>
        <v>Outside the scope of the local channel, but it will be detected in the future (all outputs zeroed for the Fuse_Result test)</v>
      </c>
      <c r="N42" s="5" t="str">
        <f>FMECA!L43</f>
        <v>No</v>
      </c>
      <c r="O42" s="5" t="str">
        <f>FMECA!AC43</f>
        <v>Not applicable. Assumed that only undetectable faults will be classified onto a 'multiple faults class of equivalence'.</v>
      </c>
    </row>
    <row r="43" spans="1:15" ht="105">
      <c r="A43" s="5" t="str">
        <f>FMECA!A44</f>
        <v>DC_DC_Diag</v>
      </c>
      <c r="B43" s="55" t="str">
        <f>FMECA!B44</f>
        <v>Noisy Output</v>
      </c>
      <c r="C43" s="5">
        <f>FMECA!D44</f>
        <v>0.25666666666666665</v>
      </c>
      <c r="D43" s="5">
        <f>FMECA!V44</f>
        <v>0</v>
      </c>
      <c r="E43" s="5">
        <f>FMECA!S44</f>
        <v>0</v>
      </c>
      <c r="F43" s="5">
        <f>FMECA!W44</f>
        <v>0</v>
      </c>
      <c r="G43" s="5">
        <f>FMECA!X44</f>
        <v>0</v>
      </c>
      <c r="H43" s="5">
        <f>FMECA!T44</f>
        <v>0</v>
      </c>
      <c r="I43" s="5">
        <f>FMECA!U44</f>
        <v>0</v>
      </c>
      <c r="J43" s="5">
        <f>FMECA!Z44</f>
        <v>0</v>
      </c>
      <c r="K43" s="5">
        <f>FMECA!AA44</f>
        <v>1</v>
      </c>
      <c r="L43" s="5" t="str">
        <f>FMECA!H44</f>
        <v>Safe</v>
      </c>
      <c r="M43" s="5" t="str">
        <f>FMECA!K44</f>
        <v>Outside the scope of the local channel, but it will be detected in the future (all outputs zeroed for the Fuse_Result test)</v>
      </c>
      <c r="N43" s="5" t="str">
        <f>FMECA!L44</f>
        <v>No</v>
      </c>
      <c r="O43" s="5" t="str">
        <f>FMECA!AC44</f>
        <v>Not applicable. Assumed that only undetectable faults will be classified onto a 'multiple faults class of equivalence'.</v>
      </c>
    </row>
    <row r="44" spans="1:15" ht="60">
      <c r="A44" s="5" t="str">
        <f>FMECA!A45</f>
        <v>R1_Sys</v>
      </c>
      <c r="B44" s="55" t="str">
        <f>FMECA!B45</f>
        <v>Open</v>
      </c>
      <c r="C44" s="5">
        <f>FMECA!D45</f>
        <v>0.59</v>
      </c>
      <c r="D44" s="5">
        <f>FMECA!V45</f>
        <v>4092</v>
      </c>
      <c r="E44" s="5">
        <f>FMECA!S45</f>
        <v>4093</v>
      </c>
      <c r="F44" s="5">
        <f>FMECA!W45</f>
        <v>4092</v>
      </c>
      <c r="G44" s="5">
        <f>FMECA!X45</f>
        <v>4092</v>
      </c>
      <c r="H44" s="5">
        <f>FMECA!T45</f>
        <v>4093</v>
      </c>
      <c r="I44" s="5">
        <f>FMECA!U45</f>
        <v>4093</v>
      </c>
      <c r="J44" s="5">
        <f>FMECA!Z45</f>
        <v>0</v>
      </c>
      <c r="K44" s="5">
        <f>FMECA!AA45</f>
        <v>1</v>
      </c>
      <c r="L44" s="5" t="str">
        <f>FMECA!H45</f>
        <v>Safe</v>
      </c>
      <c r="M44" s="5" t="str">
        <f>FMECA!K45</f>
        <v>Yes</v>
      </c>
      <c r="N44" s="5" t="str">
        <f>FMECA!L45</f>
        <v>No</v>
      </c>
      <c r="O44" s="5" t="str">
        <f>FMECA!AC45</f>
        <v>Not applicable. Assumed that only undetectable faults will be classified onto a 'multiple faults class of equivalence'.</v>
      </c>
    </row>
    <row r="45" spans="1:15" ht="60">
      <c r="A45" s="5" t="str">
        <f>FMECA!A46</f>
        <v>R1_Sys</v>
      </c>
      <c r="B45" s="55" t="str">
        <f>FMECA!B46</f>
        <v>Short-Circuit</v>
      </c>
      <c r="C45" s="5">
        <f>FMECA!D46</f>
        <v>0.05</v>
      </c>
      <c r="D45" s="5">
        <f>FMECA!V46</f>
        <v>0</v>
      </c>
      <c r="E45" s="5">
        <f>FMECA!S46</f>
        <v>0</v>
      </c>
      <c r="F45" s="5">
        <f>FMECA!W46</f>
        <v>0</v>
      </c>
      <c r="G45" s="5">
        <f>FMECA!X46</f>
        <v>0</v>
      </c>
      <c r="H45" s="5">
        <f>FMECA!T46</f>
        <v>0</v>
      </c>
      <c r="I45" s="5">
        <f>FMECA!U46</f>
        <v>0</v>
      </c>
      <c r="J45" s="5">
        <f>FMECA!Z46</f>
        <v>0</v>
      </c>
      <c r="K45" s="5">
        <f>FMECA!AA46</f>
        <v>1</v>
      </c>
      <c r="L45" s="5" t="str">
        <f>FMECA!H46</f>
        <v>Safe</v>
      </c>
      <c r="M45" s="5" t="str">
        <f>FMECA!K46</f>
        <v>Yes</v>
      </c>
      <c r="N45" s="5" t="str">
        <f>FMECA!L46</f>
        <v>No</v>
      </c>
      <c r="O45" s="5" t="str">
        <f>FMECA!AC46</f>
        <v>Not applicable. Assumed that only undetectable faults will be classified onto a 'multiple faults class of equivalence'.</v>
      </c>
    </row>
    <row r="46" spans="1:15" ht="120">
      <c r="A46" s="5" t="str">
        <f>FMECA!A47</f>
        <v>R1_Sys</v>
      </c>
      <c r="B46" s="55" t="str">
        <f>FMECA!B47</f>
        <v>Increase of Resistance Value</v>
      </c>
      <c r="C46" s="5">
        <f>FMECA!D47</f>
        <v>0.18</v>
      </c>
      <c r="D46" s="5">
        <f>FMECA!V47</f>
        <v>54</v>
      </c>
      <c r="E46" s="5">
        <f>FMECA!S47</f>
        <v>4093</v>
      </c>
      <c r="F46" s="5">
        <f>FMECA!W47</f>
        <v>51</v>
      </c>
      <c r="G46" s="5">
        <f>FMECA!X47</f>
        <v>4092</v>
      </c>
      <c r="H46" s="5">
        <f>FMECA!T47</f>
        <v>4093</v>
      </c>
      <c r="I46" s="5">
        <f>FMECA!U47</f>
        <v>4093</v>
      </c>
      <c r="J46" s="5">
        <f>FMECA!Z47</f>
        <v>0</v>
      </c>
      <c r="K46" s="5">
        <f>FMECA!AA47</f>
        <v>1</v>
      </c>
      <c r="L46" s="5" t="str">
        <f>FMECA!H47</f>
        <v>Safe</v>
      </c>
      <c r="M46" s="5" t="str">
        <f>FMECA!K47</f>
        <v>Maybe</v>
      </c>
      <c r="N46" s="5" t="str">
        <f>FMECA!L47</f>
        <v>No</v>
      </c>
      <c r="O46" s="5" t="str">
        <f>FMECA!AC47</f>
        <v>CM2: If this fault occurs,  Fuse_Result will be determined by the corresponding intervals of this failure mode,  and Keep_Power_Readback will be extracted from the second fault.</v>
      </c>
    </row>
    <row r="47" spans="1:15" ht="120">
      <c r="A47" s="5" t="str">
        <f>FMECA!A48</f>
        <v>R1_Sys</v>
      </c>
      <c r="B47" s="55" t="str">
        <f>FMECA!B48</f>
        <v>Decrease of Resistance Value</v>
      </c>
      <c r="C47" s="5">
        <f>FMECA!D48</f>
        <v>0.18</v>
      </c>
      <c r="D47" s="5">
        <f>FMECA!V48</f>
        <v>0</v>
      </c>
      <c r="E47" s="5">
        <f>FMECA!S48</f>
        <v>3806</v>
      </c>
      <c r="F47" s="5">
        <f>FMECA!W48</f>
        <v>0</v>
      </c>
      <c r="G47" s="5">
        <f>FMECA!X48</f>
        <v>0</v>
      </c>
      <c r="H47" s="5">
        <f>FMECA!T48</f>
        <v>0</v>
      </c>
      <c r="I47" s="5">
        <f>FMECA!U48</f>
        <v>4093</v>
      </c>
      <c r="J47" s="5">
        <f>FMECA!Z48</f>
        <v>0</v>
      </c>
      <c r="K47" s="5">
        <f>FMECA!AA48</f>
        <v>1</v>
      </c>
      <c r="L47" s="5" t="str">
        <f>FMECA!H48</f>
        <v>Safe</v>
      </c>
      <c r="M47" s="5" t="str">
        <f>FMECA!K48</f>
        <v>Maybe</v>
      </c>
      <c r="N47" s="5" t="str">
        <f>FMECA!L48</f>
        <v>No</v>
      </c>
      <c r="O47" s="36" t="str">
        <f>FMECA!AC48</f>
        <v>CM2: If this fault occurs,  Fuse_Result will be determined by the corresponding intervals of this failure mode,  and Keep_Power_Readback will be extracted from the second fault.</v>
      </c>
    </row>
    <row r="48" spans="1:15" ht="60">
      <c r="A48" s="5" t="str">
        <f>FMECA!A49</f>
        <v>R1_Sys</v>
      </c>
      <c r="B48" s="55" t="str">
        <f>FMECA!B49</f>
        <v>Short-Circuit to Casing</v>
      </c>
      <c r="C48" s="5">
        <f>FMECA!D49</f>
        <v>0</v>
      </c>
      <c r="D48" s="5">
        <f>FMECA!V49</f>
        <v>54</v>
      </c>
      <c r="E48" s="5">
        <f>FMECA!S49</f>
        <v>4092</v>
      </c>
      <c r="F48" s="5">
        <f>FMECA!W49</f>
        <v>51</v>
      </c>
      <c r="G48" s="5">
        <f>FMECA!X49</f>
        <v>57</v>
      </c>
      <c r="H48" s="5">
        <f>FMECA!T49</f>
        <v>4091</v>
      </c>
      <c r="I48" s="5">
        <f>FMECA!U49</f>
        <v>4095</v>
      </c>
      <c r="J48" s="5">
        <f>FMECA!Z49</f>
        <v>0</v>
      </c>
      <c r="K48" s="5">
        <f>FMECA!AA49</f>
        <v>1</v>
      </c>
      <c r="L48" s="5" t="str">
        <f>FMECA!H49</f>
        <v>Safe</v>
      </c>
      <c r="M48" s="5" t="str">
        <f>FMECA!K49</f>
        <v>No; impactless.</v>
      </c>
      <c r="N48" s="5" t="str">
        <f>FMECA!L49</f>
        <v>No; impactless.</v>
      </c>
      <c r="O48" s="5" t="str">
        <f>FMECA!AC49</f>
        <v>Not applicable. Assumed that only undetectable faults will be classified onto a 'multiple faults class of equivalence'.</v>
      </c>
    </row>
    <row r="49" spans="1:15" ht="60">
      <c r="A49" s="5" t="str">
        <f>FMECA!A50</f>
        <v>OC1_Sys</v>
      </c>
      <c r="B49" s="55" t="str">
        <f>FMECA!B50</f>
        <v>Open diode</v>
      </c>
      <c r="C49" s="5">
        <f>FMECA!D50</f>
        <v>8.3333329999999997E-2</v>
      </c>
      <c r="D49" s="5">
        <f>FMECA!V50</f>
        <v>0</v>
      </c>
      <c r="E49" s="5">
        <f>FMECA!S50</f>
        <v>0</v>
      </c>
      <c r="F49" s="5">
        <f>FMECA!W50</f>
        <v>0</v>
      </c>
      <c r="G49" s="5">
        <f>FMECA!X50</f>
        <v>0</v>
      </c>
      <c r="H49" s="5">
        <f>FMECA!T50</f>
        <v>0</v>
      </c>
      <c r="I49" s="5">
        <f>FMECA!U50</f>
        <v>0</v>
      </c>
      <c r="J49" s="5">
        <f>FMECA!Z50</f>
        <v>0</v>
      </c>
      <c r="K49" s="5">
        <f>FMECA!AA50</f>
        <v>1</v>
      </c>
      <c r="L49" s="5" t="str">
        <f>FMECA!H50</f>
        <v>Safe</v>
      </c>
      <c r="M49" s="5" t="str">
        <f>FMECA!K50</f>
        <v>Yes</v>
      </c>
      <c r="N49" s="5" t="str">
        <f>FMECA!L50</f>
        <v>No</v>
      </c>
      <c r="O49" s="5" t="str">
        <f>FMECA!AC50</f>
        <v>Not applicable. Assumed that only undetectable faults will be classified onto a 'multiple faults class of equivalence'.</v>
      </c>
    </row>
    <row r="50" spans="1:15" ht="60">
      <c r="A50" s="5" t="str">
        <f>FMECA!A51</f>
        <v>OC1_Sys</v>
      </c>
      <c r="B50" s="55" t="str">
        <f>FMECA!B51</f>
        <v>Open emitter</v>
      </c>
      <c r="C50" s="5">
        <f>FMECA!D51</f>
        <v>8.3333329999999997E-2</v>
      </c>
      <c r="D50" s="5">
        <f>FMECA!V51</f>
        <v>0</v>
      </c>
      <c r="E50" s="5">
        <f>FMECA!S51</f>
        <v>0</v>
      </c>
      <c r="F50" s="5">
        <f>FMECA!W51</f>
        <v>0</v>
      </c>
      <c r="G50" s="5">
        <f>FMECA!X51</f>
        <v>0</v>
      </c>
      <c r="H50" s="5">
        <f>FMECA!T51</f>
        <v>0</v>
      </c>
      <c r="I50" s="5">
        <f>FMECA!U51</f>
        <v>0</v>
      </c>
      <c r="J50" s="5">
        <f>FMECA!Z51</f>
        <v>0</v>
      </c>
      <c r="K50" s="5">
        <f>FMECA!AA51</f>
        <v>1</v>
      </c>
      <c r="L50" s="5" t="str">
        <f>FMECA!H51</f>
        <v>Safe</v>
      </c>
      <c r="M50" s="5" t="str">
        <f>FMECA!K51</f>
        <v>Yes</v>
      </c>
      <c r="N50" s="5" t="str">
        <f>FMECA!L51</f>
        <v>No</v>
      </c>
      <c r="O50" s="5" t="str">
        <f>FMECA!AC51</f>
        <v>Not applicable. Assumed that only undetectable faults will be classified onto a 'multiple faults class of equivalence'.</v>
      </c>
    </row>
    <row r="51" spans="1:15" ht="60">
      <c r="A51" s="5" t="str">
        <f>FMECA!A52</f>
        <v>OC1_Sys</v>
      </c>
      <c r="B51" s="55" t="str">
        <f>FMECA!B52</f>
        <v>Open collector</v>
      </c>
      <c r="C51" s="5">
        <f>FMECA!D52</f>
        <v>8.3333329999999997E-2</v>
      </c>
      <c r="D51" s="5">
        <f>FMECA!V52</f>
        <v>0</v>
      </c>
      <c r="E51" s="5">
        <f>FMECA!S52</f>
        <v>0</v>
      </c>
      <c r="F51" s="5">
        <f>FMECA!W52</f>
        <v>0</v>
      </c>
      <c r="G51" s="5">
        <f>FMECA!X52</f>
        <v>0</v>
      </c>
      <c r="H51" s="5">
        <f>FMECA!T52</f>
        <v>0</v>
      </c>
      <c r="I51" s="5">
        <f>FMECA!U52</f>
        <v>0</v>
      </c>
      <c r="J51" s="5">
        <f>FMECA!Z52</f>
        <v>0</v>
      </c>
      <c r="K51" s="5">
        <f>FMECA!AA52</f>
        <v>1</v>
      </c>
      <c r="L51" s="5" t="str">
        <f>FMECA!H52</f>
        <v>Safe</v>
      </c>
      <c r="M51" s="5" t="str">
        <f>FMECA!K52</f>
        <v>Yes</v>
      </c>
      <c r="N51" s="5" t="str">
        <f>FMECA!L52</f>
        <v>No</v>
      </c>
      <c r="O51" s="5" t="str">
        <f>FMECA!AC52</f>
        <v>Not applicable. Assumed that only undetectable faults will be classified onto a 'multiple faults class of equivalence'.</v>
      </c>
    </row>
    <row r="52" spans="1:15" ht="60">
      <c r="A52" s="5" t="str">
        <f>FMECA!A53</f>
        <v>OC1_Sys</v>
      </c>
      <c r="B52" s="55" t="str">
        <f>FMECA!B53</f>
        <v>Open base</v>
      </c>
      <c r="C52" s="5">
        <f>FMECA!D53</f>
        <v>8.3333329999999997E-2</v>
      </c>
      <c r="D52" s="5">
        <f>FMECA!V53</f>
        <v>54</v>
      </c>
      <c r="E52" s="5">
        <f>FMECA!S53</f>
        <v>4092</v>
      </c>
      <c r="F52" s="5">
        <f>FMECA!W53</f>
        <v>51</v>
      </c>
      <c r="G52" s="5">
        <f>FMECA!X53</f>
        <v>57</v>
      </c>
      <c r="H52" s="5">
        <f>FMECA!T53</f>
        <v>4091</v>
      </c>
      <c r="I52" s="5">
        <f>FMECA!U53</f>
        <v>4095</v>
      </c>
      <c r="J52" s="5">
        <f>FMECA!Z53</f>
        <v>0</v>
      </c>
      <c r="K52" s="5">
        <f>FMECA!AA53</f>
        <v>1</v>
      </c>
      <c r="L52" s="5" t="str">
        <f>FMECA!H53</f>
        <v>Safe</v>
      </c>
      <c r="M52" s="5" t="str">
        <f>FMECA!K53</f>
        <v>No; impactless.</v>
      </c>
      <c r="N52" s="5" t="str">
        <f>FMECA!L53</f>
        <v>No; impactless.</v>
      </c>
      <c r="O52" s="5" t="str">
        <f>FMECA!AC53</f>
        <v>Not applicable. Assumed that only undetectable faults will be classified onto a 'multiple faults class of equivalence'.</v>
      </c>
    </row>
    <row r="53" spans="1:15" ht="60">
      <c r="A53" s="5" t="str">
        <f>FMECA!A54</f>
        <v>OC1_Sys</v>
      </c>
      <c r="B53" s="55" t="str">
        <f>FMECA!B54</f>
        <v>Increase of light sensitivity</v>
      </c>
      <c r="C53" s="5">
        <f>FMECA!D54</f>
        <v>8.3333329999999997E-2</v>
      </c>
      <c r="D53" s="5">
        <f>FMECA!V54</f>
        <v>54</v>
      </c>
      <c r="E53" s="5">
        <f>FMECA!S54</f>
        <v>4092</v>
      </c>
      <c r="F53" s="5">
        <f>FMECA!W54</f>
        <v>51</v>
      </c>
      <c r="G53" s="5">
        <f>FMECA!X54</f>
        <v>57</v>
      </c>
      <c r="H53" s="5">
        <f>FMECA!T54</f>
        <v>4091</v>
      </c>
      <c r="I53" s="5">
        <f>FMECA!U54</f>
        <v>4095</v>
      </c>
      <c r="J53" s="5">
        <f>FMECA!Z54</f>
        <v>0</v>
      </c>
      <c r="K53" s="5">
        <f>FMECA!AA54</f>
        <v>1</v>
      </c>
      <c r="L53" s="5" t="str">
        <f>FMECA!H54</f>
        <v>Safe</v>
      </c>
      <c r="M53" s="5" t="str">
        <f>FMECA!K54</f>
        <v>No; impactless.</v>
      </c>
      <c r="N53" s="5" t="str">
        <f>FMECA!L54</f>
        <v>No; impactless.</v>
      </c>
      <c r="O53" s="5" t="str">
        <f>FMECA!AC54</f>
        <v>Not applicable. Assumed that only undetectable faults will be classified onto a 'multiple faults class of equivalence'.</v>
      </c>
    </row>
    <row r="54" spans="1:15" ht="120">
      <c r="A54" s="5" t="str">
        <f>FMECA!A55</f>
        <v>OC1_Sys</v>
      </c>
      <c r="B54" s="55" t="str">
        <f>FMECA!B55</f>
        <v>Decrease of light sensitivity</v>
      </c>
      <c r="C54" s="5">
        <f>FMECA!D55</f>
        <v>8.3333329999999997E-2</v>
      </c>
      <c r="D54" s="5">
        <f>FMECA!V55</f>
        <v>0</v>
      </c>
      <c r="E54" s="5">
        <f>FMECA!S55</f>
        <v>2038</v>
      </c>
      <c r="F54" s="5">
        <f>FMECA!W55</f>
        <v>0</v>
      </c>
      <c r="G54" s="5">
        <f>FMECA!X55</f>
        <v>0</v>
      </c>
      <c r="H54" s="5">
        <f>FMECA!T55</f>
        <v>0</v>
      </c>
      <c r="I54" s="5">
        <f>FMECA!U55</f>
        <v>4091</v>
      </c>
      <c r="J54" s="5">
        <f>FMECA!Z55</f>
        <v>0</v>
      </c>
      <c r="K54" s="5">
        <f>FMECA!AA55</f>
        <v>1</v>
      </c>
      <c r="L54" s="5" t="str">
        <f>FMECA!H55</f>
        <v>Safe</v>
      </c>
      <c r="M54" s="5" t="str">
        <f>FMECA!K55</f>
        <v>Maybe</v>
      </c>
      <c r="N54" s="5" t="str">
        <f>FMECA!L55</f>
        <v>No</v>
      </c>
      <c r="O54" s="36" t="str">
        <f>FMECA!AC55</f>
        <v>CM2: If this fault occurs,  Fuse_Result will be determined by the corresponding intervals of this failure mode,  and Keep_Power_Readback will be extracted from the second fault.</v>
      </c>
    </row>
    <row r="55" spans="1:15" ht="120">
      <c r="A55" s="5" t="str">
        <f>FMECA!A56</f>
        <v>OC1_Sys</v>
      </c>
      <c r="B55" s="55" t="str">
        <f>FMECA!B56</f>
        <v>Increase of leakage current</v>
      </c>
      <c r="C55" s="5">
        <f>FMECA!D56</f>
        <v>0.125</v>
      </c>
      <c r="D55" s="5">
        <f>FMECA!V56</f>
        <v>0</v>
      </c>
      <c r="E55" s="5">
        <f>FMECA!S56</f>
        <v>2038</v>
      </c>
      <c r="F55" s="5">
        <f>FMECA!W56</f>
        <v>0</v>
      </c>
      <c r="G55" s="5">
        <f>FMECA!X56</f>
        <v>0</v>
      </c>
      <c r="H55" s="5">
        <f>FMECA!T56</f>
        <v>0</v>
      </c>
      <c r="I55" s="5">
        <f>FMECA!U56</f>
        <v>4091</v>
      </c>
      <c r="J55" s="5">
        <f>FMECA!Z56</f>
        <v>0</v>
      </c>
      <c r="K55" s="5">
        <f>FMECA!AA56</f>
        <v>1</v>
      </c>
      <c r="L55" s="5" t="str">
        <f>FMECA!H56</f>
        <v>Safe</v>
      </c>
      <c r="M55" s="5" t="str">
        <f>FMECA!K56</f>
        <v>Maybe</v>
      </c>
      <c r="N55" s="5" t="str">
        <f>FMECA!L56</f>
        <v>No</v>
      </c>
      <c r="O55" s="36" t="str">
        <f>FMECA!AC56</f>
        <v>CM2: If this fault occurs,  Fuse_Result will be determined by the corresponding intervals of this failure mode,  and Keep_Power_Readback will be extracted from the second fault.</v>
      </c>
    </row>
    <row r="56" spans="1:15" ht="60">
      <c r="A56" s="5" t="str">
        <f>FMECA!A57</f>
        <v>OC1_Sys</v>
      </c>
      <c r="B56" s="55" t="str">
        <f>FMECA!B57</f>
        <v>Reduced insulation between input and output</v>
      </c>
      <c r="C56" s="5">
        <f>FMECA!D57</f>
        <v>0.125</v>
      </c>
      <c r="D56" s="5">
        <f>FMECA!V57</f>
        <v>0</v>
      </c>
      <c r="E56" s="5">
        <f>FMECA!S57</f>
        <v>0</v>
      </c>
      <c r="F56" s="5">
        <f>FMECA!W57</f>
        <v>0</v>
      </c>
      <c r="G56" s="5">
        <f>FMECA!X57</f>
        <v>0</v>
      </c>
      <c r="H56" s="5">
        <f>FMECA!T57</f>
        <v>0</v>
      </c>
      <c r="I56" s="5">
        <f>FMECA!U57</f>
        <v>0</v>
      </c>
      <c r="J56" s="5">
        <f>FMECA!Z57</f>
        <v>0</v>
      </c>
      <c r="K56" s="5">
        <f>FMECA!AA57</f>
        <v>1</v>
      </c>
      <c r="L56" s="5" t="str">
        <f>FMECA!H57</f>
        <v>Safe</v>
      </c>
      <c r="M56" s="5" t="str">
        <f>FMECA!K57</f>
        <v>Yes</v>
      </c>
      <c r="N56" s="5" t="str">
        <f>FMECA!L57</f>
        <v>No</v>
      </c>
      <c r="O56" s="5" t="str">
        <f>FMECA!AC57</f>
        <v>Not applicable. Assumed that only undetectable faults will be classified onto a 'multiple faults class of equivalence'.</v>
      </c>
    </row>
    <row r="57" spans="1:15" ht="60">
      <c r="A57" s="5" t="str">
        <f>FMECA!A58</f>
        <v>OC1_Sys</v>
      </c>
      <c r="B57" s="55" t="str">
        <f>FMECA!B58</f>
        <v>Change on switching time</v>
      </c>
      <c r="C57" s="5">
        <f>FMECA!D58</f>
        <v>8.3333329999999997E-2</v>
      </c>
      <c r="D57" s="5">
        <f>FMECA!V58</f>
        <v>4092</v>
      </c>
      <c r="E57" s="5">
        <f>FMECA!S58</f>
        <v>4093</v>
      </c>
      <c r="F57" s="5">
        <f>FMECA!W58</f>
        <v>4092</v>
      </c>
      <c r="G57" s="5">
        <f>FMECA!X58</f>
        <v>4092</v>
      </c>
      <c r="H57" s="5">
        <f>FMECA!T58</f>
        <v>4093</v>
      </c>
      <c r="I57" s="5">
        <f>FMECA!U58</f>
        <v>4093</v>
      </c>
      <c r="J57" s="5">
        <f>FMECA!Z58</f>
        <v>0</v>
      </c>
      <c r="K57" s="5">
        <f>FMECA!AA58</f>
        <v>1</v>
      </c>
      <c r="L57" s="5" t="str">
        <f>FMECA!H58</f>
        <v>Safe</v>
      </c>
      <c r="M57" s="5" t="str">
        <f>FMECA!K58</f>
        <v>Yes</v>
      </c>
      <c r="N57" s="5" t="str">
        <f>FMECA!L58</f>
        <v>No</v>
      </c>
      <c r="O57" s="5" t="str">
        <f>FMECA!AC58</f>
        <v>Not applicable. Assumed that only undetectable faults will be classified onto a 'multiple faults class of equivalence'.</v>
      </c>
    </row>
    <row r="58" spans="1:15" ht="60">
      <c r="A58" s="5" t="str">
        <f>FMECA!A59</f>
        <v>OC1_Sys</v>
      </c>
      <c r="B58" s="55" t="str">
        <f>FMECA!B59</f>
        <v>Increase of current gain</v>
      </c>
      <c r="C58" s="5">
        <f>FMECA!D59</f>
        <v>8.3333329999999997E-2</v>
      </c>
      <c r="D58" s="5">
        <f>FMECA!V59</f>
        <v>54</v>
      </c>
      <c r="E58" s="5">
        <f>FMECA!S59</f>
        <v>4092</v>
      </c>
      <c r="F58" s="5">
        <f>FMECA!W59</f>
        <v>51</v>
      </c>
      <c r="G58" s="5">
        <f>FMECA!X59</f>
        <v>57</v>
      </c>
      <c r="H58" s="5">
        <f>FMECA!T59</f>
        <v>4091</v>
      </c>
      <c r="I58" s="5">
        <f>FMECA!U59</f>
        <v>4095</v>
      </c>
      <c r="J58" s="5">
        <f>FMECA!Z59</f>
        <v>0</v>
      </c>
      <c r="K58" s="5">
        <f>FMECA!AA59</f>
        <v>1</v>
      </c>
      <c r="L58" s="5" t="str">
        <f>FMECA!H59</f>
        <v>Safe</v>
      </c>
      <c r="M58" s="5" t="str">
        <f>FMECA!K59</f>
        <v>No; impactless.</v>
      </c>
      <c r="N58" s="5" t="str">
        <f>FMECA!L59</f>
        <v>No; impactless.</v>
      </c>
      <c r="O58" s="5" t="str">
        <f>FMECA!AC59</f>
        <v>Not applicable. Assumed that only undetectable faults will be classified onto a 'multiple faults class of equivalence'.</v>
      </c>
    </row>
    <row r="59" spans="1:15" ht="120">
      <c r="A59" s="5" t="str">
        <f>FMECA!A60</f>
        <v>OC1_Sys</v>
      </c>
      <c r="B59" s="55" t="str">
        <f>FMECA!B60</f>
        <v>Decrease of current gain</v>
      </c>
      <c r="C59" s="5">
        <f>FMECA!D60</f>
        <v>8.3333329999999997E-2</v>
      </c>
      <c r="D59" s="5">
        <f>FMECA!V60</f>
        <v>4092</v>
      </c>
      <c r="E59" s="5">
        <f>FMECA!S60</f>
        <v>4093</v>
      </c>
      <c r="F59" s="5">
        <f>FMECA!W60</f>
        <v>4092</v>
      </c>
      <c r="G59" s="5">
        <f>FMECA!X60</f>
        <v>4092</v>
      </c>
      <c r="H59" s="5">
        <f>FMECA!T60</f>
        <v>5</v>
      </c>
      <c r="I59" s="5">
        <f>FMECA!U60</f>
        <v>4093</v>
      </c>
      <c r="J59" s="5">
        <f>FMECA!Z60</f>
        <v>0</v>
      </c>
      <c r="K59" s="5">
        <f>FMECA!AA60</f>
        <v>1</v>
      </c>
      <c r="L59" s="5" t="str">
        <f>FMECA!H60</f>
        <v>Safe</v>
      </c>
      <c r="M59" s="5" t="str">
        <f>FMECA!K60</f>
        <v>Maybe</v>
      </c>
      <c r="N59" s="5" t="str">
        <f>FMECA!L60</f>
        <v>No</v>
      </c>
      <c r="O59" s="36" t="str">
        <f>FMECA!AC60</f>
        <v>CM2: If this fault occurs,  Fuse_Result will be determined by the corresponding intervals of this failure mode,  and Keep_Power_Readback will be extracted from the second fault.</v>
      </c>
    </row>
    <row r="60" spans="1:15" ht="105">
      <c r="A60" s="5" t="str">
        <f>FMECA!A61</f>
        <v>R2_Sys</v>
      </c>
      <c r="B60" s="55" t="str">
        <f>FMECA!B61</f>
        <v>Open</v>
      </c>
      <c r="C60" s="5">
        <f>FMECA!D61</f>
        <v>0.59</v>
      </c>
      <c r="D60" s="5">
        <f>FMECA!V61</f>
        <v>0</v>
      </c>
      <c r="E60" s="5">
        <f>FMECA!S61</f>
        <v>0</v>
      </c>
      <c r="F60" s="5">
        <f>FMECA!W61</f>
        <v>0</v>
      </c>
      <c r="G60" s="5">
        <f>FMECA!X61</f>
        <v>0</v>
      </c>
      <c r="H60" s="5">
        <f>FMECA!T61</f>
        <v>0</v>
      </c>
      <c r="I60" s="5">
        <f>FMECA!U61</f>
        <v>0</v>
      </c>
      <c r="J60" s="5">
        <f>FMECA!Z61</f>
        <v>0</v>
      </c>
      <c r="K60" s="5">
        <f>FMECA!AA61</f>
        <v>1</v>
      </c>
      <c r="L60" s="5" t="str">
        <f>FMECA!H61</f>
        <v>Safe</v>
      </c>
      <c r="M60" s="5" t="str">
        <f>FMECA!K61</f>
        <v>Outside the scope of the local supervisor. Its detection is performed by the own supervised system.</v>
      </c>
      <c r="N60" s="5" t="str">
        <f>FMECA!L61</f>
        <v>No</v>
      </c>
      <c r="O60" s="5" t="str">
        <f>FMECA!AC61</f>
        <v>Not applicable. Assumed that only undetectable faults will be classified onto a 'multiple faults class of equivalence'.</v>
      </c>
    </row>
    <row r="61" spans="1:15" ht="60">
      <c r="A61" s="5" t="str">
        <f>FMECA!A62</f>
        <v>R2_Sys</v>
      </c>
      <c r="B61" s="55" t="str">
        <f>FMECA!B62</f>
        <v>Short-Circuit</v>
      </c>
      <c r="C61" s="5">
        <f>FMECA!D62</f>
        <v>0.05</v>
      </c>
      <c r="D61" s="5">
        <f>FMECA!V62</f>
        <v>0</v>
      </c>
      <c r="E61" s="5">
        <f>FMECA!S62</f>
        <v>0</v>
      </c>
      <c r="F61" s="5">
        <f>FMECA!W62</f>
        <v>0</v>
      </c>
      <c r="G61" s="5">
        <f>FMECA!X62</f>
        <v>0</v>
      </c>
      <c r="H61" s="5">
        <f>FMECA!T62</f>
        <v>0</v>
      </c>
      <c r="I61" s="5">
        <f>FMECA!U62</f>
        <v>0</v>
      </c>
      <c r="J61" s="5">
        <f>FMECA!Z62</f>
        <v>0</v>
      </c>
      <c r="K61" s="5">
        <f>FMECA!AA62</f>
        <v>1</v>
      </c>
      <c r="L61" s="5" t="str">
        <f>FMECA!H62</f>
        <v>Safe</v>
      </c>
      <c r="M61" s="5" t="str">
        <f>FMECA!K62</f>
        <v>Yes</v>
      </c>
      <c r="N61" s="5" t="str">
        <f>FMECA!L62</f>
        <v>No</v>
      </c>
      <c r="O61" s="5" t="str">
        <f>FMECA!AC62</f>
        <v>Not applicable. Assumed that only undetectable faults will be classified onto a 'multiple faults class of equivalence'.</v>
      </c>
    </row>
    <row r="62" spans="1:15" ht="105">
      <c r="A62" s="5" t="str">
        <f>FMECA!A63</f>
        <v>R2_Sys</v>
      </c>
      <c r="B62" s="55" t="str">
        <f>FMECA!B63</f>
        <v>Increase of Resistance Value</v>
      </c>
      <c r="C62" s="5">
        <f>FMECA!D63</f>
        <v>0.18</v>
      </c>
      <c r="D62" s="5">
        <f>FMECA!V63</f>
        <v>0</v>
      </c>
      <c r="E62" s="5">
        <f>FMECA!S63</f>
        <v>0</v>
      </c>
      <c r="F62" s="5">
        <f>FMECA!W63</f>
        <v>0</v>
      </c>
      <c r="G62" s="5">
        <f>FMECA!X63</f>
        <v>0</v>
      </c>
      <c r="H62" s="5">
        <f>FMECA!T63</f>
        <v>0</v>
      </c>
      <c r="I62" s="5">
        <f>FMECA!U63</f>
        <v>0</v>
      </c>
      <c r="J62" s="5">
        <f>FMECA!Z63</f>
        <v>0</v>
      </c>
      <c r="K62" s="5">
        <f>FMECA!AA63</f>
        <v>1</v>
      </c>
      <c r="L62" s="5" t="str">
        <f>FMECA!H63</f>
        <v>Safe</v>
      </c>
      <c r="M62" s="5" t="str">
        <f>FMECA!K63</f>
        <v>Outside the scope of the local supervisor. Its detection is performed by the own supervised system.</v>
      </c>
      <c r="N62" s="5" t="str">
        <f>FMECA!L63</f>
        <v>No</v>
      </c>
      <c r="O62" s="5" t="str">
        <f>FMECA!AC63</f>
        <v>Not applicable. Assumed that only undetectable faults will be classified onto a 'multiple faults class of equivalence'.</v>
      </c>
    </row>
    <row r="63" spans="1:15" ht="60">
      <c r="A63" s="5" t="str">
        <f>FMECA!A64</f>
        <v>R2_Sys</v>
      </c>
      <c r="B63" s="55" t="str">
        <f>FMECA!B64</f>
        <v>Decrease of Resistance Value</v>
      </c>
      <c r="C63" s="5">
        <f>FMECA!D64</f>
        <v>0.18</v>
      </c>
      <c r="D63" s="5">
        <f>FMECA!V64</f>
        <v>0</v>
      </c>
      <c r="E63" s="5">
        <f>FMECA!S64</f>
        <v>0</v>
      </c>
      <c r="F63" s="5">
        <f>FMECA!W64</f>
        <v>0</v>
      </c>
      <c r="G63" s="5">
        <f>FMECA!X64</f>
        <v>0</v>
      </c>
      <c r="H63" s="5">
        <f>FMECA!T64</f>
        <v>0</v>
      </c>
      <c r="I63" s="5">
        <f>FMECA!U64</f>
        <v>0</v>
      </c>
      <c r="J63" s="5">
        <f>FMECA!Z64</f>
        <v>0</v>
      </c>
      <c r="K63" s="5">
        <f>FMECA!AA64</f>
        <v>1</v>
      </c>
      <c r="L63" s="5" t="str">
        <f>FMECA!H64</f>
        <v>Safe</v>
      </c>
      <c r="M63" s="5" t="str">
        <f>FMECA!K64</f>
        <v>Yes</v>
      </c>
      <c r="N63" s="5" t="str">
        <f>FMECA!L64</f>
        <v>No</v>
      </c>
      <c r="O63" s="5" t="str">
        <f>FMECA!AC64</f>
        <v>Not applicable. Assumed that only undetectable faults will be classified onto a 'multiple faults class of equivalence'.</v>
      </c>
    </row>
    <row r="64" spans="1:15" ht="60">
      <c r="A64" s="5" t="str">
        <f>FMECA!A65</f>
        <v>R2_Sys</v>
      </c>
      <c r="B64" s="55" t="str">
        <f>FMECA!B65</f>
        <v>Short-Circuit to Casing</v>
      </c>
      <c r="C64" s="5">
        <f>FMECA!D65</f>
        <v>0</v>
      </c>
      <c r="D64" s="5">
        <f>FMECA!V65</f>
        <v>54</v>
      </c>
      <c r="E64" s="5">
        <f>FMECA!S65</f>
        <v>4092</v>
      </c>
      <c r="F64" s="5">
        <f>FMECA!W65</f>
        <v>51</v>
      </c>
      <c r="G64" s="5">
        <f>FMECA!X65</f>
        <v>57</v>
      </c>
      <c r="H64" s="5">
        <f>FMECA!T65</f>
        <v>4091</v>
      </c>
      <c r="I64" s="5">
        <f>FMECA!U65</f>
        <v>4095</v>
      </c>
      <c r="J64" s="5">
        <f>FMECA!Z65</f>
        <v>0</v>
      </c>
      <c r="K64" s="5">
        <f>FMECA!AA65</f>
        <v>1</v>
      </c>
      <c r="L64" s="5" t="str">
        <f>FMECA!H65</f>
        <v>Safe</v>
      </c>
      <c r="M64" s="5" t="str">
        <f>FMECA!K65</f>
        <v>No; impactless.</v>
      </c>
      <c r="N64" s="5" t="str">
        <f>FMECA!L65</f>
        <v>No; impactless.</v>
      </c>
      <c r="O64" s="5" t="str">
        <f>FMECA!AC65</f>
        <v>Not applicable. Assumed that only undetectable faults will be classified onto a 'multiple faults class of equivalence'.</v>
      </c>
    </row>
    <row r="65" spans="1:15" ht="60">
      <c r="A65" s="5" t="str">
        <f>FMECA!A66</f>
        <v>OC2_Sys</v>
      </c>
      <c r="B65" s="55" t="str">
        <f>FMECA!B66</f>
        <v>Open diode</v>
      </c>
      <c r="C65" s="5">
        <f>FMECA!D66</f>
        <v>8.3333329999999997E-2</v>
      </c>
      <c r="D65" s="5">
        <f>FMECA!V66</f>
        <v>0</v>
      </c>
      <c r="E65" s="5">
        <f>FMECA!S66</f>
        <v>0</v>
      </c>
      <c r="F65" s="5">
        <f>FMECA!W66</f>
        <v>0</v>
      </c>
      <c r="G65" s="5">
        <f>FMECA!X66</f>
        <v>0</v>
      </c>
      <c r="H65" s="5">
        <f>FMECA!T66</f>
        <v>0</v>
      </c>
      <c r="I65" s="5">
        <f>FMECA!U66</f>
        <v>0</v>
      </c>
      <c r="J65" s="5">
        <f>FMECA!Z66</f>
        <v>0</v>
      </c>
      <c r="K65" s="5">
        <f>FMECA!AA66</f>
        <v>1</v>
      </c>
      <c r="L65" s="5" t="str">
        <f>FMECA!H66</f>
        <v>Safe</v>
      </c>
      <c r="M65" s="5" t="str">
        <f>FMECA!K66</f>
        <v>Yes</v>
      </c>
      <c r="N65" s="5" t="str">
        <f>FMECA!L66</f>
        <v>No</v>
      </c>
      <c r="O65" s="5" t="str">
        <f>FMECA!AC66</f>
        <v>Not applicable. Assumed that only undetectable faults will be classified onto a 'multiple faults class of equivalence'.</v>
      </c>
    </row>
    <row r="66" spans="1:15" ht="60">
      <c r="A66" s="5" t="str">
        <f>FMECA!A67</f>
        <v>OC2_Sys</v>
      </c>
      <c r="B66" s="55" t="str">
        <f>FMECA!B67</f>
        <v>Open emitter</v>
      </c>
      <c r="C66" s="5">
        <f>FMECA!D67</f>
        <v>8.3333329999999997E-2</v>
      </c>
      <c r="D66" s="5">
        <f>FMECA!V67</f>
        <v>0</v>
      </c>
      <c r="E66" s="5">
        <f>FMECA!S67</f>
        <v>0</v>
      </c>
      <c r="F66" s="5">
        <f>FMECA!W67</f>
        <v>0</v>
      </c>
      <c r="G66" s="5">
        <f>FMECA!X67</f>
        <v>0</v>
      </c>
      <c r="H66" s="5">
        <f>FMECA!T67</f>
        <v>0</v>
      </c>
      <c r="I66" s="5">
        <f>FMECA!U67</f>
        <v>0</v>
      </c>
      <c r="J66" s="5">
        <f>FMECA!Z67</f>
        <v>0</v>
      </c>
      <c r="K66" s="5">
        <f>FMECA!AA67</f>
        <v>1</v>
      </c>
      <c r="L66" s="5" t="str">
        <f>FMECA!H67</f>
        <v>Safe</v>
      </c>
      <c r="M66" s="5" t="str">
        <f>FMECA!K67</f>
        <v>Yes</v>
      </c>
      <c r="N66" s="5" t="str">
        <f>FMECA!L67</f>
        <v>No</v>
      </c>
      <c r="O66" s="5" t="str">
        <f>FMECA!AC67</f>
        <v>Not applicable. Assumed that only undetectable faults will be classified onto a 'multiple faults class of equivalence'.</v>
      </c>
    </row>
    <row r="67" spans="1:15" ht="60">
      <c r="A67" s="5" t="str">
        <f>FMECA!A68</f>
        <v>OC2_Sys</v>
      </c>
      <c r="B67" s="55" t="str">
        <f>FMECA!B68</f>
        <v>Open collector</v>
      </c>
      <c r="C67" s="5">
        <f>FMECA!D68</f>
        <v>8.3333329999999997E-2</v>
      </c>
      <c r="D67" s="5">
        <f>FMECA!V68</f>
        <v>0</v>
      </c>
      <c r="E67" s="5">
        <f>FMECA!S68</f>
        <v>0</v>
      </c>
      <c r="F67" s="5">
        <f>FMECA!W68</f>
        <v>0</v>
      </c>
      <c r="G67" s="5">
        <f>FMECA!X68</f>
        <v>0</v>
      </c>
      <c r="H67" s="5">
        <f>FMECA!T68</f>
        <v>0</v>
      </c>
      <c r="I67" s="5">
        <f>FMECA!U68</f>
        <v>0</v>
      </c>
      <c r="J67" s="5">
        <f>FMECA!Z68</f>
        <v>0</v>
      </c>
      <c r="K67" s="5">
        <f>FMECA!AA68</f>
        <v>1</v>
      </c>
      <c r="L67" s="5" t="str">
        <f>FMECA!H68</f>
        <v>Safe</v>
      </c>
      <c r="M67" s="5" t="str">
        <f>FMECA!K68</f>
        <v>Yes</v>
      </c>
      <c r="N67" s="5" t="str">
        <f>FMECA!L68</f>
        <v>No</v>
      </c>
      <c r="O67" s="5" t="str">
        <f>FMECA!AC68</f>
        <v>Not applicable. Assumed that only undetectable faults will be classified onto a 'multiple faults class of equivalence'.</v>
      </c>
    </row>
    <row r="68" spans="1:15" ht="60">
      <c r="A68" s="5" t="str">
        <f>FMECA!A69</f>
        <v>OC2_Sys</v>
      </c>
      <c r="B68" s="55" t="str">
        <f>FMECA!B69</f>
        <v>Open base</v>
      </c>
      <c r="C68" s="5">
        <f>FMECA!D69</f>
        <v>8.3333329999999997E-2</v>
      </c>
      <c r="D68" s="5">
        <f>FMECA!V69</f>
        <v>54</v>
      </c>
      <c r="E68" s="5">
        <f>FMECA!S69</f>
        <v>4092</v>
      </c>
      <c r="F68" s="5">
        <f>FMECA!W69</f>
        <v>51</v>
      </c>
      <c r="G68" s="5">
        <f>FMECA!X69</f>
        <v>57</v>
      </c>
      <c r="H68" s="5">
        <f>FMECA!T69</f>
        <v>4091</v>
      </c>
      <c r="I68" s="5">
        <f>FMECA!U69</f>
        <v>4095</v>
      </c>
      <c r="J68" s="5">
        <f>FMECA!Z69</f>
        <v>0</v>
      </c>
      <c r="K68" s="5">
        <f>FMECA!AA69</f>
        <v>1</v>
      </c>
      <c r="L68" s="5" t="str">
        <f>FMECA!H69</f>
        <v>Safe</v>
      </c>
      <c r="M68" s="5" t="str">
        <f>FMECA!K69</f>
        <v>No; impactless.</v>
      </c>
      <c r="N68" s="5" t="str">
        <f>FMECA!L69</f>
        <v>No; impactless.</v>
      </c>
      <c r="O68" s="5" t="str">
        <f>FMECA!AC69</f>
        <v>Not applicable. Assumed that only undetectable faults will be classified onto a 'multiple faults class of equivalence'.</v>
      </c>
    </row>
    <row r="69" spans="1:15" ht="60">
      <c r="A69" s="5" t="str">
        <f>FMECA!A70</f>
        <v>OC2_Sys</v>
      </c>
      <c r="B69" s="55" t="str">
        <f>FMECA!B70</f>
        <v>Increase of light sensitivity</v>
      </c>
      <c r="C69" s="5">
        <f>FMECA!D70</f>
        <v>8.3333329999999997E-2</v>
      </c>
      <c r="D69" s="5">
        <f>FMECA!V70</f>
        <v>54</v>
      </c>
      <c r="E69" s="5">
        <f>FMECA!S70</f>
        <v>4092</v>
      </c>
      <c r="F69" s="5">
        <f>FMECA!W70</f>
        <v>51</v>
      </c>
      <c r="G69" s="5">
        <f>FMECA!X70</f>
        <v>57</v>
      </c>
      <c r="H69" s="5">
        <f>FMECA!T70</f>
        <v>4091</v>
      </c>
      <c r="I69" s="5">
        <f>FMECA!U70</f>
        <v>4095</v>
      </c>
      <c r="J69" s="5">
        <f>FMECA!Z70</f>
        <v>0</v>
      </c>
      <c r="K69" s="5">
        <f>FMECA!AA70</f>
        <v>1</v>
      </c>
      <c r="L69" s="5" t="str">
        <f>FMECA!H70</f>
        <v>Safe</v>
      </c>
      <c r="M69" s="5" t="str">
        <f>FMECA!K70</f>
        <v>No; impactless.</v>
      </c>
      <c r="N69" s="5" t="str">
        <f>FMECA!L70</f>
        <v>No; impactless.</v>
      </c>
      <c r="O69" s="5" t="str">
        <f>FMECA!AC70</f>
        <v>Not applicable. Assumed that only undetectable faults will be classified onto a 'multiple faults class of equivalence'.</v>
      </c>
    </row>
    <row r="70" spans="1:15" ht="60">
      <c r="A70" s="5" t="str">
        <f>FMECA!A71</f>
        <v>OC2_Sys</v>
      </c>
      <c r="B70" s="55" t="str">
        <f>FMECA!B71</f>
        <v>Decrease of light sensitivity</v>
      </c>
      <c r="C70" s="5">
        <f>FMECA!D71</f>
        <v>8.3333329999999997E-2</v>
      </c>
      <c r="D70" s="5">
        <f>FMECA!V71</f>
        <v>0</v>
      </c>
      <c r="E70" s="5">
        <f>FMECA!S71</f>
        <v>0</v>
      </c>
      <c r="F70" s="5">
        <f>FMECA!W71</f>
        <v>0</v>
      </c>
      <c r="G70" s="5">
        <f>FMECA!X71</f>
        <v>0</v>
      </c>
      <c r="H70" s="5">
        <f>FMECA!T71</f>
        <v>0</v>
      </c>
      <c r="I70" s="5">
        <f>FMECA!U71</f>
        <v>0</v>
      </c>
      <c r="J70" s="5">
        <f>FMECA!Z71</f>
        <v>0</v>
      </c>
      <c r="K70" s="5">
        <f>FMECA!AA71</f>
        <v>1</v>
      </c>
      <c r="L70" s="5" t="str">
        <f>FMECA!H71</f>
        <v>Safe</v>
      </c>
      <c r="M70" s="5" t="str">
        <f>FMECA!K71</f>
        <v>Yes</v>
      </c>
      <c r="N70" s="5" t="str">
        <f>FMECA!L71</f>
        <v>No</v>
      </c>
      <c r="O70" s="5" t="str">
        <f>FMECA!AC71</f>
        <v>Not applicable. Assumed that only undetectable faults will be classified onto a 'multiple faults class of equivalence'.</v>
      </c>
    </row>
    <row r="71" spans="1:15" ht="60">
      <c r="A71" s="5" t="str">
        <f>FMECA!A72</f>
        <v>OC2_Sys</v>
      </c>
      <c r="B71" s="55" t="str">
        <f>FMECA!B72</f>
        <v>Increase of leakage current</v>
      </c>
      <c r="C71" s="5">
        <f>FMECA!D72</f>
        <v>0.125</v>
      </c>
      <c r="D71" s="5">
        <f>FMECA!V72</f>
        <v>0</v>
      </c>
      <c r="E71" s="5">
        <f>FMECA!S72</f>
        <v>0</v>
      </c>
      <c r="F71" s="5">
        <f>FMECA!W72</f>
        <v>0</v>
      </c>
      <c r="G71" s="5">
        <f>FMECA!X72</f>
        <v>0</v>
      </c>
      <c r="H71" s="5">
        <f>FMECA!T72</f>
        <v>0</v>
      </c>
      <c r="I71" s="5">
        <f>FMECA!U72</f>
        <v>0</v>
      </c>
      <c r="J71" s="5">
        <f>FMECA!Z72</f>
        <v>0</v>
      </c>
      <c r="K71" s="5">
        <f>FMECA!AA72</f>
        <v>1</v>
      </c>
      <c r="L71" s="5" t="str">
        <f>FMECA!H72</f>
        <v>Safe</v>
      </c>
      <c r="M71" s="5" t="str">
        <f>FMECA!K72</f>
        <v>Yes</v>
      </c>
      <c r="N71" s="5" t="str">
        <f>FMECA!L72</f>
        <v>No</v>
      </c>
      <c r="O71" s="5" t="str">
        <f>FMECA!AC72</f>
        <v>Not applicable. Assumed that only undetectable faults will be classified onto a 'multiple faults class of equivalence'.</v>
      </c>
    </row>
    <row r="72" spans="1:15" ht="105">
      <c r="A72" s="5" t="str">
        <f>FMECA!A73</f>
        <v>OC2_Sys</v>
      </c>
      <c r="B72" s="55" t="str">
        <f>FMECA!B73</f>
        <v>Reduced insulation between input and output</v>
      </c>
      <c r="C72" s="5">
        <f>FMECA!D73</f>
        <v>0.125</v>
      </c>
      <c r="D72" s="5">
        <f>FMECA!V73</f>
        <v>0</v>
      </c>
      <c r="E72" s="5">
        <f>FMECA!S73</f>
        <v>0</v>
      </c>
      <c r="F72" s="5">
        <f>FMECA!W73</f>
        <v>0</v>
      </c>
      <c r="G72" s="5">
        <f>FMECA!X73</f>
        <v>0</v>
      </c>
      <c r="H72" s="5">
        <f>FMECA!T73</f>
        <v>0</v>
      </c>
      <c r="I72" s="5">
        <f>FMECA!U73</f>
        <v>0</v>
      </c>
      <c r="J72" s="5">
        <f>FMECA!Z73</f>
        <v>0</v>
      </c>
      <c r="K72" s="5">
        <f>FMECA!AA73</f>
        <v>1</v>
      </c>
      <c r="L72" s="5" t="str">
        <f>FMECA!H73</f>
        <v>Safe</v>
      </c>
      <c r="M72" s="5" t="str">
        <f>FMECA!K73</f>
        <v>Outside the scope of the local channel, but it will be detected in the future (all outputs zeroed for the Fuse_Result test)</v>
      </c>
      <c r="N72" s="5" t="str">
        <f>FMECA!L73</f>
        <v>No</v>
      </c>
      <c r="O72" s="5" t="str">
        <f>FMECA!AC73</f>
        <v>Not applicable. Assumed that only undetectable faults will be classified onto a 'multiple faults class of equivalence'.</v>
      </c>
    </row>
    <row r="73" spans="1:15" ht="105">
      <c r="A73" s="5" t="str">
        <f>FMECA!A74</f>
        <v>OC2_Sys</v>
      </c>
      <c r="B73" s="55" t="str">
        <f>FMECA!B74</f>
        <v>Change on switching time</v>
      </c>
      <c r="C73" s="5">
        <f>FMECA!D74</f>
        <v>8.3333329999999997E-2</v>
      </c>
      <c r="D73" s="5">
        <f>FMECA!V74</f>
        <v>0</v>
      </c>
      <c r="E73" s="5">
        <f>FMECA!S74</f>
        <v>0</v>
      </c>
      <c r="F73" s="5">
        <f>FMECA!W74</f>
        <v>0</v>
      </c>
      <c r="G73" s="5">
        <f>FMECA!X74</f>
        <v>0</v>
      </c>
      <c r="H73" s="5">
        <f>FMECA!T74</f>
        <v>0</v>
      </c>
      <c r="I73" s="5">
        <f>FMECA!U74</f>
        <v>0</v>
      </c>
      <c r="J73" s="5">
        <f>FMECA!Z74</f>
        <v>0</v>
      </c>
      <c r="K73" s="5">
        <f>FMECA!AA74</f>
        <v>1</v>
      </c>
      <c r="L73" s="5" t="str">
        <f>FMECA!H74</f>
        <v>Safe</v>
      </c>
      <c r="M73" s="5" t="str">
        <f>FMECA!K74</f>
        <v>Outside the scope of the local supervisor. Its detection is performed by the own supervised system.</v>
      </c>
      <c r="N73" s="5" t="str">
        <f>FMECA!L74</f>
        <v>No</v>
      </c>
      <c r="O73" s="5" t="str">
        <f>FMECA!AC74</f>
        <v>Not applicable. Assumed that only undetectable faults will be classified onto a 'multiple faults class of equivalence'.</v>
      </c>
    </row>
    <row r="74" spans="1:15" ht="60">
      <c r="A74" s="5" t="str">
        <f>FMECA!A75</f>
        <v>OC2_Sys</v>
      </c>
      <c r="B74" s="55" t="str">
        <f>FMECA!B75</f>
        <v>Increase of current gain</v>
      </c>
      <c r="C74" s="5">
        <f>FMECA!D75</f>
        <v>8.3333329999999997E-2</v>
      </c>
      <c r="D74" s="5">
        <f>FMECA!V75</f>
        <v>54</v>
      </c>
      <c r="E74" s="5">
        <f>FMECA!S75</f>
        <v>4092</v>
      </c>
      <c r="F74" s="5">
        <f>FMECA!W75</f>
        <v>51</v>
      </c>
      <c r="G74" s="5">
        <f>FMECA!X75</f>
        <v>57</v>
      </c>
      <c r="H74" s="5">
        <f>FMECA!T75</f>
        <v>4091</v>
      </c>
      <c r="I74" s="5">
        <f>FMECA!U75</f>
        <v>4095</v>
      </c>
      <c r="J74" s="5">
        <f>FMECA!Z75</f>
        <v>0</v>
      </c>
      <c r="K74" s="5">
        <f>FMECA!AA75</f>
        <v>1</v>
      </c>
      <c r="L74" s="5" t="str">
        <f>FMECA!H75</f>
        <v>Safe</v>
      </c>
      <c r="M74" s="5" t="str">
        <f>FMECA!K75</f>
        <v>No; impactless.</v>
      </c>
      <c r="N74" s="5" t="str">
        <f>FMECA!L75</f>
        <v>No; impactless.</v>
      </c>
      <c r="O74" s="5" t="str">
        <f>FMECA!AC75</f>
        <v>Not applicable. Assumed that only undetectable faults will be classified onto a 'multiple faults class of equivalence'.</v>
      </c>
    </row>
    <row r="75" spans="1:15" ht="105">
      <c r="A75" s="5" t="str">
        <f>FMECA!A76</f>
        <v>OC2_Sys</v>
      </c>
      <c r="B75" s="55" t="str">
        <f>FMECA!B76</f>
        <v>Decrease of current gain</v>
      </c>
      <c r="C75" s="5">
        <f>FMECA!D76</f>
        <v>8.3333329999999997E-2</v>
      </c>
      <c r="D75" s="5">
        <f>FMECA!V76</f>
        <v>0</v>
      </c>
      <c r="E75" s="5">
        <f>FMECA!S76</f>
        <v>0</v>
      </c>
      <c r="F75" s="5">
        <f>FMECA!W76</f>
        <v>0</v>
      </c>
      <c r="G75" s="5">
        <f>FMECA!X76</f>
        <v>0</v>
      </c>
      <c r="H75" s="5">
        <f>FMECA!T76</f>
        <v>0</v>
      </c>
      <c r="I75" s="5">
        <f>FMECA!U76</f>
        <v>0</v>
      </c>
      <c r="J75" s="5">
        <f>FMECA!Z76</f>
        <v>0</v>
      </c>
      <c r="K75" s="5">
        <f>FMECA!AA76</f>
        <v>1</v>
      </c>
      <c r="L75" s="5" t="str">
        <f>FMECA!H76</f>
        <v>Safe</v>
      </c>
      <c r="M75" s="5" t="str">
        <f>FMECA!K76</f>
        <v>Outside the scope of the local supervisor. Its detection is performed by the own supervised system.</v>
      </c>
      <c r="N75" s="5" t="str">
        <f>FMECA!L76</f>
        <v>No</v>
      </c>
      <c r="O75" s="5" t="str">
        <f>FMECA!AC76</f>
        <v>Not applicable. Assumed that only undetectable faults will be classified onto a 'multiple faults class of equivalence'.</v>
      </c>
    </row>
    <row r="76" spans="1:15" ht="60">
      <c r="A76" s="5" t="str">
        <f>FMECA!A77</f>
        <v>R3_Sys</v>
      </c>
      <c r="B76" s="55" t="str">
        <f>FMECA!B77</f>
        <v>Open</v>
      </c>
      <c r="C76" s="5">
        <f>FMECA!D77</f>
        <v>0.59</v>
      </c>
      <c r="D76" s="5">
        <f>FMECA!V77</f>
        <v>0</v>
      </c>
      <c r="E76" s="5">
        <f>FMECA!S77</f>
        <v>0</v>
      </c>
      <c r="F76" s="5">
        <f>FMECA!W77</f>
        <v>0</v>
      </c>
      <c r="G76" s="5">
        <f>FMECA!X77</f>
        <v>0</v>
      </c>
      <c r="H76" s="5">
        <f>FMECA!T77</f>
        <v>0</v>
      </c>
      <c r="I76" s="5">
        <f>FMECA!U77</f>
        <v>0</v>
      </c>
      <c r="J76" s="5">
        <f>FMECA!Z77</f>
        <v>0</v>
      </c>
      <c r="K76" s="5">
        <f>FMECA!AA77</f>
        <v>0</v>
      </c>
      <c r="L76" s="5" t="str">
        <f>FMECA!H77</f>
        <v>Safe</v>
      </c>
      <c r="M76" s="5" t="str">
        <f>FMECA!K77</f>
        <v>Yes</v>
      </c>
      <c r="N76" s="5" t="str">
        <f>FMECA!L77</f>
        <v>Yes</v>
      </c>
      <c r="O76" s="5" t="str">
        <f>FMECA!AC77</f>
        <v>Not applicable. Assumed that only undetectable faults will be classified onto a 'multiple faults class of equivalence'.</v>
      </c>
    </row>
    <row r="77" spans="1:15" ht="60">
      <c r="A77" s="5" t="str">
        <f>FMECA!A78</f>
        <v>R3_Sys</v>
      </c>
      <c r="B77" s="55" t="str">
        <f>FMECA!B78</f>
        <v>Short-Circuit</v>
      </c>
      <c r="C77" s="5">
        <f>FMECA!D78</f>
        <v>0.05</v>
      </c>
      <c r="D77" s="5">
        <f>FMECA!V78</f>
        <v>54</v>
      </c>
      <c r="E77" s="5">
        <f>FMECA!S78</f>
        <v>4092</v>
      </c>
      <c r="F77" s="5">
        <f>FMECA!W78</f>
        <v>51</v>
      </c>
      <c r="G77" s="5">
        <f>FMECA!X78</f>
        <v>57</v>
      </c>
      <c r="H77" s="5">
        <f>FMECA!T78</f>
        <v>4091</v>
      </c>
      <c r="I77" s="5">
        <f>FMECA!U78</f>
        <v>4095</v>
      </c>
      <c r="J77" s="5">
        <f>FMECA!Z78</f>
        <v>1</v>
      </c>
      <c r="K77" s="5">
        <f>FMECA!AA78</f>
        <v>1</v>
      </c>
      <c r="L77" s="5" t="str">
        <f>FMECA!H78</f>
        <v>Safe</v>
      </c>
      <c r="M77" s="5" t="str">
        <f>FMECA!K78</f>
        <v>No</v>
      </c>
      <c r="N77" s="5" t="str">
        <f>FMECA!L78</f>
        <v>Yes</v>
      </c>
      <c r="O77" s="5" t="str">
        <f>FMECA!AC78</f>
        <v>Not applicable. Assumed that only undetectable faults will be classified onto a 'multiple faults class of equivalence'.</v>
      </c>
    </row>
    <row r="78" spans="1:15" ht="60">
      <c r="A78" s="5" t="str">
        <f>FMECA!A79</f>
        <v>R3_Sys</v>
      </c>
      <c r="B78" s="55" t="str">
        <f>FMECA!B79</f>
        <v>Increase of Resistance Value</v>
      </c>
      <c r="C78" s="5">
        <f>FMECA!D79</f>
        <v>0.18</v>
      </c>
      <c r="D78" s="5">
        <f>FMECA!V79</f>
        <v>0</v>
      </c>
      <c r="E78" s="5">
        <f>FMECA!S79</f>
        <v>0</v>
      </c>
      <c r="F78" s="5">
        <f>FMECA!W79</f>
        <v>0</v>
      </c>
      <c r="G78" s="5">
        <f>FMECA!X79</f>
        <v>0</v>
      </c>
      <c r="H78" s="5">
        <f>FMECA!T79</f>
        <v>0</v>
      </c>
      <c r="I78" s="5">
        <f>FMECA!U79</f>
        <v>0</v>
      </c>
      <c r="J78" s="5">
        <f>FMECA!Z79</f>
        <v>0</v>
      </c>
      <c r="K78" s="5">
        <f>FMECA!AA79</f>
        <v>0</v>
      </c>
      <c r="L78" s="5" t="str">
        <f>FMECA!H79</f>
        <v>Safe</v>
      </c>
      <c r="M78" s="5" t="str">
        <f>FMECA!K79</f>
        <v>Yes</v>
      </c>
      <c r="N78" s="5" t="str">
        <f>FMECA!L79</f>
        <v>Yes</v>
      </c>
      <c r="O78" s="5" t="str">
        <f>FMECA!AC79</f>
        <v>Not applicable. Assumed that only undetectable faults will be classified onto a 'multiple faults class of equivalence'.</v>
      </c>
    </row>
    <row r="79" spans="1:15" ht="60">
      <c r="A79" s="5" t="str">
        <f>FMECA!A80</f>
        <v>R3_Sys</v>
      </c>
      <c r="B79" s="55" t="str">
        <f>FMECA!B80</f>
        <v>Decrease of Resistance Value</v>
      </c>
      <c r="C79" s="5">
        <f>FMECA!D80</f>
        <v>0.18</v>
      </c>
      <c r="D79" s="5">
        <f>FMECA!V80</f>
        <v>54</v>
      </c>
      <c r="E79" s="5">
        <f>FMECA!S80</f>
        <v>4092</v>
      </c>
      <c r="F79" s="5">
        <f>FMECA!W80</f>
        <v>51</v>
      </c>
      <c r="G79" s="5">
        <f>FMECA!X80</f>
        <v>57</v>
      </c>
      <c r="H79" s="5">
        <f>FMECA!T80</f>
        <v>4091</v>
      </c>
      <c r="I79" s="5">
        <f>FMECA!U80</f>
        <v>4095</v>
      </c>
      <c r="J79" s="5">
        <f>FMECA!Z80</f>
        <v>1</v>
      </c>
      <c r="K79" s="5">
        <f>FMECA!AA80</f>
        <v>1</v>
      </c>
      <c r="L79" s="5" t="str">
        <f>FMECA!H80</f>
        <v>Safe</v>
      </c>
      <c r="M79" s="5" t="str">
        <f>FMECA!K80</f>
        <v>No</v>
      </c>
      <c r="N79" s="5" t="str">
        <f>FMECA!L80</f>
        <v>Yes</v>
      </c>
      <c r="O79" s="5" t="str">
        <f>FMECA!AC80</f>
        <v>Not applicable. Assumed that only undetectable faults will be classified onto a 'multiple faults class of equivalence'.</v>
      </c>
    </row>
    <row r="80" spans="1:15" ht="60">
      <c r="A80" s="5" t="str">
        <f>FMECA!A81</f>
        <v>R3_Sys</v>
      </c>
      <c r="B80" s="55" t="str">
        <f>FMECA!B81</f>
        <v>Short-Circuit to Casing</v>
      </c>
      <c r="C80" s="5">
        <f>FMECA!D81</f>
        <v>0</v>
      </c>
      <c r="D80" s="5">
        <f>FMECA!V81</f>
        <v>54</v>
      </c>
      <c r="E80" s="5">
        <f>FMECA!S81</f>
        <v>4092</v>
      </c>
      <c r="F80" s="5">
        <f>FMECA!W81</f>
        <v>51</v>
      </c>
      <c r="G80" s="5">
        <f>FMECA!X81</f>
        <v>57</v>
      </c>
      <c r="H80" s="5">
        <f>FMECA!T81</f>
        <v>4091</v>
      </c>
      <c r="I80" s="5">
        <f>FMECA!U81</f>
        <v>4095</v>
      </c>
      <c r="J80" s="5">
        <f>FMECA!Z81</f>
        <v>0</v>
      </c>
      <c r="K80" s="5">
        <f>FMECA!AA81</f>
        <v>1</v>
      </c>
      <c r="L80" s="5" t="str">
        <f>FMECA!H81</f>
        <v>Safe</v>
      </c>
      <c r="M80" s="5" t="str">
        <f>FMECA!K81</f>
        <v>No; impactless.</v>
      </c>
      <c r="N80" s="5" t="str">
        <f>FMECA!L81</f>
        <v>No; impactless.</v>
      </c>
      <c r="O80" s="5" t="str">
        <f>FMECA!AC81</f>
        <v>Not applicable. Assumed that only undetectable faults will be classified onto a 'multiple faults class of equivalence'.</v>
      </c>
    </row>
    <row r="81" spans="1:15" ht="60">
      <c r="A81" s="5" t="str">
        <f>FMECA!A82</f>
        <v>OC3_Sys</v>
      </c>
      <c r="B81" s="55" t="str">
        <f>FMECA!B82</f>
        <v>Open diode</v>
      </c>
      <c r="C81" s="5">
        <f>FMECA!D82</f>
        <v>8.3333329999999997E-2</v>
      </c>
      <c r="D81" s="5">
        <f>FMECA!V82</f>
        <v>0</v>
      </c>
      <c r="E81" s="5">
        <f>FMECA!S82</f>
        <v>0</v>
      </c>
      <c r="F81" s="5">
        <f>FMECA!W82</f>
        <v>0</v>
      </c>
      <c r="G81" s="5">
        <f>FMECA!X82</f>
        <v>0</v>
      </c>
      <c r="H81" s="5">
        <f>FMECA!T82</f>
        <v>0</v>
      </c>
      <c r="I81" s="5">
        <f>FMECA!U82</f>
        <v>0</v>
      </c>
      <c r="J81" s="5">
        <f>FMECA!Z82</f>
        <v>0</v>
      </c>
      <c r="K81" s="5">
        <f>FMECA!AA82</f>
        <v>0</v>
      </c>
      <c r="L81" s="5" t="str">
        <f>FMECA!H82</f>
        <v>Safe</v>
      </c>
      <c r="M81" s="5" t="str">
        <f>FMECA!K82</f>
        <v>Yes</v>
      </c>
      <c r="N81" s="5" t="str">
        <f>FMECA!L82</f>
        <v>Yes</v>
      </c>
      <c r="O81" s="5" t="str">
        <f>FMECA!AC82</f>
        <v>Not applicable. Assumed that only undetectable faults will be classified onto a 'multiple faults class of equivalence'.</v>
      </c>
    </row>
    <row r="82" spans="1:15" ht="60">
      <c r="A82" s="5" t="str">
        <f>FMECA!A83</f>
        <v>OC3_Sys</v>
      </c>
      <c r="B82" s="55" t="str">
        <f>FMECA!B83</f>
        <v>Open emitter</v>
      </c>
      <c r="C82" s="5">
        <f>FMECA!D83</f>
        <v>8.3333329999999997E-2</v>
      </c>
      <c r="D82" s="5">
        <f>FMECA!V83</f>
        <v>0</v>
      </c>
      <c r="E82" s="5">
        <f>FMECA!S83</f>
        <v>0</v>
      </c>
      <c r="F82" s="5">
        <f>FMECA!W83</f>
        <v>0</v>
      </c>
      <c r="G82" s="5">
        <f>FMECA!X83</f>
        <v>0</v>
      </c>
      <c r="H82" s="5">
        <f>FMECA!T83</f>
        <v>0</v>
      </c>
      <c r="I82" s="5">
        <f>FMECA!U83</f>
        <v>0</v>
      </c>
      <c r="J82" s="5">
        <f>FMECA!Z83</f>
        <v>0</v>
      </c>
      <c r="K82" s="5">
        <f>FMECA!AA83</f>
        <v>0</v>
      </c>
      <c r="L82" s="5" t="str">
        <f>FMECA!H83</f>
        <v>Safe</v>
      </c>
      <c r="M82" s="5" t="str">
        <f>FMECA!K83</f>
        <v>Yes</v>
      </c>
      <c r="N82" s="5" t="str">
        <f>FMECA!L83</f>
        <v>Yes</v>
      </c>
      <c r="O82" s="5" t="str">
        <f>FMECA!AC83</f>
        <v>Not applicable. Assumed that only undetectable faults will be classified onto a 'multiple faults class of equivalence'.</v>
      </c>
    </row>
    <row r="83" spans="1:15" ht="60">
      <c r="A83" s="5" t="str">
        <f>FMECA!A84</f>
        <v>OC3_Sys</v>
      </c>
      <c r="B83" s="55" t="str">
        <f>FMECA!B84</f>
        <v>Open collector</v>
      </c>
      <c r="C83" s="5">
        <f>FMECA!D84</f>
        <v>8.3333329999999997E-2</v>
      </c>
      <c r="D83" s="5">
        <f>FMECA!V84</f>
        <v>0</v>
      </c>
      <c r="E83" s="5">
        <f>FMECA!S84</f>
        <v>0</v>
      </c>
      <c r="F83" s="5">
        <f>FMECA!W84</f>
        <v>0</v>
      </c>
      <c r="G83" s="5">
        <f>FMECA!X84</f>
        <v>0</v>
      </c>
      <c r="H83" s="5">
        <f>FMECA!T84</f>
        <v>0</v>
      </c>
      <c r="I83" s="5">
        <f>FMECA!U84</f>
        <v>0</v>
      </c>
      <c r="J83" s="5">
        <f>FMECA!Z84</f>
        <v>0</v>
      </c>
      <c r="K83" s="5">
        <f>FMECA!AA84</f>
        <v>0</v>
      </c>
      <c r="L83" s="5" t="str">
        <f>FMECA!H84</f>
        <v>Safe</v>
      </c>
      <c r="M83" s="5" t="str">
        <f>FMECA!K84</f>
        <v>Yes</v>
      </c>
      <c r="N83" s="5" t="str">
        <f>FMECA!L84</f>
        <v>Yes</v>
      </c>
      <c r="O83" s="5" t="str">
        <f>FMECA!AC84</f>
        <v>Not applicable. Assumed that only undetectable faults will be classified onto a 'multiple faults class of equivalence'.</v>
      </c>
    </row>
    <row r="84" spans="1:15" ht="60">
      <c r="A84" s="5" t="str">
        <f>FMECA!A85</f>
        <v>OC3_Sys</v>
      </c>
      <c r="B84" s="55" t="str">
        <f>FMECA!B85</f>
        <v>Open base</v>
      </c>
      <c r="C84" s="5">
        <f>FMECA!D85</f>
        <v>8.3333329999999997E-2</v>
      </c>
      <c r="D84" s="5">
        <f>FMECA!V85</f>
        <v>54</v>
      </c>
      <c r="E84" s="5">
        <f>FMECA!S85</f>
        <v>4092</v>
      </c>
      <c r="F84" s="5">
        <f>FMECA!W85</f>
        <v>51</v>
      </c>
      <c r="G84" s="5">
        <f>FMECA!X85</f>
        <v>57</v>
      </c>
      <c r="H84" s="5">
        <f>FMECA!T85</f>
        <v>4091</v>
      </c>
      <c r="I84" s="5">
        <f>FMECA!U85</f>
        <v>4095</v>
      </c>
      <c r="J84" s="5">
        <f>FMECA!Z85</f>
        <v>0</v>
      </c>
      <c r="K84" s="5">
        <f>FMECA!AA85</f>
        <v>1</v>
      </c>
      <c r="L84" s="5" t="str">
        <f>FMECA!H85</f>
        <v>Safe</v>
      </c>
      <c r="M84" s="5" t="str">
        <f>FMECA!K85</f>
        <v>No; impactless.</v>
      </c>
      <c r="N84" s="5" t="str">
        <f>FMECA!L85</f>
        <v>No; impactless.</v>
      </c>
      <c r="O84" s="5" t="str">
        <f>FMECA!AC85</f>
        <v>Not applicable. Assumed that only undetectable faults will be classified onto a 'multiple faults class of equivalence'.</v>
      </c>
    </row>
    <row r="85" spans="1:15" ht="60">
      <c r="A85" s="5" t="str">
        <f>FMECA!A86</f>
        <v>OC3_Sys</v>
      </c>
      <c r="B85" s="55" t="str">
        <f>FMECA!B86</f>
        <v>Increase of light sensitivity</v>
      </c>
      <c r="C85" s="5">
        <f>FMECA!D86</f>
        <v>8.3333329999999997E-2</v>
      </c>
      <c r="D85" s="5">
        <f>FMECA!V86</f>
        <v>54</v>
      </c>
      <c r="E85" s="5">
        <f>FMECA!S86</f>
        <v>4092</v>
      </c>
      <c r="F85" s="5">
        <f>FMECA!W86</f>
        <v>51</v>
      </c>
      <c r="G85" s="5">
        <f>FMECA!X86</f>
        <v>57</v>
      </c>
      <c r="H85" s="5">
        <f>FMECA!T86</f>
        <v>4091</v>
      </c>
      <c r="I85" s="5">
        <f>FMECA!U86</f>
        <v>4095</v>
      </c>
      <c r="J85" s="5">
        <f>FMECA!Z86</f>
        <v>0</v>
      </c>
      <c r="K85" s="5">
        <f>FMECA!AA86</f>
        <v>1</v>
      </c>
      <c r="L85" s="5" t="str">
        <f>FMECA!H86</f>
        <v>Safe</v>
      </c>
      <c r="M85" s="5" t="str">
        <f>FMECA!K86</f>
        <v>No; impactless.</v>
      </c>
      <c r="N85" s="5" t="str">
        <f>FMECA!L86</f>
        <v>No; impactless.</v>
      </c>
      <c r="O85" s="5" t="str">
        <f>FMECA!AC86</f>
        <v>Not applicable. Assumed that only undetectable faults will be classified onto a 'multiple faults class of equivalence'.</v>
      </c>
    </row>
    <row r="86" spans="1:15" ht="60">
      <c r="A86" s="5" t="str">
        <f>FMECA!A87</f>
        <v>OC3_Sys</v>
      </c>
      <c r="B86" s="55" t="str">
        <f>FMECA!B87</f>
        <v>Decrease of light sensitivity</v>
      </c>
      <c r="C86" s="5">
        <f>FMECA!D87</f>
        <v>8.3333329999999997E-2</v>
      </c>
      <c r="D86" s="5">
        <f>FMECA!V87</f>
        <v>0</v>
      </c>
      <c r="E86" s="5">
        <f>FMECA!S87</f>
        <v>0</v>
      </c>
      <c r="F86" s="5">
        <f>FMECA!W87</f>
        <v>0</v>
      </c>
      <c r="G86" s="5">
        <f>FMECA!X87</f>
        <v>0</v>
      </c>
      <c r="H86" s="5">
        <f>FMECA!T87</f>
        <v>0</v>
      </c>
      <c r="I86" s="5">
        <f>FMECA!U87</f>
        <v>0</v>
      </c>
      <c r="J86" s="5">
        <f>FMECA!Z87</f>
        <v>0</v>
      </c>
      <c r="K86" s="5">
        <f>FMECA!AA87</f>
        <v>0</v>
      </c>
      <c r="L86" s="5" t="str">
        <f>FMECA!H87</f>
        <v>Safe</v>
      </c>
      <c r="M86" s="5" t="str">
        <f>FMECA!K87</f>
        <v>Yes</v>
      </c>
      <c r="N86" s="5" t="str">
        <f>FMECA!L87</f>
        <v>Yes</v>
      </c>
      <c r="O86" s="5" t="str">
        <f>FMECA!AC87</f>
        <v>Not applicable. Assumed that only undetectable faults will be classified onto a 'multiple faults class of equivalence'.</v>
      </c>
    </row>
    <row r="87" spans="1:15" ht="60">
      <c r="A87" s="5" t="str">
        <f>FMECA!A88</f>
        <v>OC3_Sys</v>
      </c>
      <c r="B87" s="55" t="str">
        <f>FMECA!B88</f>
        <v>Increase of leakage current</v>
      </c>
      <c r="C87" s="5">
        <f>FMECA!D88</f>
        <v>0.125</v>
      </c>
      <c r="D87" s="5">
        <f>FMECA!V88</f>
        <v>0</v>
      </c>
      <c r="E87" s="5">
        <f>FMECA!S88</f>
        <v>0</v>
      </c>
      <c r="F87" s="5">
        <f>FMECA!W88</f>
        <v>0</v>
      </c>
      <c r="G87" s="5">
        <f>FMECA!X88</f>
        <v>0</v>
      </c>
      <c r="H87" s="5">
        <f>FMECA!T88</f>
        <v>0</v>
      </c>
      <c r="I87" s="5">
        <f>FMECA!U88</f>
        <v>0</v>
      </c>
      <c r="J87" s="5">
        <f>FMECA!Z88</f>
        <v>0</v>
      </c>
      <c r="K87" s="5">
        <f>FMECA!AA88</f>
        <v>0</v>
      </c>
      <c r="L87" s="5" t="str">
        <f>FMECA!H88</f>
        <v>Safe</v>
      </c>
      <c r="M87" s="5" t="str">
        <f>FMECA!K88</f>
        <v>Yes</v>
      </c>
      <c r="N87" s="5" t="str">
        <f>FMECA!L88</f>
        <v>Yes</v>
      </c>
      <c r="O87" s="5" t="str">
        <f>FMECA!AC88</f>
        <v>Not applicable. Assumed that only undetectable faults will be classified onto a 'multiple faults class of equivalence'.</v>
      </c>
    </row>
    <row r="88" spans="1:15" ht="60">
      <c r="A88" s="5" t="str">
        <f>FMECA!A89</f>
        <v>OC3_Sys</v>
      </c>
      <c r="B88" s="55" t="str">
        <f>FMECA!B89</f>
        <v>Reduced insulation between input and output</v>
      </c>
      <c r="C88" s="5">
        <f>FMECA!D89</f>
        <v>0.125</v>
      </c>
      <c r="D88" s="5">
        <f>FMECA!V89</f>
        <v>54</v>
      </c>
      <c r="E88" s="5">
        <f>FMECA!S89</f>
        <v>4092</v>
      </c>
      <c r="F88" s="5">
        <f>FMECA!W89</f>
        <v>51</v>
      </c>
      <c r="G88" s="5">
        <f>FMECA!X89</f>
        <v>57</v>
      </c>
      <c r="H88" s="5">
        <f>FMECA!T89</f>
        <v>4091</v>
      </c>
      <c r="I88" s="5">
        <f>FMECA!U89</f>
        <v>4095</v>
      </c>
      <c r="J88" s="5">
        <f>FMECA!Z89</f>
        <v>0</v>
      </c>
      <c r="K88" s="5">
        <f>FMECA!AA89</f>
        <v>0</v>
      </c>
      <c r="L88" s="5" t="str">
        <f>FMECA!H89</f>
        <v>Safe</v>
      </c>
      <c r="M88" s="5" t="str">
        <f>FMECA!K89</f>
        <v>No</v>
      </c>
      <c r="N88" s="5" t="str">
        <f>FMECA!L89</f>
        <v>Yes</v>
      </c>
      <c r="O88" s="5" t="str">
        <f>FMECA!AC89</f>
        <v>Not applicable. Assumed that only undetectable faults will be classified onto a 'multiple faults class of equivalence'.</v>
      </c>
    </row>
    <row r="89" spans="1:15" ht="90">
      <c r="A89" s="5" t="str">
        <f>FMECA!A90</f>
        <v>OC3_Sys</v>
      </c>
      <c r="B89" s="55" t="str">
        <f>FMECA!B90</f>
        <v>Change on switching time</v>
      </c>
      <c r="C89" s="5">
        <f>FMECA!D90</f>
        <v>8.3333329999999997E-2</v>
      </c>
      <c r="D89" s="5">
        <f>FMECA!V90</f>
        <v>54</v>
      </c>
      <c r="E89" s="5">
        <f>FMECA!S90</f>
        <v>4092</v>
      </c>
      <c r="F89" s="5">
        <f>FMECA!W90</f>
        <v>51</v>
      </c>
      <c r="G89" s="5">
        <f>FMECA!X90</f>
        <v>57</v>
      </c>
      <c r="H89" s="5">
        <f>FMECA!T90</f>
        <v>4091</v>
      </c>
      <c r="I89" s="5">
        <f>FMECA!U90</f>
        <v>4095</v>
      </c>
      <c r="J89" s="5">
        <f>FMECA!Z90</f>
        <v>1</v>
      </c>
      <c r="K89" s="5">
        <f>FMECA!AA90</f>
        <v>0</v>
      </c>
      <c r="L89" s="5" t="str">
        <f>FMECA!H90</f>
        <v>Safe</v>
      </c>
      <c r="M89" s="5" t="str">
        <f>FMECA!K90</f>
        <v>No</v>
      </c>
      <c r="N89" s="5" t="str">
        <f>FMECA!L90</f>
        <v>No</v>
      </c>
      <c r="O89" s="5" t="str">
        <f>FMECA!AC90</f>
        <v>CM1: If this fault occurs,  Keep_Power_Readback will always be considered correct (worst case), and Fuse_Result will be extracted from the second fault.</v>
      </c>
    </row>
    <row r="90" spans="1:15" ht="60">
      <c r="A90" s="5" t="str">
        <f>FMECA!A91</f>
        <v>OC3_Sys</v>
      </c>
      <c r="B90" s="55" t="str">
        <f>FMECA!B91</f>
        <v>Increase of current gain</v>
      </c>
      <c r="C90" s="5">
        <f>FMECA!D91</f>
        <v>8.3333329999999997E-2</v>
      </c>
      <c r="D90" s="5">
        <f>FMECA!V91</f>
        <v>54</v>
      </c>
      <c r="E90" s="5">
        <f>FMECA!S91</f>
        <v>4092</v>
      </c>
      <c r="F90" s="5">
        <f>FMECA!W91</f>
        <v>51</v>
      </c>
      <c r="G90" s="5">
        <f>FMECA!X91</f>
        <v>57</v>
      </c>
      <c r="H90" s="5">
        <f>FMECA!T91</f>
        <v>4091</v>
      </c>
      <c r="I90" s="5">
        <f>FMECA!U91</f>
        <v>4095</v>
      </c>
      <c r="J90" s="5">
        <f>FMECA!Z91</f>
        <v>0</v>
      </c>
      <c r="K90" s="5">
        <f>FMECA!AA91</f>
        <v>1</v>
      </c>
      <c r="L90" s="5" t="str">
        <f>FMECA!H91</f>
        <v>Safe</v>
      </c>
      <c r="M90" s="5" t="str">
        <f>FMECA!K91</f>
        <v>No; impactless.</v>
      </c>
      <c r="N90" s="5" t="str">
        <f>FMECA!L91</f>
        <v>No; impactless.</v>
      </c>
      <c r="O90" s="5" t="str">
        <f>FMECA!AC91</f>
        <v>Not applicable. Assumed that only undetectable faults will be classified onto a 'multiple faults class of equivalence'.</v>
      </c>
    </row>
    <row r="91" spans="1:15" ht="105">
      <c r="A91" s="5" t="str">
        <f>FMECA!A92</f>
        <v>OC3_Sys</v>
      </c>
      <c r="B91" s="55" t="str">
        <f>FMECA!B92</f>
        <v>Decrease of current gain</v>
      </c>
      <c r="C91" s="5">
        <f>FMECA!D92</f>
        <v>8.3333329999999997E-2</v>
      </c>
      <c r="D91" s="5">
        <f>FMECA!V92</f>
        <v>0</v>
      </c>
      <c r="E91" s="5">
        <f>FMECA!S92</f>
        <v>0</v>
      </c>
      <c r="F91" s="5">
        <f>FMECA!W92</f>
        <v>0</v>
      </c>
      <c r="G91" s="5">
        <f>FMECA!X92</f>
        <v>0</v>
      </c>
      <c r="H91" s="5">
        <f>FMECA!T92</f>
        <v>0</v>
      </c>
      <c r="I91" s="5">
        <f>FMECA!U92</f>
        <v>0</v>
      </c>
      <c r="J91" s="5">
        <f>FMECA!Z92</f>
        <v>0</v>
      </c>
      <c r="K91" s="5">
        <f>FMECA!AA92</f>
        <v>1</v>
      </c>
      <c r="L91" s="5" t="str">
        <f>FMECA!H92</f>
        <v>Safe</v>
      </c>
      <c r="M91" s="5" t="str">
        <f>FMECA!K92</f>
        <v>Outside the scope of the local channel, but it will be detected in the future (all outputs zeroed for the Fuse_Result test)</v>
      </c>
      <c r="N91" s="5" t="str">
        <f>FMECA!L92</f>
        <v>No</v>
      </c>
      <c r="O91" s="5" t="str">
        <f>FMECA!AC92</f>
        <v>Not applicable. Assumed that only undetectable faults will be classified onto a 'multiple faults class of equivalence'.</v>
      </c>
    </row>
    <row r="92" spans="1:15" ht="60">
      <c r="A92" s="5" t="str">
        <f>FMECA!A93</f>
        <v>D_Sys</v>
      </c>
      <c r="B92" s="55" t="str">
        <f>FMECA!B93</f>
        <v>Open</v>
      </c>
      <c r="C92" s="5">
        <f>FMECA!D93</f>
        <v>0.28999999999999998</v>
      </c>
      <c r="D92" s="5">
        <f>FMECA!V93</f>
        <v>54</v>
      </c>
      <c r="E92" s="5">
        <f>FMECA!S93</f>
        <v>4092</v>
      </c>
      <c r="F92" s="5">
        <f>FMECA!W93</f>
        <v>51</v>
      </c>
      <c r="G92" s="5">
        <f>FMECA!X93</f>
        <v>57</v>
      </c>
      <c r="H92" s="5">
        <f>FMECA!T93</f>
        <v>4091</v>
      </c>
      <c r="I92" s="5">
        <f>FMECA!U93</f>
        <v>4095</v>
      </c>
      <c r="J92" s="5">
        <f>FMECA!Z93</f>
        <v>1</v>
      </c>
      <c r="K92" s="5">
        <f>FMECA!AA93</f>
        <v>1</v>
      </c>
      <c r="L92" s="5" t="str">
        <f>FMECA!H93</f>
        <v>Safe</v>
      </c>
      <c r="M92" s="5" t="str">
        <f>FMECA!K93</f>
        <v>No</v>
      </c>
      <c r="N92" s="5" t="str">
        <f>FMECA!L93</f>
        <v>Yes</v>
      </c>
      <c r="O92" s="5" t="str">
        <f>FMECA!AC93</f>
        <v>Not applicable. Assumed that only undetectable faults will be classified onto a 'multiple faults class of equivalence'.</v>
      </c>
    </row>
    <row r="93" spans="1:15" ht="60">
      <c r="A93" s="5" t="str">
        <f>FMECA!A94</f>
        <v>D_Sys</v>
      </c>
      <c r="B93" s="55" t="str">
        <f>FMECA!B94</f>
        <v>Short-Circuit</v>
      </c>
      <c r="C93" s="5">
        <f>FMECA!D94</f>
        <v>0.51</v>
      </c>
      <c r="D93" s="5">
        <f>FMECA!V94</f>
        <v>0</v>
      </c>
      <c r="E93" s="5">
        <f>FMECA!S94</f>
        <v>0</v>
      </c>
      <c r="F93" s="5">
        <f>FMECA!W94</f>
        <v>0</v>
      </c>
      <c r="G93" s="5">
        <f>FMECA!X94</f>
        <v>0</v>
      </c>
      <c r="H93" s="5">
        <f>FMECA!T94</f>
        <v>0</v>
      </c>
      <c r="I93" s="5">
        <f>FMECA!U94</f>
        <v>0</v>
      </c>
      <c r="J93" s="5">
        <f>FMECA!Z94</f>
        <v>0</v>
      </c>
      <c r="K93" s="5">
        <f>FMECA!AA94</f>
        <v>0</v>
      </c>
      <c r="L93" s="5" t="str">
        <f>FMECA!H94</f>
        <v>Safe</v>
      </c>
      <c r="M93" s="5" t="str">
        <f>FMECA!K94</f>
        <v>Yes</v>
      </c>
      <c r="N93" s="5" t="str">
        <f>FMECA!L94</f>
        <v>Yes</v>
      </c>
      <c r="O93" s="5" t="str">
        <f>FMECA!AC94</f>
        <v>Not applicable. Assumed that only undetectable faults will be classified onto a 'multiple faults class of equivalence'.</v>
      </c>
    </row>
    <row r="94" spans="1:15" ht="60">
      <c r="A94" s="5" t="str">
        <f>FMECA!A95</f>
        <v>D_Sys</v>
      </c>
      <c r="B94" s="55" t="str">
        <f>FMECA!B95</f>
        <v>Increase of Reverse Current</v>
      </c>
      <c r="C94" s="5">
        <f>FMECA!D95</f>
        <v>3.3333333333333333E-2</v>
      </c>
      <c r="D94" s="5">
        <f>FMECA!V95</f>
        <v>0</v>
      </c>
      <c r="E94" s="5">
        <f>FMECA!S95</f>
        <v>0</v>
      </c>
      <c r="F94" s="5">
        <f>FMECA!W95</f>
        <v>0</v>
      </c>
      <c r="G94" s="5">
        <f>FMECA!X95</f>
        <v>0</v>
      </c>
      <c r="H94" s="5">
        <f>FMECA!T95</f>
        <v>0</v>
      </c>
      <c r="I94" s="5">
        <f>FMECA!U95</f>
        <v>0</v>
      </c>
      <c r="J94" s="5">
        <f>FMECA!Z95</f>
        <v>0</v>
      </c>
      <c r="K94" s="5">
        <f>FMECA!AA95</f>
        <v>0</v>
      </c>
      <c r="L94" s="5" t="str">
        <f>FMECA!H95</f>
        <v>Safe</v>
      </c>
      <c r="M94" s="5" t="str">
        <f>FMECA!K95</f>
        <v>Yes</v>
      </c>
      <c r="N94" s="5" t="str">
        <f>FMECA!L95</f>
        <v>Yes</v>
      </c>
      <c r="O94" s="5" t="str">
        <f>FMECA!AC95</f>
        <v>Not applicable. Assumed that only undetectable faults will be classified onto a 'multiple faults class of equivalence'.</v>
      </c>
    </row>
    <row r="95" spans="1:15" ht="60">
      <c r="A95" s="5" t="str">
        <f>FMECA!A96</f>
        <v>D_Sys</v>
      </c>
      <c r="B95" s="55" t="str">
        <f>FMECA!B96</f>
        <v>Decrease of Reverse Breakdown Voltage</v>
      </c>
      <c r="C95" s="5">
        <f>FMECA!D96</f>
        <v>3.3333333333333333E-2</v>
      </c>
      <c r="D95" s="5">
        <f>FMECA!V96</f>
        <v>0</v>
      </c>
      <c r="E95" s="5">
        <f>FMECA!S96</f>
        <v>0</v>
      </c>
      <c r="F95" s="5">
        <f>FMECA!W96</f>
        <v>0</v>
      </c>
      <c r="G95" s="5">
        <f>FMECA!X96</f>
        <v>0</v>
      </c>
      <c r="H95" s="5">
        <f>FMECA!T96</f>
        <v>0</v>
      </c>
      <c r="I95" s="5">
        <f>FMECA!U96</f>
        <v>0</v>
      </c>
      <c r="J95" s="5">
        <f>FMECA!Z96</f>
        <v>0</v>
      </c>
      <c r="K95" s="5">
        <f>FMECA!AA96</f>
        <v>0</v>
      </c>
      <c r="L95" s="5" t="str">
        <f>FMECA!H96</f>
        <v>Safe</v>
      </c>
      <c r="M95" s="5" t="str">
        <f>FMECA!K96</f>
        <v>Yes</v>
      </c>
      <c r="N95" s="5" t="str">
        <f>FMECA!L96</f>
        <v>Yes</v>
      </c>
      <c r="O95" s="5" t="str">
        <f>FMECA!AC96</f>
        <v>Not applicable. Assumed that only undetectable faults will be classified onto a 'multiple faults class of equivalence'.</v>
      </c>
    </row>
    <row r="96" spans="1:15" ht="60">
      <c r="A96" s="5" t="str">
        <f>FMECA!A97</f>
        <v>D_Sys</v>
      </c>
      <c r="B96" s="55" t="str">
        <f>FMECA!B97</f>
        <v>Increase of Conducting-State Voltage</v>
      </c>
      <c r="C96" s="5">
        <f>FMECA!D97</f>
        <v>3.3333333333333333E-2</v>
      </c>
      <c r="D96" s="5">
        <f>FMECA!V97</f>
        <v>54</v>
      </c>
      <c r="E96" s="5">
        <f>FMECA!S97</f>
        <v>4092</v>
      </c>
      <c r="F96" s="5">
        <f>FMECA!W97</f>
        <v>51</v>
      </c>
      <c r="G96" s="5">
        <f>FMECA!X97</f>
        <v>57</v>
      </c>
      <c r="H96" s="5">
        <f>FMECA!T97</f>
        <v>4091</v>
      </c>
      <c r="I96" s="5">
        <f>FMECA!U97</f>
        <v>4095</v>
      </c>
      <c r="J96" s="5">
        <f>FMECA!Z97</f>
        <v>1</v>
      </c>
      <c r="K96" s="5">
        <f>FMECA!AA97</f>
        <v>1</v>
      </c>
      <c r="L96" s="5" t="str">
        <f>FMECA!H97</f>
        <v>Safe</v>
      </c>
      <c r="M96" s="5" t="str">
        <f>FMECA!K97</f>
        <v>No</v>
      </c>
      <c r="N96" s="5" t="str">
        <f>FMECA!L97</f>
        <v>Yes</v>
      </c>
      <c r="O96" s="5" t="str">
        <f>FMECA!AC97</f>
        <v>Not applicable. Assumed that only undetectable faults will be classified onto a 'multiple faults class of equivalence'.</v>
      </c>
    </row>
    <row r="97" spans="1:15" ht="60">
      <c r="A97" s="5" t="str">
        <f>FMECA!A98</f>
        <v>D_Sys</v>
      </c>
      <c r="B97" s="55" t="str">
        <f>FMECA!B98</f>
        <v>Decrease of Conducting-State Voltage</v>
      </c>
      <c r="C97" s="5">
        <f>FMECA!D98</f>
        <v>3.3333333333333333E-2</v>
      </c>
      <c r="D97" s="5">
        <f>FMECA!V98</f>
        <v>0</v>
      </c>
      <c r="E97" s="5">
        <f>FMECA!S98</f>
        <v>0</v>
      </c>
      <c r="F97" s="5">
        <f>FMECA!W98</f>
        <v>0</v>
      </c>
      <c r="G97" s="5">
        <f>FMECA!X98</f>
        <v>0</v>
      </c>
      <c r="H97" s="5">
        <f>FMECA!T98</f>
        <v>0</v>
      </c>
      <c r="I97" s="5">
        <f>FMECA!U98</f>
        <v>0</v>
      </c>
      <c r="J97" s="5">
        <f>FMECA!Z98</f>
        <v>0</v>
      </c>
      <c r="K97" s="5">
        <f>FMECA!AA98</f>
        <v>0</v>
      </c>
      <c r="L97" s="5" t="str">
        <f>FMECA!H98</f>
        <v>Safe</v>
      </c>
      <c r="M97" s="5" t="str">
        <f>FMECA!K98</f>
        <v>Yes</v>
      </c>
      <c r="N97" s="5" t="str">
        <f>FMECA!L98</f>
        <v>Yes</v>
      </c>
      <c r="O97" s="5" t="str">
        <f>FMECA!AC98</f>
        <v>Not applicable. Assumed that only undetectable faults will be classified onto a 'multiple faults class of equivalence'.</v>
      </c>
    </row>
    <row r="98" spans="1:15" ht="60">
      <c r="A98" s="5" t="str">
        <f>FMECA!A99</f>
        <v>D_Sys</v>
      </c>
      <c r="B98" s="55" t="str">
        <f>FMECA!B99</f>
        <v>Increase of Threshold Voltage</v>
      </c>
      <c r="C98" s="5">
        <f>FMECA!D99</f>
        <v>3.3333333333333333E-2</v>
      </c>
      <c r="D98" s="5">
        <f>FMECA!V99</f>
        <v>54</v>
      </c>
      <c r="E98" s="5">
        <f>FMECA!S99</f>
        <v>4092</v>
      </c>
      <c r="F98" s="5">
        <f>FMECA!W99</f>
        <v>51</v>
      </c>
      <c r="G98" s="5">
        <f>FMECA!X99</f>
        <v>57</v>
      </c>
      <c r="H98" s="5">
        <f>FMECA!T99</f>
        <v>4091</v>
      </c>
      <c r="I98" s="5">
        <f>FMECA!U99</f>
        <v>4095</v>
      </c>
      <c r="J98" s="5">
        <f>FMECA!Z99</f>
        <v>1</v>
      </c>
      <c r="K98" s="5">
        <f>FMECA!AA99</f>
        <v>1</v>
      </c>
      <c r="L98" s="5" t="str">
        <f>FMECA!H99</f>
        <v>Safe</v>
      </c>
      <c r="M98" s="5" t="str">
        <f>FMECA!K99</f>
        <v>No</v>
      </c>
      <c r="N98" s="5" t="str">
        <f>FMECA!L99</f>
        <v>Yes</v>
      </c>
      <c r="O98" s="5" t="str">
        <f>FMECA!AC99</f>
        <v>Not applicable. Assumed that only undetectable faults will be classified onto a 'multiple faults class of equivalence'.</v>
      </c>
    </row>
    <row r="99" spans="1:15" ht="60">
      <c r="A99" s="5" t="str">
        <f>FMECA!A100</f>
        <v>D_Sys</v>
      </c>
      <c r="B99" s="55" t="str">
        <f>FMECA!B100</f>
        <v>Decrease of Threshold Voltage</v>
      </c>
      <c r="C99" s="5">
        <f>FMECA!D100</f>
        <v>3.3333333333333333E-2</v>
      </c>
      <c r="D99" s="5">
        <f>FMECA!V100</f>
        <v>0</v>
      </c>
      <c r="E99" s="5">
        <f>FMECA!S100</f>
        <v>0</v>
      </c>
      <c r="F99" s="5">
        <f>FMECA!W100</f>
        <v>0</v>
      </c>
      <c r="G99" s="5">
        <f>FMECA!X100</f>
        <v>0</v>
      </c>
      <c r="H99" s="5">
        <f>FMECA!T100</f>
        <v>0</v>
      </c>
      <c r="I99" s="5">
        <f>FMECA!U100</f>
        <v>0</v>
      </c>
      <c r="J99" s="5">
        <f>FMECA!Z100</f>
        <v>0</v>
      </c>
      <c r="K99" s="5">
        <f>FMECA!AA100</f>
        <v>0</v>
      </c>
      <c r="L99" s="5" t="str">
        <f>FMECA!H100</f>
        <v>Safe</v>
      </c>
      <c r="M99" s="5" t="str">
        <f>FMECA!K100</f>
        <v>Yes</v>
      </c>
      <c r="N99" s="5" t="str">
        <f>FMECA!L100</f>
        <v>Yes</v>
      </c>
      <c r="O99" s="5" t="str">
        <f>FMECA!AC100</f>
        <v>Not applicable. Assumed that only undetectable faults will be classified onto a 'multiple faults class of equivalence'.</v>
      </c>
    </row>
    <row r="100" spans="1:15" ht="60">
      <c r="A100" s="5" t="str">
        <f>FMECA!A101</f>
        <v>D_Sys</v>
      </c>
      <c r="B100" s="55" t="str">
        <f>FMECA!B101</f>
        <v>Short-Circuit to Conductive Casing</v>
      </c>
      <c r="C100" s="5">
        <f>FMECA!D101</f>
        <v>0</v>
      </c>
      <c r="D100" s="5">
        <f>FMECA!V101</f>
        <v>54</v>
      </c>
      <c r="E100" s="5">
        <f>FMECA!S101</f>
        <v>4092</v>
      </c>
      <c r="F100" s="5">
        <f>FMECA!W101</f>
        <v>51</v>
      </c>
      <c r="G100" s="5">
        <f>FMECA!X101</f>
        <v>57</v>
      </c>
      <c r="H100" s="5">
        <f>FMECA!T101</f>
        <v>4091</v>
      </c>
      <c r="I100" s="5">
        <f>FMECA!U101</f>
        <v>4095</v>
      </c>
      <c r="J100" s="5">
        <f>FMECA!Z101</f>
        <v>0</v>
      </c>
      <c r="K100" s="5">
        <f>FMECA!AA101</f>
        <v>1</v>
      </c>
      <c r="L100" s="5" t="str">
        <f>FMECA!H101</f>
        <v>Safe</v>
      </c>
      <c r="M100" s="5" t="str">
        <f>FMECA!K101</f>
        <v>No; impactless.</v>
      </c>
      <c r="N100" s="5" t="str">
        <f>FMECA!L101</f>
        <v>No; impactless.</v>
      </c>
      <c r="O100" s="5" t="str">
        <f>FMECA!AC101</f>
        <v>Not applicable. Assumed that only undetectable faults will be classified onto a 'multiple faults class of equivalence'.</v>
      </c>
    </row>
    <row r="101" spans="1:15" ht="60">
      <c r="A101" s="5" t="str">
        <f>FMECA!A102</f>
        <v>K_Sys</v>
      </c>
      <c r="B101" s="55" t="str">
        <f>FMECA!B102</f>
        <v>Interruption of any coil</v>
      </c>
      <c r="C101" s="5">
        <f>FMECA!D102</f>
        <v>7.8571428571428584E-2</v>
      </c>
      <c r="D101" s="5">
        <f>FMECA!V102</f>
        <v>0</v>
      </c>
      <c r="E101" s="5">
        <f>FMECA!S102</f>
        <v>0</v>
      </c>
      <c r="F101" s="5">
        <f>FMECA!W102</f>
        <v>0</v>
      </c>
      <c r="G101" s="5">
        <f>FMECA!X102</f>
        <v>0</v>
      </c>
      <c r="H101" s="5">
        <f>FMECA!T102</f>
        <v>0</v>
      </c>
      <c r="I101" s="5">
        <f>FMECA!U102</f>
        <v>0</v>
      </c>
      <c r="J101" s="5">
        <f>FMECA!Z102</f>
        <v>0</v>
      </c>
      <c r="K101" s="5">
        <f>FMECA!AA102</f>
        <v>0</v>
      </c>
      <c r="L101" s="5" t="str">
        <f>FMECA!H102</f>
        <v>Safe</v>
      </c>
      <c r="M101" s="5" t="str">
        <f>FMECA!K102</f>
        <v>Yes</v>
      </c>
      <c r="N101" s="5" t="str">
        <f>FMECA!L102</f>
        <v>Yes</v>
      </c>
      <c r="O101" s="5" t="str">
        <f>FMECA!AC102</f>
        <v>Not applicable. Assumed that only undetectable faults will be classified onto a 'multiple faults class of equivalence'.</v>
      </c>
    </row>
    <row r="102" spans="1:15" ht="60">
      <c r="A102" s="5" t="str">
        <f>FMECA!A103</f>
        <v>K_Sys</v>
      </c>
      <c r="B102" s="55" t="str">
        <f>FMECA!B103</f>
        <v>Interruption of NO contact</v>
      </c>
      <c r="C102" s="5">
        <f>FMECA!D103</f>
        <v>1.4444444444444446E-2</v>
      </c>
      <c r="D102" s="5">
        <f>FMECA!V103</f>
        <v>0</v>
      </c>
      <c r="E102" s="5">
        <f>FMECA!S103</f>
        <v>0</v>
      </c>
      <c r="F102" s="5">
        <f>FMECA!W103</f>
        <v>0</v>
      </c>
      <c r="G102" s="5">
        <f>FMECA!X103</f>
        <v>0</v>
      </c>
      <c r="H102" s="5">
        <f>FMECA!T103</f>
        <v>0</v>
      </c>
      <c r="I102" s="5">
        <f>FMECA!U103</f>
        <v>0</v>
      </c>
      <c r="J102" s="5">
        <f>FMECA!Z103</f>
        <v>0</v>
      </c>
      <c r="K102" s="5">
        <f>FMECA!AA103</f>
        <v>0</v>
      </c>
      <c r="L102" s="5" t="str">
        <f>FMECA!H103</f>
        <v>Safe</v>
      </c>
      <c r="M102" s="5" t="str">
        <f>FMECA!K103</f>
        <v>Yes</v>
      </c>
      <c r="N102" s="5" t="str">
        <f>FMECA!L103</f>
        <v>Yes</v>
      </c>
      <c r="O102" s="5" t="str">
        <f>FMECA!AC103</f>
        <v>Not applicable. Assumed that only undetectable faults will be classified onto a 'multiple faults class of equivalence'.</v>
      </c>
    </row>
    <row r="103" spans="1:15" ht="60">
      <c r="A103" s="5" t="str">
        <f>FMECA!A104</f>
        <v>K_Sys</v>
      </c>
      <c r="B103" s="55" t="str">
        <f>FMECA!B104</f>
        <v>Interruption of NC contact</v>
      </c>
      <c r="C103" s="5">
        <f>FMECA!D104</f>
        <v>1.4444444444444446E-2</v>
      </c>
      <c r="D103" s="5">
        <f>FMECA!V104</f>
        <v>54</v>
      </c>
      <c r="E103" s="5">
        <f>FMECA!S104</f>
        <v>4092</v>
      </c>
      <c r="F103" s="5">
        <f>FMECA!W104</f>
        <v>51</v>
      </c>
      <c r="G103" s="5">
        <f>FMECA!X104</f>
        <v>57</v>
      </c>
      <c r="H103" s="5">
        <f>FMECA!T104</f>
        <v>4091</v>
      </c>
      <c r="I103" s="5">
        <f>FMECA!U104</f>
        <v>4095</v>
      </c>
      <c r="J103" s="5">
        <f>FMECA!Z104</f>
        <v>1</v>
      </c>
      <c r="K103" s="5">
        <f>FMECA!AA104</f>
        <v>1</v>
      </c>
      <c r="L103" s="5" t="str">
        <f>FMECA!H104</f>
        <v>Safe</v>
      </c>
      <c r="M103" s="5" t="str">
        <f>FMECA!K104</f>
        <v>No</v>
      </c>
      <c r="N103" s="5" t="str">
        <f>FMECA!L104</f>
        <v>Yes</v>
      </c>
      <c r="O103" s="5" t="str">
        <f>FMECA!AC104</f>
        <v>Not applicable. Assumed that only undetectable faults will be classified onto a 'multiple faults class of equivalence'.</v>
      </c>
    </row>
    <row r="104" spans="1:15" ht="60">
      <c r="A104" s="5" t="str">
        <f>FMECA!A105</f>
        <v>K_Sys</v>
      </c>
      <c r="B104" s="55" t="str">
        <f>FMECA!B105</f>
        <v>Short-circuit or decrease of insulation resistance across open contacts</v>
      </c>
      <c r="C104" s="5">
        <f>FMECA!D105</f>
        <v>6.3333333333333339E-2</v>
      </c>
      <c r="D104" s="5">
        <f>FMECA!V105</f>
        <v>54</v>
      </c>
      <c r="E104" s="5">
        <f>FMECA!S105</f>
        <v>4092</v>
      </c>
      <c r="F104" s="5">
        <f>FMECA!W105</f>
        <v>51</v>
      </c>
      <c r="G104" s="5">
        <f>FMECA!X105</f>
        <v>57</v>
      </c>
      <c r="H104" s="5">
        <f>FMECA!T105</f>
        <v>4091</v>
      </c>
      <c r="I104" s="5">
        <f>FMECA!U105</f>
        <v>4095</v>
      </c>
      <c r="J104" s="5">
        <f>FMECA!Z105</f>
        <v>1</v>
      </c>
      <c r="K104" s="5">
        <f>FMECA!AA105</f>
        <v>1</v>
      </c>
      <c r="L104" s="5" t="str">
        <f>FMECA!H105</f>
        <v>Safe</v>
      </c>
      <c r="M104" s="5" t="str">
        <f>FMECA!K105</f>
        <v>No</v>
      </c>
      <c r="N104" s="5" t="str">
        <f>FMECA!L105</f>
        <v>Yes</v>
      </c>
      <c r="O104" s="5" t="str">
        <f>FMECA!AC105</f>
        <v>Not applicable. Assumed that only undetectable faults will be classified onto a 'multiple faults class of equivalence'.</v>
      </c>
    </row>
    <row r="105" spans="1:15" ht="60">
      <c r="A105" s="5" t="str">
        <f>FMECA!A106</f>
        <v>K_Sys</v>
      </c>
      <c r="B105" s="55" t="str">
        <f>FMECA!B106</f>
        <v>Short-circuit or decrease of insulation resistance between coil and coil</v>
      </c>
      <c r="C105" s="5">
        <f>FMECA!D106</f>
        <v>0</v>
      </c>
      <c r="D105" s="5">
        <f>FMECA!V106</f>
        <v>54</v>
      </c>
      <c r="E105" s="5">
        <f>FMECA!S106</f>
        <v>4092</v>
      </c>
      <c r="F105" s="5">
        <f>FMECA!W106</f>
        <v>51</v>
      </c>
      <c r="G105" s="5">
        <f>FMECA!X106</f>
        <v>57</v>
      </c>
      <c r="H105" s="5">
        <f>FMECA!T106</f>
        <v>4091</v>
      </c>
      <c r="I105" s="5">
        <f>FMECA!U106</f>
        <v>4095</v>
      </c>
      <c r="J105" s="5">
        <f>FMECA!Z106</f>
        <v>0</v>
      </c>
      <c r="K105" s="5">
        <f>FMECA!AA106</f>
        <v>1</v>
      </c>
      <c r="L105" s="5" t="str">
        <f>FMECA!H106</f>
        <v>Safe</v>
      </c>
      <c r="M105" s="5" t="str">
        <f>FMECA!K106</f>
        <v>No; impactless.</v>
      </c>
      <c r="N105" s="5" t="str">
        <f>FMECA!L106</f>
        <v>No; impactless.</v>
      </c>
      <c r="O105" s="5" t="str">
        <f>FMECA!AC106</f>
        <v>Not applicable. Assumed that only undetectable faults will be classified onto a 'multiple faults class of equivalence'.</v>
      </c>
    </row>
    <row r="106" spans="1:15" ht="60">
      <c r="A106" s="5" t="str">
        <f>FMECA!A107</f>
        <v>K_Sys</v>
      </c>
      <c r="B106" s="55" t="str">
        <f>FMECA!B107</f>
        <v>Short-circuit or decrease of insulation resistance between coil and contact</v>
      </c>
      <c r="C106" s="5">
        <f>FMECA!D107</f>
        <v>6.3333333333333339E-2</v>
      </c>
      <c r="D106" s="5">
        <f>FMECA!V107</f>
        <v>54</v>
      </c>
      <c r="E106" s="5">
        <f>FMECA!S107</f>
        <v>4092</v>
      </c>
      <c r="F106" s="5">
        <f>FMECA!W107</f>
        <v>51</v>
      </c>
      <c r="G106" s="5">
        <f>FMECA!X107</f>
        <v>57</v>
      </c>
      <c r="H106" s="5">
        <f>FMECA!T107</f>
        <v>4091</v>
      </c>
      <c r="I106" s="5">
        <f>FMECA!U107</f>
        <v>4095</v>
      </c>
      <c r="J106" s="5">
        <f>FMECA!Z107</f>
        <v>0</v>
      </c>
      <c r="K106" s="5">
        <f>FMECA!AA107</f>
        <v>0</v>
      </c>
      <c r="L106" s="5" t="str">
        <f>FMECA!H107</f>
        <v>Safe</v>
      </c>
      <c r="M106" s="5" t="str">
        <f>FMECA!K107</f>
        <v>No</v>
      </c>
      <c r="N106" s="5" t="str">
        <f>FMECA!L107</f>
        <v>Yes</v>
      </c>
      <c r="O106" s="5" t="str">
        <f>FMECA!AC107</f>
        <v>Not applicable. Assumed that only undetectable faults will be classified onto a 'multiple faults class of equivalence'.</v>
      </c>
    </row>
    <row r="107" spans="1:15" ht="60">
      <c r="A107" s="5" t="str">
        <f>FMECA!A108</f>
        <v>K_Sys</v>
      </c>
      <c r="B107" s="55" t="str">
        <f>FMECA!B108</f>
        <v>Short-circuit or decrease of insulation resistance between coil and case</v>
      </c>
      <c r="C107" s="5">
        <f>FMECA!D108</f>
        <v>0</v>
      </c>
      <c r="D107" s="5">
        <f>FMECA!V108</f>
        <v>54</v>
      </c>
      <c r="E107" s="5">
        <f>FMECA!S108</f>
        <v>4092</v>
      </c>
      <c r="F107" s="5">
        <f>FMECA!W108</f>
        <v>51</v>
      </c>
      <c r="G107" s="5">
        <f>FMECA!X108</f>
        <v>57</v>
      </c>
      <c r="H107" s="5">
        <f>FMECA!T108</f>
        <v>4091</v>
      </c>
      <c r="I107" s="5">
        <f>FMECA!U108</f>
        <v>4095</v>
      </c>
      <c r="J107" s="5">
        <f>FMECA!Z108</f>
        <v>0</v>
      </c>
      <c r="K107" s="5">
        <f>FMECA!AA108</f>
        <v>1</v>
      </c>
      <c r="L107" s="5" t="str">
        <f>FMECA!H108</f>
        <v>Safe</v>
      </c>
      <c r="M107" s="5" t="str">
        <f>FMECA!K108</f>
        <v>No; impactless.</v>
      </c>
      <c r="N107" s="5" t="str">
        <f>FMECA!L108</f>
        <v>No; impactless.</v>
      </c>
      <c r="O107" s="5" t="str">
        <f>FMECA!AC108</f>
        <v>Not applicable. Assumed that only undetectable faults will be classified onto a 'multiple faults class of equivalence'.</v>
      </c>
    </row>
    <row r="108" spans="1:15" ht="105">
      <c r="A108" s="5" t="str">
        <f>FMECA!A109</f>
        <v>K_Sys</v>
      </c>
      <c r="B108" s="55" t="str">
        <f>FMECA!B109</f>
        <v>Short-circuit or decrease of insulation resistance between contact and contact</v>
      </c>
      <c r="C108" s="5">
        <f>FMECA!D109</f>
        <v>6.3333333333333339E-2</v>
      </c>
      <c r="D108" s="5">
        <f>FMECA!V109</f>
        <v>0</v>
      </c>
      <c r="E108" s="5">
        <f>FMECA!S109</f>
        <v>0</v>
      </c>
      <c r="F108" s="5">
        <f>FMECA!W109</f>
        <v>0</v>
      </c>
      <c r="G108" s="5">
        <f>FMECA!X109</f>
        <v>0</v>
      </c>
      <c r="H108" s="5">
        <f>FMECA!T109</f>
        <v>0</v>
      </c>
      <c r="I108" s="5">
        <f>FMECA!U109</f>
        <v>0</v>
      </c>
      <c r="J108" s="5">
        <f>FMECA!Z109</f>
        <v>0</v>
      </c>
      <c r="K108" s="5">
        <f>FMECA!AA109</f>
        <v>1</v>
      </c>
      <c r="L108" s="5" t="str">
        <f>FMECA!H109</f>
        <v>Safe</v>
      </c>
      <c r="M108" s="5" t="str">
        <f>FMECA!K109</f>
        <v>Outside the scope of the local channel, but it will be detected in the future (all outputs zeroed for the Fuse_Result test)</v>
      </c>
      <c r="N108" s="5" t="str">
        <f>FMECA!L109</f>
        <v>No</v>
      </c>
      <c r="O108" s="5" t="str">
        <f>FMECA!AC109</f>
        <v>Not applicable. Assumed that only undetectable faults will be classified onto a 'multiple faults class of equivalence'.</v>
      </c>
    </row>
    <row r="109" spans="1:15" ht="60">
      <c r="A109" s="5" t="str">
        <f>FMECA!A110</f>
        <v>K_Sys</v>
      </c>
      <c r="B109" s="55" t="str">
        <f>FMECA!B110</f>
        <v>Short-circuit or decrease of insulation resistance between contact and case</v>
      </c>
      <c r="C109" s="5">
        <f>FMECA!D110</f>
        <v>0</v>
      </c>
      <c r="D109" s="5">
        <f>FMECA!V110</f>
        <v>54</v>
      </c>
      <c r="E109" s="5">
        <f>FMECA!S110</f>
        <v>4092</v>
      </c>
      <c r="F109" s="5">
        <f>FMECA!W110</f>
        <v>51</v>
      </c>
      <c r="G109" s="5">
        <f>FMECA!X110</f>
        <v>57</v>
      </c>
      <c r="H109" s="5">
        <f>FMECA!T110</f>
        <v>4091</v>
      </c>
      <c r="I109" s="5">
        <f>FMECA!U110</f>
        <v>4095</v>
      </c>
      <c r="J109" s="5">
        <f>FMECA!Z110</f>
        <v>0</v>
      </c>
      <c r="K109" s="5">
        <f>FMECA!AA110</f>
        <v>1</v>
      </c>
      <c r="L109" s="5" t="str">
        <f>FMECA!H110</f>
        <v>Safe</v>
      </c>
      <c r="M109" s="5" t="str">
        <f>FMECA!K110</f>
        <v>No; impactless.</v>
      </c>
      <c r="N109" s="5" t="str">
        <f>FMECA!L110</f>
        <v>No; impactless.</v>
      </c>
      <c r="O109" s="5" t="str">
        <f>FMECA!AC110</f>
        <v>Not applicable. Assumed that only undetectable faults will be classified onto a 'multiple faults class of equivalence'.</v>
      </c>
    </row>
    <row r="110" spans="1:15" ht="60">
      <c r="A110" s="5" t="str">
        <f>FMECA!A111</f>
        <v>K_Sys</v>
      </c>
      <c r="B110" s="55" t="str">
        <f>FMECA!B111</f>
        <v>Welding of NO contacts</v>
      </c>
      <c r="C110" s="5">
        <f>FMECA!D111</f>
        <v>1.4444444444444446E-2</v>
      </c>
      <c r="D110" s="5">
        <f>FMECA!V111</f>
        <v>54</v>
      </c>
      <c r="E110" s="5">
        <f>FMECA!S111</f>
        <v>4092</v>
      </c>
      <c r="F110" s="5">
        <f>FMECA!W111</f>
        <v>51</v>
      </c>
      <c r="G110" s="5">
        <f>FMECA!X111</f>
        <v>57</v>
      </c>
      <c r="H110" s="5">
        <f>FMECA!T111</f>
        <v>4091</v>
      </c>
      <c r="I110" s="5">
        <f>FMECA!U111</f>
        <v>4095</v>
      </c>
      <c r="J110" s="5">
        <f>FMECA!Z111</f>
        <v>1</v>
      </c>
      <c r="K110" s="5">
        <f>FMECA!AA111</f>
        <v>1</v>
      </c>
      <c r="L110" s="5" t="str">
        <f>FMECA!H111</f>
        <v>Safe</v>
      </c>
      <c r="M110" s="5" t="str">
        <f>FMECA!K111</f>
        <v>No</v>
      </c>
      <c r="N110" s="5" t="str">
        <f>FMECA!L111</f>
        <v>Yes</v>
      </c>
      <c r="O110" s="5" t="str">
        <f>FMECA!AC111</f>
        <v>Not applicable. Assumed that only undetectable faults will be classified onto a 'multiple faults class of equivalence'.</v>
      </c>
    </row>
    <row r="111" spans="1:15" ht="60">
      <c r="A111" s="5" t="str">
        <f>FMECA!A112</f>
        <v>K_Sys</v>
      </c>
      <c r="B111" s="55" t="str">
        <f>FMECA!B112</f>
        <v>Welding of NC contacts</v>
      </c>
      <c r="C111" s="5">
        <f>FMECA!D112</f>
        <v>1.4444444444444446E-2</v>
      </c>
      <c r="D111" s="5">
        <f>FMECA!V112</f>
        <v>0</v>
      </c>
      <c r="E111" s="5">
        <f>FMECA!S112</f>
        <v>0</v>
      </c>
      <c r="F111" s="5">
        <f>FMECA!W112</f>
        <v>0</v>
      </c>
      <c r="G111" s="5">
        <f>FMECA!X112</f>
        <v>0</v>
      </c>
      <c r="H111" s="5">
        <f>FMECA!T112</f>
        <v>0</v>
      </c>
      <c r="I111" s="5">
        <f>FMECA!U112</f>
        <v>0</v>
      </c>
      <c r="J111" s="5">
        <f>FMECA!Z112</f>
        <v>0</v>
      </c>
      <c r="K111" s="5">
        <f>FMECA!AA112</f>
        <v>0</v>
      </c>
      <c r="L111" s="5" t="str">
        <f>FMECA!H112</f>
        <v>Safe</v>
      </c>
      <c r="M111" s="5" t="str">
        <f>FMECA!K112</f>
        <v>Yes</v>
      </c>
      <c r="N111" s="5" t="str">
        <f>FMECA!L112</f>
        <v>Yes</v>
      </c>
      <c r="O111" s="5" t="str">
        <f>FMECA!AC112</f>
        <v>Not applicable. Assumed that only undetectable faults will be classified onto a 'multiple faults class of equivalence'.</v>
      </c>
    </row>
    <row r="112" spans="1:15" ht="60">
      <c r="A112" s="5" t="str">
        <f>FMECA!A113</f>
        <v>K_Sys</v>
      </c>
      <c r="B112" s="55" t="str">
        <f>FMECA!B113</f>
        <v>Increase of NO contact resistance</v>
      </c>
      <c r="C112" s="5">
        <f>FMECA!D113</f>
        <v>1.4444444444444446E-2</v>
      </c>
      <c r="D112" s="5">
        <f>FMECA!V113</f>
        <v>0</v>
      </c>
      <c r="E112" s="5">
        <f>FMECA!S113</f>
        <v>0</v>
      </c>
      <c r="F112" s="5">
        <f>FMECA!W113</f>
        <v>0</v>
      </c>
      <c r="G112" s="5">
        <f>FMECA!X113</f>
        <v>0</v>
      </c>
      <c r="H112" s="5">
        <f>FMECA!T113</f>
        <v>0</v>
      </c>
      <c r="I112" s="5">
        <f>FMECA!U113</f>
        <v>0</v>
      </c>
      <c r="J112" s="5">
        <f>FMECA!Z113</f>
        <v>0</v>
      </c>
      <c r="K112" s="5">
        <f>FMECA!AA113</f>
        <v>0</v>
      </c>
      <c r="L112" s="5" t="str">
        <f>FMECA!H113</f>
        <v>Safe</v>
      </c>
      <c r="M112" s="5" t="str">
        <f>FMECA!K113</f>
        <v>Yes</v>
      </c>
      <c r="N112" s="5" t="str">
        <f>FMECA!L113</f>
        <v>Yes</v>
      </c>
      <c r="O112" s="5" t="str">
        <f>FMECA!AC113</f>
        <v>Not applicable. Assumed that only undetectable faults will be classified onto a 'multiple faults class of equivalence'.</v>
      </c>
    </row>
    <row r="113" spans="1:15" ht="60">
      <c r="A113" s="5" t="str">
        <f>FMECA!A114</f>
        <v>K_Sys</v>
      </c>
      <c r="B113" s="55" t="str">
        <f>FMECA!B114</f>
        <v>Increase of NC contact resistance</v>
      </c>
      <c r="C113" s="5">
        <f>FMECA!D114</f>
        <v>1.4444444444444446E-2</v>
      </c>
      <c r="D113" s="5">
        <f>FMECA!V114</f>
        <v>54</v>
      </c>
      <c r="E113" s="5">
        <f>FMECA!S114</f>
        <v>4092</v>
      </c>
      <c r="F113" s="5">
        <f>FMECA!W114</f>
        <v>51</v>
      </c>
      <c r="G113" s="5">
        <f>FMECA!X114</f>
        <v>57</v>
      </c>
      <c r="H113" s="5">
        <f>FMECA!T114</f>
        <v>4091</v>
      </c>
      <c r="I113" s="5">
        <f>FMECA!U114</f>
        <v>4095</v>
      </c>
      <c r="J113" s="5">
        <f>FMECA!Z114</f>
        <v>1</v>
      </c>
      <c r="K113" s="5">
        <f>FMECA!AA114</f>
        <v>1</v>
      </c>
      <c r="L113" s="5" t="str">
        <f>FMECA!H114</f>
        <v>Safe</v>
      </c>
      <c r="M113" s="5" t="str">
        <f>FMECA!K114</f>
        <v>No</v>
      </c>
      <c r="N113" s="5" t="str">
        <f>FMECA!L114</f>
        <v>Yes</v>
      </c>
      <c r="O113" s="5" t="str">
        <f>FMECA!AC114</f>
        <v>Not applicable. Assumed that only undetectable faults will be classified onto a 'multiple faults class of equivalence'.</v>
      </c>
    </row>
    <row r="114" spans="1:15" ht="105">
      <c r="A114" s="5" t="str">
        <f>FMECA!A115</f>
        <v>K_Sys</v>
      </c>
      <c r="B114" s="55" t="str">
        <f>FMECA!B115</f>
        <v>Contact chatter</v>
      </c>
      <c r="C114" s="5">
        <f>FMECA!D115</f>
        <v>2.8888888888888891E-2</v>
      </c>
      <c r="D114" s="5">
        <f>FMECA!V115</f>
        <v>0</v>
      </c>
      <c r="E114" s="5">
        <f>FMECA!S115</f>
        <v>0</v>
      </c>
      <c r="F114" s="5">
        <f>FMECA!W115</f>
        <v>0</v>
      </c>
      <c r="G114" s="5">
        <f>FMECA!X115</f>
        <v>0</v>
      </c>
      <c r="H114" s="5">
        <f>FMECA!T115</f>
        <v>0</v>
      </c>
      <c r="I114" s="5">
        <f>FMECA!U115</f>
        <v>0</v>
      </c>
      <c r="J114" s="5">
        <f>FMECA!Z115</f>
        <v>0</v>
      </c>
      <c r="K114" s="5">
        <f>FMECA!AA115</f>
        <v>1</v>
      </c>
      <c r="L114" s="5" t="str">
        <f>FMECA!H115</f>
        <v>Safe</v>
      </c>
      <c r="M114" s="5" t="str">
        <f>FMECA!K115</f>
        <v>Outside the scope of the local channel, but it will be detected in the future (all outputs zeroed for the Fuse_Result test)</v>
      </c>
      <c r="N114" s="5" t="str">
        <f>FMECA!L115</f>
        <v>No</v>
      </c>
      <c r="O114" s="5" t="str">
        <f>FMECA!AC115</f>
        <v>Not applicable. Assumed that only undetectable faults will be classified onto a 'multiple faults class of equivalence'.</v>
      </c>
    </row>
    <row r="115" spans="1:15" ht="60">
      <c r="A115" s="5" t="str">
        <f>FMECA!A116</f>
        <v>K_Sys</v>
      </c>
      <c r="B115" s="55" t="str">
        <f>FMECA!B116</f>
        <v>Increase of pick-up current</v>
      </c>
      <c r="C115" s="5">
        <f>FMECA!D116</f>
        <v>7.8571428571428584E-2</v>
      </c>
      <c r="D115" s="5">
        <f>FMECA!V116</f>
        <v>0</v>
      </c>
      <c r="E115" s="5">
        <f>FMECA!S116</f>
        <v>0</v>
      </c>
      <c r="F115" s="5">
        <f>FMECA!W116</f>
        <v>0</v>
      </c>
      <c r="G115" s="5">
        <f>FMECA!X116</f>
        <v>0</v>
      </c>
      <c r="H115" s="5">
        <f>FMECA!T116</f>
        <v>0</v>
      </c>
      <c r="I115" s="5">
        <f>FMECA!U116</f>
        <v>0</v>
      </c>
      <c r="J115" s="5">
        <f>FMECA!Z116</f>
        <v>0</v>
      </c>
      <c r="K115" s="5">
        <f>FMECA!AA116</f>
        <v>0</v>
      </c>
      <c r="L115" s="5" t="str">
        <f>FMECA!H116</f>
        <v>Safe</v>
      </c>
      <c r="M115" s="5" t="str">
        <f>FMECA!K116</f>
        <v>Yes</v>
      </c>
      <c r="N115" s="5" t="str">
        <f>FMECA!L116</f>
        <v>Yes</v>
      </c>
      <c r="O115" s="5" t="str">
        <f>FMECA!AC116</f>
        <v>Not applicable. Assumed that only undetectable faults will be classified onto a 'multiple faults class of equivalence'.</v>
      </c>
    </row>
    <row r="116" spans="1:15" ht="60">
      <c r="A116" s="5" t="str">
        <f>FMECA!A117</f>
        <v>K_Sys</v>
      </c>
      <c r="B116" s="55" t="str">
        <f>FMECA!B117</f>
        <v>Decrease of pick-up current</v>
      </c>
      <c r="C116" s="5">
        <f>FMECA!D117</f>
        <v>2.8888888888888891E-2</v>
      </c>
      <c r="D116" s="5">
        <f>FMECA!V117</f>
        <v>54</v>
      </c>
      <c r="E116" s="5">
        <f>FMECA!S117</f>
        <v>4092</v>
      </c>
      <c r="F116" s="5">
        <f>FMECA!W117</f>
        <v>51</v>
      </c>
      <c r="G116" s="5">
        <f>FMECA!X117</f>
        <v>57</v>
      </c>
      <c r="H116" s="5">
        <f>FMECA!T117</f>
        <v>4091</v>
      </c>
      <c r="I116" s="5">
        <f>FMECA!U117</f>
        <v>4095</v>
      </c>
      <c r="J116" s="5">
        <f>FMECA!Z117</f>
        <v>0</v>
      </c>
      <c r="K116" s="5">
        <f>FMECA!AA117</f>
        <v>1</v>
      </c>
      <c r="L116" s="5" t="str">
        <f>FMECA!H117</f>
        <v>Safe</v>
      </c>
      <c r="M116" s="5" t="str">
        <f>FMECA!K117</f>
        <v>No; impactless.</v>
      </c>
      <c r="N116" s="5" t="str">
        <f>FMECA!L117</f>
        <v>No; impactless.</v>
      </c>
      <c r="O116" s="5" t="str">
        <f>FMECA!AC117</f>
        <v>Not applicable. Assumed that only undetectable faults will be classified onto a 'multiple faults class of equivalence'.</v>
      </c>
    </row>
    <row r="117" spans="1:15" ht="60">
      <c r="A117" s="5" t="str">
        <f>FMECA!A118</f>
        <v>K_Sys</v>
      </c>
      <c r="B117" s="55" t="str">
        <f>FMECA!B118</f>
        <v>Increase of drop-away current</v>
      </c>
      <c r="C117" s="5">
        <f>FMECA!D118</f>
        <v>7.8571428571428584E-2</v>
      </c>
      <c r="D117" s="5">
        <f>FMECA!V118</f>
        <v>54</v>
      </c>
      <c r="E117" s="5">
        <f>FMECA!S118</f>
        <v>4092</v>
      </c>
      <c r="F117" s="5">
        <f>FMECA!W118</f>
        <v>51</v>
      </c>
      <c r="G117" s="5">
        <f>FMECA!X118</f>
        <v>57</v>
      </c>
      <c r="H117" s="5">
        <f>FMECA!T118</f>
        <v>4091</v>
      </c>
      <c r="I117" s="5">
        <f>FMECA!U118</f>
        <v>4095</v>
      </c>
      <c r="J117" s="5">
        <f>FMECA!Z118</f>
        <v>0</v>
      </c>
      <c r="K117" s="5">
        <f>FMECA!AA118</f>
        <v>1</v>
      </c>
      <c r="L117" s="5" t="str">
        <f>FMECA!H118</f>
        <v>Safe</v>
      </c>
      <c r="M117" s="5" t="str">
        <f>FMECA!K118</f>
        <v>No; impactless.</v>
      </c>
      <c r="N117" s="5" t="str">
        <f>FMECA!L118</f>
        <v>No; impactless.</v>
      </c>
      <c r="O117" s="5" t="str">
        <f>FMECA!AC118</f>
        <v>Not applicable. Assumed that only undetectable faults will be classified onto a 'multiple faults class of equivalence'.</v>
      </c>
    </row>
    <row r="118" spans="1:15" ht="60">
      <c r="A118" s="5" t="str">
        <f>FMECA!A119</f>
        <v>K_Sys</v>
      </c>
      <c r="B118" s="55" t="str">
        <f>FMECA!B119</f>
        <v>Decrease of drop-away current</v>
      </c>
      <c r="C118" s="5">
        <f>FMECA!D119</f>
        <v>2.8888888888888891E-2</v>
      </c>
      <c r="D118" s="5">
        <f>FMECA!V119</f>
        <v>54</v>
      </c>
      <c r="E118" s="5">
        <f>FMECA!S119</f>
        <v>4092</v>
      </c>
      <c r="F118" s="5">
        <f>FMECA!W119</f>
        <v>51</v>
      </c>
      <c r="G118" s="5">
        <f>FMECA!X119</f>
        <v>57</v>
      </c>
      <c r="H118" s="5">
        <f>FMECA!T119</f>
        <v>4091</v>
      </c>
      <c r="I118" s="5">
        <f>FMECA!U119</f>
        <v>4095</v>
      </c>
      <c r="J118" s="5">
        <f>FMECA!Z119</f>
        <v>1</v>
      </c>
      <c r="K118" s="5">
        <f>FMECA!AA119</f>
        <v>1</v>
      </c>
      <c r="L118" s="5" t="str">
        <f>FMECA!H119</f>
        <v>Safe</v>
      </c>
      <c r="M118" s="5" t="str">
        <f>FMECA!K119</f>
        <v>No</v>
      </c>
      <c r="N118" s="5" t="str">
        <f>FMECA!L119</f>
        <v>Yes</v>
      </c>
      <c r="O118" s="5" t="str">
        <f>FMECA!AC119</f>
        <v>Not applicable. Assumed that only undetectable faults will be classified onto a 'multiple faults class of equivalence'.</v>
      </c>
    </row>
    <row r="119" spans="1:15" ht="60">
      <c r="A119" s="5" t="str">
        <f>FMECA!A120</f>
        <v>K_Sys</v>
      </c>
      <c r="B119" s="55" t="str">
        <f>FMECA!B120</f>
        <v>Change of pick-up to drop-away ratio</v>
      </c>
      <c r="C119" s="5">
        <f>FMECA!D120</f>
        <v>2.8888888888888891E-2</v>
      </c>
      <c r="D119" s="5">
        <f>FMECA!V120</f>
        <v>54</v>
      </c>
      <c r="E119" s="5">
        <f>FMECA!S120</f>
        <v>4092</v>
      </c>
      <c r="F119" s="5">
        <f>FMECA!W120</f>
        <v>51</v>
      </c>
      <c r="G119" s="5">
        <f>FMECA!X120</f>
        <v>57</v>
      </c>
      <c r="H119" s="5">
        <f>FMECA!T120</f>
        <v>4091</v>
      </c>
      <c r="I119" s="5">
        <f>FMECA!U120</f>
        <v>4095</v>
      </c>
      <c r="J119" s="5">
        <f>FMECA!Z120</f>
        <v>0</v>
      </c>
      <c r="K119" s="5">
        <f>FMECA!AA120</f>
        <v>1</v>
      </c>
      <c r="L119" s="5" t="str">
        <f>FMECA!H120</f>
        <v>Safe</v>
      </c>
      <c r="M119" s="5" t="str">
        <f>FMECA!K120</f>
        <v>No; impactless.</v>
      </c>
      <c r="N119" s="5" t="str">
        <f>FMECA!L120</f>
        <v>No; impactless.</v>
      </c>
      <c r="O119" s="5" t="str">
        <f>FMECA!AC120</f>
        <v>Not applicable. Assumed that only undetectable faults will be classified onto a 'multiple faults class of equivalence'.</v>
      </c>
    </row>
    <row r="120" spans="1:15" ht="105">
      <c r="A120" s="5" t="str">
        <f>FMECA!A121</f>
        <v>K_Sys</v>
      </c>
      <c r="B120" s="55" t="str">
        <f>FMECA!B121</f>
        <v>Increase of pick-up time</v>
      </c>
      <c r="C120" s="5">
        <f>FMECA!D121</f>
        <v>7.8571428571428584E-2</v>
      </c>
      <c r="D120" s="5">
        <f>FMECA!V121</f>
        <v>0</v>
      </c>
      <c r="E120" s="5">
        <f>FMECA!S121</f>
        <v>0</v>
      </c>
      <c r="F120" s="5">
        <f>FMECA!W121</f>
        <v>0</v>
      </c>
      <c r="G120" s="5">
        <f>FMECA!X121</f>
        <v>0</v>
      </c>
      <c r="H120" s="5">
        <f>FMECA!T121</f>
        <v>0</v>
      </c>
      <c r="I120" s="5">
        <f>FMECA!U121</f>
        <v>0</v>
      </c>
      <c r="J120" s="5">
        <f>FMECA!Z121</f>
        <v>0</v>
      </c>
      <c r="K120" s="5">
        <f>FMECA!AA121</f>
        <v>1</v>
      </c>
      <c r="L120" s="5" t="str">
        <f>FMECA!H121</f>
        <v>Safe</v>
      </c>
      <c r="M120" s="5" t="str">
        <f>FMECA!K121</f>
        <v>Outside the scope of the local channel, but it will be detected in the future (all outputs zeroed for the Fuse_Result test)</v>
      </c>
      <c r="N120" s="5" t="str">
        <f>FMECA!L121</f>
        <v>No</v>
      </c>
      <c r="O120" s="5" t="str">
        <f>FMECA!AC121</f>
        <v>Not applicable. Assumed that only undetectable faults will be classified onto a 'multiple faults class of equivalence'.</v>
      </c>
    </row>
    <row r="121" spans="1:15" ht="60">
      <c r="A121" s="5" t="str">
        <f>FMECA!A122</f>
        <v>K_Sys</v>
      </c>
      <c r="B121" s="55" t="str">
        <f>FMECA!B122</f>
        <v>Decrease of pick-up time</v>
      </c>
      <c r="C121" s="5">
        <f>FMECA!D122</f>
        <v>2.8888888888888891E-2</v>
      </c>
      <c r="D121" s="5">
        <f>FMECA!V122</f>
        <v>54</v>
      </c>
      <c r="E121" s="5">
        <f>FMECA!S122</f>
        <v>4092</v>
      </c>
      <c r="F121" s="5">
        <f>FMECA!W122</f>
        <v>51</v>
      </c>
      <c r="G121" s="5">
        <f>FMECA!X122</f>
        <v>57</v>
      </c>
      <c r="H121" s="5">
        <f>FMECA!T122</f>
        <v>4091</v>
      </c>
      <c r="I121" s="5">
        <f>FMECA!U122</f>
        <v>4095</v>
      </c>
      <c r="J121" s="5">
        <f>FMECA!Z122</f>
        <v>0</v>
      </c>
      <c r="K121" s="5">
        <f>FMECA!AA122</f>
        <v>1</v>
      </c>
      <c r="L121" s="5" t="str">
        <f>FMECA!H122</f>
        <v>Safe</v>
      </c>
      <c r="M121" s="5" t="str">
        <f>FMECA!K122</f>
        <v>No; impactless.</v>
      </c>
      <c r="N121" s="5" t="str">
        <f>FMECA!L122</f>
        <v>No; impactless.</v>
      </c>
      <c r="O121" s="5" t="str">
        <f>FMECA!AC122</f>
        <v>Not applicable. Assumed that only undetectable faults will be classified onto a 'multiple faults class of equivalence'.</v>
      </c>
    </row>
    <row r="122" spans="1:15" ht="60">
      <c r="A122" s="5" t="str">
        <f>FMECA!A123</f>
        <v>K_Sys</v>
      </c>
      <c r="B122" s="55" t="str">
        <f>FMECA!B123</f>
        <v>Increase of drop-away time</v>
      </c>
      <c r="C122" s="5">
        <f>FMECA!D123</f>
        <v>7.8571428571428584E-2</v>
      </c>
      <c r="D122" s="5">
        <f>FMECA!V123</f>
        <v>54</v>
      </c>
      <c r="E122" s="5">
        <f>FMECA!S123</f>
        <v>4092</v>
      </c>
      <c r="F122" s="5">
        <f>FMECA!W123</f>
        <v>51</v>
      </c>
      <c r="G122" s="5">
        <f>FMECA!X123</f>
        <v>57</v>
      </c>
      <c r="H122" s="5">
        <f>FMECA!T123</f>
        <v>4091</v>
      </c>
      <c r="I122" s="5">
        <f>FMECA!U123</f>
        <v>4095</v>
      </c>
      <c r="J122" s="5">
        <f>FMECA!Z123</f>
        <v>1</v>
      </c>
      <c r="K122" s="5">
        <f>FMECA!AA123</f>
        <v>1</v>
      </c>
      <c r="L122" s="5" t="str">
        <f>FMECA!H123</f>
        <v>Safe</v>
      </c>
      <c r="M122" s="5" t="str">
        <f>FMECA!K123</f>
        <v>No</v>
      </c>
      <c r="N122" s="5" t="str">
        <f>FMECA!L123</f>
        <v>Yes</v>
      </c>
      <c r="O122" s="5" t="str">
        <f>FMECA!AC123</f>
        <v>Not applicable. Assumed that only undetectable faults will be classified onto a 'multiple faults class of equivalence'.</v>
      </c>
    </row>
    <row r="123" spans="1:15" ht="60">
      <c r="A123" s="5" t="str">
        <f>FMECA!A124</f>
        <v>K_Sys</v>
      </c>
      <c r="B123" s="55" t="str">
        <f>FMECA!B124</f>
        <v>Decrease of drop-away time</v>
      </c>
      <c r="C123" s="5">
        <f>FMECA!D124</f>
        <v>2.8888888888888891E-2</v>
      </c>
      <c r="D123" s="5">
        <f>FMECA!V124</f>
        <v>54</v>
      </c>
      <c r="E123" s="5">
        <f>FMECA!S124</f>
        <v>4092</v>
      </c>
      <c r="F123" s="5">
        <f>FMECA!W124</f>
        <v>51</v>
      </c>
      <c r="G123" s="5">
        <f>FMECA!X124</f>
        <v>57</v>
      </c>
      <c r="H123" s="5">
        <f>FMECA!T124</f>
        <v>4091</v>
      </c>
      <c r="I123" s="5">
        <f>FMECA!U124</f>
        <v>4095</v>
      </c>
      <c r="J123" s="5">
        <f>FMECA!Z124</f>
        <v>0</v>
      </c>
      <c r="K123" s="5">
        <f>FMECA!AA124</f>
        <v>1</v>
      </c>
      <c r="L123" s="5" t="str">
        <f>FMECA!H124</f>
        <v>Safe</v>
      </c>
      <c r="M123" s="5" t="str">
        <f>FMECA!K124</f>
        <v>No; impactless.</v>
      </c>
      <c r="N123" s="5" t="str">
        <f>FMECA!L124</f>
        <v>No; impactless.</v>
      </c>
      <c r="O123" s="5" t="str">
        <f>FMECA!AC124</f>
        <v>Not applicable. Assumed that only undetectable faults will be classified onto a 'multiple faults class of equivalence'.</v>
      </c>
    </row>
    <row r="124" spans="1:15" ht="60">
      <c r="A124" s="5" t="str">
        <f>FMECA!A125</f>
        <v>K_Sys</v>
      </c>
      <c r="B124" s="55" t="str">
        <f>FMECA!B125</f>
        <v>Relay does not pick up</v>
      </c>
      <c r="C124" s="5">
        <f>FMECA!D125</f>
        <v>7.8571428571428584E-2</v>
      </c>
      <c r="D124" s="5">
        <f>FMECA!V125</f>
        <v>0</v>
      </c>
      <c r="E124" s="5">
        <f>FMECA!S125</f>
        <v>0</v>
      </c>
      <c r="F124" s="5">
        <f>FMECA!W125</f>
        <v>0</v>
      </c>
      <c r="G124" s="5">
        <f>FMECA!X125</f>
        <v>0</v>
      </c>
      <c r="H124" s="5">
        <f>FMECA!T125</f>
        <v>0</v>
      </c>
      <c r="I124" s="5">
        <f>FMECA!U125</f>
        <v>0</v>
      </c>
      <c r="J124" s="5">
        <f>FMECA!Z125</f>
        <v>0</v>
      </c>
      <c r="K124" s="5">
        <f>FMECA!AA125</f>
        <v>0</v>
      </c>
      <c r="L124" s="5" t="str">
        <f>FMECA!H125</f>
        <v>Safe</v>
      </c>
      <c r="M124" s="5" t="str">
        <f>FMECA!K125</f>
        <v>Yes</v>
      </c>
      <c r="N124" s="5" t="str">
        <f>FMECA!L125</f>
        <v>Yes</v>
      </c>
      <c r="O124" s="5" t="str">
        <f>FMECA!AC125</f>
        <v>Not applicable. Assumed that only undetectable faults will be classified onto a 'multiple faults class of equivalence'.</v>
      </c>
    </row>
    <row r="125" spans="1:15" ht="60">
      <c r="A125" s="5" t="str">
        <f>FMECA!A126</f>
        <v>K_Sys</v>
      </c>
      <c r="B125" s="55" t="str">
        <f>FMECA!B126</f>
        <v>Relay does not drop away</v>
      </c>
      <c r="C125" s="5">
        <f>FMECA!D126</f>
        <v>7.8571428571428584E-2</v>
      </c>
      <c r="D125" s="5">
        <f>FMECA!V126</f>
        <v>54</v>
      </c>
      <c r="E125" s="5">
        <f>FMECA!S126</f>
        <v>4092</v>
      </c>
      <c r="F125" s="5">
        <f>FMECA!W126</f>
        <v>51</v>
      </c>
      <c r="G125" s="5">
        <f>FMECA!X126</f>
        <v>57</v>
      </c>
      <c r="H125" s="5">
        <f>FMECA!T126</f>
        <v>4091</v>
      </c>
      <c r="I125" s="5">
        <f>FMECA!U126</f>
        <v>4095</v>
      </c>
      <c r="J125" s="5">
        <f>FMECA!Z126</f>
        <v>1</v>
      </c>
      <c r="K125" s="5">
        <f>FMECA!AA126</f>
        <v>1</v>
      </c>
      <c r="L125" s="5" t="str">
        <f>FMECA!H126</f>
        <v>Safe</v>
      </c>
      <c r="M125" s="5" t="str">
        <f>FMECA!K126</f>
        <v>No</v>
      </c>
      <c r="N125" s="5" t="str">
        <f>FMECA!L126</f>
        <v>Yes</v>
      </c>
      <c r="O125" s="5" t="str">
        <f>FMECA!AC126</f>
        <v>Not applicable. Assumed that only undetectable faults will be classified onto a 'multiple faults class of equivalence'.</v>
      </c>
    </row>
    <row r="126" spans="1:15" ht="60">
      <c r="A126" s="5" t="str">
        <f>FMECA!A127</f>
        <v>K_Sys</v>
      </c>
      <c r="B126" s="55" t="str">
        <f>FMECA!B127</f>
        <v>Closure of any front contact at the same time as any back contact (transient or continuous)</v>
      </c>
      <c r="C126" s="5">
        <f>FMECA!D127</f>
        <v>0</v>
      </c>
      <c r="D126" s="5">
        <f>FMECA!V127</f>
        <v>54</v>
      </c>
      <c r="E126" s="5">
        <f>FMECA!S127</f>
        <v>4092</v>
      </c>
      <c r="F126" s="5">
        <f>FMECA!W127</f>
        <v>51</v>
      </c>
      <c r="G126" s="5">
        <f>FMECA!X127</f>
        <v>57</v>
      </c>
      <c r="H126" s="5">
        <f>FMECA!T127</f>
        <v>4091</v>
      </c>
      <c r="I126" s="5">
        <f>FMECA!U127</f>
        <v>4095</v>
      </c>
      <c r="J126" s="5">
        <f>FMECA!Z127</f>
        <v>0</v>
      </c>
      <c r="K126" s="5">
        <f>FMECA!AA127</f>
        <v>1</v>
      </c>
      <c r="L126" s="5" t="str">
        <f>FMECA!H127</f>
        <v>Safe</v>
      </c>
      <c r="M126" s="5" t="str">
        <f>FMECA!K127</f>
        <v>No; impactless.</v>
      </c>
      <c r="N126" s="5" t="str">
        <f>FMECA!L127</f>
        <v>No; impactless.</v>
      </c>
      <c r="O126" s="5" t="str">
        <f>FMECA!AC127</f>
        <v>Not applicable. Assumed that only undetectable faults will be classified onto a 'multiple faults class of equivalence'.</v>
      </c>
    </row>
    <row r="127" spans="1:15" ht="60">
      <c r="A127" s="5" t="str">
        <f>FMECA!A128</f>
        <v>K_Sys</v>
      </c>
      <c r="B127" s="55" t="str">
        <f>FMECA!B128</f>
        <v>Non-correspondence between front contacts</v>
      </c>
      <c r="C127" s="5">
        <f>FMECA!D128</f>
        <v>0</v>
      </c>
      <c r="D127" s="5">
        <f>FMECA!V128</f>
        <v>54</v>
      </c>
      <c r="E127" s="5">
        <f>FMECA!S128</f>
        <v>4092</v>
      </c>
      <c r="F127" s="5">
        <f>FMECA!W128</f>
        <v>51</v>
      </c>
      <c r="G127" s="5">
        <f>FMECA!X128</f>
        <v>57</v>
      </c>
      <c r="H127" s="5">
        <f>FMECA!T128</f>
        <v>4091</v>
      </c>
      <c r="I127" s="5">
        <f>FMECA!U128</f>
        <v>4095</v>
      </c>
      <c r="J127" s="5">
        <f>FMECA!Z128</f>
        <v>0</v>
      </c>
      <c r="K127" s="5">
        <f>FMECA!AA128</f>
        <v>1</v>
      </c>
      <c r="L127" s="5" t="str">
        <f>FMECA!H128</f>
        <v>Safe</v>
      </c>
      <c r="M127" s="5" t="str">
        <f>FMECA!K128</f>
        <v>No; impactless.</v>
      </c>
      <c r="N127" s="5" t="str">
        <f>FMECA!L128</f>
        <v>No; impactless.</v>
      </c>
      <c r="O127" s="5" t="str">
        <f>FMECA!AC128</f>
        <v>Not applicable. Assumed that only undetectable faults will be classified onto a 'multiple faults class of equivalence'.</v>
      </c>
    </row>
    <row r="128" spans="1:15" ht="60">
      <c r="A128" s="5" t="str">
        <f>FMECA!A129</f>
        <v>K_Sys</v>
      </c>
      <c r="B128" s="55" t="str">
        <f>FMECA!B129</f>
        <v>Non-correspondence between back contacts</v>
      </c>
      <c r="C128" s="5">
        <f>FMECA!D129</f>
        <v>0</v>
      </c>
      <c r="D128" s="5">
        <f>FMECA!V129</f>
        <v>54</v>
      </c>
      <c r="E128" s="5">
        <f>FMECA!S129</f>
        <v>4092</v>
      </c>
      <c r="F128" s="5">
        <f>FMECA!W129</f>
        <v>51</v>
      </c>
      <c r="G128" s="5">
        <f>FMECA!X129</f>
        <v>57</v>
      </c>
      <c r="H128" s="5">
        <f>FMECA!T129</f>
        <v>4091</v>
      </c>
      <c r="I128" s="5">
        <f>FMECA!U129</f>
        <v>4095</v>
      </c>
      <c r="J128" s="5">
        <f>FMECA!Z129</f>
        <v>0</v>
      </c>
      <c r="K128" s="5">
        <f>FMECA!AA129</f>
        <v>1</v>
      </c>
      <c r="L128" s="5" t="str">
        <f>FMECA!H129</f>
        <v>Safe</v>
      </c>
      <c r="M128" s="5" t="str">
        <f>FMECA!K129</f>
        <v>No; impactless.</v>
      </c>
      <c r="N128" s="5" t="str">
        <f>FMECA!L129</f>
        <v>No; impactless.</v>
      </c>
      <c r="O128" s="5" t="str">
        <f>FMECA!AC129</f>
        <v>Not applicable. Assumed that only undetectable faults will be classified onto a 'multiple faults class of equivalence'.</v>
      </c>
    </row>
    <row r="129" spans="1:15" ht="60">
      <c r="A129" s="5" t="str">
        <f>FMECA!A130</f>
        <v>OR_Sys</v>
      </c>
      <c r="B129" s="55" t="str">
        <f>FMECA!B130</f>
        <v>VCC Supply open</v>
      </c>
      <c r="C129" s="5">
        <f>FMECA!D130</f>
        <v>0.06</v>
      </c>
      <c r="D129" s="5">
        <f>FMECA!V130</f>
        <v>4092</v>
      </c>
      <c r="E129" s="5">
        <f>FMECA!S130</f>
        <v>4093</v>
      </c>
      <c r="F129" s="5">
        <f>FMECA!W130</f>
        <v>4092</v>
      </c>
      <c r="G129" s="5">
        <f>FMECA!X130</f>
        <v>4092</v>
      </c>
      <c r="H129" s="5">
        <f>FMECA!T130</f>
        <v>4093</v>
      </c>
      <c r="I129" s="5">
        <f>FMECA!U130</f>
        <v>4093</v>
      </c>
      <c r="J129" s="5">
        <f>FMECA!Z130</f>
        <v>0</v>
      </c>
      <c r="K129" s="5">
        <f>FMECA!AA130</f>
        <v>1</v>
      </c>
      <c r="L129" s="5" t="str">
        <f>FMECA!H130</f>
        <v>Safe</v>
      </c>
      <c r="M129" s="5" t="str">
        <f>FMECA!K130</f>
        <v>Yes</v>
      </c>
      <c r="N129" s="5" t="str">
        <f>FMECA!L130</f>
        <v>No</v>
      </c>
      <c r="O129" s="5" t="str">
        <f>FMECA!AC130</f>
        <v>Not applicable. Assumed that only undetectable faults will be classified onto a 'multiple faults class of equivalence'.</v>
      </c>
    </row>
    <row r="130" spans="1:15" ht="60">
      <c r="A130" s="5" t="str">
        <f>FMECA!A131</f>
        <v>OR_Sys</v>
      </c>
      <c r="B130" s="55" t="str">
        <f>FMECA!B131</f>
        <v>GND Supply open</v>
      </c>
      <c r="C130" s="5">
        <f>FMECA!D131</f>
        <v>0.06</v>
      </c>
      <c r="D130" s="5">
        <f>FMECA!V131</f>
        <v>0</v>
      </c>
      <c r="E130" s="5">
        <f>FMECA!S131</f>
        <v>0</v>
      </c>
      <c r="F130" s="5">
        <f>FMECA!W131</f>
        <v>0</v>
      </c>
      <c r="G130" s="5">
        <f>FMECA!X131</f>
        <v>0</v>
      </c>
      <c r="H130" s="5">
        <f>FMECA!T131</f>
        <v>0</v>
      </c>
      <c r="I130" s="5">
        <f>FMECA!U131</f>
        <v>0</v>
      </c>
      <c r="J130" s="5">
        <f>FMECA!Z131</f>
        <v>0</v>
      </c>
      <c r="K130" s="5">
        <f>FMECA!AA131</f>
        <v>1</v>
      </c>
      <c r="L130" s="5" t="str">
        <f>FMECA!H131</f>
        <v>Safe</v>
      </c>
      <c r="M130" s="5" t="str">
        <f>FMECA!K131</f>
        <v>Yes</v>
      </c>
      <c r="N130" s="5" t="str">
        <f>FMECA!L131</f>
        <v>No</v>
      </c>
      <c r="O130" s="5" t="str">
        <f>FMECA!AC131</f>
        <v>Not applicable. Assumed that only undetectable faults will be classified onto a 'multiple faults class of equivalence'.</v>
      </c>
    </row>
    <row r="131" spans="1:15" ht="60">
      <c r="A131" s="5" t="str">
        <f>FMECA!A132</f>
        <v>OR_Sys</v>
      </c>
      <c r="B131" s="55" t="str">
        <f>FMECA!B132</f>
        <v>Output 'Y' open</v>
      </c>
      <c r="C131" s="5">
        <f>FMECA!D132</f>
        <v>0.36</v>
      </c>
      <c r="D131" s="5">
        <f>FMECA!V132</f>
        <v>4092</v>
      </c>
      <c r="E131" s="5">
        <f>FMECA!S132</f>
        <v>4093</v>
      </c>
      <c r="F131" s="5">
        <f>FMECA!W132</f>
        <v>4092</v>
      </c>
      <c r="G131" s="5">
        <f>FMECA!X132</f>
        <v>4092</v>
      </c>
      <c r="H131" s="5">
        <f>FMECA!T132</f>
        <v>4093</v>
      </c>
      <c r="I131" s="5">
        <f>FMECA!U132</f>
        <v>4093</v>
      </c>
      <c r="J131" s="5">
        <f>FMECA!Z132</f>
        <v>0</v>
      </c>
      <c r="K131" s="5">
        <f>FMECA!AA132</f>
        <v>1</v>
      </c>
      <c r="L131" s="5" t="str">
        <f>FMECA!H132</f>
        <v>Safe</v>
      </c>
      <c r="M131" s="5" t="str">
        <f>FMECA!K132</f>
        <v>Yes</v>
      </c>
      <c r="N131" s="5" t="str">
        <f>FMECA!L132</f>
        <v>No</v>
      </c>
      <c r="O131" s="5" t="str">
        <f>FMECA!AC132</f>
        <v>Not applicable. Assumed that only undetectable faults will be classified onto a 'multiple faults class of equivalence'.</v>
      </c>
    </row>
    <row r="132" spans="1:15" ht="60">
      <c r="A132" s="5" t="str">
        <f>FMECA!A133</f>
        <v>OR_Sys</v>
      </c>
      <c r="B132" s="55" t="str">
        <f>FMECA!B133</f>
        <v>Output 'Y' stuck low</v>
      </c>
      <c r="C132" s="5">
        <f>FMECA!D133</f>
        <v>0.09</v>
      </c>
      <c r="D132" s="5">
        <f>FMECA!V133</f>
        <v>4092</v>
      </c>
      <c r="E132" s="5">
        <f>FMECA!S133</f>
        <v>4093</v>
      </c>
      <c r="F132" s="5">
        <f>FMECA!W133</f>
        <v>4092</v>
      </c>
      <c r="G132" s="5">
        <f>FMECA!X133</f>
        <v>4092</v>
      </c>
      <c r="H132" s="5">
        <f>FMECA!T133</f>
        <v>4093</v>
      </c>
      <c r="I132" s="5">
        <f>FMECA!U133</f>
        <v>4093</v>
      </c>
      <c r="J132" s="5">
        <f>FMECA!Z133</f>
        <v>0</v>
      </c>
      <c r="K132" s="5">
        <f>FMECA!AA133</f>
        <v>1</v>
      </c>
      <c r="L132" s="5" t="str">
        <f>FMECA!H133</f>
        <v>Safe</v>
      </c>
      <c r="M132" s="5" t="str">
        <f>FMECA!K133</f>
        <v>Yes</v>
      </c>
      <c r="N132" s="5" t="str">
        <f>FMECA!L133</f>
        <v>No</v>
      </c>
      <c r="O132" s="5" t="str">
        <f>FMECA!AC133</f>
        <v>Not applicable. Assumed that only undetectable faults will be classified onto a 'multiple faults class of equivalence'.</v>
      </c>
    </row>
    <row r="133" spans="1:15" ht="60">
      <c r="A133" s="5" t="str">
        <f>FMECA!A134</f>
        <v>OR_Sys</v>
      </c>
      <c r="B133" s="55" t="str">
        <f>FMECA!B134</f>
        <v>Output 'Y' stuck high</v>
      </c>
      <c r="C133" s="5">
        <f>FMECA!D134</f>
        <v>0.08</v>
      </c>
      <c r="D133" s="5">
        <f>FMECA!V134</f>
        <v>0</v>
      </c>
      <c r="E133" s="5">
        <f>FMECA!S134</f>
        <v>0</v>
      </c>
      <c r="F133" s="5">
        <f>FMECA!W134</f>
        <v>0</v>
      </c>
      <c r="G133" s="5">
        <f>FMECA!X134</f>
        <v>0</v>
      </c>
      <c r="H133" s="5">
        <f>FMECA!T134</f>
        <v>0</v>
      </c>
      <c r="I133" s="5">
        <f>FMECA!U134</f>
        <v>0</v>
      </c>
      <c r="J133" s="5">
        <f>FMECA!Z134</f>
        <v>0</v>
      </c>
      <c r="K133" s="5">
        <f>FMECA!AA134</f>
        <v>1</v>
      </c>
      <c r="L133" s="5" t="str">
        <f>FMECA!H134</f>
        <v>Safe</v>
      </c>
      <c r="M133" s="5" t="str">
        <f>FMECA!K134</f>
        <v>Yes</v>
      </c>
      <c r="N133" s="5" t="str">
        <f>FMECA!L134</f>
        <v>No</v>
      </c>
      <c r="O133" s="5" t="str">
        <f>FMECA!AC134</f>
        <v>Not applicable. Assumed that only undetectable faults will be classified onto a 'multiple faults class of equivalence'.</v>
      </c>
    </row>
    <row r="134" spans="1:15" ht="60">
      <c r="A134" s="5" t="str">
        <f>FMECA!A135</f>
        <v>OR_Sys</v>
      </c>
      <c r="B134" s="55" t="str">
        <f>FMECA!B135</f>
        <v>Input 'A' open</v>
      </c>
      <c r="C134" s="5">
        <f>FMECA!D135</f>
        <v>0.12</v>
      </c>
      <c r="D134" s="5">
        <f>FMECA!V135</f>
        <v>4092</v>
      </c>
      <c r="E134" s="5">
        <f>FMECA!S135</f>
        <v>4093</v>
      </c>
      <c r="F134" s="5">
        <f>FMECA!W135</f>
        <v>4092</v>
      </c>
      <c r="G134" s="5">
        <f>FMECA!X135</f>
        <v>4092</v>
      </c>
      <c r="H134" s="5">
        <f>FMECA!T135</f>
        <v>4093</v>
      </c>
      <c r="I134" s="5">
        <f>FMECA!U135</f>
        <v>4093</v>
      </c>
      <c r="J134" s="5">
        <f>FMECA!Z135</f>
        <v>0</v>
      </c>
      <c r="K134" s="5">
        <f>FMECA!AA135</f>
        <v>1</v>
      </c>
      <c r="L134" s="5" t="str">
        <f>FMECA!H135</f>
        <v>Safe</v>
      </c>
      <c r="M134" s="5" t="str">
        <f>FMECA!K135</f>
        <v>Yes</v>
      </c>
      <c r="N134" s="5" t="str">
        <f>FMECA!L135</f>
        <v>No</v>
      </c>
      <c r="O134" s="5" t="str">
        <f>FMECA!AC135</f>
        <v>Not applicable. Assumed that only undetectable faults will be classified onto a 'multiple faults class of equivalence'.</v>
      </c>
    </row>
    <row r="135" spans="1:15" ht="60">
      <c r="A135" s="5" t="str">
        <f>FMECA!A136</f>
        <v>OR_Sys</v>
      </c>
      <c r="B135" s="55" t="str">
        <f>FMECA!B136</f>
        <v>Input 'B' open</v>
      </c>
      <c r="C135" s="5">
        <f>FMECA!D136</f>
        <v>0.12</v>
      </c>
      <c r="D135" s="5">
        <f>FMECA!V136</f>
        <v>4092</v>
      </c>
      <c r="E135" s="5">
        <f>FMECA!S136</f>
        <v>4093</v>
      </c>
      <c r="F135" s="5">
        <f>FMECA!W136</f>
        <v>4092</v>
      </c>
      <c r="G135" s="5">
        <f>FMECA!X136</f>
        <v>4092</v>
      </c>
      <c r="H135" s="5">
        <f>FMECA!T136</f>
        <v>4093</v>
      </c>
      <c r="I135" s="5">
        <f>FMECA!U136</f>
        <v>4093</v>
      </c>
      <c r="J135" s="5">
        <f>FMECA!Z136</f>
        <v>0</v>
      </c>
      <c r="K135" s="5">
        <f>FMECA!AA136</f>
        <v>1</v>
      </c>
      <c r="L135" s="5" t="str">
        <f>FMECA!H136</f>
        <v>Safe</v>
      </c>
      <c r="M135" s="5" t="str">
        <f>FMECA!K136</f>
        <v>Yes</v>
      </c>
      <c r="N135" s="5" t="str">
        <f>FMECA!L136</f>
        <v>No</v>
      </c>
      <c r="O135" s="5" t="str">
        <f>FMECA!AC136</f>
        <v>Not applicable. Assumed that only undetectable faults will be classified onto a 'multiple faults class of equivalence'.</v>
      </c>
    </row>
    <row r="136" spans="1:15" ht="60">
      <c r="A136" s="5" t="str">
        <f>FMECA!A137</f>
        <v>OR_Sys</v>
      </c>
      <c r="B136" s="55" t="str">
        <f>FMECA!B137</f>
        <v>Input 'C' open</v>
      </c>
      <c r="C136" s="5">
        <f>FMECA!D137</f>
        <v>0.12</v>
      </c>
      <c r="D136" s="5">
        <f>FMECA!V137</f>
        <v>4092</v>
      </c>
      <c r="E136" s="5">
        <f>FMECA!S137</f>
        <v>4093</v>
      </c>
      <c r="F136" s="5">
        <f>FMECA!W137</f>
        <v>4092</v>
      </c>
      <c r="G136" s="5">
        <f>FMECA!X137</f>
        <v>4092</v>
      </c>
      <c r="H136" s="5">
        <f>FMECA!T137</f>
        <v>4093</v>
      </c>
      <c r="I136" s="5">
        <f>FMECA!U137</f>
        <v>4093</v>
      </c>
      <c r="J136" s="5">
        <f>FMECA!Z137</f>
        <v>0</v>
      </c>
      <c r="K136" s="5">
        <f>FMECA!AA137</f>
        <v>1</v>
      </c>
      <c r="L136" s="5" t="str">
        <f>FMECA!H137</f>
        <v>Safe</v>
      </c>
      <c r="M136" s="5" t="str">
        <f>FMECA!K137</f>
        <v>Yes</v>
      </c>
      <c r="N136" s="5" t="str">
        <f>FMECA!L137</f>
        <v>No</v>
      </c>
      <c r="O136" s="5" t="str">
        <f>FMECA!AC137</f>
        <v>Not applicable. Assumed that only undetectable faults will be classified onto a 'multiple faults class of equivalence'.</v>
      </c>
    </row>
    <row r="137" spans="1:15" ht="60">
      <c r="A137" s="5" t="str">
        <f>FMECA!A138</f>
        <v>R4_Sys</v>
      </c>
      <c r="B137" s="55" t="str">
        <f>FMECA!B138</f>
        <v>Open</v>
      </c>
      <c r="C137" s="5">
        <f>FMECA!D138</f>
        <v>0.59</v>
      </c>
      <c r="D137" s="5">
        <f>FMECA!V138</f>
        <v>0</v>
      </c>
      <c r="E137" s="5">
        <f>FMECA!S138</f>
        <v>0</v>
      </c>
      <c r="F137" s="5">
        <f>FMECA!W138</f>
        <v>0</v>
      </c>
      <c r="G137" s="5">
        <f>FMECA!X138</f>
        <v>0</v>
      </c>
      <c r="H137" s="5">
        <f>FMECA!T138</f>
        <v>0</v>
      </c>
      <c r="I137" s="5">
        <f>FMECA!U138</f>
        <v>0</v>
      </c>
      <c r="J137" s="5">
        <f>FMECA!Z138</f>
        <v>0</v>
      </c>
      <c r="K137" s="5">
        <f>FMECA!AA138</f>
        <v>1</v>
      </c>
      <c r="L137" s="5" t="str">
        <f>FMECA!H138</f>
        <v>Safe</v>
      </c>
      <c r="M137" s="5" t="str">
        <f>FMECA!K138</f>
        <v>Yes</v>
      </c>
      <c r="N137" s="5" t="str">
        <f>FMECA!L138</f>
        <v>No</v>
      </c>
      <c r="O137" s="5" t="str">
        <f>FMECA!AC138</f>
        <v>Not applicable. Assumed that only undetectable faults will be classified onto a 'multiple faults class of equivalence'.</v>
      </c>
    </row>
    <row r="138" spans="1:15" ht="60">
      <c r="A138" s="5" t="str">
        <f>FMECA!A139</f>
        <v>R4_Sys</v>
      </c>
      <c r="B138" s="55" t="str">
        <f>FMECA!B139</f>
        <v>Short-Circuit</v>
      </c>
      <c r="C138" s="5">
        <f>FMECA!D139</f>
        <v>0.05</v>
      </c>
      <c r="D138" s="5">
        <f>FMECA!V139</f>
        <v>0</v>
      </c>
      <c r="E138" s="5">
        <f>FMECA!S139</f>
        <v>0</v>
      </c>
      <c r="F138" s="5">
        <f>FMECA!W139</f>
        <v>0</v>
      </c>
      <c r="G138" s="5">
        <f>FMECA!X139</f>
        <v>0</v>
      </c>
      <c r="H138" s="5">
        <f>FMECA!T139</f>
        <v>0</v>
      </c>
      <c r="I138" s="5">
        <f>FMECA!U139</f>
        <v>0</v>
      </c>
      <c r="J138" s="5">
        <f>FMECA!Z139</f>
        <v>0</v>
      </c>
      <c r="K138" s="5">
        <f>FMECA!AA139</f>
        <v>1</v>
      </c>
      <c r="L138" s="5" t="str">
        <f>FMECA!H139</f>
        <v>Safe</v>
      </c>
      <c r="M138" s="5" t="str">
        <f>FMECA!K139</f>
        <v>Yes</v>
      </c>
      <c r="N138" s="5" t="str">
        <f>FMECA!L139</f>
        <v>No</v>
      </c>
      <c r="O138" s="5" t="str">
        <f>FMECA!AC139</f>
        <v>Not applicable. Assumed that only undetectable faults will be classified onto a 'multiple faults class of equivalence'.</v>
      </c>
    </row>
    <row r="139" spans="1:15" ht="120">
      <c r="A139" s="5" t="str">
        <f>FMECA!A140</f>
        <v>R4_Sys</v>
      </c>
      <c r="B139" s="55" t="str">
        <f>FMECA!B140</f>
        <v>Increase of Resistance Value</v>
      </c>
      <c r="C139" s="5">
        <f>FMECA!D140</f>
        <v>0.18</v>
      </c>
      <c r="D139" s="5">
        <f>FMECA!V140</f>
        <v>28</v>
      </c>
      <c r="E139" s="5">
        <f>FMECA!S140</f>
        <v>2038</v>
      </c>
      <c r="F139" s="5">
        <f>FMECA!W140</f>
        <v>0</v>
      </c>
      <c r="G139" s="5">
        <f>FMECA!X140</f>
        <v>55</v>
      </c>
      <c r="H139" s="5">
        <f>FMECA!T140</f>
        <v>500</v>
      </c>
      <c r="I139" s="5">
        <f>FMECA!U140</f>
        <v>4089</v>
      </c>
      <c r="J139" s="5">
        <f>FMECA!Z140</f>
        <v>0</v>
      </c>
      <c r="K139" s="5">
        <f>FMECA!AA140</f>
        <v>1</v>
      </c>
      <c r="L139" s="5" t="str">
        <f>FMECA!H140</f>
        <v>Safe</v>
      </c>
      <c r="M139" s="5" t="str">
        <f>FMECA!K140</f>
        <v>Maybe</v>
      </c>
      <c r="N139" s="5" t="str">
        <f>FMECA!L140</f>
        <v>No</v>
      </c>
      <c r="O139" s="5" t="str">
        <f>FMECA!AC140</f>
        <v>CM2: If this fault occurs,  Fuse_Result will be determined by the corresponding intervals of this failure mode,  and Keep_Power_Readback will be extracted from the second fault.</v>
      </c>
    </row>
    <row r="140" spans="1:15" ht="60">
      <c r="A140" s="5" t="str">
        <f>FMECA!A141</f>
        <v>R4_Sys</v>
      </c>
      <c r="B140" s="55" t="str">
        <f>FMECA!B141</f>
        <v>Decrease of Resistance Value</v>
      </c>
      <c r="C140" s="5">
        <f>FMECA!D141</f>
        <v>0.18</v>
      </c>
      <c r="D140" s="5">
        <f>FMECA!V141</f>
        <v>0</v>
      </c>
      <c r="E140" s="5">
        <f>FMECA!S141</f>
        <v>0</v>
      </c>
      <c r="F140" s="5">
        <f>FMECA!W141</f>
        <v>0</v>
      </c>
      <c r="G140" s="5">
        <f>FMECA!X141</f>
        <v>0</v>
      </c>
      <c r="H140" s="5">
        <f>FMECA!T141</f>
        <v>0</v>
      </c>
      <c r="I140" s="5">
        <f>FMECA!U141</f>
        <v>0</v>
      </c>
      <c r="J140" s="5">
        <f>FMECA!Z141</f>
        <v>0</v>
      </c>
      <c r="K140" s="5">
        <f>FMECA!AA141</f>
        <v>1</v>
      </c>
      <c r="L140" s="5" t="str">
        <f>FMECA!H141</f>
        <v>Safe</v>
      </c>
      <c r="M140" s="5" t="str">
        <f>FMECA!K141</f>
        <v>Yes</v>
      </c>
      <c r="N140" s="5" t="str">
        <f>FMECA!L141</f>
        <v>No</v>
      </c>
      <c r="O140" s="5" t="str">
        <f>FMECA!AC141</f>
        <v>Not applicable. Assumed that only undetectable faults will be classified onto a 'multiple faults class of equivalence'.</v>
      </c>
    </row>
    <row r="141" spans="1:15" ht="60">
      <c r="A141" s="5" t="str">
        <f>FMECA!A142</f>
        <v>R4_Sys</v>
      </c>
      <c r="B141" s="55" t="str">
        <f>FMECA!B142</f>
        <v>Short-Circuit to Casing</v>
      </c>
      <c r="C141" s="5">
        <f>FMECA!D142</f>
        <v>0</v>
      </c>
      <c r="D141" s="5">
        <f>FMECA!V142</f>
        <v>54</v>
      </c>
      <c r="E141" s="5">
        <f>FMECA!S142</f>
        <v>4092</v>
      </c>
      <c r="F141" s="5">
        <f>FMECA!W142</f>
        <v>51</v>
      </c>
      <c r="G141" s="5">
        <f>FMECA!X142</f>
        <v>57</v>
      </c>
      <c r="H141" s="5">
        <f>FMECA!T142</f>
        <v>4091</v>
      </c>
      <c r="I141" s="5">
        <f>FMECA!U142</f>
        <v>4095</v>
      </c>
      <c r="J141" s="5">
        <f>FMECA!Z142</f>
        <v>0</v>
      </c>
      <c r="K141" s="5">
        <f>FMECA!AA142</f>
        <v>1</v>
      </c>
      <c r="L141" s="5" t="str">
        <f>FMECA!H142</f>
        <v>Safe</v>
      </c>
      <c r="M141" s="5" t="str">
        <f>FMECA!K142</f>
        <v>No; impactless.</v>
      </c>
      <c r="N141" s="5" t="str">
        <f>FMECA!L142</f>
        <v>No; impactless.</v>
      </c>
      <c r="O141" s="5" t="str">
        <f>FMECA!AC142</f>
        <v>Not applicable. Assumed that only undetectable faults will be classified onto a 'multiple faults class of equivalence'.</v>
      </c>
    </row>
    <row r="142" spans="1:15" ht="60">
      <c r="A142" s="5" t="str">
        <f>FMECA!A143</f>
        <v>F_Sys</v>
      </c>
      <c r="B142" s="55" t="str">
        <f>FMECA!B143</f>
        <v>Interruption</v>
      </c>
      <c r="C142" s="5">
        <f>FMECA!D143</f>
        <v>0.08</v>
      </c>
      <c r="D142" s="5">
        <f>FMECA!V143</f>
        <v>0</v>
      </c>
      <c r="E142" s="5">
        <f>FMECA!S143</f>
        <v>0</v>
      </c>
      <c r="F142" s="5">
        <f>FMECA!W143</f>
        <v>0</v>
      </c>
      <c r="G142" s="5">
        <f>FMECA!X143</f>
        <v>0</v>
      </c>
      <c r="H142" s="5">
        <f>FMECA!T143</f>
        <v>0</v>
      </c>
      <c r="I142" s="5">
        <f>FMECA!U143</f>
        <v>0</v>
      </c>
      <c r="J142" s="5">
        <f>FMECA!Z143</f>
        <v>0</v>
      </c>
      <c r="K142" s="5">
        <f>FMECA!AA143</f>
        <v>1</v>
      </c>
      <c r="L142" s="5" t="str">
        <f>FMECA!H143</f>
        <v>Safe</v>
      </c>
      <c r="M142" s="5" t="str">
        <f>FMECA!K143</f>
        <v>Yes</v>
      </c>
      <c r="N142" s="5" t="str">
        <f>FMECA!L143</f>
        <v>No</v>
      </c>
      <c r="O142" s="5" t="str">
        <f>FMECA!AC143</f>
        <v>Not applicable. Assumed that only undetectable faults will be classified onto a 'multiple faults class of equivalence'.</v>
      </c>
    </row>
    <row r="143" spans="1:15" ht="120">
      <c r="A143" s="5" t="str">
        <f>FMECA!A144</f>
        <v>F_Sys</v>
      </c>
      <c r="B143" s="55" t="str">
        <f>FMECA!B144</f>
        <v>Parallel short-circuit</v>
      </c>
      <c r="C143" s="5">
        <f>FMECA!D144</f>
        <v>0.16333333333333333</v>
      </c>
      <c r="D143" s="5">
        <f>FMECA!V144</f>
        <v>54</v>
      </c>
      <c r="E143" s="5">
        <f>FMECA!S144</f>
        <v>4092</v>
      </c>
      <c r="F143" s="5">
        <f>FMECA!W144</f>
        <v>51</v>
      </c>
      <c r="G143" s="5">
        <f>FMECA!X144</f>
        <v>57</v>
      </c>
      <c r="H143" s="5">
        <f>FMECA!T144</f>
        <v>4091</v>
      </c>
      <c r="I143" s="5">
        <f>FMECA!U144</f>
        <v>4095</v>
      </c>
      <c r="J143" s="5">
        <f>FMECA!Z144</f>
        <v>0</v>
      </c>
      <c r="K143" s="5">
        <f>FMECA!AA144</f>
        <v>1</v>
      </c>
      <c r="L143" s="5" t="str">
        <f>FMECA!H144</f>
        <v>Safe</v>
      </c>
      <c r="M143" s="5" t="str">
        <f>FMECA!K144</f>
        <v>No</v>
      </c>
      <c r="N143" s="5" t="str">
        <f>FMECA!L144</f>
        <v>No</v>
      </c>
      <c r="O143" s="5" t="str">
        <f>FMECA!AC144</f>
        <v>CM2: If this fault occurs,  Fuse_Result will be determined by the corresponding intervals of this failure mode,  and Keep_Power_Readback will be extracted from the second fault.</v>
      </c>
    </row>
    <row r="144" spans="1:15" ht="120">
      <c r="A144" s="5" t="str">
        <f>FMECA!A145</f>
        <v>F_Sys</v>
      </c>
      <c r="B144" s="55" t="str">
        <f>FMECA!B145</f>
        <v>Increase of rupture current</v>
      </c>
      <c r="C144" s="5">
        <f>FMECA!D145</f>
        <v>0.16333333333333333</v>
      </c>
      <c r="D144" s="5">
        <f>FMECA!V145</f>
        <v>54</v>
      </c>
      <c r="E144" s="5">
        <f>FMECA!S145</f>
        <v>4092</v>
      </c>
      <c r="F144" s="5">
        <f>FMECA!W145</f>
        <v>51</v>
      </c>
      <c r="G144" s="5">
        <f>FMECA!X145</f>
        <v>57</v>
      </c>
      <c r="H144" s="5">
        <f>FMECA!T145</f>
        <v>4091</v>
      </c>
      <c r="I144" s="5">
        <f>FMECA!U145</f>
        <v>4095</v>
      </c>
      <c r="J144" s="5">
        <f>FMECA!Z145</f>
        <v>0</v>
      </c>
      <c r="K144" s="5">
        <f>FMECA!AA145</f>
        <v>1</v>
      </c>
      <c r="L144" s="5" t="str">
        <f>FMECA!H145</f>
        <v>Safe</v>
      </c>
      <c r="M144" s="5" t="str">
        <f>FMECA!K145</f>
        <v>No</v>
      </c>
      <c r="N144" s="5" t="str">
        <f>FMECA!L145</f>
        <v>No</v>
      </c>
      <c r="O144" s="5" t="str">
        <f>FMECA!AC145</f>
        <v>CM2: If this fault occurs,  Fuse_Result will be determined by the corresponding intervals of this failure mode,  and Keep_Power_Readback will be extracted from the second fault.</v>
      </c>
    </row>
    <row r="145" spans="1:15" ht="120">
      <c r="A145" s="5" t="str">
        <f>FMECA!A146</f>
        <v>F_Sys</v>
      </c>
      <c r="B145" s="55" t="str">
        <f>FMECA!B146</f>
        <v>Increase of rupture time</v>
      </c>
      <c r="C145" s="5">
        <f>FMECA!D146</f>
        <v>0.43</v>
      </c>
      <c r="D145" s="5">
        <f>FMECA!V146</f>
        <v>54</v>
      </c>
      <c r="E145" s="5">
        <f>FMECA!S146</f>
        <v>4092</v>
      </c>
      <c r="F145" s="5">
        <f>FMECA!W146</f>
        <v>51</v>
      </c>
      <c r="G145" s="5">
        <f>FMECA!X146</f>
        <v>57</v>
      </c>
      <c r="H145" s="5">
        <f>FMECA!T146</f>
        <v>4091</v>
      </c>
      <c r="I145" s="5">
        <f>FMECA!U146</f>
        <v>4095</v>
      </c>
      <c r="J145" s="5">
        <f>FMECA!Z146</f>
        <v>0</v>
      </c>
      <c r="K145" s="5">
        <f>FMECA!AA146</f>
        <v>1</v>
      </c>
      <c r="L145" s="5" t="str">
        <f>FMECA!H146</f>
        <v>Safe</v>
      </c>
      <c r="M145" s="5" t="str">
        <f>FMECA!K146</f>
        <v>No</v>
      </c>
      <c r="N145" s="5" t="str">
        <f>FMECA!L146</f>
        <v>No</v>
      </c>
      <c r="O145" s="5" t="str">
        <f>FMECA!AC146</f>
        <v>CM2: If this fault occurs,  Fuse_Result will be determined by the corresponding intervals of this failure mode,  and Keep_Power_Readback will be extracted from the second fault.</v>
      </c>
    </row>
    <row r="146" spans="1:15" ht="120">
      <c r="A146" s="5" t="str">
        <f>FMECA!A147</f>
        <v>F_Sys</v>
      </c>
      <c r="B146" s="55" t="str">
        <f>FMECA!B147</f>
        <v>Reconnection after rupture</v>
      </c>
      <c r="C146" s="5">
        <f>FMECA!D147</f>
        <v>0.16333333333333333</v>
      </c>
      <c r="D146" s="5">
        <f>FMECA!V147</f>
        <v>54</v>
      </c>
      <c r="E146" s="5">
        <f>FMECA!S147</f>
        <v>4092</v>
      </c>
      <c r="F146" s="5">
        <f>FMECA!W147</f>
        <v>51</v>
      </c>
      <c r="G146" s="5">
        <f>FMECA!X147</f>
        <v>57</v>
      </c>
      <c r="H146" s="5">
        <f>FMECA!T147</f>
        <v>4091</v>
      </c>
      <c r="I146" s="5">
        <f>FMECA!U147</f>
        <v>4095</v>
      </c>
      <c r="J146" s="5">
        <f>FMECA!Z147</f>
        <v>0</v>
      </c>
      <c r="K146" s="5">
        <f>FMECA!AA147</f>
        <v>1</v>
      </c>
      <c r="L146" s="5" t="str">
        <f>FMECA!H147</f>
        <v>Safe</v>
      </c>
      <c r="M146" s="5" t="str">
        <f>FMECA!K147</f>
        <v>No</v>
      </c>
      <c r="N146" s="5" t="str">
        <f>FMECA!L147</f>
        <v>No</v>
      </c>
      <c r="O146" s="5" t="str">
        <f>FMECA!AC147</f>
        <v>CM2: If this fault occurs,  Fuse_Result will be determined by the corresponding intervals of this failure mode,  and Keep_Power_Readback will be extracted from the second fault.</v>
      </c>
    </row>
    <row r="147" spans="1:15" ht="60">
      <c r="A147" s="5" t="str">
        <f>FMECA!A148</f>
        <v>Q_Sys</v>
      </c>
      <c r="B147" s="55" t="str">
        <f>FMECA!B148</f>
        <v>Interruption of Gate</v>
      </c>
      <c r="C147" s="5">
        <f>FMECA!D148</f>
        <v>2.642857142857143E-2</v>
      </c>
      <c r="D147" s="5">
        <f>FMECA!V148</f>
        <v>4092</v>
      </c>
      <c r="E147" s="5">
        <f>FMECA!S148</f>
        <v>4093</v>
      </c>
      <c r="F147" s="5">
        <f>FMECA!W148</f>
        <v>4092</v>
      </c>
      <c r="G147" s="5">
        <f>FMECA!X148</f>
        <v>4092</v>
      </c>
      <c r="H147" s="5">
        <f>FMECA!T148</f>
        <v>4093</v>
      </c>
      <c r="I147" s="5">
        <f>FMECA!U148</f>
        <v>4093</v>
      </c>
      <c r="J147" s="5">
        <f>FMECA!Z148</f>
        <v>0</v>
      </c>
      <c r="K147" s="5">
        <f>FMECA!AA148</f>
        <v>1</v>
      </c>
      <c r="L147" s="5" t="str">
        <f>FMECA!H148</f>
        <v>Safe</v>
      </c>
      <c r="M147" s="5" t="str">
        <f>FMECA!K148</f>
        <v>Yes</v>
      </c>
      <c r="N147" s="5" t="str">
        <f>FMECA!L148</f>
        <v>Yes</v>
      </c>
      <c r="O147" s="5" t="str">
        <f>FMECA!AC148</f>
        <v>Not applicable. Assumed that only undetectable faults will be classified onto a 'multiple faults class of equivalence'.</v>
      </c>
    </row>
    <row r="148" spans="1:15" ht="60">
      <c r="A148" s="5" t="str">
        <f>FMECA!A149</f>
        <v>Q_Sys</v>
      </c>
      <c r="B148" s="55" t="str">
        <f>FMECA!B149</f>
        <v>Interruption of Source</v>
      </c>
      <c r="C148" s="5">
        <f>FMECA!D149</f>
        <v>2.642857142857143E-2</v>
      </c>
      <c r="D148" s="5">
        <f>FMECA!V149</f>
        <v>4092</v>
      </c>
      <c r="E148" s="5">
        <f>FMECA!S149</f>
        <v>4093</v>
      </c>
      <c r="F148" s="5">
        <f>FMECA!W149</f>
        <v>4092</v>
      </c>
      <c r="G148" s="5">
        <f>FMECA!X149</f>
        <v>4092</v>
      </c>
      <c r="H148" s="5">
        <f>FMECA!T149</f>
        <v>4093</v>
      </c>
      <c r="I148" s="5">
        <f>FMECA!U149</f>
        <v>4093</v>
      </c>
      <c r="J148" s="5">
        <f>FMECA!Z149</f>
        <v>0</v>
      </c>
      <c r="K148" s="5">
        <f>FMECA!AA149</f>
        <v>1</v>
      </c>
      <c r="L148" s="5" t="str">
        <f>FMECA!H149</f>
        <v>Safe</v>
      </c>
      <c r="M148" s="5" t="str">
        <f>FMECA!K149</f>
        <v>Yes</v>
      </c>
      <c r="N148" s="5" t="str">
        <f>FMECA!L149</f>
        <v>Yes</v>
      </c>
      <c r="O148" s="5" t="str">
        <f>FMECA!AC149</f>
        <v>Not applicable. Assumed that only undetectable faults will be classified onto a 'multiple faults class of equivalence'.</v>
      </c>
    </row>
    <row r="149" spans="1:15" ht="60">
      <c r="A149" s="5" t="str">
        <f>FMECA!A150</f>
        <v>Q_Sys</v>
      </c>
      <c r="B149" s="55" t="str">
        <f>FMECA!B150</f>
        <v>Interruption of Drain</v>
      </c>
      <c r="C149" s="5">
        <f>FMECA!D150</f>
        <v>2.642857142857143E-2</v>
      </c>
      <c r="D149" s="5">
        <f>FMECA!V150</f>
        <v>4092</v>
      </c>
      <c r="E149" s="5">
        <f>FMECA!S150</f>
        <v>4093</v>
      </c>
      <c r="F149" s="5">
        <f>FMECA!W150</f>
        <v>4092</v>
      </c>
      <c r="G149" s="5">
        <f>FMECA!X150</f>
        <v>4092</v>
      </c>
      <c r="H149" s="5">
        <f>FMECA!T150</f>
        <v>4093</v>
      </c>
      <c r="I149" s="5">
        <f>FMECA!U150</f>
        <v>4093</v>
      </c>
      <c r="J149" s="5">
        <f>FMECA!Z150</f>
        <v>0</v>
      </c>
      <c r="K149" s="5">
        <f>FMECA!AA150</f>
        <v>1</v>
      </c>
      <c r="L149" s="5" t="str">
        <f>FMECA!H150</f>
        <v>Safe</v>
      </c>
      <c r="M149" s="5" t="str">
        <f>FMECA!K150</f>
        <v>Yes</v>
      </c>
      <c r="N149" s="5" t="str">
        <f>FMECA!L150</f>
        <v>Yes</v>
      </c>
      <c r="O149" s="5" t="str">
        <f>FMECA!AC150</f>
        <v>Not applicable. Assumed that only undetectable faults will be classified onto a 'multiple faults class of equivalence'.</v>
      </c>
    </row>
    <row r="150" spans="1:15" ht="60">
      <c r="A150" s="5" t="str">
        <f>FMECA!A151</f>
        <v>Q_Sys</v>
      </c>
      <c r="B150" s="55" t="str">
        <f>FMECA!B151</f>
        <v>Interruption of Gate and Source</v>
      </c>
      <c r="C150" s="5">
        <f>FMECA!D151</f>
        <v>2.642857142857143E-2</v>
      </c>
      <c r="D150" s="5">
        <f>FMECA!V151</f>
        <v>4092</v>
      </c>
      <c r="E150" s="5">
        <f>FMECA!S151</f>
        <v>4093</v>
      </c>
      <c r="F150" s="5">
        <f>FMECA!W151</f>
        <v>4092</v>
      </c>
      <c r="G150" s="5">
        <f>FMECA!X151</f>
        <v>4092</v>
      </c>
      <c r="H150" s="5">
        <f>FMECA!T151</f>
        <v>4093</v>
      </c>
      <c r="I150" s="5">
        <f>FMECA!U151</f>
        <v>4093</v>
      </c>
      <c r="J150" s="5">
        <f>FMECA!Z151</f>
        <v>0</v>
      </c>
      <c r="K150" s="5">
        <f>FMECA!AA151</f>
        <v>1</v>
      </c>
      <c r="L150" s="5" t="str">
        <f>FMECA!H151</f>
        <v>Safe</v>
      </c>
      <c r="M150" s="5" t="str">
        <f>FMECA!K151</f>
        <v>Yes</v>
      </c>
      <c r="N150" s="5" t="str">
        <f>FMECA!L151</f>
        <v>Yes</v>
      </c>
      <c r="O150" s="5" t="str">
        <f>FMECA!AC151</f>
        <v>Not applicable. Assumed that only undetectable faults will be classified onto a 'multiple faults class of equivalence'.</v>
      </c>
    </row>
    <row r="151" spans="1:15" ht="60">
      <c r="A151" s="5" t="str">
        <f>FMECA!A152</f>
        <v>Q_Sys</v>
      </c>
      <c r="B151" s="55" t="str">
        <f>FMECA!B152</f>
        <v>Interruption of Gate and Drain</v>
      </c>
      <c r="C151" s="5">
        <f>FMECA!D152</f>
        <v>2.642857142857143E-2</v>
      </c>
      <c r="D151" s="5">
        <f>FMECA!V152</f>
        <v>4092</v>
      </c>
      <c r="E151" s="5">
        <f>FMECA!S152</f>
        <v>4093</v>
      </c>
      <c r="F151" s="5">
        <f>FMECA!W152</f>
        <v>4092</v>
      </c>
      <c r="G151" s="5">
        <f>FMECA!X152</f>
        <v>4092</v>
      </c>
      <c r="H151" s="5">
        <f>FMECA!T152</f>
        <v>4093</v>
      </c>
      <c r="I151" s="5">
        <f>FMECA!U152</f>
        <v>4093</v>
      </c>
      <c r="J151" s="5">
        <f>FMECA!Z152</f>
        <v>0</v>
      </c>
      <c r="K151" s="5">
        <f>FMECA!AA152</f>
        <v>1</v>
      </c>
      <c r="L151" s="5" t="str">
        <f>FMECA!H152</f>
        <v>Safe</v>
      </c>
      <c r="M151" s="5" t="str">
        <f>FMECA!K152</f>
        <v>Yes</v>
      </c>
      <c r="N151" s="5" t="str">
        <f>FMECA!L152</f>
        <v>Yes</v>
      </c>
      <c r="O151" s="5" t="str">
        <f>FMECA!AC152</f>
        <v>Not applicable. Assumed that only undetectable faults will be classified onto a 'multiple faults class of equivalence'.</v>
      </c>
    </row>
    <row r="152" spans="1:15" ht="60">
      <c r="A152" s="5" t="str">
        <f>FMECA!A153</f>
        <v>Q_Sys</v>
      </c>
      <c r="B152" s="55" t="str">
        <f>FMECA!B153</f>
        <v>Interruption of Source and Drain</v>
      </c>
      <c r="C152" s="5">
        <f>FMECA!D153</f>
        <v>2.642857142857143E-2</v>
      </c>
      <c r="D152" s="5">
        <f>FMECA!V153</f>
        <v>4092</v>
      </c>
      <c r="E152" s="5">
        <f>FMECA!S153</f>
        <v>4093</v>
      </c>
      <c r="F152" s="5">
        <f>FMECA!W153</f>
        <v>4092</v>
      </c>
      <c r="G152" s="5">
        <f>FMECA!X153</f>
        <v>4092</v>
      </c>
      <c r="H152" s="5">
        <f>FMECA!T153</f>
        <v>4093</v>
      </c>
      <c r="I152" s="5">
        <f>FMECA!U153</f>
        <v>4093</v>
      </c>
      <c r="J152" s="5">
        <f>FMECA!Z153</f>
        <v>0</v>
      </c>
      <c r="K152" s="5">
        <f>FMECA!AA153</f>
        <v>1</v>
      </c>
      <c r="L152" s="5" t="str">
        <f>FMECA!H153</f>
        <v>Safe</v>
      </c>
      <c r="M152" s="5" t="str">
        <f>FMECA!K153</f>
        <v>Yes</v>
      </c>
      <c r="N152" s="5" t="str">
        <f>FMECA!L153</f>
        <v>Yes</v>
      </c>
      <c r="O152" s="5" t="str">
        <f>FMECA!AC153</f>
        <v>Not applicable. Assumed that only undetectable faults will be classified onto a 'multiple faults class of equivalence'.</v>
      </c>
    </row>
    <row r="153" spans="1:15" ht="60">
      <c r="A153" s="5" t="str">
        <f>FMECA!A154</f>
        <v>Q_Sys</v>
      </c>
      <c r="B153" s="55" t="str">
        <f>FMECA!B154</f>
        <v>Interruption of Gate, Source and Drain</v>
      </c>
      <c r="C153" s="5">
        <f>FMECA!D154</f>
        <v>2.642857142857143E-2</v>
      </c>
      <c r="D153" s="5">
        <f>FMECA!V154</f>
        <v>4092</v>
      </c>
      <c r="E153" s="5">
        <f>FMECA!S154</f>
        <v>4093</v>
      </c>
      <c r="F153" s="5">
        <f>FMECA!W154</f>
        <v>4092</v>
      </c>
      <c r="G153" s="5">
        <f>FMECA!X154</f>
        <v>4092</v>
      </c>
      <c r="H153" s="5">
        <f>FMECA!T154</f>
        <v>4093</v>
      </c>
      <c r="I153" s="5">
        <f>FMECA!U154</f>
        <v>4093</v>
      </c>
      <c r="J153" s="5">
        <f>FMECA!Z154</f>
        <v>0</v>
      </c>
      <c r="K153" s="5">
        <f>FMECA!AA154</f>
        <v>1</v>
      </c>
      <c r="L153" s="5" t="str">
        <f>FMECA!H154</f>
        <v>Safe</v>
      </c>
      <c r="M153" s="5" t="str">
        <f>FMECA!K154</f>
        <v>Yes</v>
      </c>
      <c r="N153" s="5" t="str">
        <f>FMECA!L154</f>
        <v>Yes</v>
      </c>
      <c r="O153" s="5" t="str">
        <f>FMECA!AC154</f>
        <v>Not applicable. Assumed that only undetectable faults will be classified onto a 'multiple faults class of equivalence'.</v>
      </c>
    </row>
    <row r="154" spans="1:15" ht="60">
      <c r="A154" s="5" t="str">
        <f>FMECA!A155</f>
        <v>Q_Sys</v>
      </c>
      <c r="B154" s="55" t="str">
        <f>FMECA!B155</f>
        <v>Short-Circuit Between Source and Drain</v>
      </c>
      <c r="C154" s="5">
        <f>FMECA!D155</f>
        <v>9.2142857142857151E-2</v>
      </c>
      <c r="D154" s="5">
        <f>FMECA!V155</f>
        <v>0</v>
      </c>
      <c r="E154" s="5">
        <f>FMECA!S155</f>
        <v>0</v>
      </c>
      <c r="F154" s="5">
        <f>FMECA!W155</f>
        <v>0</v>
      </c>
      <c r="G154" s="5">
        <f>FMECA!X155</f>
        <v>0</v>
      </c>
      <c r="H154" s="5">
        <f>FMECA!T155</f>
        <v>0</v>
      </c>
      <c r="I154" s="5">
        <f>FMECA!U155</f>
        <v>0</v>
      </c>
      <c r="J154" s="5">
        <f>FMECA!Z155</f>
        <v>0</v>
      </c>
      <c r="K154" s="5">
        <f>FMECA!AA155</f>
        <v>1</v>
      </c>
      <c r="L154" s="5" t="str">
        <f>FMECA!H155</f>
        <v>Safe</v>
      </c>
      <c r="M154" s="5" t="str">
        <f>FMECA!K155</f>
        <v>Yes</v>
      </c>
      <c r="N154" s="5" t="str">
        <f>FMECA!L155</f>
        <v>No</v>
      </c>
      <c r="O154" s="5" t="str">
        <f>FMECA!AC155</f>
        <v>Not applicable. Assumed that only undetectable faults will be classified onto a 'multiple faults class of equivalence'.</v>
      </c>
    </row>
    <row r="155" spans="1:15" ht="60">
      <c r="A155" s="5" t="str">
        <f>FMECA!A156</f>
        <v>Q_Sys</v>
      </c>
      <c r="B155" s="55" t="str">
        <f>FMECA!B156</f>
        <v>Short-Circuit Between Gate and Drain</v>
      </c>
      <c r="C155" s="5">
        <f>FMECA!D156</f>
        <v>9.2142857142857151E-2</v>
      </c>
      <c r="D155" s="5">
        <f>FMECA!V156</f>
        <v>0</v>
      </c>
      <c r="E155" s="5">
        <f>FMECA!S156</f>
        <v>0</v>
      </c>
      <c r="F155" s="5">
        <f>FMECA!W156</f>
        <v>0</v>
      </c>
      <c r="G155" s="5">
        <f>FMECA!X156</f>
        <v>0</v>
      </c>
      <c r="H155" s="5">
        <f>FMECA!T156</f>
        <v>0</v>
      </c>
      <c r="I155" s="5">
        <f>FMECA!U156</f>
        <v>0</v>
      </c>
      <c r="J155" s="5">
        <f>FMECA!Z156</f>
        <v>0</v>
      </c>
      <c r="K155" s="5">
        <f>FMECA!AA156</f>
        <v>1</v>
      </c>
      <c r="L155" s="5" t="str">
        <f>FMECA!H156</f>
        <v>Safe</v>
      </c>
      <c r="M155" s="5" t="str">
        <f>FMECA!K156</f>
        <v>Yes</v>
      </c>
      <c r="N155" s="5" t="str">
        <f>FMECA!L156</f>
        <v>No</v>
      </c>
      <c r="O155" s="5" t="str">
        <f>FMECA!AC156</f>
        <v>Not applicable. Assumed that only undetectable faults will be classified onto a 'multiple faults class of equivalence'.</v>
      </c>
    </row>
    <row r="156" spans="1:15" ht="60">
      <c r="A156" s="5" t="str">
        <f>FMECA!A157</f>
        <v>Q_Sys</v>
      </c>
      <c r="B156" s="55" t="str">
        <f>FMECA!B157</f>
        <v>Short-Circuit Between Source and Gate</v>
      </c>
      <c r="C156" s="5">
        <f>FMECA!D157</f>
        <v>9.2142857142857151E-2</v>
      </c>
      <c r="D156" s="5">
        <f>FMECA!V157</f>
        <v>4092</v>
      </c>
      <c r="E156" s="5">
        <f>FMECA!S157</f>
        <v>4093</v>
      </c>
      <c r="F156" s="5">
        <f>FMECA!W157</f>
        <v>4092</v>
      </c>
      <c r="G156" s="5">
        <f>FMECA!X157</f>
        <v>4092</v>
      </c>
      <c r="H156" s="5">
        <f>FMECA!T157</f>
        <v>4093</v>
      </c>
      <c r="I156" s="5">
        <f>FMECA!U157</f>
        <v>4093</v>
      </c>
      <c r="J156" s="5">
        <f>FMECA!Z157</f>
        <v>0</v>
      </c>
      <c r="K156" s="5">
        <f>FMECA!AA157</f>
        <v>1</v>
      </c>
      <c r="L156" s="5" t="str">
        <f>FMECA!H157</f>
        <v>Safe</v>
      </c>
      <c r="M156" s="5" t="str">
        <f>FMECA!K157</f>
        <v>Yes</v>
      </c>
      <c r="N156" s="5" t="str">
        <f>FMECA!L157</f>
        <v>Yes</v>
      </c>
      <c r="O156" s="5" t="str">
        <f>FMECA!AC157</f>
        <v>Not applicable. Assumed that only undetectable faults will be classified onto a 'multiple faults class of equivalence'.</v>
      </c>
    </row>
    <row r="157" spans="1:15" ht="60">
      <c r="A157" s="5" t="str">
        <f>FMECA!A158</f>
        <v>Q_Sys</v>
      </c>
      <c r="B157" s="55" t="str">
        <f>FMECA!B158</f>
        <v>Short-Circuit Between Source, Gate and Drain</v>
      </c>
      <c r="C157" s="5">
        <f>FMECA!D158</f>
        <v>9.2142857142857151E-2</v>
      </c>
      <c r="D157" s="5">
        <f>FMECA!V158</f>
        <v>0</v>
      </c>
      <c r="E157" s="5">
        <f>FMECA!S158</f>
        <v>0</v>
      </c>
      <c r="F157" s="5">
        <f>FMECA!W158</f>
        <v>0</v>
      </c>
      <c r="G157" s="5">
        <f>FMECA!X158</f>
        <v>0</v>
      </c>
      <c r="H157" s="5">
        <f>FMECA!T158</f>
        <v>0</v>
      </c>
      <c r="I157" s="5">
        <f>FMECA!U158</f>
        <v>0</v>
      </c>
      <c r="J157" s="5">
        <f>FMECA!Z158</f>
        <v>0</v>
      </c>
      <c r="K157" s="5">
        <f>FMECA!AA158</f>
        <v>1</v>
      </c>
      <c r="L157" s="5" t="str">
        <f>FMECA!H158</f>
        <v>Safe</v>
      </c>
      <c r="M157" s="5" t="str">
        <f>FMECA!K158</f>
        <v>Yes</v>
      </c>
      <c r="N157" s="5" t="str">
        <f>FMECA!L158</f>
        <v>No</v>
      </c>
      <c r="O157" s="5" t="str">
        <f>FMECA!AC158</f>
        <v>Not applicable. Assumed that only undetectable faults will be classified onto a 'multiple faults class of equivalence'.</v>
      </c>
    </row>
    <row r="158" spans="1:15" ht="60">
      <c r="A158" s="5" t="str">
        <f>FMECA!A159</f>
        <v>Q_Sys</v>
      </c>
      <c r="B158" s="55" t="str">
        <f>FMECA!B159</f>
        <v>Short-Circuit Between Source and Drain with Interruption of Gate</v>
      </c>
      <c r="C158" s="5">
        <f>FMECA!D159</f>
        <v>9.2142857142857151E-2</v>
      </c>
      <c r="D158" s="5">
        <f>FMECA!V159</f>
        <v>0</v>
      </c>
      <c r="E158" s="5">
        <f>FMECA!S159</f>
        <v>0</v>
      </c>
      <c r="F158" s="5">
        <f>FMECA!W159</f>
        <v>0</v>
      </c>
      <c r="G158" s="5">
        <f>FMECA!X159</f>
        <v>0</v>
      </c>
      <c r="H158" s="5">
        <f>FMECA!T159</f>
        <v>0</v>
      </c>
      <c r="I158" s="5">
        <f>FMECA!U159</f>
        <v>0</v>
      </c>
      <c r="J158" s="5">
        <f>FMECA!Z159</f>
        <v>0</v>
      </c>
      <c r="K158" s="5">
        <f>FMECA!AA159</f>
        <v>1</v>
      </c>
      <c r="L158" s="5" t="str">
        <f>FMECA!H159</f>
        <v>Safe</v>
      </c>
      <c r="M158" s="5" t="str">
        <f>FMECA!K159</f>
        <v>Yes</v>
      </c>
      <c r="N158" s="5" t="str">
        <f>FMECA!L159</f>
        <v>No</v>
      </c>
      <c r="O158" s="5" t="str">
        <f>FMECA!AC159</f>
        <v>Not applicable. Assumed that only undetectable faults will be classified onto a 'multiple faults class of equivalence'.</v>
      </c>
    </row>
    <row r="159" spans="1:15" ht="60">
      <c r="A159" s="5" t="str">
        <f>FMECA!A160</f>
        <v>Q_Sys</v>
      </c>
      <c r="B159" s="55" t="str">
        <f>FMECA!B160</f>
        <v>Short-Circuit Between Gate and Drain with Interruption of Source</v>
      </c>
      <c r="C159" s="5">
        <f>FMECA!D160</f>
        <v>9.2142857142857151E-2</v>
      </c>
      <c r="D159" s="5">
        <f>FMECA!V160</f>
        <v>0</v>
      </c>
      <c r="E159" s="5">
        <f>FMECA!S160</f>
        <v>0</v>
      </c>
      <c r="F159" s="5">
        <f>FMECA!W160</f>
        <v>0</v>
      </c>
      <c r="G159" s="5">
        <f>FMECA!X160</f>
        <v>0</v>
      </c>
      <c r="H159" s="5">
        <f>FMECA!T160</f>
        <v>0</v>
      </c>
      <c r="I159" s="5">
        <f>FMECA!U160</f>
        <v>0</v>
      </c>
      <c r="J159" s="5">
        <f>FMECA!Z160</f>
        <v>0</v>
      </c>
      <c r="K159" s="5">
        <f>FMECA!AA160</f>
        <v>1</v>
      </c>
      <c r="L159" s="5" t="str">
        <f>FMECA!H160</f>
        <v>Safe</v>
      </c>
      <c r="M159" s="5" t="str">
        <f>FMECA!K160</f>
        <v>Yes</v>
      </c>
      <c r="N159" s="5" t="str">
        <f>FMECA!L160</f>
        <v>No</v>
      </c>
      <c r="O159" s="5" t="str">
        <f>FMECA!AC160</f>
        <v>Not applicable. Assumed that only undetectable faults will be classified onto a 'multiple faults class of equivalence'.</v>
      </c>
    </row>
    <row r="160" spans="1:15" ht="60">
      <c r="A160" s="5" t="str">
        <f>FMECA!A161</f>
        <v>Q_Sys</v>
      </c>
      <c r="B160" s="55" t="str">
        <f>FMECA!B161</f>
        <v>Short-Circuit Between Source and Gate with Interruption of Drain</v>
      </c>
      <c r="C160" s="5">
        <f>FMECA!D161</f>
        <v>9.2142857142857151E-2</v>
      </c>
      <c r="D160" s="5">
        <f>FMECA!V161</f>
        <v>4092</v>
      </c>
      <c r="E160" s="5">
        <f>FMECA!S161</f>
        <v>4093</v>
      </c>
      <c r="F160" s="5">
        <f>FMECA!W161</f>
        <v>4092</v>
      </c>
      <c r="G160" s="5">
        <f>FMECA!X161</f>
        <v>4092</v>
      </c>
      <c r="H160" s="5">
        <f>FMECA!T161</f>
        <v>4093</v>
      </c>
      <c r="I160" s="5">
        <f>FMECA!U161</f>
        <v>4093</v>
      </c>
      <c r="J160" s="5">
        <f>FMECA!Z161</f>
        <v>0</v>
      </c>
      <c r="K160" s="5">
        <f>FMECA!AA161</f>
        <v>1</v>
      </c>
      <c r="L160" s="5" t="str">
        <f>FMECA!H161</f>
        <v>Safe</v>
      </c>
      <c r="M160" s="5" t="str">
        <f>FMECA!K161</f>
        <v>Yes</v>
      </c>
      <c r="N160" s="5" t="str">
        <f>FMECA!L161</f>
        <v>Yes</v>
      </c>
      <c r="O160" s="5" t="str">
        <f>FMECA!AC161</f>
        <v>Not applicable. Assumed that only undetectable faults will be classified onto a 'multiple faults class of equivalence'.</v>
      </c>
    </row>
    <row r="161" spans="1:15" ht="60">
      <c r="A161" s="5" t="str">
        <f>FMECA!A162</f>
        <v>Q_Sys</v>
      </c>
      <c r="B161" s="55" t="str">
        <f>FMECA!B162</f>
        <v>Short-Circuit Between Casing and Source</v>
      </c>
      <c r="C161" s="5">
        <f>FMECA!D162</f>
        <v>0</v>
      </c>
      <c r="D161" s="5">
        <f>FMECA!V162</f>
        <v>54</v>
      </c>
      <c r="E161" s="5">
        <f>FMECA!S162</f>
        <v>4092</v>
      </c>
      <c r="F161" s="5">
        <f>FMECA!W162</f>
        <v>51</v>
      </c>
      <c r="G161" s="5">
        <f>FMECA!X162</f>
        <v>57</v>
      </c>
      <c r="H161" s="5">
        <f>FMECA!T162</f>
        <v>4091</v>
      </c>
      <c r="I161" s="5">
        <f>FMECA!U162</f>
        <v>4095</v>
      </c>
      <c r="J161" s="5">
        <f>FMECA!Z162</f>
        <v>0</v>
      </c>
      <c r="K161" s="5">
        <f>FMECA!AA162</f>
        <v>1</v>
      </c>
      <c r="L161" s="5" t="str">
        <f>FMECA!H162</f>
        <v>Safe</v>
      </c>
      <c r="M161" s="5" t="str">
        <f>FMECA!K162</f>
        <v>No; impactless.</v>
      </c>
      <c r="N161" s="5" t="str">
        <f>FMECA!L162</f>
        <v>No; impactless.</v>
      </c>
      <c r="O161" s="5" t="str">
        <f>FMECA!AC162</f>
        <v>Not applicable. Assumed that only undetectable faults will be classified onto a 'multiple faults class of equivalence'.</v>
      </c>
    </row>
    <row r="162" spans="1:15" ht="60">
      <c r="A162" s="5" t="str">
        <f>FMECA!A163</f>
        <v>Q_Sys</v>
      </c>
      <c r="B162" s="55" t="str">
        <f>FMECA!B163</f>
        <v>Short-Circuit Between Casing and Gate</v>
      </c>
      <c r="C162" s="5">
        <f>FMECA!D163</f>
        <v>0</v>
      </c>
      <c r="D162" s="5">
        <f>FMECA!V163</f>
        <v>54</v>
      </c>
      <c r="E162" s="5">
        <f>FMECA!S163</f>
        <v>4092</v>
      </c>
      <c r="F162" s="5">
        <f>FMECA!W163</f>
        <v>51</v>
      </c>
      <c r="G162" s="5">
        <f>FMECA!X163</f>
        <v>57</v>
      </c>
      <c r="H162" s="5">
        <f>FMECA!T163</f>
        <v>4091</v>
      </c>
      <c r="I162" s="5">
        <f>FMECA!U163</f>
        <v>4095</v>
      </c>
      <c r="J162" s="5">
        <f>FMECA!Z163</f>
        <v>0</v>
      </c>
      <c r="K162" s="5">
        <f>FMECA!AA163</f>
        <v>1</v>
      </c>
      <c r="L162" s="5" t="str">
        <f>FMECA!H163</f>
        <v>Safe</v>
      </c>
      <c r="M162" s="5" t="str">
        <f>FMECA!K163</f>
        <v>No; impactless.</v>
      </c>
      <c r="N162" s="5" t="str">
        <f>FMECA!L163</f>
        <v>No; impactless.</v>
      </c>
      <c r="O162" s="5" t="str">
        <f>FMECA!AC163</f>
        <v>Not applicable. Assumed that only undetectable faults will be classified onto a 'multiple faults class of equivalence'.</v>
      </c>
    </row>
    <row r="163" spans="1:15" ht="60">
      <c r="A163" s="5" t="str">
        <f>FMECA!A164</f>
        <v>Q_Sys</v>
      </c>
      <c r="B163" s="55" t="str">
        <f>FMECA!B164</f>
        <v>Short-Circuit Between Casing and Drain</v>
      </c>
      <c r="C163" s="5">
        <f>FMECA!D164</f>
        <v>0</v>
      </c>
      <c r="D163" s="5">
        <f>FMECA!V164</f>
        <v>54</v>
      </c>
      <c r="E163" s="5">
        <f>FMECA!S164</f>
        <v>4092</v>
      </c>
      <c r="F163" s="5">
        <f>FMECA!W164</f>
        <v>51</v>
      </c>
      <c r="G163" s="5">
        <f>FMECA!X164</f>
        <v>57</v>
      </c>
      <c r="H163" s="5">
        <f>FMECA!T164</f>
        <v>4091</v>
      </c>
      <c r="I163" s="5">
        <f>FMECA!U164</f>
        <v>4095</v>
      </c>
      <c r="J163" s="5">
        <f>FMECA!Z164</f>
        <v>0</v>
      </c>
      <c r="K163" s="5">
        <f>FMECA!AA164</f>
        <v>1</v>
      </c>
      <c r="L163" s="5" t="str">
        <f>FMECA!H164</f>
        <v>Safe</v>
      </c>
      <c r="M163" s="5" t="str">
        <f>FMECA!K164</f>
        <v>No; impactless.</v>
      </c>
      <c r="N163" s="5" t="str">
        <f>FMECA!L164</f>
        <v>No; impactless.</v>
      </c>
      <c r="O163" s="5" t="str">
        <f>FMECA!AC164</f>
        <v>Not applicable. Assumed that only undetectable faults will be classified onto a 'multiple faults class of equivalence'.</v>
      </c>
    </row>
    <row r="164" spans="1:15" ht="60">
      <c r="A164" s="5" t="str">
        <f>FMECA!A165</f>
        <v>Q_Sys</v>
      </c>
      <c r="B164" s="55" t="str">
        <f>FMECA!B165</f>
        <v>Increase of Forward Transcondutance</v>
      </c>
      <c r="C164" s="5">
        <f>FMECA!D165</f>
        <v>1.3076923076923078E-2</v>
      </c>
      <c r="D164" s="5">
        <f>FMECA!V165</f>
        <v>54</v>
      </c>
      <c r="E164" s="5">
        <f>FMECA!S165</f>
        <v>4092</v>
      </c>
      <c r="F164" s="5">
        <f>FMECA!W165</f>
        <v>51</v>
      </c>
      <c r="G164" s="5">
        <f>FMECA!X165</f>
        <v>57</v>
      </c>
      <c r="H164" s="5">
        <f>FMECA!T165</f>
        <v>4091</v>
      </c>
      <c r="I164" s="5">
        <f>FMECA!U165</f>
        <v>4095</v>
      </c>
      <c r="J164" s="5">
        <f>FMECA!Z165</f>
        <v>0</v>
      </c>
      <c r="K164" s="5">
        <f>FMECA!AA165</f>
        <v>1</v>
      </c>
      <c r="L164" s="5" t="str">
        <f>FMECA!H165</f>
        <v>Safe</v>
      </c>
      <c r="M164" s="5" t="str">
        <f>FMECA!K165</f>
        <v>No; impactless.</v>
      </c>
      <c r="N164" s="5" t="str">
        <f>FMECA!L165</f>
        <v>No; impactless.</v>
      </c>
      <c r="O164" s="5" t="str">
        <f>FMECA!AC165</f>
        <v>Not applicable. Assumed that only undetectable faults will be classified onto a 'multiple faults class of equivalence'.</v>
      </c>
    </row>
    <row r="165" spans="1:15" ht="60">
      <c r="A165" s="5" t="str">
        <f>FMECA!A166</f>
        <v>Q_Sys</v>
      </c>
      <c r="B165" s="55" t="str">
        <f>FMECA!B166</f>
        <v>Decrease of Forward Transcondutance</v>
      </c>
      <c r="C165" s="5">
        <f>FMECA!D166</f>
        <v>1.3076923076923078E-2</v>
      </c>
      <c r="D165" s="5">
        <f>FMECA!V166</f>
        <v>2038</v>
      </c>
      <c r="E165" s="5">
        <f>FMECA!S166</f>
        <v>4093</v>
      </c>
      <c r="F165" s="5">
        <f>FMECA!W166</f>
        <v>51</v>
      </c>
      <c r="G165" s="5">
        <f>FMECA!X166</f>
        <v>4092</v>
      </c>
      <c r="H165" s="5">
        <f>FMECA!T166</f>
        <v>4093</v>
      </c>
      <c r="I165" s="5">
        <f>FMECA!U166</f>
        <v>4093</v>
      </c>
      <c r="J165" s="5">
        <f>FMECA!Z166</f>
        <v>0</v>
      </c>
      <c r="K165" s="5">
        <f>FMECA!AA166</f>
        <v>1</v>
      </c>
      <c r="L165" s="5" t="str">
        <f>FMECA!H166</f>
        <v>Safe</v>
      </c>
      <c r="M165" s="5" t="str">
        <f>FMECA!K166</f>
        <v>Yes</v>
      </c>
      <c r="N165" s="5" t="str">
        <f>FMECA!L166</f>
        <v>Yes</v>
      </c>
      <c r="O165" s="5" t="str">
        <f>FMECA!AC166</f>
        <v>Not applicable. Assumed that only undetectable faults will be classified onto a 'multiple faults class of equivalence'.</v>
      </c>
    </row>
    <row r="166" spans="1:15" ht="60">
      <c r="A166" s="5" t="str">
        <f>FMECA!A167</f>
        <v>Q_Sys</v>
      </c>
      <c r="B166" s="55" t="str">
        <f>FMECA!B167</f>
        <v>Increase of Gate Threshold Voltage</v>
      </c>
      <c r="C166" s="5">
        <f>FMECA!D167</f>
        <v>1.3076923076923078E-2</v>
      </c>
      <c r="D166" s="5">
        <f>FMECA!V167</f>
        <v>2038</v>
      </c>
      <c r="E166" s="5">
        <f>FMECA!S167</f>
        <v>4093</v>
      </c>
      <c r="F166" s="5">
        <f>FMECA!W167</f>
        <v>51</v>
      </c>
      <c r="G166" s="5">
        <f>FMECA!X167</f>
        <v>4092</v>
      </c>
      <c r="H166" s="5">
        <f>FMECA!T167</f>
        <v>4093</v>
      </c>
      <c r="I166" s="5">
        <f>FMECA!U167</f>
        <v>4093</v>
      </c>
      <c r="J166" s="5">
        <f>FMECA!Z167</f>
        <v>0</v>
      </c>
      <c r="K166" s="5">
        <f>FMECA!AA167</f>
        <v>1</v>
      </c>
      <c r="L166" s="5" t="str">
        <f>FMECA!H167</f>
        <v>Safe</v>
      </c>
      <c r="M166" s="5" t="str">
        <f>FMECA!K167</f>
        <v>Yes</v>
      </c>
      <c r="N166" s="5" t="str">
        <f>FMECA!L167</f>
        <v>Yes</v>
      </c>
      <c r="O166" s="5" t="str">
        <f>FMECA!AC167</f>
        <v>Not applicable. Assumed that only undetectable faults will be classified onto a 'multiple faults class of equivalence'.</v>
      </c>
    </row>
    <row r="167" spans="1:15" ht="120">
      <c r="A167" s="5" t="str">
        <f>FMECA!A168</f>
        <v>Q_Sys</v>
      </c>
      <c r="B167" s="55" t="str">
        <f>FMECA!B168</f>
        <v>Decrease of Gate Threshold Voltage</v>
      </c>
      <c r="C167" s="5">
        <f>FMECA!D168</f>
        <v>1.3076923076923078E-2</v>
      </c>
      <c r="D167" s="5">
        <f>FMECA!V168</f>
        <v>0</v>
      </c>
      <c r="E167" s="5">
        <f>FMECA!S168</f>
        <v>2038</v>
      </c>
      <c r="F167" s="5">
        <f>FMECA!W168</f>
        <v>0</v>
      </c>
      <c r="G167" s="5">
        <f>FMECA!X168</f>
        <v>0</v>
      </c>
      <c r="H167" s="5">
        <f>FMECA!T168</f>
        <v>0</v>
      </c>
      <c r="I167" s="5">
        <f>FMECA!U168</f>
        <v>4093</v>
      </c>
      <c r="J167" s="5">
        <f>FMECA!Z168</f>
        <v>0</v>
      </c>
      <c r="K167" s="5">
        <f>FMECA!AA168</f>
        <v>1</v>
      </c>
      <c r="L167" s="5" t="str">
        <f>FMECA!H168</f>
        <v>Safe</v>
      </c>
      <c r="M167" s="5" t="str">
        <f>FMECA!K168</f>
        <v>Maybe</v>
      </c>
      <c r="N167" s="5" t="str">
        <f>FMECA!L168</f>
        <v>No</v>
      </c>
      <c r="O167" s="36" t="str">
        <f>FMECA!AC168</f>
        <v>CM2: If this fault occurs,  Fuse_Result will be determined by the corresponding intervals of this failure mode,  and Keep_Power_Readback will be extracted from the second fault.</v>
      </c>
    </row>
    <row r="168" spans="1:15" ht="120">
      <c r="A168" s="5" t="str">
        <f>FMECA!A169</f>
        <v>Q_Sys</v>
      </c>
      <c r="B168" s="55" t="str">
        <f>FMECA!B169</f>
        <v>Decrease of Drain-Source Breakdown Voltage</v>
      </c>
      <c r="C168" s="5">
        <f>FMECA!D169</f>
        <v>1.3076923076923078E-2</v>
      </c>
      <c r="D168" s="5">
        <f>FMECA!V169</f>
        <v>0</v>
      </c>
      <c r="E168" s="5">
        <f>FMECA!S169</f>
        <v>2038</v>
      </c>
      <c r="F168" s="5">
        <f>FMECA!W169</f>
        <v>0</v>
      </c>
      <c r="G168" s="5">
        <f>FMECA!X169</f>
        <v>0</v>
      </c>
      <c r="H168" s="5">
        <f>FMECA!T169</f>
        <v>0</v>
      </c>
      <c r="I168" s="5">
        <f>FMECA!U169</f>
        <v>4093</v>
      </c>
      <c r="J168" s="5">
        <f>FMECA!Z169</f>
        <v>0</v>
      </c>
      <c r="K168" s="5">
        <f>FMECA!AA169</f>
        <v>1</v>
      </c>
      <c r="L168" s="5" t="str">
        <f>FMECA!H169</f>
        <v>Safe</v>
      </c>
      <c r="M168" s="5" t="str">
        <f>FMECA!K169</f>
        <v>Maybe</v>
      </c>
      <c r="N168" s="5" t="str">
        <f>FMECA!L169</f>
        <v>No</v>
      </c>
      <c r="O168" s="36" t="str">
        <f>FMECA!AC169</f>
        <v>CM2: If this fault occurs,  Fuse_Result will be determined by the corresponding intervals of this failure mode,  and Keep_Power_Readback will be extracted from the second fault.</v>
      </c>
    </row>
    <row r="169" spans="1:15" ht="60">
      <c r="A169" s="5" t="str">
        <f>FMECA!A170</f>
        <v>Q_Sys</v>
      </c>
      <c r="B169" s="55" t="str">
        <f>FMECA!B170</f>
        <v>Decrease of Gate-Source Maximum Rated Voltage</v>
      </c>
      <c r="C169" s="5">
        <f>FMECA!D170</f>
        <v>1.3076923076923078E-2</v>
      </c>
      <c r="D169" s="5">
        <f>FMECA!V170</f>
        <v>2038</v>
      </c>
      <c r="E169" s="5">
        <f>FMECA!S170</f>
        <v>4093</v>
      </c>
      <c r="F169" s="5">
        <f>FMECA!W170</f>
        <v>51</v>
      </c>
      <c r="G169" s="5">
        <f>FMECA!X170</f>
        <v>4092</v>
      </c>
      <c r="H169" s="5">
        <f>FMECA!T170</f>
        <v>4093</v>
      </c>
      <c r="I169" s="5">
        <f>FMECA!U170</f>
        <v>4093</v>
      </c>
      <c r="J169" s="5">
        <f>FMECA!Z170</f>
        <v>0</v>
      </c>
      <c r="K169" s="5">
        <f>FMECA!AA170</f>
        <v>1</v>
      </c>
      <c r="L169" s="5" t="str">
        <f>FMECA!H170</f>
        <v>Safe</v>
      </c>
      <c r="M169" s="5" t="str">
        <f>FMECA!K170</f>
        <v>Yes</v>
      </c>
      <c r="N169" s="5" t="str">
        <f>FMECA!L170</f>
        <v>Yes</v>
      </c>
      <c r="O169" s="5" t="str">
        <f>FMECA!AC170</f>
        <v>Not applicable. Assumed that only undetectable faults will be classified onto a 'multiple faults class of equivalence'.</v>
      </c>
    </row>
    <row r="170" spans="1:15" ht="120">
      <c r="A170" s="5" t="str">
        <f>FMECA!A171</f>
        <v>Q_Sys</v>
      </c>
      <c r="B170" s="55" t="str">
        <f>FMECA!B171</f>
        <v>Decrease of Drain-Gate Maximum Rated Voltage</v>
      </c>
      <c r="C170" s="5">
        <f>FMECA!D171</f>
        <v>1.3076923076923078E-2</v>
      </c>
      <c r="D170" s="5">
        <f>FMECA!V171</f>
        <v>2038</v>
      </c>
      <c r="E170" s="5">
        <f>FMECA!S171</f>
        <v>2038</v>
      </c>
      <c r="F170" s="5">
        <f>FMECA!W171</f>
        <v>0</v>
      </c>
      <c r="G170" s="5">
        <f>FMECA!X171</f>
        <v>4093</v>
      </c>
      <c r="H170" s="5">
        <f>FMECA!T171</f>
        <v>0</v>
      </c>
      <c r="I170" s="5">
        <f>FMECA!U171</f>
        <v>4093</v>
      </c>
      <c r="J170" s="5">
        <f>FMECA!Z171</f>
        <v>0</v>
      </c>
      <c r="K170" s="5">
        <f>FMECA!AA171</f>
        <v>1</v>
      </c>
      <c r="L170" s="5" t="str">
        <f>FMECA!H171</f>
        <v>Safe</v>
      </c>
      <c r="M170" s="5" t="str">
        <f>FMECA!K171</f>
        <v>Maybe</v>
      </c>
      <c r="N170" s="5" t="str">
        <f>FMECA!L171</f>
        <v>No</v>
      </c>
      <c r="O170" s="36" t="str">
        <f>FMECA!AC171</f>
        <v>CM2: If this fault occurs,  Fuse_Result will be determined by the corresponding intervals of this failure mode,  and Keep_Power_Readback will be extracted from the second fault.</v>
      </c>
    </row>
    <row r="171" spans="1:15" ht="60">
      <c r="A171" s="5" t="str">
        <f>FMECA!A172</f>
        <v>Q_Sys</v>
      </c>
      <c r="B171" s="55" t="str">
        <f>FMECA!B172</f>
        <v>Change of Turn-On Time</v>
      </c>
      <c r="C171" s="5">
        <f>FMECA!D172</f>
        <v>1.3076923076923078E-2</v>
      </c>
      <c r="D171" s="5">
        <f>FMECA!V172</f>
        <v>0</v>
      </c>
      <c r="E171" s="5">
        <f>FMECA!S172</f>
        <v>0</v>
      </c>
      <c r="F171" s="5">
        <f>FMECA!W172</f>
        <v>0</v>
      </c>
      <c r="G171" s="5">
        <f>FMECA!X172</f>
        <v>0</v>
      </c>
      <c r="H171" s="5">
        <f>FMECA!T172</f>
        <v>0</v>
      </c>
      <c r="I171" s="5">
        <f>FMECA!U172</f>
        <v>0</v>
      </c>
      <c r="J171" s="5">
        <f>FMECA!Z172</f>
        <v>0</v>
      </c>
      <c r="K171" s="5">
        <f>FMECA!AA172</f>
        <v>1</v>
      </c>
      <c r="L171" s="5" t="str">
        <f>FMECA!H172</f>
        <v>Safe</v>
      </c>
      <c r="M171" s="5" t="str">
        <f>FMECA!K172</f>
        <v>Yes</v>
      </c>
      <c r="N171" s="5" t="str">
        <f>FMECA!L172</f>
        <v>No</v>
      </c>
      <c r="O171" s="5" t="str">
        <f>FMECA!AC172</f>
        <v>Not applicable. Assumed that only undetectable faults will be classified onto a 'multiple faults class of equivalence'.</v>
      </c>
    </row>
    <row r="172" spans="1:15" ht="60">
      <c r="A172" s="5" t="str">
        <f>FMECA!A173</f>
        <v>Q_Sys</v>
      </c>
      <c r="B172" s="55" t="str">
        <f>FMECA!B173</f>
        <v>Change of Turn-Off Time</v>
      </c>
      <c r="C172" s="5">
        <f>FMECA!D173</f>
        <v>1.3076923076923078E-2</v>
      </c>
      <c r="D172" s="5">
        <f>FMECA!V173</f>
        <v>0</v>
      </c>
      <c r="E172" s="5">
        <f>FMECA!S173</f>
        <v>0</v>
      </c>
      <c r="F172" s="5">
        <f>FMECA!W173</f>
        <v>0</v>
      </c>
      <c r="G172" s="5">
        <f>FMECA!X173</f>
        <v>0</v>
      </c>
      <c r="H172" s="5">
        <f>FMECA!T173</f>
        <v>0</v>
      </c>
      <c r="I172" s="5">
        <f>FMECA!U173</f>
        <v>0</v>
      </c>
      <c r="J172" s="5">
        <f>FMECA!Z173</f>
        <v>0</v>
      </c>
      <c r="K172" s="5">
        <f>FMECA!AA173</f>
        <v>1</v>
      </c>
      <c r="L172" s="5" t="str">
        <f>FMECA!H173</f>
        <v>Safe</v>
      </c>
      <c r="M172" s="5" t="str">
        <f>FMECA!K173</f>
        <v>Yes</v>
      </c>
      <c r="N172" s="5" t="str">
        <f>FMECA!L173</f>
        <v>No</v>
      </c>
      <c r="O172" s="5" t="str">
        <f>FMECA!AC173</f>
        <v>Not applicable. Assumed that only undetectable faults will be classified onto a 'multiple faults class of equivalence'.</v>
      </c>
    </row>
    <row r="173" spans="1:15" ht="60">
      <c r="A173" s="5" t="str">
        <f>FMECA!A174</f>
        <v>Q_Sys</v>
      </c>
      <c r="B173" s="55" t="str">
        <f>FMECA!B174</f>
        <v>Increase of Leakage Current IGS</v>
      </c>
      <c r="C173" s="5">
        <f>FMECA!D174</f>
        <v>1.3076923076923078E-2</v>
      </c>
      <c r="D173" s="5">
        <f>FMECA!V174</f>
        <v>2038</v>
      </c>
      <c r="E173" s="5">
        <f>FMECA!S174</f>
        <v>4093</v>
      </c>
      <c r="F173" s="5">
        <f>FMECA!W174</f>
        <v>51</v>
      </c>
      <c r="G173" s="5">
        <f>FMECA!X174</f>
        <v>4092</v>
      </c>
      <c r="H173" s="5">
        <f>FMECA!T174</f>
        <v>4093</v>
      </c>
      <c r="I173" s="5">
        <f>FMECA!U174</f>
        <v>4093</v>
      </c>
      <c r="J173" s="5">
        <f>FMECA!Z174</f>
        <v>0</v>
      </c>
      <c r="K173" s="5">
        <f>FMECA!AA174</f>
        <v>1</v>
      </c>
      <c r="L173" s="5" t="str">
        <f>FMECA!H174</f>
        <v>Safe</v>
      </c>
      <c r="M173" s="5" t="str">
        <f>FMECA!K174</f>
        <v>Yes</v>
      </c>
      <c r="N173" s="5" t="str">
        <f>FMECA!L174</f>
        <v>Yes</v>
      </c>
      <c r="O173" s="5" t="str">
        <f>FMECA!AC174</f>
        <v>Not applicable. Assumed that only undetectable faults will be classified onto a 'multiple faults class of equivalence'.</v>
      </c>
    </row>
    <row r="174" spans="1:15" ht="120">
      <c r="A174" s="5" t="str">
        <f>FMECA!A175</f>
        <v>Q_Sys</v>
      </c>
      <c r="B174" s="55" t="str">
        <f>FMECA!B175</f>
        <v>Increase of Leakage Current IDS</v>
      </c>
      <c r="C174" s="5">
        <f>FMECA!D175</f>
        <v>1.3076923076923078E-2</v>
      </c>
      <c r="D174" s="5">
        <f>FMECA!V175</f>
        <v>0</v>
      </c>
      <c r="E174" s="5">
        <f>FMECA!S175</f>
        <v>2038</v>
      </c>
      <c r="F174" s="5">
        <f>FMECA!W175</f>
        <v>0</v>
      </c>
      <c r="G174" s="5">
        <f>FMECA!X175</f>
        <v>0</v>
      </c>
      <c r="H174" s="5">
        <f>FMECA!T175</f>
        <v>0</v>
      </c>
      <c r="I174" s="5">
        <f>FMECA!U175</f>
        <v>4093</v>
      </c>
      <c r="J174" s="5">
        <f>FMECA!Z175</f>
        <v>0</v>
      </c>
      <c r="K174" s="5">
        <f>FMECA!AA175</f>
        <v>1</v>
      </c>
      <c r="L174" s="5" t="str">
        <f>FMECA!H175</f>
        <v>Safe</v>
      </c>
      <c r="M174" s="5" t="str">
        <f>FMECA!K175</f>
        <v>Maybe</v>
      </c>
      <c r="N174" s="5" t="str">
        <f>FMECA!L175</f>
        <v>No</v>
      </c>
      <c r="O174" s="36" t="str">
        <f>FMECA!AC175</f>
        <v>CM2: If this fault occurs,  Fuse_Result will be determined by the corresponding intervals of this failure mode,  and Keep_Power_Readback will be extracted from the second fault.</v>
      </c>
    </row>
    <row r="175" spans="1:15" ht="120">
      <c r="A175" s="5" t="str">
        <f>FMECA!A176</f>
        <v>Q_Sys</v>
      </c>
      <c r="B175" s="55" t="str">
        <f>FMECA!B176</f>
        <v>Increase of Leakage Current IGD</v>
      </c>
      <c r="C175" s="5">
        <f>FMECA!D176</f>
        <v>1.3076923076923078E-2</v>
      </c>
      <c r="D175" s="5">
        <f>FMECA!V176</f>
        <v>2038</v>
      </c>
      <c r="E175" s="5">
        <f>FMECA!S176</f>
        <v>2038</v>
      </c>
      <c r="F175" s="5">
        <f>FMECA!W176</f>
        <v>0</v>
      </c>
      <c r="G175" s="5">
        <f>FMECA!X176</f>
        <v>4093</v>
      </c>
      <c r="H175" s="5">
        <f>FMECA!T176</f>
        <v>0</v>
      </c>
      <c r="I175" s="5">
        <f>FMECA!U176</f>
        <v>4093</v>
      </c>
      <c r="J175" s="5">
        <f>FMECA!Z176</f>
        <v>0</v>
      </c>
      <c r="K175" s="5">
        <f>FMECA!AA176</f>
        <v>1</v>
      </c>
      <c r="L175" s="5" t="str">
        <f>FMECA!H176</f>
        <v>Safe</v>
      </c>
      <c r="M175" s="5" t="str">
        <f>FMECA!K176</f>
        <v>Maybe</v>
      </c>
      <c r="N175" s="5" t="str">
        <f>FMECA!L176</f>
        <v>No</v>
      </c>
      <c r="O175" s="36" t="str">
        <f>FMECA!AC176</f>
        <v>CM2: If this fault occurs,  Fuse_Result will be determined by the corresponding intervals of this failure mode,  and Keep_Power_Readback will be extracted from the second fault.</v>
      </c>
    </row>
    <row r="176" spans="1:15" ht="120">
      <c r="A176" s="5" t="str">
        <f>FMECA!A177</f>
        <v>Q_Sys</v>
      </c>
      <c r="B176" s="55" t="str">
        <f>FMECA!B177</f>
        <v>Change of Static Drain to Source On-State Resistance</v>
      </c>
      <c r="C176" s="5">
        <f>FMECA!D177</f>
        <v>1.3076923076923078E-2</v>
      </c>
      <c r="D176" s="5">
        <f>FMECA!V177</f>
        <v>2063</v>
      </c>
      <c r="E176" s="5">
        <f>FMECA!S177</f>
        <v>4092</v>
      </c>
      <c r="F176" s="5">
        <f>FMECA!W177</f>
        <v>111</v>
      </c>
      <c r="G176" s="5">
        <f>FMECA!X177</f>
        <v>4087</v>
      </c>
      <c r="H176" s="5">
        <f>FMECA!T177</f>
        <v>4091</v>
      </c>
      <c r="I176" s="5">
        <f>FMECA!U177</f>
        <v>4095</v>
      </c>
      <c r="J176" s="5">
        <f>FMECA!Z177</f>
        <v>0</v>
      </c>
      <c r="K176" s="5">
        <f>FMECA!AA177</f>
        <v>1</v>
      </c>
      <c r="L176" s="5" t="str">
        <f>FMECA!H177</f>
        <v>Safe</v>
      </c>
      <c r="M176" s="5" t="str">
        <f>FMECA!K177</f>
        <v>Maybe</v>
      </c>
      <c r="N176" s="5" t="str">
        <f>FMECA!L177</f>
        <v>No</v>
      </c>
      <c r="O176" s="36" t="str">
        <f>FMECA!AC177</f>
        <v>CM2: If this fault occurs,  Fuse_Result will be determined by the corresponding intervals of this failure mode,  and Keep_Power_Readback will be extracted from the second fault.</v>
      </c>
    </row>
    <row r="177" spans="1:15" ht="105">
      <c r="A177" s="5" t="str">
        <f>FMECA!A178</f>
        <v>DZ_Sys</v>
      </c>
      <c r="B177" s="55" t="str">
        <f>FMECA!B178</f>
        <v>Open</v>
      </c>
      <c r="C177" s="5">
        <f>FMECA!D178</f>
        <v>0.45</v>
      </c>
      <c r="D177" s="5">
        <f>FMECA!V178</f>
        <v>0</v>
      </c>
      <c r="E177" s="5">
        <f>FMECA!S178</f>
        <v>0</v>
      </c>
      <c r="F177" s="5">
        <f>FMECA!W178</f>
        <v>0</v>
      </c>
      <c r="G177" s="5">
        <f>FMECA!X178</f>
        <v>0</v>
      </c>
      <c r="H177" s="5">
        <f>FMECA!T178</f>
        <v>0</v>
      </c>
      <c r="I177" s="5">
        <f>FMECA!U178</f>
        <v>0</v>
      </c>
      <c r="J177" s="5">
        <f>FMECA!Z178</f>
        <v>0</v>
      </c>
      <c r="K177" s="5">
        <f>FMECA!AA178</f>
        <v>1</v>
      </c>
      <c r="L177" s="5" t="str">
        <f>FMECA!H178</f>
        <v>Safe</v>
      </c>
      <c r="M177" s="5" t="str">
        <f>FMECA!K178</f>
        <v>Outside the scope of the local channel, but it will be detected in the future (all outputs zeroed for the Fuse_Result test)</v>
      </c>
      <c r="N177" s="5" t="str">
        <f>FMECA!L178</f>
        <v>No</v>
      </c>
      <c r="O177" s="5" t="str">
        <f>FMECA!AC178</f>
        <v>Not applicable. Assumed that only undetectable faults will be classified onto a 'multiple faults class of equivalence'.</v>
      </c>
    </row>
    <row r="178" spans="1:15" ht="60">
      <c r="A178" s="5" t="str">
        <f>FMECA!A179</f>
        <v>DZ_Sys</v>
      </c>
      <c r="B178" s="55" t="str">
        <f>FMECA!B179</f>
        <v>Short-Circuit</v>
      </c>
      <c r="C178" s="5">
        <f>FMECA!D179</f>
        <v>0.2</v>
      </c>
      <c r="D178" s="5">
        <f>FMECA!V179</f>
        <v>0</v>
      </c>
      <c r="E178" s="5">
        <f>FMECA!S179</f>
        <v>0</v>
      </c>
      <c r="F178" s="5">
        <f>FMECA!W179</f>
        <v>0</v>
      </c>
      <c r="G178" s="5">
        <f>FMECA!X179</f>
        <v>0</v>
      </c>
      <c r="H178" s="5">
        <f>FMECA!T179</f>
        <v>0</v>
      </c>
      <c r="I178" s="5">
        <f>FMECA!U179</f>
        <v>0</v>
      </c>
      <c r="J178" s="5">
        <f>FMECA!Z179</f>
        <v>0</v>
      </c>
      <c r="K178" s="5">
        <f>FMECA!AA179</f>
        <v>1</v>
      </c>
      <c r="L178" s="5" t="str">
        <f>FMECA!H179</f>
        <v>Safe</v>
      </c>
      <c r="M178" s="5" t="str">
        <f>FMECA!K179</f>
        <v>Yes</v>
      </c>
      <c r="N178" s="5" t="str">
        <f>FMECA!L179</f>
        <v>No</v>
      </c>
      <c r="O178" s="5" t="str">
        <f>FMECA!AC179</f>
        <v>Not applicable. Assumed that only undetectable faults will be classified onto a 'multiple faults class of equivalence'.</v>
      </c>
    </row>
    <row r="179" spans="1:15" ht="105">
      <c r="A179" s="5" t="str">
        <f>FMECA!A180</f>
        <v>DZ_Sys</v>
      </c>
      <c r="B179" s="55" t="str">
        <f>FMECA!B180</f>
        <v>Increase of Zener Voltage</v>
      </c>
      <c r="C179" s="5">
        <f>FMECA!D180</f>
        <v>4.3749999999999997E-2</v>
      </c>
      <c r="D179" s="5">
        <f>FMECA!V180</f>
        <v>0</v>
      </c>
      <c r="E179" s="5">
        <f>FMECA!S180</f>
        <v>0</v>
      </c>
      <c r="F179" s="5">
        <f>FMECA!W180</f>
        <v>0</v>
      </c>
      <c r="G179" s="5">
        <f>FMECA!X180</f>
        <v>0</v>
      </c>
      <c r="H179" s="5">
        <f>FMECA!T180</f>
        <v>0</v>
      </c>
      <c r="I179" s="5">
        <f>FMECA!U180</f>
        <v>0</v>
      </c>
      <c r="J179" s="5">
        <f>FMECA!Z180</f>
        <v>0</v>
      </c>
      <c r="K179" s="5">
        <f>FMECA!AA180</f>
        <v>1</v>
      </c>
      <c r="L179" s="5" t="str">
        <f>FMECA!H180</f>
        <v>Safe</v>
      </c>
      <c r="M179" s="5" t="str">
        <f>FMECA!K180</f>
        <v>Outside the scope of the local channel, but it will be detected in the future (all outputs zeroed for the Fuse_Result test)</v>
      </c>
      <c r="N179" s="5" t="str">
        <f>FMECA!L180</f>
        <v>No</v>
      </c>
      <c r="O179" s="5" t="str">
        <f>FMECA!AC180</f>
        <v>Not applicable. Assumed that only undetectable faults will be classified onto a 'multiple faults class of equivalence'.</v>
      </c>
    </row>
    <row r="180" spans="1:15" ht="120">
      <c r="A180" s="5" t="str">
        <f>FMECA!A181</f>
        <v>DZ_Sys</v>
      </c>
      <c r="B180" s="55" t="str">
        <f>FMECA!B181</f>
        <v>Decrease of Zener Voltage</v>
      </c>
      <c r="C180" s="5">
        <f>FMECA!D181</f>
        <v>4.3749999999999997E-2</v>
      </c>
      <c r="D180" s="5">
        <f>FMECA!V181</f>
        <v>0</v>
      </c>
      <c r="E180" s="5">
        <f>FMECA!S181</f>
        <v>2038</v>
      </c>
      <c r="F180" s="5">
        <f>FMECA!W181</f>
        <v>0</v>
      </c>
      <c r="G180" s="5">
        <f>FMECA!X181</f>
        <v>0</v>
      </c>
      <c r="H180" s="5">
        <f>FMECA!T181</f>
        <v>0</v>
      </c>
      <c r="I180" s="5">
        <f>FMECA!U181</f>
        <v>4095</v>
      </c>
      <c r="J180" s="5">
        <f>FMECA!Z181</f>
        <v>0</v>
      </c>
      <c r="K180" s="5">
        <f>FMECA!AA181</f>
        <v>1</v>
      </c>
      <c r="L180" s="5" t="str">
        <f>FMECA!H181</f>
        <v>Safe</v>
      </c>
      <c r="M180" s="5" t="str">
        <f>FMECA!K181</f>
        <v>Maybe</v>
      </c>
      <c r="N180" s="5" t="str">
        <f>FMECA!L181</f>
        <v>No</v>
      </c>
      <c r="O180" s="36" t="str">
        <f>FMECA!AC181</f>
        <v>CM2: If this fault occurs,  Fuse_Result will be determined by the corresponding intervals of this failure mode,  and Keep_Power_Readback will be extracted from the second fault.</v>
      </c>
    </row>
    <row r="181" spans="1:15" ht="120">
      <c r="A181" s="5" t="str">
        <f>FMECA!A182</f>
        <v>DZ_Sys</v>
      </c>
      <c r="B181" s="55" t="str">
        <f>FMECA!B182</f>
        <v>Increase of Leakage Current</v>
      </c>
      <c r="C181" s="5">
        <f>FMECA!D182</f>
        <v>4.3749999999999997E-2</v>
      </c>
      <c r="D181" s="5">
        <f>FMECA!V182</f>
        <v>0</v>
      </c>
      <c r="E181" s="5">
        <f>FMECA!S182</f>
        <v>2038</v>
      </c>
      <c r="F181" s="5">
        <f>FMECA!W182</f>
        <v>0</v>
      </c>
      <c r="G181" s="5">
        <f>FMECA!X182</f>
        <v>0</v>
      </c>
      <c r="H181" s="5">
        <f>FMECA!T182</f>
        <v>0</v>
      </c>
      <c r="I181" s="5">
        <f>FMECA!U182</f>
        <v>4095</v>
      </c>
      <c r="J181" s="5">
        <f>FMECA!Z182</f>
        <v>0</v>
      </c>
      <c r="K181" s="5">
        <f>FMECA!AA182</f>
        <v>1</v>
      </c>
      <c r="L181" s="5" t="str">
        <f>FMECA!H182</f>
        <v>Safe</v>
      </c>
      <c r="M181" s="5" t="str">
        <f>FMECA!K182</f>
        <v>Maybe</v>
      </c>
      <c r="N181" s="5" t="str">
        <f>FMECA!L182</f>
        <v>No</v>
      </c>
      <c r="O181" s="36" t="str">
        <f>FMECA!AC182</f>
        <v>CM2: If this fault occurs,  Fuse_Result will be determined by the corresponding intervals of this failure mode,  and Keep_Power_Readback will be extracted from the second fault.</v>
      </c>
    </row>
    <row r="182" spans="1:15" ht="105">
      <c r="A182" s="5" t="str">
        <f>FMECA!A183</f>
        <v>DZ_Sys</v>
      </c>
      <c r="B182" s="55" t="str">
        <f>FMECA!B183</f>
        <v>Change of Differential Resistance</v>
      </c>
      <c r="C182" s="5">
        <f>FMECA!D183</f>
        <v>4.3749999999999997E-2</v>
      </c>
      <c r="D182" s="5">
        <f>FMECA!V183</f>
        <v>0</v>
      </c>
      <c r="E182" s="5">
        <f>FMECA!S183</f>
        <v>0</v>
      </c>
      <c r="F182" s="5">
        <f>FMECA!W183</f>
        <v>0</v>
      </c>
      <c r="G182" s="5">
        <f>FMECA!X183</f>
        <v>0</v>
      </c>
      <c r="H182" s="5">
        <f>FMECA!T183</f>
        <v>0</v>
      </c>
      <c r="I182" s="5">
        <f>FMECA!U183</f>
        <v>0</v>
      </c>
      <c r="J182" s="5">
        <f>FMECA!Z183</f>
        <v>0</v>
      </c>
      <c r="K182" s="5">
        <f>FMECA!AA183</f>
        <v>1</v>
      </c>
      <c r="L182" s="5" t="str">
        <f>FMECA!H183</f>
        <v>Safe</v>
      </c>
      <c r="M182" s="5" t="str">
        <f>FMECA!K183</f>
        <v>Outside the scope of the local channel, but it will be detected in the future (all outputs zeroed for the Fuse_Result test)</v>
      </c>
      <c r="N182" s="5" t="str">
        <f>FMECA!L183</f>
        <v>No</v>
      </c>
      <c r="O182" s="5" t="str">
        <f>FMECA!AC183</f>
        <v>Not applicable. Assumed that only undetectable faults will be classified onto a 'multiple faults class of equivalence'.</v>
      </c>
    </row>
    <row r="183" spans="1:15" ht="60">
      <c r="A183" s="5" t="str">
        <f>FMECA!A184</f>
        <v>DZ_Sys</v>
      </c>
      <c r="B183" s="55" t="str">
        <f>FMECA!B184</f>
        <v>Increase of Forward Conducting-State Voltage</v>
      </c>
      <c r="C183" s="5">
        <f>FMECA!D184</f>
        <v>4.3749999999999997E-2</v>
      </c>
      <c r="D183" s="5">
        <f>FMECA!V184</f>
        <v>54</v>
      </c>
      <c r="E183" s="5">
        <f>FMECA!S184</f>
        <v>4092</v>
      </c>
      <c r="F183" s="5">
        <f>FMECA!W184</f>
        <v>51</v>
      </c>
      <c r="G183" s="5">
        <f>FMECA!X184</f>
        <v>57</v>
      </c>
      <c r="H183" s="5">
        <f>FMECA!T184</f>
        <v>4091</v>
      </c>
      <c r="I183" s="5">
        <f>FMECA!U184</f>
        <v>4095</v>
      </c>
      <c r="J183" s="5">
        <f>FMECA!Z184</f>
        <v>0</v>
      </c>
      <c r="K183" s="5">
        <f>FMECA!AA184</f>
        <v>1</v>
      </c>
      <c r="L183" s="5" t="str">
        <f>FMECA!H184</f>
        <v>Safe</v>
      </c>
      <c r="M183" s="5" t="str">
        <f>FMECA!K184</f>
        <v>No; impactless.</v>
      </c>
      <c r="N183" s="5" t="str">
        <f>FMECA!L184</f>
        <v>No; impactless.</v>
      </c>
      <c r="O183" s="5" t="str">
        <f>FMECA!AC184</f>
        <v>Not applicable. Assumed that only undetectable faults will be classified onto a 'multiple faults class of equivalence'.</v>
      </c>
    </row>
    <row r="184" spans="1:15" ht="60">
      <c r="A184" s="5" t="str">
        <f>FMECA!A185</f>
        <v>DZ_Sys</v>
      </c>
      <c r="B184" s="55" t="str">
        <f>FMECA!B185</f>
        <v>Decrease of Forward Conducting-State Voltage</v>
      </c>
      <c r="C184" s="5">
        <f>FMECA!D185</f>
        <v>4.3749999999999997E-2</v>
      </c>
      <c r="D184" s="5">
        <f>FMECA!V185</f>
        <v>54</v>
      </c>
      <c r="E184" s="5">
        <f>FMECA!S185</f>
        <v>4092</v>
      </c>
      <c r="F184" s="5">
        <f>FMECA!W185</f>
        <v>51</v>
      </c>
      <c r="G184" s="5">
        <f>FMECA!X185</f>
        <v>57</v>
      </c>
      <c r="H184" s="5">
        <f>FMECA!T185</f>
        <v>4091</v>
      </c>
      <c r="I184" s="5">
        <f>FMECA!U185</f>
        <v>4095</v>
      </c>
      <c r="J184" s="5">
        <f>FMECA!Z185</f>
        <v>0</v>
      </c>
      <c r="K184" s="5">
        <f>FMECA!AA185</f>
        <v>1</v>
      </c>
      <c r="L184" s="5" t="str">
        <f>FMECA!H185</f>
        <v>Safe</v>
      </c>
      <c r="M184" s="5" t="str">
        <f>FMECA!K185</f>
        <v>No; impactless.</v>
      </c>
      <c r="N184" s="5" t="str">
        <f>FMECA!L185</f>
        <v>No; impactless.</v>
      </c>
      <c r="O184" s="5" t="str">
        <f>FMECA!AC185</f>
        <v>Not applicable. Assumed that only undetectable faults will be classified onto a 'multiple faults class of equivalence'.</v>
      </c>
    </row>
    <row r="185" spans="1:15" ht="60">
      <c r="A185" s="5" t="str">
        <f>FMECA!A186</f>
        <v>DZ_Sys</v>
      </c>
      <c r="B185" s="55" t="str">
        <f>FMECA!B186</f>
        <v>Increase of Forward Threshold Voltage</v>
      </c>
      <c r="C185" s="5">
        <f>FMECA!D186</f>
        <v>4.3749999999999997E-2</v>
      </c>
      <c r="D185" s="5">
        <f>FMECA!V186</f>
        <v>54</v>
      </c>
      <c r="E185" s="5">
        <f>FMECA!S186</f>
        <v>4092</v>
      </c>
      <c r="F185" s="5">
        <f>FMECA!W186</f>
        <v>51</v>
      </c>
      <c r="G185" s="5">
        <f>FMECA!X186</f>
        <v>57</v>
      </c>
      <c r="H185" s="5">
        <f>FMECA!T186</f>
        <v>4091</v>
      </c>
      <c r="I185" s="5">
        <f>FMECA!U186</f>
        <v>4095</v>
      </c>
      <c r="J185" s="5">
        <f>FMECA!Z186</f>
        <v>0</v>
      </c>
      <c r="K185" s="5">
        <f>FMECA!AA186</f>
        <v>1</v>
      </c>
      <c r="L185" s="5" t="str">
        <f>FMECA!H186</f>
        <v>Safe</v>
      </c>
      <c r="M185" s="5" t="str">
        <f>FMECA!K186</f>
        <v>No; impactless.</v>
      </c>
      <c r="N185" s="5" t="str">
        <f>FMECA!L186</f>
        <v>No; impactless.</v>
      </c>
      <c r="O185" s="5" t="str">
        <f>FMECA!AC186</f>
        <v>Not applicable. Assumed that only undetectable faults will be classified onto a 'multiple faults class of equivalence'.</v>
      </c>
    </row>
    <row r="186" spans="1:15" ht="60">
      <c r="A186" s="5" t="str">
        <f>FMECA!A187</f>
        <v>DZ_Sys</v>
      </c>
      <c r="B186" s="55" t="str">
        <f>FMECA!B187</f>
        <v>Decrease of Forward Threshold Voltage</v>
      </c>
      <c r="C186" s="5">
        <f>FMECA!D187</f>
        <v>4.3749999999999997E-2</v>
      </c>
      <c r="D186" s="5">
        <f>FMECA!V187</f>
        <v>54</v>
      </c>
      <c r="E186" s="5">
        <f>FMECA!S187</f>
        <v>4092</v>
      </c>
      <c r="F186" s="5">
        <f>FMECA!W187</f>
        <v>51</v>
      </c>
      <c r="G186" s="5">
        <f>FMECA!X187</f>
        <v>57</v>
      </c>
      <c r="H186" s="5">
        <f>FMECA!T187</f>
        <v>4091</v>
      </c>
      <c r="I186" s="5">
        <f>FMECA!U187</f>
        <v>4095</v>
      </c>
      <c r="J186" s="5">
        <f>FMECA!Z187</f>
        <v>0</v>
      </c>
      <c r="K186" s="5">
        <f>FMECA!AA187</f>
        <v>1</v>
      </c>
      <c r="L186" s="5" t="str">
        <f>FMECA!H187</f>
        <v>Safe</v>
      </c>
      <c r="M186" s="5" t="str">
        <f>FMECA!K187</f>
        <v>No; impactless.</v>
      </c>
      <c r="N186" s="5" t="str">
        <f>FMECA!L187</f>
        <v>No; impactless.</v>
      </c>
      <c r="O186" s="5" t="str">
        <f>FMECA!AC187</f>
        <v>Not applicable. Assumed that only undetectable faults will be classified onto a 'multiple faults class of equivalence'.</v>
      </c>
    </row>
    <row r="187" spans="1:15" ht="60">
      <c r="A187" s="5" t="str">
        <f>FMECA!A188</f>
        <v>DZ_Sys</v>
      </c>
      <c r="B187" s="55" t="str">
        <f>FMECA!B188</f>
        <v>Short-Circuit to Conductive Casing</v>
      </c>
      <c r="C187" s="5">
        <f>FMECA!D188</f>
        <v>0</v>
      </c>
      <c r="D187" s="5">
        <f>FMECA!V188</f>
        <v>54</v>
      </c>
      <c r="E187" s="5">
        <f>FMECA!S188</f>
        <v>4092</v>
      </c>
      <c r="F187" s="5">
        <f>FMECA!W188</f>
        <v>51</v>
      </c>
      <c r="G187" s="5">
        <f>FMECA!X188</f>
        <v>57</v>
      </c>
      <c r="H187" s="5">
        <f>FMECA!T188</f>
        <v>4091</v>
      </c>
      <c r="I187" s="5">
        <f>FMECA!U188</f>
        <v>4095</v>
      </c>
      <c r="J187" s="5">
        <f>FMECA!Z188</f>
        <v>0</v>
      </c>
      <c r="K187" s="5">
        <f>FMECA!AA188</f>
        <v>1</v>
      </c>
      <c r="L187" s="5" t="str">
        <f>FMECA!H188</f>
        <v>Safe</v>
      </c>
      <c r="M187" s="5" t="str">
        <f>FMECA!K188</f>
        <v>No; impactless.</v>
      </c>
      <c r="N187" s="5" t="str">
        <f>FMECA!L188</f>
        <v>No; impactless.</v>
      </c>
      <c r="O187" s="5" t="str">
        <f>FMECA!AC188</f>
        <v>Not applicable. Assumed that only undetectable faults will be classified onto a 'multiple faults class of equivalence'.</v>
      </c>
    </row>
    <row r="188" spans="1:15" ht="60">
      <c r="A188" s="5" t="str">
        <f>FMECA!A189</f>
        <v>R5_Sys</v>
      </c>
      <c r="B188" s="55" t="str">
        <f>FMECA!B189</f>
        <v>Open</v>
      </c>
      <c r="C188" s="5">
        <f>FMECA!D189</f>
        <v>0.59</v>
      </c>
      <c r="D188" s="5">
        <f>FMECA!V189</f>
        <v>259</v>
      </c>
      <c r="E188" s="5">
        <f>FMECA!S189</f>
        <v>259</v>
      </c>
      <c r="F188" s="5">
        <f>FMECA!W189</f>
        <v>192</v>
      </c>
      <c r="G188" s="5">
        <f>FMECA!X189</f>
        <v>315</v>
      </c>
      <c r="H188" s="5">
        <f>FMECA!T189</f>
        <v>192</v>
      </c>
      <c r="I188" s="5">
        <f>FMECA!U189</f>
        <v>315</v>
      </c>
      <c r="J188" s="5">
        <f>FMECA!Z189</f>
        <v>0</v>
      </c>
      <c r="K188" s="5">
        <f>FMECA!AA189</f>
        <v>1</v>
      </c>
      <c r="L188" s="5" t="str">
        <f>FMECA!H189</f>
        <v>Safe</v>
      </c>
      <c r="M188" s="5" t="str">
        <f>FMECA!K189</f>
        <v>Yes</v>
      </c>
      <c r="N188" s="5" t="str">
        <f>FMECA!L189</f>
        <v>No</v>
      </c>
      <c r="O188" s="5" t="str">
        <f>FMECA!AC189</f>
        <v>Not applicable. Assumed that only undetectable faults will be classified onto a 'multiple faults class of equivalence'.</v>
      </c>
    </row>
    <row r="189" spans="1:15" ht="60">
      <c r="A189" s="5" t="str">
        <f>FMECA!A190</f>
        <v>R5_Sys</v>
      </c>
      <c r="B189" s="55" t="str">
        <f>FMECA!B190</f>
        <v>Short-Circuit</v>
      </c>
      <c r="C189" s="5">
        <f>FMECA!D190</f>
        <v>0.05</v>
      </c>
      <c r="D189" s="5">
        <f>FMECA!V190</f>
        <v>0</v>
      </c>
      <c r="E189" s="5">
        <f>FMECA!S190</f>
        <v>0</v>
      </c>
      <c r="F189" s="5">
        <f>FMECA!W190</f>
        <v>0</v>
      </c>
      <c r="G189" s="5">
        <f>FMECA!X190</f>
        <v>0</v>
      </c>
      <c r="H189" s="5">
        <f>FMECA!T190</f>
        <v>0</v>
      </c>
      <c r="I189" s="5">
        <f>FMECA!U190</f>
        <v>0</v>
      </c>
      <c r="J189" s="5">
        <f>FMECA!Z190</f>
        <v>0</v>
      </c>
      <c r="K189" s="5">
        <f>FMECA!AA190</f>
        <v>1</v>
      </c>
      <c r="L189" s="5" t="str">
        <f>FMECA!H190</f>
        <v>Safe</v>
      </c>
      <c r="M189" s="5" t="str">
        <f>FMECA!K190</f>
        <v>Yes</v>
      </c>
      <c r="N189" s="5" t="str">
        <f>FMECA!L190</f>
        <v>No</v>
      </c>
      <c r="O189" s="5" t="str">
        <f>FMECA!AC190</f>
        <v>Not applicable. Assumed that only undetectable faults will be classified onto a 'multiple faults class of equivalence'.</v>
      </c>
    </row>
    <row r="190" spans="1:15" ht="60">
      <c r="A190" s="5" t="str">
        <f>FMECA!A191</f>
        <v>R5_Sys</v>
      </c>
      <c r="B190" s="55" t="str">
        <f>FMECA!B191</f>
        <v>Increase of Resistance Value</v>
      </c>
      <c r="C190" s="5">
        <f>FMECA!D191</f>
        <v>0.18</v>
      </c>
      <c r="D190" s="5">
        <f>FMECA!V191</f>
        <v>259</v>
      </c>
      <c r="E190" s="5">
        <f>FMECA!S191</f>
        <v>259</v>
      </c>
      <c r="F190" s="5">
        <f>FMECA!W191</f>
        <v>192</v>
      </c>
      <c r="G190" s="5">
        <f>FMECA!X191</f>
        <v>315</v>
      </c>
      <c r="H190" s="5">
        <f>FMECA!T191</f>
        <v>192</v>
      </c>
      <c r="I190" s="5">
        <f>FMECA!U191</f>
        <v>315</v>
      </c>
      <c r="J190" s="5">
        <f>FMECA!Z191</f>
        <v>0</v>
      </c>
      <c r="K190" s="5">
        <f>FMECA!AA191</f>
        <v>1</v>
      </c>
      <c r="L190" s="5" t="str">
        <f>FMECA!H191</f>
        <v>Safe</v>
      </c>
      <c r="M190" s="5" t="str">
        <f>FMECA!K191</f>
        <v>Yes</v>
      </c>
      <c r="N190" s="5" t="str">
        <f>FMECA!L191</f>
        <v>No</v>
      </c>
      <c r="O190" s="5" t="str">
        <f>FMECA!AC191</f>
        <v>Not applicable. Assumed that only undetectable faults will be classified onto a 'multiple faults class of equivalence'.</v>
      </c>
    </row>
    <row r="191" spans="1:15" ht="60">
      <c r="A191" s="5" t="str">
        <f>FMECA!A192</f>
        <v>R5_Sys</v>
      </c>
      <c r="B191" s="55" t="str">
        <f>FMECA!B192</f>
        <v>Decrease of Resistance Value</v>
      </c>
      <c r="C191" s="5">
        <f>FMECA!D192</f>
        <v>0.18</v>
      </c>
      <c r="D191" s="5">
        <f>FMECA!V192</f>
        <v>0</v>
      </c>
      <c r="E191" s="5">
        <f>FMECA!S192</f>
        <v>0</v>
      </c>
      <c r="F191" s="5">
        <f>FMECA!W192</f>
        <v>0</v>
      </c>
      <c r="G191" s="5">
        <f>FMECA!X192</f>
        <v>0</v>
      </c>
      <c r="H191" s="5">
        <f>FMECA!T192</f>
        <v>0</v>
      </c>
      <c r="I191" s="5">
        <f>FMECA!U192</f>
        <v>0</v>
      </c>
      <c r="J191" s="5">
        <f>FMECA!Z192</f>
        <v>0</v>
      </c>
      <c r="K191" s="5">
        <f>FMECA!AA192</f>
        <v>1</v>
      </c>
      <c r="L191" s="5" t="str">
        <f>FMECA!H192</f>
        <v>Safe</v>
      </c>
      <c r="M191" s="5" t="str">
        <f>FMECA!K192</f>
        <v>Yes</v>
      </c>
      <c r="N191" s="5" t="str">
        <f>FMECA!L192</f>
        <v>No</v>
      </c>
      <c r="O191" s="5" t="str">
        <f>FMECA!AC192</f>
        <v>Not applicable. Assumed that only undetectable faults will be classified onto a 'multiple faults class of equivalence'.</v>
      </c>
    </row>
    <row r="192" spans="1:15" ht="60">
      <c r="A192" s="5" t="str">
        <f>FMECA!A193</f>
        <v>R5_Sys</v>
      </c>
      <c r="B192" s="55" t="str">
        <f>FMECA!B193</f>
        <v>Short-Circuit to Casing</v>
      </c>
      <c r="C192" s="5">
        <f>FMECA!D193</f>
        <v>0</v>
      </c>
      <c r="D192" s="5">
        <f>FMECA!V193</f>
        <v>54</v>
      </c>
      <c r="E192" s="5">
        <f>FMECA!S193</f>
        <v>4092</v>
      </c>
      <c r="F192" s="5">
        <f>FMECA!W193</f>
        <v>51</v>
      </c>
      <c r="G192" s="5">
        <f>FMECA!X193</f>
        <v>57</v>
      </c>
      <c r="H192" s="5">
        <f>FMECA!T193</f>
        <v>4091</v>
      </c>
      <c r="I192" s="5">
        <f>FMECA!U193</f>
        <v>4095</v>
      </c>
      <c r="J192" s="5">
        <f>FMECA!Z193</f>
        <v>0</v>
      </c>
      <c r="K192" s="5">
        <f>FMECA!AA193</f>
        <v>1</v>
      </c>
      <c r="L192" s="5" t="str">
        <f>FMECA!H193</f>
        <v>Safe</v>
      </c>
      <c r="M192" s="5" t="str">
        <f>FMECA!K193</f>
        <v>No; impactless.</v>
      </c>
      <c r="N192" s="5" t="str">
        <f>FMECA!L193</f>
        <v>No; impactless.</v>
      </c>
      <c r="O192" s="5" t="str">
        <f>FMECA!AC193</f>
        <v>Not applicable. Assumed that only undetectable faults will be classified onto a 'multiple faults class of equivalence'.</v>
      </c>
    </row>
    <row r="193" spans="1:15" ht="105">
      <c r="A193" s="5" t="str">
        <f>FMECA!A194</f>
        <v>UC_Sys</v>
      </c>
      <c r="B193" s="55" t="str">
        <f>FMECA!B194</f>
        <v>Supply open</v>
      </c>
      <c r="C193" s="5">
        <f>FMECA!D194</f>
        <v>0.12</v>
      </c>
      <c r="D193" s="5">
        <f>FMECA!V194</f>
        <v>0</v>
      </c>
      <c r="E193" s="5">
        <f>FMECA!S194</f>
        <v>0</v>
      </c>
      <c r="F193" s="5">
        <f>FMECA!W194</f>
        <v>0</v>
      </c>
      <c r="G193" s="5">
        <f>FMECA!X194</f>
        <v>0</v>
      </c>
      <c r="H193" s="5">
        <f>FMECA!T194</f>
        <v>0</v>
      </c>
      <c r="I193" s="5">
        <f>FMECA!U194</f>
        <v>0</v>
      </c>
      <c r="J193" s="5">
        <f>FMECA!Z194</f>
        <v>0</v>
      </c>
      <c r="K193" s="5">
        <f>FMECA!AA194</f>
        <v>1</v>
      </c>
      <c r="L193" s="5" t="str">
        <f>FMECA!H194</f>
        <v>Safe</v>
      </c>
      <c r="M193" s="5" t="str">
        <f>FMECA!K194</f>
        <v>Outside the scope of the local channel, but it will be detected in the future (all outputs zeroed for the Fuse_Result test)</v>
      </c>
      <c r="N193" s="5" t="str">
        <f>FMECA!L194</f>
        <v>No</v>
      </c>
      <c r="O193" s="5" t="str">
        <f>FMECA!AC194</f>
        <v>Not applicable. Assumed that only undetectable faults will be classified onto a 'multiple faults class of equivalence'.</v>
      </c>
    </row>
    <row r="194" spans="1:15" ht="105">
      <c r="A194" s="5" t="str">
        <f>FMECA!A195</f>
        <v>UC_Sys</v>
      </c>
      <c r="B194" s="55" t="str">
        <f>FMECA!B195</f>
        <v>Output 'Dig_Out1' open</v>
      </c>
      <c r="C194" s="5">
        <f>FMECA!D195</f>
        <v>0.12</v>
      </c>
      <c r="D194" s="5">
        <f>FMECA!V195</f>
        <v>54</v>
      </c>
      <c r="E194" s="5">
        <f>FMECA!S195</f>
        <v>4092</v>
      </c>
      <c r="F194" s="5">
        <f>FMECA!W195</f>
        <v>51</v>
      </c>
      <c r="G194" s="5">
        <f>FMECA!X195</f>
        <v>57</v>
      </c>
      <c r="H194" s="5">
        <f>FMECA!T195</f>
        <v>4091</v>
      </c>
      <c r="I194" s="5">
        <f>FMECA!U195</f>
        <v>4095</v>
      </c>
      <c r="J194" s="5">
        <f>FMECA!Z195</f>
        <v>0</v>
      </c>
      <c r="K194" s="5">
        <f>FMECA!AA195</f>
        <v>1</v>
      </c>
      <c r="L194" s="5" t="str">
        <f>FMECA!H195</f>
        <v>Safe</v>
      </c>
      <c r="M194" s="5" t="str">
        <f>FMECA!K195</f>
        <v>Outside the scope of the local channel, but it will be detected in the future (all outputs zeroed for the Fuse_Result test)</v>
      </c>
      <c r="N194" s="5" t="str">
        <f>FMECA!L195</f>
        <v>No</v>
      </c>
      <c r="O194" s="5" t="str">
        <f>FMECA!AC195</f>
        <v>Not applicable. Assumed that only undetectable faults will be classified onto a 'multiple faults class of equivalence'.</v>
      </c>
    </row>
    <row r="195" spans="1:15" ht="105">
      <c r="A195" s="5" t="str">
        <f>FMECA!A196</f>
        <v>UC_Sys</v>
      </c>
      <c r="B195" s="55" t="str">
        <f>FMECA!B196</f>
        <v>Output 'Dig_Out2' open</v>
      </c>
      <c r="C195" s="5">
        <f>FMECA!D196</f>
        <v>0.12</v>
      </c>
      <c r="D195" s="5">
        <f>FMECA!V196</f>
        <v>54</v>
      </c>
      <c r="E195" s="5">
        <f>FMECA!S196</f>
        <v>4092</v>
      </c>
      <c r="F195" s="5">
        <f>FMECA!W196</f>
        <v>51</v>
      </c>
      <c r="G195" s="5">
        <f>FMECA!X196</f>
        <v>57</v>
      </c>
      <c r="H195" s="5">
        <f>FMECA!T196</f>
        <v>4091</v>
      </c>
      <c r="I195" s="5">
        <f>FMECA!U196</f>
        <v>4095</v>
      </c>
      <c r="J195" s="5">
        <f>FMECA!Z196</f>
        <v>0</v>
      </c>
      <c r="K195" s="5">
        <f>FMECA!AA196</f>
        <v>1</v>
      </c>
      <c r="L195" s="5" t="str">
        <f>FMECA!H196</f>
        <v>Safe</v>
      </c>
      <c r="M195" s="5" t="str">
        <f>FMECA!K196</f>
        <v>Outside the scope of the local channel, but it will be detected in the future (all outputs zeroed for the Fuse_Result test)</v>
      </c>
      <c r="N195" s="5" t="str">
        <f>FMECA!L196</f>
        <v>No</v>
      </c>
      <c r="O195" s="5" t="str">
        <f>FMECA!AC196</f>
        <v>Not applicable. Assumed that only undetectable faults will be classified onto a 'multiple faults class of equivalence'.</v>
      </c>
    </row>
    <row r="196" spans="1:15" ht="105">
      <c r="A196" s="5" t="str">
        <f>FMECA!A197</f>
        <v>UC_Sys</v>
      </c>
      <c r="B196" s="55" t="str">
        <f>FMECA!B197</f>
        <v>Bidirectional Pin 'SPI' open</v>
      </c>
      <c r="C196" s="5">
        <f>FMECA!D197</f>
        <v>0.3</v>
      </c>
      <c r="D196" s="5">
        <f>FMECA!V197</f>
        <v>54</v>
      </c>
      <c r="E196" s="5">
        <f>FMECA!S197</f>
        <v>4092</v>
      </c>
      <c r="F196" s="5">
        <f>FMECA!W197</f>
        <v>51</v>
      </c>
      <c r="G196" s="5">
        <f>FMECA!X197</f>
        <v>57</v>
      </c>
      <c r="H196" s="5">
        <f>FMECA!T197</f>
        <v>4091</v>
      </c>
      <c r="I196" s="5">
        <f>FMECA!U197</f>
        <v>4095</v>
      </c>
      <c r="J196" s="5">
        <f>FMECA!Z197</f>
        <v>0</v>
      </c>
      <c r="K196" s="5">
        <f>FMECA!AA197</f>
        <v>1</v>
      </c>
      <c r="L196" s="5" t="str">
        <f>FMECA!H197</f>
        <v>Safe</v>
      </c>
      <c r="M196" s="5" t="str">
        <f>FMECA!K197</f>
        <v>Outside the scope of the local channel, but it will be detected in the future (all outputs zeroed for the Fuse_Result test)</v>
      </c>
      <c r="N196" s="5" t="str">
        <f>FMECA!L197</f>
        <v>No</v>
      </c>
      <c r="O196" s="5" t="str">
        <f>FMECA!AC197</f>
        <v>Not applicable. Assumed that only undetectable faults will be classified onto a 'multiple faults class of equivalence'.</v>
      </c>
    </row>
    <row r="197" spans="1:15" ht="105">
      <c r="A197" s="5" t="str">
        <f>FMECA!A198</f>
        <v>UC_Sys</v>
      </c>
      <c r="B197" s="55" t="str">
        <f>FMECA!B198</f>
        <v>Output 'Dig_Out1' stuck low</v>
      </c>
      <c r="C197" s="5">
        <f>FMECA!D198</f>
        <v>0.03</v>
      </c>
      <c r="D197" s="5">
        <f>FMECA!V198</f>
        <v>54</v>
      </c>
      <c r="E197" s="5">
        <f>FMECA!S198</f>
        <v>4092</v>
      </c>
      <c r="F197" s="5">
        <f>FMECA!W198</f>
        <v>51</v>
      </c>
      <c r="G197" s="5">
        <f>FMECA!X198</f>
        <v>57</v>
      </c>
      <c r="H197" s="5">
        <f>FMECA!T198</f>
        <v>4091</v>
      </c>
      <c r="I197" s="5">
        <f>FMECA!U198</f>
        <v>4095</v>
      </c>
      <c r="J197" s="5">
        <f>FMECA!Z198</f>
        <v>0</v>
      </c>
      <c r="K197" s="5">
        <f>FMECA!AA198</f>
        <v>1</v>
      </c>
      <c r="L197" s="5" t="str">
        <f>FMECA!H198</f>
        <v>Safe</v>
      </c>
      <c r="M197" s="5" t="str">
        <f>FMECA!K198</f>
        <v>Outside the scope of the local channel, but it will be detected in the future (all outputs zeroed for the Fuse_Result test)</v>
      </c>
      <c r="N197" s="5" t="str">
        <f>FMECA!L198</f>
        <v>No</v>
      </c>
      <c r="O197" s="5" t="str">
        <f>FMECA!AC198</f>
        <v>Not applicable. Assumed that only undetectable faults will be classified onto a 'multiple faults class of equivalence'.</v>
      </c>
    </row>
    <row r="198" spans="1:15" ht="105">
      <c r="A198" s="5" t="str">
        <f>FMECA!A199</f>
        <v>UC_Sys</v>
      </c>
      <c r="B198" s="55" t="str">
        <f>FMECA!B199</f>
        <v>Output 'Dig_Out2' stuck low</v>
      </c>
      <c r="C198" s="5">
        <f>FMECA!D199</f>
        <v>0.03</v>
      </c>
      <c r="D198" s="5">
        <f>FMECA!V199</f>
        <v>54</v>
      </c>
      <c r="E198" s="5">
        <f>FMECA!S199</f>
        <v>4092</v>
      </c>
      <c r="F198" s="5">
        <f>FMECA!W199</f>
        <v>51</v>
      </c>
      <c r="G198" s="5">
        <f>FMECA!X199</f>
        <v>57</v>
      </c>
      <c r="H198" s="5">
        <f>FMECA!T199</f>
        <v>4091</v>
      </c>
      <c r="I198" s="5">
        <f>FMECA!U199</f>
        <v>4095</v>
      </c>
      <c r="J198" s="5">
        <f>FMECA!Z199</f>
        <v>0</v>
      </c>
      <c r="K198" s="5">
        <f>FMECA!AA199</f>
        <v>1</v>
      </c>
      <c r="L198" s="5" t="str">
        <f>FMECA!H199</f>
        <v>Safe</v>
      </c>
      <c r="M198" s="5" t="str">
        <f>FMECA!K199</f>
        <v>Outside the scope of the local channel, but it will be detected in the future (all outputs zeroed for the Fuse_Result test)</v>
      </c>
      <c r="N198" s="5" t="str">
        <f>FMECA!L199</f>
        <v>No</v>
      </c>
      <c r="O198" s="5" t="str">
        <f>FMECA!AC199</f>
        <v>Not applicable. Assumed that only undetectable faults will be classified onto a 'multiple faults class of equivalence'.</v>
      </c>
    </row>
    <row r="199" spans="1:15" ht="105">
      <c r="A199" s="5" t="str">
        <f>FMECA!A200</f>
        <v>UC_Sys</v>
      </c>
      <c r="B199" s="55" t="str">
        <f>FMECA!B200</f>
        <v>Bidirectional Pin 'SPI' stuck low</v>
      </c>
      <c r="C199" s="5">
        <f>FMECA!D200</f>
        <v>0.03</v>
      </c>
      <c r="D199" s="5">
        <f>FMECA!V200</f>
        <v>54</v>
      </c>
      <c r="E199" s="5">
        <f>FMECA!S200</f>
        <v>4092</v>
      </c>
      <c r="F199" s="5">
        <f>FMECA!W200</f>
        <v>51</v>
      </c>
      <c r="G199" s="5">
        <f>FMECA!X200</f>
        <v>57</v>
      </c>
      <c r="H199" s="5">
        <f>FMECA!T200</f>
        <v>4091</v>
      </c>
      <c r="I199" s="5">
        <f>FMECA!U200</f>
        <v>4095</v>
      </c>
      <c r="J199" s="5">
        <f>FMECA!Z200</f>
        <v>0</v>
      </c>
      <c r="K199" s="5">
        <f>FMECA!AA200</f>
        <v>1</v>
      </c>
      <c r="L199" s="5" t="str">
        <f>FMECA!H200</f>
        <v>Safe</v>
      </c>
      <c r="M199" s="5" t="str">
        <f>FMECA!K200</f>
        <v>Outside the scope of the local channel, but it will be detected in the future (all outputs zeroed for the Fuse_Result test)</v>
      </c>
      <c r="N199" s="5" t="str">
        <f>FMECA!L200</f>
        <v>No</v>
      </c>
      <c r="O199" s="5" t="str">
        <f>FMECA!AC200</f>
        <v>Not applicable. Assumed that only undetectable faults will be classified onto a 'multiple faults class of equivalence'.</v>
      </c>
    </row>
    <row r="200" spans="1:15" ht="60">
      <c r="A200" s="5" t="str">
        <f>FMECA!A201</f>
        <v>UC_Sys</v>
      </c>
      <c r="B200" s="55" t="str">
        <f>FMECA!B201</f>
        <v>Output 'Dig_Out1' stuck high</v>
      </c>
      <c r="C200" s="5">
        <f>FMECA!D201</f>
        <v>2.6666666666666668E-2</v>
      </c>
      <c r="D200" s="5">
        <f>FMECA!V201</f>
        <v>0</v>
      </c>
      <c r="E200" s="5">
        <f>FMECA!S201</f>
        <v>0</v>
      </c>
      <c r="F200" s="5">
        <f>FMECA!W201</f>
        <v>0</v>
      </c>
      <c r="G200" s="5">
        <f>FMECA!X201</f>
        <v>0</v>
      </c>
      <c r="H200" s="5">
        <f>FMECA!T201</f>
        <v>0</v>
      </c>
      <c r="I200" s="5">
        <f>FMECA!U201</f>
        <v>0</v>
      </c>
      <c r="J200" s="5">
        <f>FMECA!Z201</f>
        <v>0</v>
      </c>
      <c r="K200" s="5">
        <f>FMECA!AA201</f>
        <v>1</v>
      </c>
      <c r="L200" s="5" t="str">
        <f>FMECA!H201</f>
        <v>Safe</v>
      </c>
      <c r="M200" s="5" t="str">
        <f>FMECA!K201</f>
        <v>Yes</v>
      </c>
      <c r="N200" s="5" t="str">
        <f>FMECA!L201</f>
        <v>No</v>
      </c>
      <c r="O200" s="5" t="str">
        <f>FMECA!AC201</f>
        <v>Not applicable. Assumed that only undetectable faults will be classified onto a 'multiple faults class of equivalence'.</v>
      </c>
    </row>
    <row r="201" spans="1:15" ht="105">
      <c r="A201" s="5" t="str">
        <f>FMECA!A202</f>
        <v>UC_Sys</v>
      </c>
      <c r="B201" s="55" t="str">
        <f>FMECA!B202</f>
        <v>Output 'Dig_Out2' stuck high</v>
      </c>
      <c r="C201" s="5">
        <f>FMECA!D202</f>
        <v>2.6666666666666668E-2</v>
      </c>
      <c r="D201" s="5">
        <f>FMECA!V202</f>
        <v>54</v>
      </c>
      <c r="E201" s="5">
        <f>FMECA!S202</f>
        <v>4092</v>
      </c>
      <c r="F201" s="5">
        <f>FMECA!W202</f>
        <v>51</v>
      </c>
      <c r="G201" s="5">
        <f>FMECA!X202</f>
        <v>57</v>
      </c>
      <c r="H201" s="5">
        <f>FMECA!T202</f>
        <v>4091</v>
      </c>
      <c r="I201" s="5">
        <f>FMECA!U202</f>
        <v>4095</v>
      </c>
      <c r="J201" s="5">
        <f>FMECA!Z202</f>
        <v>0</v>
      </c>
      <c r="K201" s="5">
        <f>FMECA!AA202</f>
        <v>1</v>
      </c>
      <c r="L201" s="5" t="str">
        <f>FMECA!H202</f>
        <v>Safe</v>
      </c>
      <c r="M201" s="5" t="str">
        <f>FMECA!K202</f>
        <v>Outside the scope of the local channel, but it will be detected in the future (all outputs zeroed for the Fuse_Result test)</v>
      </c>
      <c r="N201" s="5" t="str">
        <f>FMECA!L202</f>
        <v>No</v>
      </c>
      <c r="O201" s="5" t="str">
        <f>FMECA!AC202</f>
        <v>Not applicable. Assumed that only undetectable faults will be classified onto a 'multiple faults class of equivalence'.</v>
      </c>
    </row>
    <row r="202" spans="1:15" ht="105">
      <c r="A202" s="5" t="str">
        <f>FMECA!A203</f>
        <v>UC_Sys</v>
      </c>
      <c r="B202" s="55" t="str">
        <f>FMECA!B203</f>
        <v>Bidirectional 'SPI' Pin stuck high</v>
      </c>
      <c r="C202" s="5">
        <f>FMECA!D203</f>
        <v>2.6666666666666668E-2</v>
      </c>
      <c r="D202" s="5">
        <f>FMECA!V203</f>
        <v>54</v>
      </c>
      <c r="E202" s="5">
        <f>FMECA!S203</f>
        <v>4092</v>
      </c>
      <c r="F202" s="5">
        <f>FMECA!W203</f>
        <v>51</v>
      </c>
      <c r="G202" s="5">
        <f>FMECA!X203</f>
        <v>57</v>
      </c>
      <c r="H202" s="5">
        <f>FMECA!T203</f>
        <v>4091</v>
      </c>
      <c r="I202" s="5">
        <f>FMECA!U203</f>
        <v>4095</v>
      </c>
      <c r="J202" s="5">
        <f>FMECA!Z203</f>
        <v>0</v>
      </c>
      <c r="K202" s="5">
        <f>FMECA!AA203</f>
        <v>1</v>
      </c>
      <c r="L202" s="5" t="str">
        <f>FMECA!H203</f>
        <v>Safe</v>
      </c>
      <c r="M202" s="5" t="str">
        <f>FMECA!K203</f>
        <v>Outside the scope of the local channel, but it will be detected in the future (all outputs zeroed for the Fuse_Result test)</v>
      </c>
      <c r="N202" s="5" t="str">
        <f>FMECA!L203</f>
        <v>No</v>
      </c>
      <c r="O202" s="5" t="str">
        <f>FMECA!AC203</f>
        <v>Not applicable. Assumed that only undetectable faults will be classified onto a 'multiple faults class of equivalence'.</v>
      </c>
    </row>
    <row r="203" spans="1:15" ht="105">
      <c r="A203" s="5" t="str">
        <f>FMECA!A204</f>
        <v>UC_Sys</v>
      </c>
      <c r="B203" s="55" t="str">
        <f>FMECA!B204</f>
        <v>Input open</v>
      </c>
      <c r="C203" s="5">
        <f>FMECA!D204</f>
        <v>0.18</v>
      </c>
      <c r="D203" s="5">
        <f>FMECA!V204</f>
        <v>54</v>
      </c>
      <c r="E203" s="5">
        <f>FMECA!S204</f>
        <v>4092</v>
      </c>
      <c r="F203" s="5">
        <f>FMECA!W204</f>
        <v>51</v>
      </c>
      <c r="G203" s="5">
        <f>FMECA!X204</f>
        <v>57</v>
      </c>
      <c r="H203" s="5">
        <f>FMECA!T204</f>
        <v>4091</v>
      </c>
      <c r="I203" s="5">
        <f>FMECA!U204</f>
        <v>4095</v>
      </c>
      <c r="J203" s="5">
        <f>FMECA!Z204</f>
        <v>0</v>
      </c>
      <c r="K203" s="5">
        <f>FMECA!AA204</f>
        <v>1</v>
      </c>
      <c r="L203" s="5" t="str">
        <f>FMECA!H204</f>
        <v>Safe</v>
      </c>
      <c r="M203" s="5" t="str">
        <f>FMECA!K204</f>
        <v>Outside the scope of the local channel, but it will be detected in the future (all outputs zeroed for the Fuse_Result test)</v>
      </c>
      <c r="N203" s="5" t="str">
        <f>FMECA!L204</f>
        <v>No</v>
      </c>
      <c r="O203" s="5" t="str">
        <f>FMECA!AC204</f>
        <v>Not applicable. Assumed that only undetectable faults will be classified onto a 'multiple faults class of equivalence'.</v>
      </c>
    </row>
    <row r="204" spans="1:15" ht="105">
      <c r="A204" s="5" t="str">
        <f>FMECA!A205</f>
        <v>Flash_Sys</v>
      </c>
      <c r="B204" s="55" t="str">
        <f>FMECA!B205</f>
        <v>Data bit loss</v>
      </c>
      <c r="C204" s="5">
        <f>FMECA!D205</f>
        <v>0.34</v>
      </c>
      <c r="D204" s="5">
        <f>FMECA!V205</f>
        <v>54</v>
      </c>
      <c r="E204" s="5">
        <f>FMECA!S205</f>
        <v>4092</v>
      </c>
      <c r="F204" s="5">
        <f>FMECA!W205</f>
        <v>51</v>
      </c>
      <c r="G204" s="5">
        <f>FMECA!X205</f>
        <v>57</v>
      </c>
      <c r="H204" s="5">
        <f>FMECA!T205</f>
        <v>4091</v>
      </c>
      <c r="I204" s="5">
        <f>FMECA!U205</f>
        <v>4095</v>
      </c>
      <c r="J204" s="5">
        <f>FMECA!Z205</f>
        <v>0</v>
      </c>
      <c r="K204" s="5">
        <f>FMECA!AA205</f>
        <v>1</v>
      </c>
      <c r="L204" s="5" t="str">
        <f>FMECA!H205</f>
        <v>Safe</v>
      </c>
      <c r="M204" s="5" t="str">
        <f>FMECA!K205</f>
        <v>Outside the scope of the local channel, but it will be detected in the future (all outputs zeroed for the Fuse_Result test)</v>
      </c>
      <c r="N204" s="5" t="str">
        <f>FMECA!L205</f>
        <v>No</v>
      </c>
      <c r="O204" s="5" t="str">
        <f>FMECA!AC205</f>
        <v>Not applicable. Assumed that only undetectable faults will be classified onto a 'multiple faults class of equivalence'.</v>
      </c>
    </row>
    <row r="205" spans="1:15" ht="105">
      <c r="A205" s="5" t="str">
        <f>FMECA!A206</f>
        <v>Flash_Sys</v>
      </c>
      <c r="B205" s="55" t="str">
        <f>FMECA!B206</f>
        <v>Slow transfer of data</v>
      </c>
      <c r="C205" s="5">
        <f>FMECA!D206</f>
        <v>0.17</v>
      </c>
      <c r="D205" s="5">
        <f>FMECA!V206</f>
        <v>54</v>
      </c>
      <c r="E205" s="5">
        <f>FMECA!S206</f>
        <v>4092</v>
      </c>
      <c r="F205" s="5">
        <f>FMECA!W206</f>
        <v>51</v>
      </c>
      <c r="G205" s="5">
        <f>FMECA!X206</f>
        <v>57</v>
      </c>
      <c r="H205" s="5">
        <f>FMECA!T206</f>
        <v>4091</v>
      </c>
      <c r="I205" s="5">
        <f>FMECA!U206</f>
        <v>4095</v>
      </c>
      <c r="J205" s="5">
        <f>FMECA!Z206</f>
        <v>0</v>
      </c>
      <c r="K205" s="5">
        <f>FMECA!AA206</f>
        <v>1</v>
      </c>
      <c r="L205" s="5" t="str">
        <f>FMECA!H206</f>
        <v>Safe</v>
      </c>
      <c r="M205" s="5" t="str">
        <f>FMECA!K206</f>
        <v>Outside the scope of the local channel, but it will be detected in the future (all outputs zeroed for the Fuse_Result test)</v>
      </c>
      <c r="N205" s="5" t="str">
        <f>FMECA!L206</f>
        <v>No</v>
      </c>
      <c r="O205" s="5" t="str">
        <f>FMECA!AC206</f>
        <v>Not applicable. Assumed that only undetectable faults will be classified onto a 'multiple faults class of equivalence'.</v>
      </c>
    </row>
    <row r="206" spans="1:15" ht="105">
      <c r="A206" s="5" t="str">
        <f>FMECA!A207</f>
        <v>Flash_Sys</v>
      </c>
      <c r="B206" s="55" t="str">
        <f>FMECA!B207</f>
        <v>Open</v>
      </c>
      <c r="C206" s="5">
        <f>FMECA!D207</f>
        <v>0.23</v>
      </c>
      <c r="D206" s="5">
        <f>FMECA!V207</f>
        <v>54</v>
      </c>
      <c r="E206" s="5">
        <f>FMECA!S207</f>
        <v>4092</v>
      </c>
      <c r="F206" s="5">
        <f>FMECA!W207</f>
        <v>51</v>
      </c>
      <c r="G206" s="5">
        <f>FMECA!X207</f>
        <v>57</v>
      </c>
      <c r="H206" s="5">
        <f>FMECA!T207</f>
        <v>4091</v>
      </c>
      <c r="I206" s="5">
        <f>FMECA!U207</f>
        <v>4095</v>
      </c>
      <c r="J206" s="5">
        <f>FMECA!Z207</f>
        <v>0</v>
      </c>
      <c r="K206" s="5">
        <f>FMECA!AA207</f>
        <v>1</v>
      </c>
      <c r="L206" s="5" t="str">
        <f>FMECA!H207</f>
        <v>Safe</v>
      </c>
      <c r="M206" s="5" t="str">
        <f>FMECA!K207</f>
        <v>Outside the scope of the local channel, but it will be detected in the future (all outputs zeroed for the Fuse_Result test)</v>
      </c>
      <c r="N206" s="5" t="str">
        <f>FMECA!L207</f>
        <v>No</v>
      </c>
      <c r="O206" s="5" t="str">
        <f>FMECA!AC207</f>
        <v>Not applicable. Assumed that only undetectable faults will be classified onto a 'multiple faults class of equivalence'.</v>
      </c>
    </row>
    <row r="207" spans="1:15" ht="105">
      <c r="A207" s="5" t="str">
        <f>FMECA!A208</f>
        <v>Flash_Sys</v>
      </c>
      <c r="B207" s="55" t="str">
        <f>FMECA!B208</f>
        <v>Short-circuit</v>
      </c>
      <c r="C207" s="5">
        <f>FMECA!D208</f>
        <v>0.26</v>
      </c>
      <c r="D207" s="5">
        <f>FMECA!V208</f>
        <v>54</v>
      </c>
      <c r="E207" s="5">
        <f>FMECA!S208</f>
        <v>4092</v>
      </c>
      <c r="F207" s="5">
        <f>FMECA!W208</f>
        <v>51</v>
      </c>
      <c r="G207" s="5">
        <f>FMECA!X208</f>
        <v>57</v>
      </c>
      <c r="H207" s="5">
        <f>FMECA!T208</f>
        <v>4091</v>
      </c>
      <c r="I207" s="5">
        <f>FMECA!U208</f>
        <v>4095</v>
      </c>
      <c r="J207" s="5">
        <f>FMECA!Z208</f>
        <v>0</v>
      </c>
      <c r="K207" s="5">
        <f>FMECA!AA208</f>
        <v>1</v>
      </c>
      <c r="L207" s="5" t="str">
        <f>FMECA!H208</f>
        <v>Safe</v>
      </c>
      <c r="M207" s="5" t="str">
        <f>FMECA!K208</f>
        <v>Outside the scope of the local channel, but it will be detected in the future (all outputs zeroed for the Fuse_Result test)</v>
      </c>
      <c r="N207" s="5" t="str">
        <f>FMECA!L208</f>
        <v>No</v>
      </c>
      <c r="O207" s="5" t="str">
        <f>FMECA!AC208</f>
        <v>Not applicable. Assumed that only undetectable faults will be classified onto a 'multiple faults class of equivalence'.</v>
      </c>
    </row>
    <row r="208" spans="1:15" ht="60">
      <c r="A208" s="5" t="str">
        <f>FMECA!A209</f>
        <v>DC_DC_Sys</v>
      </c>
      <c r="B208" s="55" t="str">
        <f>FMECA!B209</f>
        <v>No Output</v>
      </c>
      <c r="C208" s="5">
        <f>FMECA!D209</f>
        <v>0.23</v>
      </c>
      <c r="D208" s="5">
        <f>FMECA!V209</f>
        <v>4092</v>
      </c>
      <c r="E208" s="5">
        <f>FMECA!S209</f>
        <v>4093</v>
      </c>
      <c r="F208" s="5">
        <f>FMECA!W209</f>
        <v>4092</v>
      </c>
      <c r="G208" s="5">
        <f>FMECA!X209</f>
        <v>4092</v>
      </c>
      <c r="H208" s="5">
        <f>FMECA!T209</f>
        <v>4093</v>
      </c>
      <c r="I208" s="5">
        <f>FMECA!U209</f>
        <v>4093</v>
      </c>
      <c r="J208" s="5">
        <f>FMECA!Z209</f>
        <v>0</v>
      </c>
      <c r="K208" s="5">
        <f>FMECA!AA209</f>
        <v>1</v>
      </c>
      <c r="L208" s="5" t="str">
        <f>FMECA!H209</f>
        <v>Safe</v>
      </c>
      <c r="M208" s="5" t="str">
        <f>FMECA!K209</f>
        <v>Yes</v>
      </c>
      <c r="N208" s="5" t="str">
        <f>FMECA!L209</f>
        <v>No</v>
      </c>
      <c r="O208" s="5" t="str">
        <f>FMECA!AC209</f>
        <v>Not applicable. Assumed that only undetectable faults will be classified onto a 'multiple faults class of equivalence'.</v>
      </c>
    </row>
    <row r="209" spans="1:15" ht="105">
      <c r="A209" s="5" t="str">
        <f>FMECA!A210</f>
        <v>DC_DC_Sys</v>
      </c>
      <c r="B209" s="55" t="str">
        <f>FMECA!B210</f>
        <v>Increase in Output Voltage</v>
      </c>
      <c r="C209" s="5">
        <f>FMECA!D210</f>
        <v>0.25666666666666665</v>
      </c>
      <c r="D209" s="5">
        <f>FMECA!V210</f>
        <v>54</v>
      </c>
      <c r="E209" s="5">
        <f>FMECA!S210</f>
        <v>4092</v>
      </c>
      <c r="F209" s="5">
        <f>FMECA!W210</f>
        <v>51</v>
      </c>
      <c r="G209" s="5">
        <f>FMECA!X210</f>
        <v>57</v>
      </c>
      <c r="H209" s="5">
        <f>FMECA!T210</f>
        <v>4091</v>
      </c>
      <c r="I209" s="5">
        <f>FMECA!U210</f>
        <v>4095</v>
      </c>
      <c r="J209" s="5">
        <f>FMECA!Z210</f>
        <v>0</v>
      </c>
      <c r="K209" s="5">
        <f>FMECA!AA210</f>
        <v>1</v>
      </c>
      <c r="L209" s="5" t="str">
        <f>FMECA!H210</f>
        <v>Unsafe</v>
      </c>
      <c r="M209" s="5" t="str">
        <f>FMECA!K210</f>
        <v>No</v>
      </c>
      <c r="N209" s="5" t="str">
        <f>FMECA!L210</f>
        <v>No</v>
      </c>
      <c r="O209" s="5" t="str">
        <f>FMECA!AC210</f>
        <v>CM3: If this fault occurs, Fuse_Result and Keep_Power_Readback will be determined by the corresponding intervals of this failrue mode regardless of other failure modes.</v>
      </c>
    </row>
    <row r="210" spans="1:15" ht="105">
      <c r="A210" s="5" t="str">
        <f>FMECA!A211</f>
        <v>DC_DC_Sys</v>
      </c>
      <c r="B210" s="55" t="str">
        <f>FMECA!B211</f>
        <v>Decrease in Output Voltage</v>
      </c>
      <c r="C210" s="5">
        <f>FMECA!D211</f>
        <v>0.25666666666666665</v>
      </c>
      <c r="D210" s="5">
        <f>FMECA!V211</f>
        <v>54</v>
      </c>
      <c r="E210" s="5">
        <f>FMECA!S211</f>
        <v>4092</v>
      </c>
      <c r="F210" s="5">
        <f>FMECA!W211</f>
        <v>51</v>
      </c>
      <c r="G210" s="5">
        <f>FMECA!X211</f>
        <v>57</v>
      </c>
      <c r="H210" s="5">
        <f>FMECA!T211</f>
        <v>4091</v>
      </c>
      <c r="I210" s="5">
        <f>FMECA!U211</f>
        <v>4095</v>
      </c>
      <c r="J210" s="5">
        <f>FMECA!Z211</f>
        <v>0</v>
      </c>
      <c r="K210" s="5">
        <f>FMECA!AA211</f>
        <v>1</v>
      </c>
      <c r="L210" s="5" t="str">
        <f>FMECA!H211</f>
        <v>Unsafe</v>
      </c>
      <c r="M210" s="5" t="str">
        <f>FMECA!K211</f>
        <v>No</v>
      </c>
      <c r="N210" s="5" t="str">
        <f>FMECA!L211</f>
        <v>No</v>
      </c>
      <c r="O210" s="5" t="str">
        <f>FMECA!AC211</f>
        <v>CM3: If this fault occurs, Fuse_Result and Keep_Power_Readback will be determined by the corresponding intervals of this failrue mode regardless of other failure modes.</v>
      </c>
    </row>
    <row r="211" spans="1:15" ht="105">
      <c r="A211" s="5" t="str">
        <f>FMECA!A212</f>
        <v>DC_DC_Sys</v>
      </c>
      <c r="B211" s="55" t="str">
        <f>FMECA!B212</f>
        <v>Noisy Output</v>
      </c>
      <c r="C211" s="5">
        <f>FMECA!D212</f>
        <v>0.25666666666666665</v>
      </c>
      <c r="D211" s="5">
        <f>FMECA!V212</f>
        <v>54</v>
      </c>
      <c r="E211" s="5">
        <f>FMECA!S212</f>
        <v>4092</v>
      </c>
      <c r="F211" s="5">
        <f>FMECA!W212</f>
        <v>51</v>
      </c>
      <c r="G211" s="5">
        <f>FMECA!X212</f>
        <v>57</v>
      </c>
      <c r="H211" s="5">
        <f>FMECA!T212</f>
        <v>4091</v>
      </c>
      <c r="I211" s="5">
        <f>FMECA!U212</f>
        <v>4095</v>
      </c>
      <c r="J211" s="5">
        <f>FMECA!Z212</f>
        <v>0</v>
      </c>
      <c r="K211" s="5">
        <f>FMECA!AA212</f>
        <v>1</v>
      </c>
      <c r="L211" s="5" t="str">
        <f>FMECA!H212</f>
        <v>Unsafe</v>
      </c>
      <c r="M211" s="5" t="str">
        <f>FMECA!K212</f>
        <v>No</v>
      </c>
      <c r="N211" s="5" t="str">
        <f>FMECA!L212</f>
        <v>No</v>
      </c>
      <c r="O211" s="5" t="str">
        <f>FMECA!AC212</f>
        <v>CM3: If this fault occurs, Fuse_Result and Keep_Power_Readback will be determined by the corresponding intervals of this failrue mode regardless of other failure modes.</v>
      </c>
    </row>
    <row r="212" spans="1:15" ht="105">
      <c r="A212" s="5" t="str">
        <f>FMECA!A213</f>
        <v>C_Sys</v>
      </c>
      <c r="B212" s="55" t="str">
        <f>FMECA!B213</f>
        <v>Open</v>
      </c>
      <c r="C212" s="5">
        <f>FMECA!D213</f>
        <v>0.35</v>
      </c>
      <c r="D212" s="5">
        <f>FMECA!V213</f>
        <v>54</v>
      </c>
      <c r="E212" s="5">
        <f>FMECA!S213</f>
        <v>4092</v>
      </c>
      <c r="F212" s="5">
        <f>FMECA!W213</f>
        <v>51</v>
      </c>
      <c r="G212" s="5">
        <f>FMECA!X213</f>
        <v>57</v>
      </c>
      <c r="H212" s="5">
        <f>FMECA!T213</f>
        <v>4091</v>
      </c>
      <c r="I212" s="5">
        <f>FMECA!U213</f>
        <v>4095</v>
      </c>
      <c r="J212" s="5">
        <f>FMECA!Z213</f>
        <v>0</v>
      </c>
      <c r="K212" s="5">
        <f>FMECA!AA213</f>
        <v>1</v>
      </c>
      <c r="L212" s="5" t="str">
        <f>FMECA!H213</f>
        <v>Safe</v>
      </c>
      <c r="M212" s="5" t="str">
        <f>FMECA!K213</f>
        <v>Outside the scope of the local channel, but it will be detected in the future (all outputs zeroed for the Fuse_Result test)</v>
      </c>
      <c r="N212" s="5" t="str">
        <f>FMECA!L213</f>
        <v>No</v>
      </c>
      <c r="O212" s="5" t="str">
        <f>FMECA!AC213</f>
        <v>Not applicable. Assumed that only undetectable faults will be classified onto a 'multiple faults class of equivalence'.</v>
      </c>
    </row>
    <row r="213" spans="1:15" ht="60">
      <c r="A213" s="5" t="str">
        <f>FMECA!A214</f>
        <v>C_Sys</v>
      </c>
      <c r="B213" s="55" t="str">
        <f>FMECA!B214</f>
        <v>Short-Circuit</v>
      </c>
      <c r="C213" s="5">
        <f>FMECA!D214</f>
        <v>0.53</v>
      </c>
      <c r="D213" s="5">
        <f>FMECA!V214</f>
        <v>0</v>
      </c>
      <c r="E213" s="5">
        <f>FMECA!S214</f>
        <v>0</v>
      </c>
      <c r="F213" s="5">
        <f>FMECA!W214</f>
        <v>0</v>
      </c>
      <c r="G213" s="5">
        <f>FMECA!X214</f>
        <v>0</v>
      </c>
      <c r="H213" s="5">
        <f>FMECA!T214</f>
        <v>0</v>
      </c>
      <c r="I213" s="5">
        <f>FMECA!U214</f>
        <v>0</v>
      </c>
      <c r="J213" s="5">
        <f>FMECA!Z214</f>
        <v>0</v>
      </c>
      <c r="K213" s="5">
        <f>FMECA!AA214</f>
        <v>1</v>
      </c>
      <c r="L213" s="5" t="str">
        <f>FMECA!H214</f>
        <v>Safe</v>
      </c>
      <c r="M213" s="5" t="str">
        <f>FMECA!K214</f>
        <v>Yes</v>
      </c>
      <c r="N213" s="5" t="str">
        <f>FMECA!L214</f>
        <v>No</v>
      </c>
      <c r="O213" s="5" t="str">
        <f>FMECA!AC214</f>
        <v>Not applicable. Assumed that only undetectable faults will be classified onto a 'multiple faults class of equivalence'.</v>
      </c>
    </row>
    <row r="214" spans="1:15" ht="60">
      <c r="A214" s="5" t="str">
        <f>FMECA!A215</f>
        <v>C_Sys</v>
      </c>
      <c r="B214" s="55" t="str">
        <f>FMECA!B215</f>
        <v>Decrease of Parallel Resistance</v>
      </c>
      <c r="C214" s="5">
        <f>FMECA!D215</f>
        <v>0</v>
      </c>
      <c r="D214" s="5">
        <f>FMECA!V215</f>
        <v>0</v>
      </c>
      <c r="E214" s="5">
        <f>FMECA!S215</f>
        <v>0</v>
      </c>
      <c r="F214" s="5">
        <f>FMECA!W215</f>
        <v>0</v>
      </c>
      <c r="G214" s="5">
        <f>FMECA!X215</f>
        <v>0</v>
      </c>
      <c r="H214" s="5">
        <f>FMECA!T215</f>
        <v>0</v>
      </c>
      <c r="I214" s="5">
        <f>FMECA!U215</f>
        <v>0</v>
      </c>
      <c r="J214" s="5">
        <f>FMECA!Z215</f>
        <v>0</v>
      </c>
      <c r="K214" s="5">
        <f>FMECA!AA215</f>
        <v>1</v>
      </c>
      <c r="L214" s="5" t="str">
        <f>FMECA!H215</f>
        <v>Safe</v>
      </c>
      <c r="M214" s="5" t="str">
        <f>FMECA!K215</f>
        <v>Yes</v>
      </c>
      <c r="N214" s="5" t="str">
        <f>FMECA!L215</f>
        <v>No</v>
      </c>
      <c r="O214" s="5" t="str">
        <f>FMECA!AC215</f>
        <v>Not applicable. Assumed that only undetectable faults will be classified onto a 'multiple faults class of equivalence'.</v>
      </c>
    </row>
    <row r="215" spans="1:15" ht="105">
      <c r="A215" s="5" t="str">
        <f>FMECA!A216</f>
        <v>C_Sys</v>
      </c>
      <c r="B215" s="55" t="str">
        <f>FMECA!B216</f>
        <v>Increased Dissipation Factor</v>
      </c>
      <c r="C215" s="5">
        <f>FMECA!D216</f>
        <v>3.3333333333333333E-2</v>
      </c>
      <c r="D215" s="5">
        <f>FMECA!V216</f>
        <v>54</v>
      </c>
      <c r="E215" s="5">
        <f>FMECA!S216</f>
        <v>4092</v>
      </c>
      <c r="F215" s="5">
        <f>FMECA!W216</f>
        <v>51</v>
      </c>
      <c r="G215" s="5">
        <f>FMECA!X216</f>
        <v>57</v>
      </c>
      <c r="H215" s="5">
        <f>FMECA!T216</f>
        <v>4091</v>
      </c>
      <c r="I215" s="5">
        <f>FMECA!U216</f>
        <v>4095</v>
      </c>
      <c r="J215" s="5">
        <f>FMECA!Z216</f>
        <v>0</v>
      </c>
      <c r="K215" s="5">
        <f>FMECA!AA216</f>
        <v>1</v>
      </c>
      <c r="L215" s="5" t="str">
        <f>FMECA!H216</f>
        <v>Safe</v>
      </c>
      <c r="M215" s="5" t="str">
        <f>FMECA!K216</f>
        <v>Outside the scope of the local channel, but it will be detected in the future (all outputs zeroed for the Fuse_Result test)</v>
      </c>
      <c r="N215" s="5" t="str">
        <f>FMECA!L216</f>
        <v>No</v>
      </c>
      <c r="O215" s="5" t="str">
        <f>FMECA!AC216</f>
        <v>Not applicable. Assumed that only undetectable faults will be classified onto a 'multiple faults class of equivalence'.</v>
      </c>
    </row>
    <row r="216" spans="1:15" ht="60">
      <c r="A216" s="5" t="str">
        <f>FMECA!A217</f>
        <v>C_Sys</v>
      </c>
      <c r="B216" s="55" t="str">
        <f>FMECA!B217</f>
        <v>Increase of Capacitance</v>
      </c>
      <c r="C216" s="5">
        <f>FMECA!D217</f>
        <v>0</v>
      </c>
      <c r="D216" s="5">
        <f>FMECA!V217</f>
        <v>0</v>
      </c>
      <c r="E216" s="5">
        <f>FMECA!S217</f>
        <v>0</v>
      </c>
      <c r="F216" s="5">
        <f>FMECA!W217</f>
        <v>0</v>
      </c>
      <c r="G216" s="5">
        <f>FMECA!X217</f>
        <v>0</v>
      </c>
      <c r="H216" s="5">
        <f>FMECA!T217</f>
        <v>0</v>
      </c>
      <c r="I216" s="5">
        <f>FMECA!U217</f>
        <v>0</v>
      </c>
      <c r="J216" s="5">
        <f>FMECA!Z217</f>
        <v>0</v>
      </c>
      <c r="K216" s="5">
        <f>FMECA!AA217</f>
        <v>1</v>
      </c>
      <c r="L216" s="5" t="str">
        <f>FMECA!H217</f>
        <v>Safe</v>
      </c>
      <c r="M216" s="5" t="str">
        <f>FMECA!K217</f>
        <v>Yes</v>
      </c>
      <c r="N216" s="5" t="str">
        <f>FMECA!L217</f>
        <v>No</v>
      </c>
      <c r="O216" s="5" t="str">
        <f>FMECA!AC217</f>
        <v>Not applicable. Assumed that only undetectable faults will be classified onto a 'multiple faults class of equivalence'.</v>
      </c>
    </row>
    <row r="217" spans="1:15" ht="105">
      <c r="A217" s="5" t="str">
        <f>FMECA!A218</f>
        <v>C_Sys</v>
      </c>
      <c r="B217" s="55" t="str">
        <f>FMECA!B218</f>
        <v>Decrease of Capacitance</v>
      </c>
      <c r="C217" s="5">
        <f>FMECA!D218</f>
        <v>5.333333333333333E-2</v>
      </c>
      <c r="D217" s="5">
        <f>FMECA!V218</f>
        <v>54</v>
      </c>
      <c r="E217" s="5">
        <f>FMECA!S218</f>
        <v>4092</v>
      </c>
      <c r="F217" s="5">
        <f>FMECA!W218</f>
        <v>51</v>
      </c>
      <c r="G217" s="5">
        <f>FMECA!X218</f>
        <v>57</v>
      </c>
      <c r="H217" s="5">
        <f>FMECA!T218</f>
        <v>4091</v>
      </c>
      <c r="I217" s="5">
        <f>FMECA!U218</f>
        <v>4095</v>
      </c>
      <c r="J217" s="5">
        <f>FMECA!Z218</f>
        <v>0</v>
      </c>
      <c r="K217" s="5">
        <f>FMECA!AA218</f>
        <v>1</v>
      </c>
      <c r="L217" s="5" t="str">
        <f>FMECA!H218</f>
        <v>Safe</v>
      </c>
      <c r="M217" s="5" t="str">
        <f>FMECA!K218</f>
        <v>Outside the scope of the local channel, but it will be detected in the future (all outputs zeroed for the Fuse_Result test)</v>
      </c>
      <c r="N217" s="5" t="str">
        <f>FMECA!L218</f>
        <v>No</v>
      </c>
      <c r="O217" s="5" t="str">
        <f>FMECA!AC218</f>
        <v>Not applicable. Assumed that only undetectable faults will be classified onto a 'multiple faults class of equivalence'.</v>
      </c>
    </row>
    <row r="218" spans="1:15" ht="105">
      <c r="A218" s="5" t="str">
        <f>FMECA!A219</f>
        <v>C_Sys</v>
      </c>
      <c r="B218" s="55" t="str">
        <f>FMECA!B219</f>
        <v>Increase of Series Resistance</v>
      </c>
      <c r="C218" s="5">
        <f>FMECA!D219</f>
        <v>3.3333333333333333E-2</v>
      </c>
      <c r="D218" s="5">
        <f>FMECA!V219</f>
        <v>54</v>
      </c>
      <c r="E218" s="5">
        <f>FMECA!S219</f>
        <v>4092</v>
      </c>
      <c r="F218" s="5">
        <f>FMECA!W219</f>
        <v>51</v>
      </c>
      <c r="G218" s="5">
        <f>FMECA!X219</f>
        <v>57</v>
      </c>
      <c r="H218" s="5">
        <f>FMECA!T219</f>
        <v>4091</v>
      </c>
      <c r="I218" s="5">
        <f>FMECA!U219</f>
        <v>4095</v>
      </c>
      <c r="J218" s="5">
        <f>FMECA!Z219</f>
        <v>0</v>
      </c>
      <c r="K218" s="5">
        <f>FMECA!AA219</f>
        <v>1</v>
      </c>
      <c r="L218" s="5" t="str">
        <f>FMECA!H219</f>
        <v>Safe</v>
      </c>
      <c r="M218" s="5" t="str">
        <f>FMECA!K219</f>
        <v>Outside the scope of the local channel, but it will be detected in the future (all outputs zeroed for the Fuse_Result test)</v>
      </c>
      <c r="N218" s="5" t="str">
        <f>FMECA!L219</f>
        <v>No</v>
      </c>
      <c r="O218" s="5" t="str">
        <f>FMECA!AC219</f>
        <v>Not applicable. Assumed that only undetectable faults will be classified onto a 'multiple faults class of equivalence'.</v>
      </c>
    </row>
    <row r="219" spans="1:15" ht="60">
      <c r="A219" s="5" t="str">
        <f>FMECA!A220</f>
        <v>C_Sys</v>
      </c>
      <c r="B219" s="55" t="str">
        <f>FMECA!B220</f>
        <v>Short-Circuit to Casing</v>
      </c>
      <c r="C219" s="5">
        <f>FMECA!D220</f>
        <v>0</v>
      </c>
      <c r="D219" s="5">
        <f>FMECA!V220</f>
        <v>54</v>
      </c>
      <c r="E219" s="5">
        <f>FMECA!S220</f>
        <v>4092</v>
      </c>
      <c r="F219" s="5">
        <f>FMECA!W220</f>
        <v>51</v>
      </c>
      <c r="G219" s="5">
        <f>FMECA!X220</f>
        <v>57</v>
      </c>
      <c r="H219" s="5">
        <f>FMECA!T220</f>
        <v>4091</v>
      </c>
      <c r="I219" s="5">
        <f>FMECA!U220</f>
        <v>4095</v>
      </c>
      <c r="J219" s="5">
        <f>FMECA!Z220</f>
        <v>0</v>
      </c>
      <c r="K219" s="5">
        <f>FMECA!AA220</f>
        <v>1</v>
      </c>
      <c r="L219" s="5" t="str">
        <f>FMECA!H220</f>
        <v>Safe</v>
      </c>
      <c r="M219" s="5" t="str">
        <f>FMECA!K220</f>
        <v>No; impactless.</v>
      </c>
      <c r="N219" s="5" t="str">
        <f>FMECA!L220</f>
        <v>No; impactless.</v>
      </c>
      <c r="O219" s="5" t="str">
        <f>FMECA!AC220</f>
        <v>Not applicable. Assumed that only undetectable faults will be classified onto a 'multiple faults class of equivalence'.</v>
      </c>
    </row>
  </sheetData>
  <autoFilter ref="A1:O219"/>
  <pageMargins left="0.511811024" right="0.511811024" top="0.78740157499999996" bottom="0.78740157499999996" header="0.31496062000000002" footer="0.31496062000000002"/>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9"/>
  <sheetViews>
    <sheetView tabSelected="1" workbookViewId="0">
      <pane ySplit="1" topLeftCell="A2" activePane="bottomLeft" state="frozen"/>
      <selection activeCell="C1" sqref="C1"/>
      <selection pane="bottomLeft"/>
    </sheetView>
  </sheetViews>
  <sheetFormatPr defaultRowHeight="12"/>
  <cols>
    <col min="1" max="1" width="15.5703125" style="131" customWidth="1"/>
    <col min="2" max="3" width="21.140625" style="131" customWidth="1"/>
    <col min="4" max="4" width="21.5703125" style="131" customWidth="1"/>
    <col min="5" max="5" width="17.140625" style="131" customWidth="1"/>
    <col min="6" max="6" width="17.85546875" style="131" customWidth="1"/>
    <col min="7" max="7" width="24.140625" style="131" customWidth="1"/>
    <col min="8" max="8" width="34.140625" style="131" customWidth="1"/>
    <col min="9" max="10" width="10.28515625" style="131" bestFit="1" customWidth="1"/>
    <col min="11" max="11" width="11" style="131" bestFit="1" customWidth="1"/>
    <col min="12" max="17" width="10.28515625" style="131" bestFit="1" customWidth="1"/>
    <col min="18" max="16384" width="9.140625" style="131"/>
  </cols>
  <sheetData>
    <row r="1" spans="1:17" ht="24">
      <c r="A1" s="130" t="s">
        <v>361</v>
      </c>
      <c r="B1" s="130" t="s">
        <v>685</v>
      </c>
      <c r="C1" s="130" t="s">
        <v>363</v>
      </c>
      <c r="D1" s="130" t="s">
        <v>737</v>
      </c>
      <c r="E1" s="130" t="s">
        <v>738</v>
      </c>
      <c r="F1" s="130" t="s">
        <v>1326</v>
      </c>
      <c r="G1" s="130" t="s">
        <v>739</v>
      </c>
      <c r="H1" s="130" t="s">
        <v>740</v>
      </c>
      <c r="I1" s="130" t="s">
        <v>1330</v>
      </c>
      <c r="J1" s="130" t="s">
        <v>1329</v>
      </c>
      <c r="K1" s="130" t="s">
        <v>1328</v>
      </c>
      <c r="L1" s="130" t="s">
        <v>1327</v>
      </c>
      <c r="M1" s="130" t="s">
        <v>1331</v>
      </c>
      <c r="N1" s="130" t="s">
        <v>1332</v>
      </c>
      <c r="O1" s="130" t="s">
        <v>1333</v>
      </c>
      <c r="P1" s="130" t="s">
        <v>1334</v>
      </c>
      <c r="Q1" s="130" t="s">
        <v>1335</v>
      </c>
    </row>
    <row r="2" spans="1:17">
      <c r="A2" s="132" t="str">
        <f>FMECA!A4</f>
        <v>UC_Diag</v>
      </c>
      <c r="B2" s="133" t="str">
        <f>FMECA!B4</f>
        <v>Supply open</v>
      </c>
      <c r="C2" s="133">
        <f>FMECA!E4</f>
        <v>2.1277782984360249E-9</v>
      </c>
      <c r="D2" s="132" t="str">
        <f>FMECA!H4</f>
        <v>Safe</v>
      </c>
      <c r="E2" s="132" t="str">
        <f>IF(ISNUMBER(SEARCH("Yes",FMECA!K4)),"Yes",IF(FMECA!K4="No","No",IF(ISNUMBER(SEARCH("No; impactless.",FMECA!K4)),"Impactless",IF(ISNUMBER(SEARCH("Outside the scope",FMECA!K4)),"Outside Scope",IF(ISNUMBER(SEARCH("Maybe",FMECA!K4)),"Maybe","Not Applicable")))))</f>
        <v>Yes</v>
      </c>
      <c r="F2" s="132" t="s">
        <v>728</v>
      </c>
      <c r="G2" s="132" t="str">
        <f>IF(ISNUMBER(SEARCH("Yes",FMECA!L4)),"Yes",IF(FMECA!L4="No","No",IF(ISNUMBER(SEARCH("No; impactless.",FMECA!L4)),"Impactless","Not Applicable")))</f>
        <v>Yes</v>
      </c>
      <c r="H2" s="132" t="str">
        <f>IF(ISNUMBER(SEARCH("CM0", FMECA!AC4)), "CM0", IF(ISNUMBER(SEARCH("CM1", FMECA!AC4)), "CM1", IF(ISNUMBER(SEARCH("CM2", FMECA!AC4)), "CM2", IF(ISNUMBER(SEARCH("CM3", FMECA!AC4)), "CM3", "Not Applicable"))))</f>
        <v>Not Applicable</v>
      </c>
      <c r="I2" s="134">
        <f>IF(AND(E2 = "Yes", G2 = "No"), C2, 0)</f>
        <v>0</v>
      </c>
      <c r="J2" s="134">
        <f>IF(AND(OR(E2 = "No", E2 = "Maybe"), G2 = "Yes"), C2, 0)</f>
        <v>0</v>
      </c>
      <c r="K2" s="134">
        <f>IF(AND(E2="Yes",G2="Yes"), C2, 0)</f>
        <v>2.1277782984360249E-9</v>
      </c>
      <c r="L2" s="134">
        <f>IF(E2="Outside Scope", C2, 0)</f>
        <v>0</v>
      </c>
      <c r="M2" s="134">
        <f>IF(AND(E2 = "Maybe", F2 = "Yes", G2 = "No"), C2, 0)</f>
        <v>0</v>
      </c>
      <c r="N2" s="134">
        <f>IF(AND(E2 = "Maybe", F2 = "No", G2 = "No"), C2, 0)</f>
        <v>0</v>
      </c>
      <c r="O2" s="134">
        <f>IF(H2 = "CM1", C2, 0)</f>
        <v>0</v>
      </c>
      <c r="P2" s="134">
        <f>IF(AND(E2&lt;&gt; "Maybe", H2 = "CM2"), C2, 0)</f>
        <v>0</v>
      </c>
      <c r="Q2" s="134">
        <f>IF(H2 = "CM3", C2, 0)</f>
        <v>0</v>
      </c>
    </row>
    <row r="3" spans="1:17">
      <c r="A3" s="132" t="str">
        <f>FMECA!A5</f>
        <v>UC_Diag</v>
      </c>
      <c r="B3" s="133" t="str">
        <f>FMECA!B5</f>
        <v>Output 'Dig_Out1' open</v>
      </c>
      <c r="C3" s="133">
        <f>FMECA!E5</f>
        <v>2.1277782984360249E-9</v>
      </c>
      <c r="D3" s="132" t="str">
        <f>FMECA!H5</f>
        <v>Safe</v>
      </c>
      <c r="E3" s="132" t="str">
        <f>IF(ISNUMBER(SEARCH("Yes",FMECA!K5)),"Yes",IF(FMECA!K5="No","No",IF(ISNUMBER(SEARCH("No; impactless.",FMECA!K5)),"Impactless",IF(ISNUMBER(SEARCH("Outside the scope",FMECA!K5)),"Outside Scope",IF(ISNUMBER(SEARCH("Maybe",FMECA!K5)),"Maybe","Not Applicable")))))</f>
        <v>Yes</v>
      </c>
      <c r="F3" s="132" t="s">
        <v>728</v>
      </c>
      <c r="G3" s="132" t="str">
        <f>IF(ISNUMBER(SEARCH("Yes",FMECA!L5)),"Yes",IF(FMECA!L5="No","No",IF(ISNUMBER(SEARCH("No; impactless.",FMECA!L5)),"Impactless","Not Applicable")))</f>
        <v>No</v>
      </c>
      <c r="H3" s="132" t="str">
        <f>IF(ISNUMBER(SEARCH("CM0", FMECA!AC5)), "CM0", IF(ISNUMBER(SEARCH("CM1", FMECA!AC5)), "CM1", IF(ISNUMBER(SEARCH("CM2", FMECA!AC5)), "CM2", IF(ISNUMBER(SEARCH("CM3", FMECA!AC5)), "CM3", "Not Applicable"))))</f>
        <v>Not Applicable</v>
      </c>
      <c r="I3" s="134">
        <f t="shared" ref="I3:I66" si="0">IF(AND(E3 = "Yes", G3 = "No"), C3, 0)</f>
        <v>2.1277782984360249E-9</v>
      </c>
      <c r="J3" s="134">
        <f t="shared" ref="J3:J66" si="1">IF(AND(OR(E3 = "No", E3 = "Maybe"), G3 = "Yes"), C3, 0)</f>
        <v>0</v>
      </c>
      <c r="K3" s="134">
        <f t="shared" ref="K3:K66" si="2">IF(AND(E3="Yes",G3="Yes"), C3, 0)</f>
        <v>0</v>
      </c>
      <c r="L3" s="134">
        <f t="shared" ref="L3:L66" si="3">IF(E3="Outside Scope", C3, 0)</f>
        <v>0</v>
      </c>
      <c r="M3" s="134">
        <f t="shared" ref="M3:M66" si="4">IF(AND(E3 = "Maybe", F3 = "Yes", G3 = "No"), C3, 0)</f>
        <v>0</v>
      </c>
      <c r="N3" s="134">
        <f t="shared" ref="N3:N66" si="5">IF(AND(E3 = "Maybe", F3 = "No", G3 = "No"), C3, 0)</f>
        <v>0</v>
      </c>
      <c r="O3" s="134">
        <f t="shared" ref="O3:O66" si="6">IF(H3 = "CM1", C3, 0)</f>
        <v>0</v>
      </c>
      <c r="P3" s="134">
        <f t="shared" ref="P3:P66" si="7">IF(AND(E3&lt;&gt; "Maybe", H3 = "CM2"), C3, 0)</f>
        <v>0</v>
      </c>
      <c r="Q3" s="134">
        <f t="shared" ref="Q3:Q66" si="8">IF(H3 = "CM3", C3, 0)</f>
        <v>0</v>
      </c>
    </row>
    <row r="4" spans="1:17">
      <c r="A4" s="132" t="str">
        <f>FMECA!A6</f>
        <v>UC_Diag</v>
      </c>
      <c r="B4" s="133" t="str">
        <f>FMECA!B6</f>
        <v>Output 'Dig_Out2' open</v>
      </c>
      <c r="C4" s="133">
        <f>FMECA!E6</f>
        <v>2.1277782984360249E-9</v>
      </c>
      <c r="D4" s="132" t="str">
        <f>FMECA!H6</f>
        <v>Safe</v>
      </c>
      <c r="E4" s="132" t="str">
        <f>IF(ISNUMBER(SEARCH("Yes",FMECA!K6)),"Yes",IF(FMECA!K6="No","No",IF(ISNUMBER(SEARCH("No; impactless.",FMECA!K6)),"Impactless",IF(ISNUMBER(SEARCH("Outside the scope",FMECA!K6)),"Outside Scope",IF(ISNUMBER(SEARCH("Maybe",FMECA!K6)),"Maybe","Not Applicable")))))</f>
        <v>Yes</v>
      </c>
      <c r="F4" s="132" t="s">
        <v>728</v>
      </c>
      <c r="G4" s="132" t="str">
        <f>IF(ISNUMBER(SEARCH("Yes",FMECA!L6)),"Yes",IF(FMECA!L6="No","No",IF(ISNUMBER(SEARCH("No; impactless.",FMECA!L6)),"Impactless","Not Applicable")))</f>
        <v>Yes</v>
      </c>
      <c r="H4" s="132" t="str">
        <f>IF(ISNUMBER(SEARCH("CM0", FMECA!AC6)), "CM0", IF(ISNUMBER(SEARCH("CM1", FMECA!AC6)), "CM1", IF(ISNUMBER(SEARCH("CM2", FMECA!AC6)), "CM2", IF(ISNUMBER(SEARCH("CM3", FMECA!AC6)), "CM3", "Not Applicable"))))</f>
        <v>Not Applicable</v>
      </c>
      <c r="I4" s="134">
        <f t="shared" si="0"/>
        <v>0</v>
      </c>
      <c r="J4" s="134">
        <f t="shared" si="1"/>
        <v>0</v>
      </c>
      <c r="K4" s="134">
        <f t="shared" si="2"/>
        <v>2.1277782984360249E-9</v>
      </c>
      <c r="L4" s="134">
        <f t="shared" si="3"/>
        <v>0</v>
      </c>
      <c r="M4" s="134">
        <f t="shared" si="4"/>
        <v>0</v>
      </c>
      <c r="N4" s="134">
        <f t="shared" si="5"/>
        <v>0</v>
      </c>
      <c r="O4" s="134">
        <f t="shared" si="6"/>
        <v>0</v>
      </c>
      <c r="P4" s="134">
        <f t="shared" si="7"/>
        <v>0</v>
      </c>
      <c r="Q4" s="134">
        <f t="shared" si="8"/>
        <v>0</v>
      </c>
    </row>
    <row r="5" spans="1:17">
      <c r="A5" s="132" t="str">
        <f>FMECA!A7</f>
        <v>UC_Diag</v>
      </c>
      <c r="B5" s="133" t="str">
        <f>FMECA!B7</f>
        <v>Bidirectional Pin 'SPI' open</v>
      </c>
      <c r="C5" s="133">
        <f>FMECA!E7</f>
        <v>4.2555565968720499E-9</v>
      </c>
      <c r="D5" s="132" t="str">
        <f>FMECA!H7</f>
        <v>Safe</v>
      </c>
      <c r="E5" s="132" t="str">
        <f>IF(ISNUMBER(SEARCH("Yes",FMECA!K7)),"Yes",IF(FMECA!K7="No","No",IF(ISNUMBER(SEARCH("No; impactless.",FMECA!K7)),"Impactless",IF(ISNUMBER(SEARCH("Outside the scope",FMECA!K7)),"Outside Scope",IF(ISNUMBER(SEARCH("Maybe",FMECA!K7)),"Maybe","Not Applicable")))))</f>
        <v>No</v>
      </c>
      <c r="F5" s="132" t="s">
        <v>728</v>
      </c>
      <c r="G5" s="132" t="str">
        <f>IF(ISNUMBER(SEARCH("Yes",FMECA!L7)),"Yes",IF(FMECA!L7="No","No",IF(ISNUMBER(SEARCH("No; impactless.",FMECA!L7)),"Impactless","Not Applicable")))</f>
        <v>No</v>
      </c>
      <c r="H5" s="132" t="str">
        <f>IF(ISNUMBER(SEARCH("CM0", FMECA!AC7)), "CM0", IF(ISNUMBER(SEARCH("CM1", FMECA!AC7)), "CM1", IF(ISNUMBER(SEARCH("CM2", FMECA!AC7)), "CM2", IF(ISNUMBER(SEARCH("CM3", FMECA!AC7)), "CM3", "Not Applicable"))))</f>
        <v>CM0</v>
      </c>
      <c r="I5" s="134">
        <f t="shared" si="0"/>
        <v>0</v>
      </c>
      <c r="J5" s="134">
        <f t="shared" si="1"/>
        <v>0</v>
      </c>
      <c r="K5" s="134">
        <f t="shared" si="2"/>
        <v>0</v>
      </c>
      <c r="L5" s="134">
        <f t="shared" si="3"/>
        <v>0</v>
      </c>
      <c r="M5" s="134">
        <f t="shared" si="4"/>
        <v>0</v>
      </c>
      <c r="N5" s="134">
        <f t="shared" si="5"/>
        <v>0</v>
      </c>
      <c r="O5" s="134">
        <f t="shared" si="6"/>
        <v>0</v>
      </c>
      <c r="P5" s="134">
        <f t="shared" si="7"/>
        <v>0</v>
      </c>
      <c r="Q5" s="134">
        <f t="shared" si="8"/>
        <v>0</v>
      </c>
    </row>
    <row r="6" spans="1:17">
      <c r="A6" s="132" t="str">
        <f>FMECA!A8</f>
        <v>UC_Diag</v>
      </c>
      <c r="B6" s="133" t="str">
        <f>FMECA!B8</f>
        <v>Output 'Dig_Out1' stuck low</v>
      </c>
      <c r="C6" s="133">
        <f>FMECA!E8</f>
        <v>5.3194457460900624E-10</v>
      </c>
      <c r="D6" s="132" t="str">
        <f>FMECA!H8</f>
        <v>Safe</v>
      </c>
      <c r="E6" s="132" t="str">
        <f>IF(ISNUMBER(SEARCH("Yes",FMECA!K8)),"Yes",IF(FMECA!K8="No","No",IF(ISNUMBER(SEARCH("No; impactless.",FMECA!K8)),"Impactless",IF(ISNUMBER(SEARCH("Outside the scope",FMECA!K8)),"Outside Scope",IF(ISNUMBER(SEARCH("Maybe",FMECA!K8)),"Maybe","Not Applicable")))))</f>
        <v>Yes</v>
      </c>
      <c r="F6" s="132" t="s">
        <v>728</v>
      </c>
      <c r="G6" s="132" t="str">
        <f>IF(ISNUMBER(SEARCH("Yes",FMECA!L8)),"Yes",IF(FMECA!L8="No","No",IF(ISNUMBER(SEARCH("No; impactless.",FMECA!L8)),"Impactless","Not Applicable")))</f>
        <v>Yes</v>
      </c>
      <c r="H6" s="132" t="str">
        <f>IF(ISNUMBER(SEARCH("CM0", FMECA!AC8)), "CM0", IF(ISNUMBER(SEARCH("CM1", FMECA!AC8)), "CM1", IF(ISNUMBER(SEARCH("CM2", FMECA!AC8)), "CM2", IF(ISNUMBER(SEARCH("CM3", FMECA!AC8)), "CM3", "Not Applicable"))))</f>
        <v>Not Applicable</v>
      </c>
      <c r="I6" s="134">
        <f t="shared" si="0"/>
        <v>0</v>
      </c>
      <c r="J6" s="134">
        <f t="shared" si="1"/>
        <v>0</v>
      </c>
      <c r="K6" s="134">
        <f t="shared" si="2"/>
        <v>5.3194457460900624E-10</v>
      </c>
      <c r="L6" s="134">
        <f t="shared" si="3"/>
        <v>0</v>
      </c>
      <c r="M6" s="134">
        <f t="shared" si="4"/>
        <v>0</v>
      </c>
      <c r="N6" s="134">
        <f t="shared" si="5"/>
        <v>0</v>
      </c>
      <c r="O6" s="134">
        <f t="shared" si="6"/>
        <v>0</v>
      </c>
      <c r="P6" s="134">
        <f t="shared" si="7"/>
        <v>0</v>
      </c>
      <c r="Q6" s="134">
        <f t="shared" si="8"/>
        <v>0</v>
      </c>
    </row>
    <row r="7" spans="1:17">
      <c r="A7" s="132" t="str">
        <f>FMECA!A9</f>
        <v>UC_Diag</v>
      </c>
      <c r="B7" s="133" t="str">
        <f>FMECA!B9</f>
        <v>Output 'Dig_Out2' stuck low</v>
      </c>
      <c r="C7" s="133">
        <f>FMECA!E9</f>
        <v>5.3194457460900624E-10</v>
      </c>
      <c r="D7" s="132" t="str">
        <f>FMECA!H9</f>
        <v>Safe</v>
      </c>
      <c r="E7" s="132" t="str">
        <f>IF(ISNUMBER(SEARCH("Yes",FMECA!K9)),"Yes",IF(FMECA!K9="No","No",IF(ISNUMBER(SEARCH("No; impactless.",FMECA!K9)),"Impactless",IF(ISNUMBER(SEARCH("Outside the scope",FMECA!K9)),"Outside Scope",IF(ISNUMBER(SEARCH("Maybe",FMECA!K9)),"Maybe","Not Applicable")))))</f>
        <v>Yes</v>
      </c>
      <c r="F7" s="132" t="s">
        <v>728</v>
      </c>
      <c r="G7" s="132" t="str">
        <f>IF(ISNUMBER(SEARCH("Yes",FMECA!L9)),"Yes",IF(FMECA!L9="No","No",IF(ISNUMBER(SEARCH("No; impactless.",FMECA!L9)),"Impactless","Not Applicable")))</f>
        <v>Yes</v>
      </c>
      <c r="H7" s="132" t="str">
        <f>IF(ISNUMBER(SEARCH("CM0", FMECA!AC9)), "CM0", IF(ISNUMBER(SEARCH("CM1", FMECA!AC9)), "CM1", IF(ISNUMBER(SEARCH("CM2", FMECA!AC9)), "CM2", IF(ISNUMBER(SEARCH("CM3", FMECA!AC9)), "CM3", "Not Applicable"))))</f>
        <v>Not Applicable</v>
      </c>
      <c r="I7" s="134">
        <f t="shared" si="0"/>
        <v>0</v>
      </c>
      <c r="J7" s="134">
        <f t="shared" si="1"/>
        <v>0</v>
      </c>
      <c r="K7" s="134">
        <f t="shared" si="2"/>
        <v>5.3194457460900624E-10</v>
      </c>
      <c r="L7" s="134">
        <f t="shared" si="3"/>
        <v>0</v>
      </c>
      <c r="M7" s="134">
        <f t="shared" si="4"/>
        <v>0</v>
      </c>
      <c r="N7" s="134">
        <f t="shared" si="5"/>
        <v>0</v>
      </c>
      <c r="O7" s="134">
        <f t="shared" si="6"/>
        <v>0</v>
      </c>
      <c r="P7" s="134">
        <f t="shared" si="7"/>
        <v>0</v>
      </c>
      <c r="Q7" s="134">
        <f t="shared" si="8"/>
        <v>0</v>
      </c>
    </row>
    <row r="8" spans="1:17">
      <c r="A8" s="132" t="str">
        <f>FMECA!A10</f>
        <v>UC_Diag</v>
      </c>
      <c r="B8" s="133" t="str">
        <f>FMECA!B10</f>
        <v>Bidirectional Pin 'SPI' stuck low</v>
      </c>
      <c r="C8" s="133">
        <f>FMECA!E10</f>
        <v>5.3194457460900624E-10</v>
      </c>
      <c r="D8" s="132" t="str">
        <f>FMECA!H10</f>
        <v>Safe</v>
      </c>
      <c r="E8" s="132" t="str">
        <f>IF(ISNUMBER(SEARCH("Yes",FMECA!K10)),"Yes",IF(FMECA!K10="No","No",IF(ISNUMBER(SEARCH("No; impactless.",FMECA!K10)),"Impactless",IF(ISNUMBER(SEARCH("Outside the scope",FMECA!K10)),"Outside Scope",IF(ISNUMBER(SEARCH("Maybe",FMECA!K10)),"Maybe","Not Applicable")))))</f>
        <v>No</v>
      </c>
      <c r="F8" s="132" t="s">
        <v>728</v>
      </c>
      <c r="G8" s="132" t="str">
        <f>IF(ISNUMBER(SEARCH("Yes",FMECA!L10)),"Yes",IF(FMECA!L10="No","No",IF(ISNUMBER(SEARCH("No; impactless.",FMECA!L10)),"Impactless","Not Applicable")))</f>
        <v>No</v>
      </c>
      <c r="H8" s="132" t="str">
        <f>IF(ISNUMBER(SEARCH("CM0", FMECA!AC10)), "CM0", IF(ISNUMBER(SEARCH("CM1", FMECA!AC10)), "CM1", IF(ISNUMBER(SEARCH("CM2", FMECA!AC10)), "CM2", IF(ISNUMBER(SEARCH("CM3", FMECA!AC10)), "CM3", "Not Applicable"))))</f>
        <v>CM0</v>
      </c>
      <c r="I8" s="134">
        <f t="shared" si="0"/>
        <v>0</v>
      </c>
      <c r="J8" s="134">
        <f t="shared" si="1"/>
        <v>0</v>
      </c>
      <c r="K8" s="134">
        <f t="shared" si="2"/>
        <v>0</v>
      </c>
      <c r="L8" s="134">
        <f t="shared" si="3"/>
        <v>0</v>
      </c>
      <c r="M8" s="134">
        <f t="shared" si="4"/>
        <v>0</v>
      </c>
      <c r="N8" s="134">
        <f t="shared" si="5"/>
        <v>0</v>
      </c>
      <c r="O8" s="134">
        <f t="shared" si="6"/>
        <v>0</v>
      </c>
      <c r="P8" s="134">
        <f t="shared" si="7"/>
        <v>0</v>
      </c>
      <c r="Q8" s="134">
        <f t="shared" si="8"/>
        <v>0</v>
      </c>
    </row>
    <row r="9" spans="1:17">
      <c r="A9" s="132" t="str">
        <f>FMECA!A11</f>
        <v>UC_Diag</v>
      </c>
      <c r="B9" s="133" t="str">
        <f>FMECA!B11</f>
        <v>Output 'Dig_Out1' stuck high</v>
      </c>
      <c r="C9" s="133">
        <f>FMECA!E11</f>
        <v>4.7283962187467226E-10</v>
      </c>
      <c r="D9" s="132" t="str">
        <f>FMECA!H11</f>
        <v>Safe</v>
      </c>
      <c r="E9" s="132" t="str">
        <f>IF(ISNUMBER(SEARCH("Yes",FMECA!K11)),"Yes",IF(FMECA!K11="No","No",IF(ISNUMBER(SEARCH("No; impactless.",FMECA!K11)),"Impactless",IF(ISNUMBER(SEARCH("Outside the scope",FMECA!K11)),"Outside Scope",IF(ISNUMBER(SEARCH("Maybe",FMECA!K11)),"Maybe","Not Applicable")))))</f>
        <v>Yes</v>
      </c>
      <c r="F9" s="132" t="s">
        <v>728</v>
      </c>
      <c r="G9" s="132" t="str">
        <f>IF(ISNUMBER(SEARCH("Yes",FMECA!L11)),"Yes",IF(FMECA!L11="No","No",IF(ISNUMBER(SEARCH("No; impactless.",FMECA!L11)),"Impactless","Not Applicable")))</f>
        <v>No</v>
      </c>
      <c r="H9" s="132" t="str">
        <f>IF(ISNUMBER(SEARCH("CM0", FMECA!AC11)), "CM0", IF(ISNUMBER(SEARCH("CM1", FMECA!AC11)), "CM1", IF(ISNUMBER(SEARCH("CM2", FMECA!AC11)), "CM2", IF(ISNUMBER(SEARCH("CM3", FMECA!AC11)), "CM3", "Not Applicable"))))</f>
        <v>Not Applicable</v>
      </c>
      <c r="I9" s="134">
        <f t="shared" si="0"/>
        <v>4.7283962187467226E-10</v>
      </c>
      <c r="J9" s="134">
        <f t="shared" si="1"/>
        <v>0</v>
      </c>
      <c r="K9" s="134">
        <f t="shared" si="2"/>
        <v>0</v>
      </c>
      <c r="L9" s="134">
        <f t="shared" si="3"/>
        <v>0</v>
      </c>
      <c r="M9" s="134">
        <f t="shared" si="4"/>
        <v>0</v>
      </c>
      <c r="N9" s="134">
        <f t="shared" si="5"/>
        <v>0</v>
      </c>
      <c r="O9" s="134">
        <f t="shared" si="6"/>
        <v>0</v>
      </c>
      <c r="P9" s="134">
        <f t="shared" si="7"/>
        <v>0</v>
      </c>
      <c r="Q9" s="134">
        <f t="shared" si="8"/>
        <v>0</v>
      </c>
    </row>
    <row r="10" spans="1:17">
      <c r="A10" s="132" t="str">
        <f>FMECA!A12</f>
        <v>UC_Diag</v>
      </c>
      <c r="B10" s="133" t="str">
        <f>FMECA!B12</f>
        <v>Output 'Dig_Out2' stuck high</v>
      </c>
      <c r="C10" s="133">
        <f>FMECA!E12</f>
        <v>4.7283962187467226E-10</v>
      </c>
      <c r="D10" s="132" t="str">
        <f>FMECA!H12</f>
        <v>Safe</v>
      </c>
      <c r="E10" s="132" t="str">
        <f>IF(ISNUMBER(SEARCH("Yes",FMECA!K12)),"Yes",IF(FMECA!K12="No","No",IF(ISNUMBER(SEARCH("No; impactless.",FMECA!K12)),"Impactless",IF(ISNUMBER(SEARCH("Outside the scope",FMECA!K12)),"Outside Scope",IF(ISNUMBER(SEARCH("Maybe",FMECA!K12)),"Maybe","Not Applicable")))))</f>
        <v>No</v>
      </c>
      <c r="F10" s="132" t="s">
        <v>728</v>
      </c>
      <c r="G10" s="132" t="str">
        <f>IF(ISNUMBER(SEARCH("Yes",FMECA!L12)),"Yes",IF(FMECA!L12="No","No",IF(ISNUMBER(SEARCH("No; impactless.",FMECA!L12)),"Impactless","Not Applicable")))</f>
        <v>Yes</v>
      </c>
      <c r="H10" s="132" t="str">
        <f>IF(ISNUMBER(SEARCH("CM0", FMECA!AC12)), "CM0", IF(ISNUMBER(SEARCH("CM1", FMECA!AC12)), "CM1", IF(ISNUMBER(SEARCH("CM2", FMECA!AC12)), "CM2", IF(ISNUMBER(SEARCH("CM3", FMECA!AC12)), "CM3", "Not Applicable"))))</f>
        <v>Not Applicable</v>
      </c>
      <c r="I10" s="134">
        <f t="shared" si="0"/>
        <v>0</v>
      </c>
      <c r="J10" s="134">
        <f t="shared" si="1"/>
        <v>4.7283962187467226E-10</v>
      </c>
      <c r="K10" s="134">
        <f t="shared" si="2"/>
        <v>0</v>
      </c>
      <c r="L10" s="134">
        <f t="shared" si="3"/>
        <v>0</v>
      </c>
      <c r="M10" s="134">
        <f t="shared" si="4"/>
        <v>0</v>
      </c>
      <c r="N10" s="134">
        <f t="shared" si="5"/>
        <v>0</v>
      </c>
      <c r="O10" s="134">
        <f t="shared" si="6"/>
        <v>0</v>
      </c>
      <c r="P10" s="134">
        <f t="shared" si="7"/>
        <v>0</v>
      </c>
      <c r="Q10" s="134">
        <f t="shared" si="8"/>
        <v>0</v>
      </c>
    </row>
    <row r="11" spans="1:17">
      <c r="A11" s="132" t="str">
        <f>FMECA!A13</f>
        <v>UC_Diag</v>
      </c>
      <c r="B11" s="133" t="str">
        <f>FMECA!B13</f>
        <v>Bidirectional 'SPI' Pin stuck high</v>
      </c>
      <c r="C11" s="133">
        <f>FMECA!E13</f>
        <v>4.7283962187467226E-10</v>
      </c>
      <c r="D11" s="132" t="str">
        <f>FMECA!H13</f>
        <v>Safe</v>
      </c>
      <c r="E11" s="132" t="str">
        <f>IF(ISNUMBER(SEARCH("Yes",FMECA!K13)),"Yes",IF(FMECA!K13="No","No",IF(ISNUMBER(SEARCH("No; impactless.",FMECA!K13)),"Impactless",IF(ISNUMBER(SEARCH("Outside the scope",FMECA!K13)),"Outside Scope",IF(ISNUMBER(SEARCH("Maybe",FMECA!K13)),"Maybe","Not Applicable")))))</f>
        <v>No</v>
      </c>
      <c r="F11" s="132" t="s">
        <v>728</v>
      </c>
      <c r="G11" s="132" t="str">
        <f>IF(ISNUMBER(SEARCH("Yes",FMECA!L13)),"Yes",IF(FMECA!L13="No","No",IF(ISNUMBER(SEARCH("No; impactless.",FMECA!L13)),"Impactless","Not Applicable")))</f>
        <v>No</v>
      </c>
      <c r="H11" s="132" t="str">
        <f>IF(ISNUMBER(SEARCH("CM0", FMECA!AC13)), "CM0", IF(ISNUMBER(SEARCH("CM1", FMECA!AC13)), "CM1", IF(ISNUMBER(SEARCH("CM2", FMECA!AC13)), "CM2", IF(ISNUMBER(SEARCH("CM3", FMECA!AC13)), "CM3", "Not Applicable"))))</f>
        <v>CM0</v>
      </c>
      <c r="I11" s="134">
        <f t="shared" si="0"/>
        <v>0</v>
      </c>
      <c r="J11" s="134">
        <f t="shared" si="1"/>
        <v>0</v>
      </c>
      <c r="K11" s="134">
        <f t="shared" si="2"/>
        <v>0</v>
      </c>
      <c r="L11" s="134">
        <f t="shared" si="3"/>
        <v>0</v>
      </c>
      <c r="M11" s="134">
        <f t="shared" si="4"/>
        <v>0</v>
      </c>
      <c r="N11" s="134">
        <f t="shared" si="5"/>
        <v>0</v>
      </c>
      <c r="O11" s="134">
        <f t="shared" si="6"/>
        <v>0</v>
      </c>
      <c r="P11" s="134">
        <f t="shared" si="7"/>
        <v>0</v>
      </c>
      <c r="Q11" s="134">
        <f t="shared" si="8"/>
        <v>0</v>
      </c>
    </row>
    <row r="12" spans="1:17">
      <c r="A12" s="132" t="str">
        <f>FMECA!A14</f>
        <v>UC_Diag</v>
      </c>
      <c r="B12" s="133" t="str">
        <f>FMECA!B14</f>
        <v>Input 'Anal_In1' open</v>
      </c>
      <c r="C12" s="133">
        <f>FMECA!E14</f>
        <v>2.1277782984360249E-9</v>
      </c>
      <c r="D12" s="132" t="str">
        <f>FMECA!H14</f>
        <v>Safe</v>
      </c>
      <c r="E12" s="132" t="str">
        <f>IF(ISNUMBER(SEARCH("Yes",FMECA!K14)),"Yes",IF(FMECA!K14="No","No",IF(ISNUMBER(SEARCH("No; impactless.",FMECA!K14)),"Impactless",IF(ISNUMBER(SEARCH("Outside the scope",FMECA!K14)),"Outside Scope",IF(ISNUMBER(SEARCH("Maybe",FMECA!K14)),"Maybe","Not Applicable")))))</f>
        <v>Yes</v>
      </c>
      <c r="F12" s="132" t="s">
        <v>728</v>
      </c>
      <c r="G12" s="132" t="str">
        <f>IF(ISNUMBER(SEARCH("Yes",FMECA!L14)),"Yes",IF(FMECA!L14="No","No",IF(ISNUMBER(SEARCH("No; impactless.",FMECA!L14)),"Impactless","Not Applicable")))</f>
        <v>No</v>
      </c>
      <c r="H12" s="132" t="str">
        <f>IF(ISNUMBER(SEARCH("CM0", FMECA!AC14)), "CM0", IF(ISNUMBER(SEARCH("CM1", FMECA!AC14)), "CM1", IF(ISNUMBER(SEARCH("CM2", FMECA!AC14)), "CM2", IF(ISNUMBER(SEARCH("CM3", FMECA!AC14)), "CM3", "Not Applicable"))))</f>
        <v>Not Applicable</v>
      </c>
      <c r="I12" s="134">
        <f t="shared" si="0"/>
        <v>2.1277782984360249E-9</v>
      </c>
      <c r="J12" s="134">
        <f t="shared" si="1"/>
        <v>0</v>
      </c>
      <c r="K12" s="134">
        <f t="shared" si="2"/>
        <v>0</v>
      </c>
      <c r="L12" s="134">
        <f t="shared" si="3"/>
        <v>0</v>
      </c>
      <c r="M12" s="134">
        <f t="shared" si="4"/>
        <v>0</v>
      </c>
      <c r="N12" s="134">
        <f t="shared" si="5"/>
        <v>0</v>
      </c>
      <c r="O12" s="134">
        <f t="shared" si="6"/>
        <v>0</v>
      </c>
      <c r="P12" s="134">
        <f t="shared" si="7"/>
        <v>0</v>
      </c>
      <c r="Q12" s="134">
        <f t="shared" si="8"/>
        <v>0</v>
      </c>
    </row>
    <row r="13" spans="1:17">
      <c r="A13" s="132" t="str">
        <f>FMECA!A15</f>
        <v>UC_Diag</v>
      </c>
      <c r="B13" s="133" t="str">
        <f>FMECA!B15</f>
        <v>Input 'Dig_In1' open</v>
      </c>
      <c r="C13" s="133">
        <f>FMECA!E15</f>
        <v>2.1277782984360249E-9</v>
      </c>
      <c r="D13" s="132" t="str">
        <f>FMECA!H15</f>
        <v>Safe</v>
      </c>
      <c r="E13" s="132" t="str">
        <f>IF(ISNUMBER(SEARCH("Yes",FMECA!K15)),"Yes",IF(FMECA!K15="No","No",IF(ISNUMBER(SEARCH("No; impactless.",FMECA!K15)),"Impactless",IF(ISNUMBER(SEARCH("Outside the scope",FMECA!K15)),"Outside Scope",IF(ISNUMBER(SEARCH("Maybe",FMECA!K15)),"Maybe","Not Applicable")))))</f>
        <v>No</v>
      </c>
      <c r="F13" s="132" t="s">
        <v>728</v>
      </c>
      <c r="G13" s="132" t="str">
        <f>IF(ISNUMBER(SEARCH("Yes",FMECA!L15)),"Yes",IF(FMECA!L15="No","No",IF(ISNUMBER(SEARCH("No; impactless.",FMECA!L15)),"Impactless","Not Applicable")))</f>
        <v>No</v>
      </c>
      <c r="H13" s="132" t="str">
        <f>IF(ISNUMBER(SEARCH("CM0", FMECA!AC15)), "CM0", IF(ISNUMBER(SEARCH("CM1", FMECA!AC15)), "CM1", IF(ISNUMBER(SEARCH("CM2", FMECA!AC15)), "CM2", IF(ISNUMBER(SEARCH("CM3", FMECA!AC15)), "CM3", "Not Applicable"))))</f>
        <v>CM1</v>
      </c>
      <c r="I13" s="134">
        <f t="shared" si="0"/>
        <v>0</v>
      </c>
      <c r="J13" s="134">
        <f t="shared" si="1"/>
        <v>0</v>
      </c>
      <c r="K13" s="134">
        <f t="shared" si="2"/>
        <v>0</v>
      </c>
      <c r="L13" s="134">
        <f t="shared" si="3"/>
        <v>0</v>
      </c>
      <c r="M13" s="134">
        <f t="shared" si="4"/>
        <v>0</v>
      </c>
      <c r="N13" s="134">
        <f t="shared" si="5"/>
        <v>0</v>
      </c>
      <c r="O13" s="134">
        <f t="shared" si="6"/>
        <v>2.1277782984360249E-9</v>
      </c>
      <c r="P13" s="134">
        <f t="shared" si="7"/>
        <v>0</v>
      </c>
      <c r="Q13" s="134">
        <f t="shared" si="8"/>
        <v>0</v>
      </c>
    </row>
    <row r="14" spans="1:17">
      <c r="A14" s="132" t="str">
        <f>FMECA!A16</f>
        <v>Flash_Diag</v>
      </c>
      <c r="B14" s="133" t="str">
        <f>FMECA!B16</f>
        <v>Data bit loss</v>
      </c>
      <c r="C14" s="133">
        <f>FMECA!E16</f>
        <v>6.0288947389916522E-9</v>
      </c>
      <c r="D14" s="132" t="str">
        <f>FMECA!H16</f>
        <v>Safe</v>
      </c>
      <c r="E14" s="132" t="str">
        <f>IF(ISNUMBER(SEARCH("Yes",FMECA!K16)),"Yes",IF(FMECA!K16="No","No",IF(ISNUMBER(SEARCH("No; impactless.",FMECA!K16)),"Impactless",IF(ISNUMBER(SEARCH("Outside the scope",FMECA!K16)),"Outside Scope",IF(ISNUMBER(SEARCH("Maybe",FMECA!K16)),"Maybe","Not Applicable")))))</f>
        <v>No</v>
      </c>
      <c r="F14" s="132" t="s">
        <v>728</v>
      </c>
      <c r="G14" s="132" t="str">
        <f>IF(ISNUMBER(SEARCH("Yes",FMECA!L16)),"Yes",IF(FMECA!L16="No","No",IF(ISNUMBER(SEARCH("No; impactless.",FMECA!L16)),"Impactless","Not Applicable")))</f>
        <v>No</v>
      </c>
      <c r="H14" s="132" t="str">
        <f>IF(ISNUMBER(SEARCH("CM0", FMECA!AC16)), "CM0", IF(ISNUMBER(SEARCH("CM1", FMECA!AC16)), "CM1", IF(ISNUMBER(SEARCH("CM2", FMECA!AC16)), "CM2", IF(ISNUMBER(SEARCH("CM3", FMECA!AC16)), "CM3", "Not Applicable"))))</f>
        <v>CM0</v>
      </c>
      <c r="I14" s="134">
        <f t="shared" si="0"/>
        <v>0</v>
      </c>
      <c r="J14" s="134">
        <f t="shared" si="1"/>
        <v>0</v>
      </c>
      <c r="K14" s="134">
        <f t="shared" si="2"/>
        <v>0</v>
      </c>
      <c r="L14" s="134">
        <f t="shared" si="3"/>
        <v>0</v>
      </c>
      <c r="M14" s="134">
        <f t="shared" si="4"/>
        <v>0</v>
      </c>
      <c r="N14" s="134">
        <f t="shared" si="5"/>
        <v>0</v>
      </c>
      <c r="O14" s="134">
        <f t="shared" si="6"/>
        <v>0</v>
      </c>
      <c r="P14" s="134">
        <f t="shared" si="7"/>
        <v>0</v>
      </c>
      <c r="Q14" s="134">
        <f t="shared" si="8"/>
        <v>0</v>
      </c>
    </row>
    <row r="15" spans="1:17">
      <c r="A15" s="132" t="str">
        <f>FMECA!A17</f>
        <v>Flash_Diag</v>
      </c>
      <c r="B15" s="133" t="str">
        <f>FMECA!B17</f>
        <v>Slow transfer of data</v>
      </c>
      <c r="C15" s="133">
        <f>FMECA!E17</f>
        <v>3.0144473694958261E-9</v>
      </c>
      <c r="D15" s="132" t="str">
        <f>FMECA!H17</f>
        <v>Safe</v>
      </c>
      <c r="E15" s="132" t="str">
        <f>IF(ISNUMBER(SEARCH("Yes",FMECA!K17)),"Yes",IF(FMECA!K17="No","No",IF(ISNUMBER(SEARCH("No; impactless.",FMECA!K17)),"Impactless",IF(ISNUMBER(SEARCH("Outside the scope",FMECA!K17)),"Outside Scope",IF(ISNUMBER(SEARCH("Maybe",FMECA!K17)),"Maybe","Not Applicable")))))</f>
        <v>No</v>
      </c>
      <c r="F15" s="132" t="s">
        <v>728</v>
      </c>
      <c r="G15" s="132" t="str">
        <f>IF(ISNUMBER(SEARCH("Yes",FMECA!L17)),"Yes",IF(FMECA!L17="No","No",IF(ISNUMBER(SEARCH("No; impactless.",FMECA!L17)),"Impactless","Not Applicable")))</f>
        <v>No</v>
      </c>
      <c r="H15" s="132" t="str">
        <f>IF(ISNUMBER(SEARCH("CM0", FMECA!AC17)), "CM0", IF(ISNUMBER(SEARCH("CM1", FMECA!AC17)), "CM1", IF(ISNUMBER(SEARCH("CM2", FMECA!AC17)), "CM2", IF(ISNUMBER(SEARCH("CM3", FMECA!AC17)), "CM3", "Not Applicable"))))</f>
        <v>CM0</v>
      </c>
      <c r="I15" s="134">
        <f t="shared" si="0"/>
        <v>0</v>
      </c>
      <c r="J15" s="134">
        <f t="shared" si="1"/>
        <v>0</v>
      </c>
      <c r="K15" s="134">
        <f t="shared" si="2"/>
        <v>0</v>
      </c>
      <c r="L15" s="134">
        <f t="shared" si="3"/>
        <v>0</v>
      </c>
      <c r="M15" s="134">
        <f t="shared" si="4"/>
        <v>0</v>
      </c>
      <c r="N15" s="134">
        <f t="shared" si="5"/>
        <v>0</v>
      </c>
      <c r="O15" s="134">
        <f t="shared" si="6"/>
        <v>0</v>
      </c>
      <c r="P15" s="134">
        <f t="shared" si="7"/>
        <v>0</v>
      </c>
      <c r="Q15" s="134">
        <f t="shared" si="8"/>
        <v>0</v>
      </c>
    </row>
    <row r="16" spans="1:17">
      <c r="A16" s="132" t="str">
        <f>FMECA!A18</f>
        <v>Flash_Diag</v>
      </c>
      <c r="B16" s="133" t="str">
        <f>FMECA!B18</f>
        <v>Open</v>
      </c>
      <c r="C16" s="133">
        <f>FMECA!E18</f>
        <v>4.0783699704943524E-9</v>
      </c>
      <c r="D16" s="132" t="str">
        <f>FMECA!H18</f>
        <v>Safe</v>
      </c>
      <c r="E16" s="132" t="str">
        <f>IF(ISNUMBER(SEARCH("Yes",FMECA!K18)),"Yes",IF(FMECA!K18="No","No",IF(ISNUMBER(SEARCH("No; impactless.",FMECA!K18)),"Impactless",IF(ISNUMBER(SEARCH("Outside the scope",FMECA!K18)),"Outside Scope",IF(ISNUMBER(SEARCH("Maybe",FMECA!K18)),"Maybe","Not Applicable")))))</f>
        <v>No</v>
      </c>
      <c r="F16" s="132" t="s">
        <v>728</v>
      </c>
      <c r="G16" s="132" t="str">
        <f>IF(ISNUMBER(SEARCH("Yes",FMECA!L18)),"Yes",IF(FMECA!L18="No","No",IF(ISNUMBER(SEARCH("No; impactless.",FMECA!L18)),"Impactless","Not Applicable")))</f>
        <v>No</v>
      </c>
      <c r="H16" s="132" t="str">
        <f>IF(ISNUMBER(SEARCH("CM0", FMECA!AC18)), "CM0", IF(ISNUMBER(SEARCH("CM1", FMECA!AC18)), "CM1", IF(ISNUMBER(SEARCH("CM2", FMECA!AC18)), "CM2", IF(ISNUMBER(SEARCH("CM3", FMECA!AC18)), "CM3", "Not Applicable"))))</f>
        <v>CM0</v>
      </c>
      <c r="I16" s="134">
        <f t="shared" si="0"/>
        <v>0</v>
      </c>
      <c r="J16" s="134">
        <f t="shared" si="1"/>
        <v>0</v>
      </c>
      <c r="K16" s="134">
        <f t="shared" si="2"/>
        <v>0</v>
      </c>
      <c r="L16" s="134">
        <f t="shared" si="3"/>
        <v>0</v>
      </c>
      <c r="M16" s="134">
        <f t="shared" si="4"/>
        <v>0</v>
      </c>
      <c r="N16" s="134">
        <f t="shared" si="5"/>
        <v>0</v>
      </c>
      <c r="O16" s="134">
        <f t="shared" si="6"/>
        <v>0</v>
      </c>
      <c r="P16" s="134">
        <f t="shared" si="7"/>
        <v>0</v>
      </c>
      <c r="Q16" s="134">
        <f t="shared" si="8"/>
        <v>0</v>
      </c>
    </row>
    <row r="17" spans="1:17">
      <c r="A17" s="132" t="str">
        <f>FMECA!A19</f>
        <v>Flash_Diag</v>
      </c>
      <c r="B17" s="133" t="str">
        <f>FMECA!B19</f>
        <v>Short-circuit</v>
      </c>
      <c r="C17" s="133">
        <f>FMECA!E19</f>
        <v>4.6103312709936158E-9</v>
      </c>
      <c r="D17" s="132" t="str">
        <f>FMECA!H19</f>
        <v>Safe</v>
      </c>
      <c r="E17" s="132" t="str">
        <f>IF(ISNUMBER(SEARCH("Yes",FMECA!K19)),"Yes",IF(FMECA!K19="No","No",IF(ISNUMBER(SEARCH("No; impactless.",FMECA!K19)),"Impactless",IF(ISNUMBER(SEARCH("Outside the scope",FMECA!K19)),"Outside Scope",IF(ISNUMBER(SEARCH("Maybe",FMECA!K19)),"Maybe","Not Applicable")))))</f>
        <v>No</v>
      </c>
      <c r="F17" s="132" t="s">
        <v>728</v>
      </c>
      <c r="G17" s="132" t="str">
        <f>IF(ISNUMBER(SEARCH("Yes",FMECA!L19)),"Yes",IF(FMECA!L19="No","No",IF(ISNUMBER(SEARCH("No; impactless.",FMECA!L19)),"Impactless","Not Applicable")))</f>
        <v>No</v>
      </c>
      <c r="H17" s="132" t="str">
        <f>IF(ISNUMBER(SEARCH("CM0", FMECA!AC19)), "CM0", IF(ISNUMBER(SEARCH("CM1", FMECA!AC19)), "CM1", IF(ISNUMBER(SEARCH("CM2", FMECA!AC19)), "CM2", IF(ISNUMBER(SEARCH("CM3", FMECA!AC19)), "CM3", "Not Applicable"))))</f>
        <v>CM0</v>
      </c>
      <c r="I17" s="134">
        <f t="shared" si="0"/>
        <v>0</v>
      </c>
      <c r="J17" s="134">
        <f t="shared" si="1"/>
        <v>0</v>
      </c>
      <c r="K17" s="134">
        <f t="shared" si="2"/>
        <v>0</v>
      </c>
      <c r="L17" s="134">
        <f t="shared" si="3"/>
        <v>0</v>
      </c>
      <c r="M17" s="134">
        <f t="shared" si="4"/>
        <v>0</v>
      </c>
      <c r="N17" s="134">
        <f t="shared" si="5"/>
        <v>0</v>
      </c>
      <c r="O17" s="134">
        <f t="shared" si="6"/>
        <v>0</v>
      </c>
      <c r="P17" s="134">
        <f t="shared" si="7"/>
        <v>0</v>
      </c>
      <c r="Q17" s="134">
        <f t="shared" si="8"/>
        <v>0</v>
      </c>
    </row>
    <row r="18" spans="1:17">
      <c r="A18" s="132" t="str">
        <f>FMECA!A20</f>
        <v>R1_Diag</v>
      </c>
      <c r="B18" s="133" t="str">
        <f>FMECA!B20</f>
        <v>Open</v>
      </c>
      <c r="C18" s="133">
        <f>FMECA!E20</f>
        <v>2.4551082459100113E-9</v>
      </c>
      <c r="D18" s="132" t="str">
        <f>FMECA!H20</f>
        <v>Safe</v>
      </c>
      <c r="E18" s="132" t="str">
        <f>IF(ISNUMBER(SEARCH("Yes",FMECA!K20)),"Yes",IF(FMECA!K20="No","No",IF(ISNUMBER(SEARCH("No; impactless.",FMECA!K20)),"Impactless",IF(ISNUMBER(SEARCH("Outside the scope",FMECA!K20)),"Outside Scope",IF(ISNUMBER(SEARCH("Maybe",FMECA!K20)),"Maybe","Not Applicable")))))</f>
        <v>No</v>
      </c>
      <c r="F18" s="132" t="s">
        <v>728</v>
      </c>
      <c r="G18" s="132" t="str">
        <f>IF(ISNUMBER(SEARCH("Yes",FMECA!L20)),"Yes",IF(FMECA!L20="No","No",IF(ISNUMBER(SEARCH("No; impactless.",FMECA!L20)),"Impactless","Not Applicable")))</f>
        <v>Yes</v>
      </c>
      <c r="H18" s="132" t="str">
        <f>IF(ISNUMBER(SEARCH("CM0", FMECA!AC20)), "CM0", IF(ISNUMBER(SEARCH("CM1", FMECA!AC20)), "CM1", IF(ISNUMBER(SEARCH("CM2", FMECA!AC20)), "CM2", IF(ISNUMBER(SEARCH("CM3", FMECA!AC20)), "CM3", "Not Applicable"))))</f>
        <v>Not Applicable</v>
      </c>
      <c r="I18" s="134">
        <f t="shared" si="0"/>
        <v>0</v>
      </c>
      <c r="J18" s="134">
        <f t="shared" si="1"/>
        <v>2.4551082459100113E-9</v>
      </c>
      <c r="K18" s="134">
        <f t="shared" si="2"/>
        <v>0</v>
      </c>
      <c r="L18" s="134">
        <f t="shared" si="3"/>
        <v>0</v>
      </c>
      <c r="M18" s="134">
        <f t="shared" si="4"/>
        <v>0</v>
      </c>
      <c r="N18" s="134">
        <f t="shared" si="5"/>
        <v>0</v>
      </c>
      <c r="O18" s="134">
        <f t="shared" si="6"/>
        <v>0</v>
      </c>
      <c r="P18" s="134">
        <f t="shared" si="7"/>
        <v>0</v>
      </c>
      <c r="Q18" s="134">
        <f t="shared" si="8"/>
        <v>0</v>
      </c>
    </row>
    <row r="19" spans="1:17">
      <c r="A19" s="132" t="str">
        <f>FMECA!A21</f>
        <v>R1_Diag</v>
      </c>
      <c r="B19" s="133" t="str">
        <f>FMECA!B21</f>
        <v>Short-Circuit</v>
      </c>
      <c r="C19" s="133">
        <f>FMECA!E21</f>
        <v>2.080600208398315E-10</v>
      </c>
      <c r="D19" s="132" t="str">
        <f>FMECA!H21</f>
        <v>Safe</v>
      </c>
      <c r="E19" s="132" t="str">
        <f>IF(ISNUMBER(SEARCH("Yes",FMECA!K21)),"Yes",IF(FMECA!K21="No","No",IF(ISNUMBER(SEARCH("No; impactless.",FMECA!K21)),"Impactless",IF(ISNUMBER(SEARCH("Outside the scope",FMECA!K21)),"Outside Scope",IF(ISNUMBER(SEARCH("Maybe",FMECA!K21)),"Maybe","Not Applicable")))))</f>
        <v>No</v>
      </c>
      <c r="F19" s="132" t="s">
        <v>728</v>
      </c>
      <c r="G19" s="132" t="str">
        <f>IF(ISNUMBER(SEARCH("Yes",FMECA!L21)),"Yes",IF(FMECA!L21="No","No",IF(ISNUMBER(SEARCH("No; impactless.",FMECA!L21)),"Impactless","Not Applicable")))</f>
        <v>Yes</v>
      </c>
      <c r="H19" s="132" t="str">
        <f>IF(ISNUMBER(SEARCH("CM0", FMECA!AC21)), "CM0", IF(ISNUMBER(SEARCH("CM1", FMECA!AC21)), "CM1", IF(ISNUMBER(SEARCH("CM2", FMECA!AC21)), "CM2", IF(ISNUMBER(SEARCH("CM3", FMECA!AC21)), "CM3", "Not Applicable"))))</f>
        <v>Not Applicable</v>
      </c>
      <c r="I19" s="134">
        <f t="shared" si="0"/>
        <v>0</v>
      </c>
      <c r="J19" s="134">
        <f t="shared" si="1"/>
        <v>2.080600208398315E-10</v>
      </c>
      <c r="K19" s="134">
        <f t="shared" si="2"/>
        <v>0</v>
      </c>
      <c r="L19" s="134">
        <f t="shared" si="3"/>
        <v>0</v>
      </c>
      <c r="M19" s="134">
        <f t="shared" si="4"/>
        <v>0</v>
      </c>
      <c r="N19" s="134">
        <f t="shared" si="5"/>
        <v>0</v>
      </c>
      <c r="O19" s="134">
        <f t="shared" si="6"/>
        <v>0</v>
      </c>
      <c r="P19" s="134">
        <f t="shared" si="7"/>
        <v>0</v>
      </c>
      <c r="Q19" s="134">
        <f t="shared" si="8"/>
        <v>0</v>
      </c>
    </row>
    <row r="20" spans="1:17">
      <c r="A20" s="132" t="str">
        <f>FMECA!A22</f>
        <v>R1_Diag</v>
      </c>
      <c r="B20" s="133" t="str">
        <f>FMECA!B22</f>
        <v>Increase of Resistance Value</v>
      </c>
      <c r="C20" s="133">
        <f>FMECA!E22</f>
        <v>7.4901607502339334E-10</v>
      </c>
      <c r="D20" s="132" t="str">
        <f>FMECA!H22</f>
        <v>Safe</v>
      </c>
      <c r="E20" s="132" t="str">
        <f>IF(ISNUMBER(SEARCH("Yes",FMECA!K22)),"Yes",IF(FMECA!K22="No","No",IF(ISNUMBER(SEARCH("No; impactless.",FMECA!K22)),"Impactless",IF(ISNUMBER(SEARCH("Outside the scope",FMECA!K22)),"Outside Scope",IF(ISNUMBER(SEARCH("Maybe",FMECA!K22)),"Maybe","Not Applicable")))))</f>
        <v>No</v>
      </c>
      <c r="F20" s="132" t="s">
        <v>728</v>
      </c>
      <c r="G20" s="132" t="str">
        <f>IF(ISNUMBER(SEARCH("Yes",FMECA!L22)),"Yes",IF(FMECA!L22="No","No",IF(ISNUMBER(SEARCH("No; impactless.",FMECA!L22)),"Impactless","Not Applicable")))</f>
        <v>Yes</v>
      </c>
      <c r="H20" s="132" t="str">
        <f>IF(ISNUMBER(SEARCH("CM0", FMECA!AC22)), "CM0", IF(ISNUMBER(SEARCH("CM1", FMECA!AC22)), "CM1", IF(ISNUMBER(SEARCH("CM2", FMECA!AC22)), "CM2", IF(ISNUMBER(SEARCH("CM3", FMECA!AC22)), "CM3", "Not Applicable"))))</f>
        <v>Not Applicable</v>
      </c>
      <c r="I20" s="134">
        <f t="shared" si="0"/>
        <v>0</v>
      </c>
      <c r="J20" s="134">
        <f t="shared" si="1"/>
        <v>7.4901607502339334E-10</v>
      </c>
      <c r="K20" s="134">
        <f t="shared" si="2"/>
        <v>0</v>
      </c>
      <c r="L20" s="134">
        <f t="shared" si="3"/>
        <v>0</v>
      </c>
      <c r="M20" s="134">
        <f t="shared" si="4"/>
        <v>0</v>
      </c>
      <c r="N20" s="134">
        <f t="shared" si="5"/>
        <v>0</v>
      </c>
      <c r="O20" s="134">
        <f t="shared" si="6"/>
        <v>0</v>
      </c>
      <c r="P20" s="134">
        <f t="shared" si="7"/>
        <v>0</v>
      </c>
      <c r="Q20" s="134">
        <f t="shared" si="8"/>
        <v>0</v>
      </c>
    </row>
    <row r="21" spans="1:17">
      <c r="A21" s="132" t="str">
        <f>FMECA!A23</f>
        <v>R1_Diag</v>
      </c>
      <c r="B21" s="133" t="str">
        <f>FMECA!B23</f>
        <v>Decrease of Resistance Value</v>
      </c>
      <c r="C21" s="133">
        <f>FMECA!E23</f>
        <v>7.4901607502339334E-10</v>
      </c>
      <c r="D21" s="132" t="str">
        <f>FMECA!H23</f>
        <v>Safe</v>
      </c>
      <c r="E21" s="132" t="str">
        <f>IF(ISNUMBER(SEARCH("Yes",FMECA!K23)),"Yes",IF(FMECA!K23="No","No",IF(ISNUMBER(SEARCH("No; impactless.",FMECA!K23)),"Impactless",IF(ISNUMBER(SEARCH("Outside the scope",FMECA!K23)),"Outside Scope",IF(ISNUMBER(SEARCH("Maybe",FMECA!K23)),"Maybe","Not Applicable")))))</f>
        <v>No</v>
      </c>
      <c r="F21" s="132" t="s">
        <v>728</v>
      </c>
      <c r="G21" s="132" t="str">
        <f>IF(ISNUMBER(SEARCH("Yes",FMECA!L23)),"Yes",IF(FMECA!L23="No","No",IF(ISNUMBER(SEARCH("No; impactless.",FMECA!L23)),"Impactless","Not Applicable")))</f>
        <v>Yes</v>
      </c>
      <c r="H21" s="132" t="str">
        <f>IF(ISNUMBER(SEARCH("CM0", FMECA!AC23)), "CM0", IF(ISNUMBER(SEARCH("CM1", FMECA!AC23)), "CM1", IF(ISNUMBER(SEARCH("CM2", FMECA!AC23)), "CM2", IF(ISNUMBER(SEARCH("CM3", FMECA!AC23)), "CM3", "Not Applicable"))))</f>
        <v>Not Applicable</v>
      </c>
      <c r="I21" s="134">
        <f t="shared" si="0"/>
        <v>0</v>
      </c>
      <c r="J21" s="134">
        <f t="shared" si="1"/>
        <v>7.4901607502339334E-10</v>
      </c>
      <c r="K21" s="134">
        <f t="shared" si="2"/>
        <v>0</v>
      </c>
      <c r="L21" s="134">
        <f t="shared" si="3"/>
        <v>0</v>
      </c>
      <c r="M21" s="134">
        <f t="shared" si="4"/>
        <v>0</v>
      </c>
      <c r="N21" s="134">
        <f t="shared" si="5"/>
        <v>0</v>
      </c>
      <c r="O21" s="134">
        <f t="shared" si="6"/>
        <v>0</v>
      </c>
      <c r="P21" s="134">
        <f t="shared" si="7"/>
        <v>0</v>
      </c>
      <c r="Q21" s="134">
        <f t="shared" si="8"/>
        <v>0</v>
      </c>
    </row>
    <row r="22" spans="1:17">
      <c r="A22" s="132" t="str">
        <f>FMECA!A24</f>
        <v>R1_Diag</v>
      </c>
      <c r="B22" s="133" t="str">
        <f>FMECA!B24</f>
        <v>Short-Circuit to Casing</v>
      </c>
      <c r="C22" s="133">
        <f>FMECA!E24</f>
        <v>0</v>
      </c>
      <c r="D22" s="132" t="str">
        <f>FMECA!H24</f>
        <v>Safe</v>
      </c>
      <c r="E22" s="132" t="str">
        <f>IF(ISNUMBER(SEARCH("Yes",FMECA!K24)),"Yes",IF(FMECA!K24="No","No",IF(ISNUMBER(SEARCH("No; impactless.",FMECA!K24)),"Impactless",IF(ISNUMBER(SEARCH("Outside the scope",FMECA!K24)),"Outside Scope",IF(ISNUMBER(SEARCH("Maybe",FMECA!K24)),"Maybe","Not Applicable")))))</f>
        <v>Impactless</v>
      </c>
      <c r="F22" s="132" t="s">
        <v>728</v>
      </c>
      <c r="G22" s="132" t="str">
        <f>IF(ISNUMBER(SEARCH("Yes",FMECA!L24)),"Yes",IF(FMECA!L24="No","No",IF(ISNUMBER(SEARCH("No; impactless.",FMECA!L24)),"Impactless","Not Applicable")))</f>
        <v>Impactless</v>
      </c>
      <c r="H22" s="132" t="str">
        <f>IF(ISNUMBER(SEARCH("CM0", FMECA!AC24)), "CM0", IF(ISNUMBER(SEARCH("CM1", FMECA!AC24)), "CM1", IF(ISNUMBER(SEARCH("CM2", FMECA!AC24)), "CM2", IF(ISNUMBER(SEARCH("CM3", FMECA!AC24)), "CM3", "Not Applicable"))))</f>
        <v>Not Applicable</v>
      </c>
      <c r="I22" s="134">
        <f t="shared" si="0"/>
        <v>0</v>
      </c>
      <c r="J22" s="134">
        <f t="shared" si="1"/>
        <v>0</v>
      </c>
      <c r="K22" s="134">
        <f t="shared" si="2"/>
        <v>0</v>
      </c>
      <c r="L22" s="134">
        <f t="shared" si="3"/>
        <v>0</v>
      </c>
      <c r="M22" s="134">
        <f t="shared" si="4"/>
        <v>0</v>
      </c>
      <c r="N22" s="134">
        <f t="shared" si="5"/>
        <v>0</v>
      </c>
      <c r="O22" s="134">
        <f t="shared" si="6"/>
        <v>0</v>
      </c>
      <c r="P22" s="134">
        <f t="shared" si="7"/>
        <v>0</v>
      </c>
      <c r="Q22" s="134">
        <f t="shared" si="8"/>
        <v>0</v>
      </c>
    </row>
    <row r="23" spans="1:17">
      <c r="A23" s="132" t="str">
        <f>FMECA!A25</f>
        <v>OC_Diag</v>
      </c>
      <c r="B23" s="133" t="str">
        <f>FMECA!B25</f>
        <v>Open diode</v>
      </c>
      <c r="C23" s="133">
        <f>FMECA!E25</f>
        <v>7.0465531318791983E-9</v>
      </c>
      <c r="D23" s="132" t="str">
        <f>FMECA!H25</f>
        <v>Safe</v>
      </c>
      <c r="E23" s="132" t="str">
        <f>IF(ISNUMBER(SEARCH("Yes",FMECA!K25)),"Yes",IF(FMECA!K25="No","No",IF(ISNUMBER(SEARCH("No; impactless.",FMECA!K25)),"Impactless",IF(ISNUMBER(SEARCH("Outside the scope",FMECA!K25)),"Outside Scope",IF(ISNUMBER(SEARCH("Maybe",FMECA!K25)),"Maybe","Not Applicable")))))</f>
        <v>No</v>
      </c>
      <c r="F23" s="132" t="s">
        <v>728</v>
      </c>
      <c r="G23" s="132" t="str">
        <f>IF(ISNUMBER(SEARCH("Yes",FMECA!L25)),"Yes",IF(FMECA!L25="No","No",IF(ISNUMBER(SEARCH("No; impactless.",FMECA!L25)),"Impactless","Not Applicable")))</f>
        <v>Yes</v>
      </c>
      <c r="H23" s="132" t="str">
        <f>IF(ISNUMBER(SEARCH("CM0", FMECA!AC25)), "CM0", IF(ISNUMBER(SEARCH("CM1", FMECA!AC25)), "CM1", IF(ISNUMBER(SEARCH("CM2", FMECA!AC25)), "CM2", IF(ISNUMBER(SEARCH("CM3", FMECA!AC25)), "CM3", "Not Applicable"))))</f>
        <v>Not Applicable</v>
      </c>
      <c r="I23" s="134">
        <f t="shared" si="0"/>
        <v>0</v>
      </c>
      <c r="J23" s="134">
        <f t="shared" si="1"/>
        <v>7.0465531318791983E-9</v>
      </c>
      <c r="K23" s="134">
        <f t="shared" si="2"/>
        <v>0</v>
      </c>
      <c r="L23" s="134">
        <f t="shared" si="3"/>
        <v>0</v>
      </c>
      <c r="M23" s="134">
        <f t="shared" si="4"/>
        <v>0</v>
      </c>
      <c r="N23" s="134">
        <f t="shared" si="5"/>
        <v>0</v>
      </c>
      <c r="O23" s="134">
        <f t="shared" si="6"/>
        <v>0</v>
      </c>
      <c r="P23" s="134">
        <f t="shared" si="7"/>
        <v>0</v>
      </c>
      <c r="Q23" s="134">
        <f t="shared" si="8"/>
        <v>0</v>
      </c>
    </row>
    <row r="24" spans="1:17">
      <c r="A24" s="132" t="str">
        <f>FMECA!A26</f>
        <v>OC_Diag</v>
      </c>
      <c r="B24" s="133" t="str">
        <f>FMECA!B26</f>
        <v>Open emitter</v>
      </c>
      <c r="C24" s="133">
        <f>FMECA!E26</f>
        <v>7.0465531318791983E-9</v>
      </c>
      <c r="D24" s="132" t="str">
        <f>FMECA!H26</f>
        <v>Safe</v>
      </c>
      <c r="E24" s="132" t="str">
        <f>IF(ISNUMBER(SEARCH("Yes",FMECA!K26)),"Yes",IF(FMECA!K26="No","No",IF(ISNUMBER(SEARCH("No; impactless.",FMECA!K26)),"Impactless",IF(ISNUMBER(SEARCH("Outside the scope",FMECA!K26)),"Outside Scope",IF(ISNUMBER(SEARCH("Maybe",FMECA!K26)),"Maybe","Not Applicable")))))</f>
        <v>No</v>
      </c>
      <c r="F24" s="132" t="s">
        <v>728</v>
      </c>
      <c r="G24" s="132" t="str">
        <f>IF(ISNUMBER(SEARCH("Yes",FMECA!L26)),"Yes",IF(FMECA!L26="No","No",IF(ISNUMBER(SEARCH("No; impactless.",FMECA!L26)),"Impactless","Not Applicable")))</f>
        <v>Yes</v>
      </c>
      <c r="H24" s="132" t="str">
        <f>IF(ISNUMBER(SEARCH("CM0", FMECA!AC26)), "CM0", IF(ISNUMBER(SEARCH("CM1", FMECA!AC26)), "CM1", IF(ISNUMBER(SEARCH("CM2", FMECA!AC26)), "CM2", IF(ISNUMBER(SEARCH("CM3", FMECA!AC26)), "CM3", "Not Applicable"))))</f>
        <v>Not Applicable</v>
      </c>
      <c r="I24" s="134">
        <f t="shared" si="0"/>
        <v>0</v>
      </c>
      <c r="J24" s="134">
        <f t="shared" si="1"/>
        <v>7.0465531318791983E-9</v>
      </c>
      <c r="K24" s="134">
        <f t="shared" si="2"/>
        <v>0</v>
      </c>
      <c r="L24" s="134">
        <f t="shared" si="3"/>
        <v>0</v>
      </c>
      <c r="M24" s="134">
        <f t="shared" si="4"/>
        <v>0</v>
      </c>
      <c r="N24" s="134">
        <f t="shared" si="5"/>
        <v>0</v>
      </c>
      <c r="O24" s="134">
        <f t="shared" si="6"/>
        <v>0</v>
      </c>
      <c r="P24" s="134">
        <f t="shared" si="7"/>
        <v>0</v>
      </c>
      <c r="Q24" s="134">
        <f t="shared" si="8"/>
        <v>0</v>
      </c>
    </row>
    <row r="25" spans="1:17">
      <c r="A25" s="132" t="str">
        <f>FMECA!A27</f>
        <v>OC_Diag</v>
      </c>
      <c r="B25" s="133" t="str">
        <f>FMECA!B27</f>
        <v>Open collector</v>
      </c>
      <c r="C25" s="133">
        <f>FMECA!E27</f>
        <v>7.0465531318791983E-9</v>
      </c>
      <c r="D25" s="132" t="str">
        <f>FMECA!H27</f>
        <v>Safe</v>
      </c>
      <c r="E25" s="132" t="str">
        <f>IF(ISNUMBER(SEARCH("Yes",FMECA!K27)),"Yes",IF(FMECA!K27="No","No",IF(ISNUMBER(SEARCH("No; impactless.",FMECA!K27)),"Impactless",IF(ISNUMBER(SEARCH("Outside the scope",FMECA!K27)),"Outside Scope",IF(ISNUMBER(SEARCH("Maybe",FMECA!K27)),"Maybe","Not Applicable")))))</f>
        <v>No</v>
      </c>
      <c r="F25" s="132" t="s">
        <v>728</v>
      </c>
      <c r="G25" s="132" t="str">
        <f>IF(ISNUMBER(SEARCH("Yes",FMECA!L27)),"Yes",IF(FMECA!L27="No","No",IF(ISNUMBER(SEARCH("No; impactless.",FMECA!L27)),"Impactless","Not Applicable")))</f>
        <v>Yes</v>
      </c>
      <c r="H25" s="132" t="str">
        <f>IF(ISNUMBER(SEARCH("CM0", FMECA!AC27)), "CM0", IF(ISNUMBER(SEARCH("CM1", FMECA!AC27)), "CM1", IF(ISNUMBER(SEARCH("CM2", FMECA!AC27)), "CM2", IF(ISNUMBER(SEARCH("CM3", FMECA!AC27)), "CM3", "Not Applicable"))))</f>
        <v>Not Applicable</v>
      </c>
      <c r="I25" s="134">
        <f t="shared" si="0"/>
        <v>0</v>
      </c>
      <c r="J25" s="134">
        <f t="shared" si="1"/>
        <v>7.0465531318791983E-9</v>
      </c>
      <c r="K25" s="134">
        <f t="shared" si="2"/>
        <v>0</v>
      </c>
      <c r="L25" s="134">
        <f t="shared" si="3"/>
        <v>0</v>
      </c>
      <c r="M25" s="134">
        <f t="shared" si="4"/>
        <v>0</v>
      </c>
      <c r="N25" s="134">
        <f t="shared" si="5"/>
        <v>0</v>
      </c>
      <c r="O25" s="134">
        <f t="shared" si="6"/>
        <v>0</v>
      </c>
      <c r="P25" s="134">
        <f t="shared" si="7"/>
        <v>0</v>
      </c>
      <c r="Q25" s="134">
        <f t="shared" si="8"/>
        <v>0</v>
      </c>
    </row>
    <row r="26" spans="1:17">
      <c r="A26" s="132" t="str">
        <f>FMECA!A28</f>
        <v>OC_Diag</v>
      </c>
      <c r="B26" s="133" t="str">
        <f>FMECA!B28</f>
        <v>Open base</v>
      </c>
      <c r="C26" s="133">
        <f>FMECA!E28</f>
        <v>7.0465531318791983E-9</v>
      </c>
      <c r="D26" s="132" t="str">
        <f>FMECA!H28</f>
        <v>Safe</v>
      </c>
      <c r="E26" s="132" t="str">
        <f>IF(ISNUMBER(SEARCH("Yes",FMECA!K28)),"Yes",IF(FMECA!K28="No","No",IF(ISNUMBER(SEARCH("No; impactless.",FMECA!K28)),"Impactless",IF(ISNUMBER(SEARCH("Outside the scope",FMECA!K28)),"Outside Scope",IF(ISNUMBER(SEARCH("Maybe",FMECA!K28)),"Maybe","Not Applicable")))))</f>
        <v>Impactless</v>
      </c>
      <c r="F26" s="132" t="s">
        <v>728</v>
      </c>
      <c r="G26" s="132" t="str">
        <f>IF(ISNUMBER(SEARCH("Yes",FMECA!L28)),"Yes",IF(FMECA!L28="No","No",IF(ISNUMBER(SEARCH("No; impactless.",FMECA!L28)),"Impactless","Not Applicable")))</f>
        <v>Impactless</v>
      </c>
      <c r="H26" s="132" t="str">
        <f>IF(ISNUMBER(SEARCH("CM0", FMECA!AC28)), "CM0", IF(ISNUMBER(SEARCH("CM1", FMECA!AC28)), "CM1", IF(ISNUMBER(SEARCH("CM2", FMECA!AC28)), "CM2", IF(ISNUMBER(SEARCH("CM3", FMECA!AC28)), "CM3", "Not Applicable"))))</f>
        <v>Not Applicable</v>
      </c>
      <c r="I26" s="134">
        <f t="shared" si="0"/>
        <v>0</v>
      </c>
      <c r="J26" s="134">
        <f t="shared" si="1"/>
        <v>0</v>
      </c>
      <c r="K26" s="134">
        <f t="shared" si="2"/>
        <v>0</v>
      </c>
      <c r="L26" s="134">
        <f t="shared" si="3"/>
        <v>0</v>
      </c>
      <c r="M26" s="134">
        <f t="shared" si="4"/>
        <v>0</v>
      </c>
      <c r="N26" s="134">
        <f t="shared" si="5"/>
        <v>0</v>
      </c>
      <c r="O26" s="134">
        <f t="shared" si="6"/>
        <v>0</v>
      </c>
      <c r="P26" s="134">
        <f t="shared" si="7"/>
        <v>0</v>
      </c>
      <c r="Q26" s="134">
        <f t="shared" si="8"/>
        <v>0</v>
      </c>
    </row>
    <row r="27" spans="1:17">
      <c r="A27" s="132" t="str">
        <f>FMECA!A29</f>
        <v>OC_Diag</v>
      </c>
      <c r="B27" s="133" t="str">
        <f>FMECA!B29</f>
        <v>Increase of light sensitivity</v>
      </c>
      <c r="C27" s="133">
        <f>FMECA!E29</f>
        <v>7.0465531318791983E-9</v>
      </c>
      <c r="D27" s="132" t="str">
        <f>FMECA!H29</f>
        <v>Safe</v>
      </c>
      <c r="E27" s="132" t="str">
        <f>IF(ISNUMBER(SEARCH("Yes",FMECA!K29)),"Yes",IF(FMECA!K29="No","No",IF(ISNUMBER(SEARCH("No; impactless.",FMECA!K29)),"Impactless",IF(ISNUMBER(SEARCH("Outside the scope",FMECA!K29)),"Outside Scope",IF(ISNUMBER(SEARCH("Maybe",FMECA!K29)),"Maybe","Not Applicable")))))</f>
        <v>Impactless</v>
      </c>
      <c r="F27" s="132" t="s">
        <v>728</v>
      </c>
      <c r="G27" s="132" t="str">
        <f>IF(ISNUMBER(SEARCH("Yes",FMECA!L29)),"Yes",IF(FMECA!L29="No","No",IF(ISNUMBER(SEARCH("No; impactless.",FMECA!L29)),"Impactless","Not Applicable")))</f>
        <v>Impactless</v>
      </c>
      <c r="H27" s="132" t="str">
        <f>IF(ISNUMBER(SEARCH("CM0", FMECA!AC29)), "CM0", IF(ISNUMBER(SEARCH("CM1", FMECA!AC29)), "CM1", IF(ISNUMBER(SEARCH("CM2", FMECA!AC29)), "CM2", IF(ISNUMBER(SEARCH("CM3", FMECA!AC29)), "CM3", "Not Applicable"))))</f>
        <v>Not Applicable</v>
      </c>
      <c r="I27" s="134">
        <f t="shared" si="0"/>
        <v>0</v>
      </c>
      <c r="J27" s="134">
        <f t="shared" si="1"/>
        <v>0</v>
      </c>
      <c r="K27" s="134">
        <f t="shared" si="2"/>
        <v>0</v>
      </c>
      <c r="L27" s="134">
        <f t="shared" si="3"/>
        <v>0</v>
      </c>
      <c r="M27" s="134">
        <f t="shared" si="4"/>
        <v>0</v>
      </c>
      <c r="N27" s="134">
        <f t="shared" si="5"/>
        <v>0</v>
      </c>
      <c r="O27" s="134">
        <f t="shared" si="6"/>
        <v>0</v>
      </c>
      <c r="P27" s="134">
        <f t="shared" si="7"/>
        <v>0</v>
      </c>
      <c r="Q27" s="134">
        <f t="shared" si="8"/>
        <v>0</v>
      </c>
    </row>
    <row r="28" spans="1:17">
      <c r="A28" s="132" t="str">
        <f>FMECA!A30</f>
        <v>OC_Diag</v>
      </c>
      <c r="B28" s="133" t="str">
        <f>FMECA!B30</f>
        <v>Decrease of light sensitivity</v>
      </c>
      <c r="C28" s="133">
        <f>FMECA!E30</f>
        <v>7.0465531318791983E-9</v>
      </c>
      <c r="D28" s="132" t="str">
        <f>FMECA!H30</f>
        <v>Safe</v>
      </c>
      <c r="E28" s="132" t="str">
        <f>IF(ISNUMBER(SEARCH("Yes",FMECA!K30)),"Yes",IF(FMECA!K30="No","No",IF(ISNUMBER(SEARCH("No; impactless.",FMECA!K30)),"Impactless",IF(ISNUMBER(SEARCH("Outside the scope",FMECA!K30)),"Outside Scope",IF(ISNUMBER(SEARCH("Maybe",FMECA!K30)),"Maybe","Not Applicable")))))</f>
        <v>No</v>
      </c>
      <c r="F28" s="132" t="s">
        <v>728</v>
      </c>
      <c r="G28" s="132" t="str">
        <f>IF(ISNUMBER(SEARCH("Yes",FMECA!L30)),"Yes",IF(FMECA!L30="No","No",IF(ISNUMBER(SEARCH("No; impactless.",FMECA!L30)),"Impactless","Not Applicable")))</f>
        <v>Yes</v>
      </c>
      <c r="H28" s="132" t="str">
        <f>IF(ISNUMBER(SEARCH("CM0", FMECA!AC30)), "CM0", IF(ISNUMBER(SEARCH("CM1", FMECA!AC30)), "CM1", IF(ISNUMBER(SEARCH("CM2", FMECA!AC30)), "CM2", IF(ISNUMBER(SEARCH("CM3", FMECA!AC30)), "CM3", "Not Applicable"))))</f>
        <v>Not Applicable</v>
      </c>
      <c r="I28" s="134">
        <f t="shared" si="0"/>
        <v>0</v>
      </c>
      <c r="J28" s="134">
        <f t="shared" si="1"/>
        <v>7.0465531318791983E-9</v>
      </c>
      <c r="K28" s="134">
        <f t="shared" si="2"/>
        <v>0</v>
      </c>
      <c r="L28" s="134">
        <f t="shared" si="3"/>
        <v>0</v>
      </c>
      <c r="M28" s="134">
        <f t="shared" si="4"/>
        <v>0</v>
      </c>
      <c r="N28" s="134">
        <f t="shared" si="5"/>
        <v>0</v>
      </c>
      <c r="O28" s="134">
        <f t="shared" si="6"/>
        <v>0</v>
      </c>
      <c r="P28" s="134">
        <f t="shared" si="7"/>
        <v>0</v>
      </c>
      <c r="Q28" s="134">
        <f t="shared" si="8"/>
        <v>0</v>
      </c>
    </row>
    <row r="29" spans="1:17">
      <c r="A29" s="132" t="str">
        <f>FMECA!A31</f>
        <v>OC_Diag</v>
      </c>
      <c r="B29" s="133" t="str">
        <f>FMECA!B31</f>
        <v>Increase of leakage current</v>
      </c>
      <c r="C29" s="133">
        <f>FMECA!E31</f>
        <v>1.0569830120612003E-8</v>
      </c>
      <c r="D29" s="132" t="str">
        <f>FMECA!H31</f>
        <v>Safe</v>
      </c>
      <c r="E29" s="132" t="str">
        <f>IF(ISNUMBER(SEARCH("Yes",FMECA!K31)),"Yes",IF(FMECA!K31="No","No",IF(ISNUMBER(SEARCH("No; impactless.",FMECA!K31)),"Impactless",IF(ISNUMBER(SEARCH("Outside the scope",FMECA!K31)),"Outside Scope",IF(ISNUMBER(SEARCH("Maybe",FMECA!K31)),"Maybe","Not Applicable")))))</f>
        <v>No</v>
      </c>
      <c r="F29" s="132" t="s">
        <v>728</v>
      </c>
      <c r="G29" s="132" t="str">
        <f>IF(ISNUMBER(SEARCH("Yes",FMECA!L31)),"Yes",IF(FMECA!L31="No","No",IF(ISNUMBER(SEARCH("No; impactless.",FMECA!L31)),"Impactless","Not Applicable")))</f>
        <v>Yes</v>
      </c>
      <c r="H29" s="132" t="str">
        <f>IF(ISNUMBER(SEARCH("CM0", FMECA!AC31)), "CM0", IF(ISNUMBER(SEARCH("CM1", FMECA!AC31)), "CM1", IF(ISNUMBER(SEARCH("CM2", FMECA!AC31)), "CM2", IF(ISNUMBER(SEARCH("CM3", FMECA!AC31)), "CM3", "Not Applicable"))))</f>
        <v>Not Applicable</v>
      </c>
      <c r="I29" s="134">
        <f t="shared" si="0"/>
        <v>0</v>
      </c>
      <c r="J29" s="134">
        <f t="shared" si="1"/>
        <v>1.0569830120612003E-8</v>
      </c>
      <c r="K29" s="134">
        <f t="shared" si="2"/>
        <v>0</v>
      </c>
      <c r="L29" s="134">
        <f t="shared" si="3"/>
        <v>0</v>
      </c>
      <c r="M29" s="134">
        <f t="shared" si="4"/>
        <v>0</v>
      </c>
      <c r="N29" s="134">
        <f t="shared" si="5"/>
        <v>0</v>
      </c>
      <c r="O29" s="134">
        <f t="shared" si="6"/>
        <v>0</v>
      </c>
      <c r="P29" s="134">
        <f t="shared" si="7"/>
        <v>0</v>
      </c>
      <c r="Q29" s="134">
        <f t="shared" si="8"/>
        <v>0</v>
      </c>
    </row>
    <row r="30" spans="1:17">
      <c r="A30" s="132" t="str">
        <f>FMECA!A32</f>
        <v>OC_Diag</v>
      </c>
      <c r="B30" s="133" t="str">
        <f>FMECA!B32</f>
        <v>Reduced insulation between input and output</v>
      </c>
      <c r="C30" s="133">
        <f>FMECA!E32</f>
        <v>1.0569830120612003E-8</v>
      </c>
      <c r="D30" s="132" t="str">
        <f>FMECA!H32</f>
        <v>Safe</v>
      </c>
      <c r="E30" s="132" t="str">
        <f>IF(ISNUMBER(SEARCH("Yes",FMECA!K32)),"Yes",IF(FMECA!K32="No","No",IF(ISNUMBER(SEARCH("No; impactless.",FMECA!K32)),"Impactless",IF(ISNUMBER(SEARCH("Outside the scope",FMECA!K32)),"Outside Scope",IF(ISNUMBER(SEARCH("Maybe",FMECA!K32)),"Maybe","Not Applicable")))))</f>
        <v>No</v>
      </c>
      <c r="F30" s="132" t="s">
        <v>728</v>
      </c>
      <c r="G30" s="132" t="str">
        <f>IF(ISNUMBER(SEARCH("Yes",FMECA!L32)),"Yes",IF(FMECA!L32="No","No",IF(ISNUMBER(SEARCH("No; impactless.",FMECA!L32)),"Impactless","Not Applicable")))</f>
        <v>No</v>
      </c>
      <c r="H30" s="132" t="str">
        <f>IF(ISNUMBER(SEARCH("CM0", FMECA!AC32)), "CM0", IF(ISNUMBER(SEARCH("CM1", FMECA!AC32)), "CM1", IF(ISNUMBER(SEARCH("CM2", FMECA!AC32)), "CM2", IF(ISNUMBER(SEARCH("CM3", FMECA!AC32)), "CM3", "Not Applicable"))))</f>
        <v>CM1</v>
      </c>
      <c r="I30" s="134">
        <f t="shared" si="0"/>
        <v>0</v>
      </c>
      <c r="J30" s="134">
        <f t="shared" si="1"/>
        <v>0</v>
      </c>
      <c r="K30" s="134">
        <f t="shared" si="2"/>
        <v>0</v>
      </c>
      <c r="L30" s="134">
        <f t="shared" si="3"/>
        <v>0</v>
      </c>
      <c r="M30" s="134">
        <f t="shared" si="4"/>
        <v>0</v>
      </c>
      <c r="N30" s="134">
        <f t="shared" si="5"/>
        <v>0</v>
      </c>
      <c r="O30" s="134">
        <f t="shared" si="6"/>
        <v>1.0569830120612003E-8</v>
      </c>
      <c r="P30" s="134">
        <f t="shared" si="7"/>
        <v>0</v>
      </c>
      <c r="Q30" s="134">
        <f t="shared" si="8"/>
        <v>0</v>
      </c>
    </row>
    <row r="31" spans="1:17">
      <c r="A31" s="132" t="str">
        <f>FMECA!A33</f>
        <v>OC_Diag</v>
      </c>
      <c r="B31" s="133" t="str">
        <f>FMECA!B33</f>
        <v>Change on switching time</v>
      </c>
      <c r="C31" s="133">
        <f>FMECA!E33</f>
        <v>7.0465531318791983E-9</v>
      </c>
      <c r="D31" s="132" t="str">
        <f>FMECA!H33</f>
        <v>Safe</v>
      </c>
      <c r="E31" s="132" t="str">
        <f>IF(ISNUMBER(SEARCH("Yes",FMECA!K33)),"Yes",IF(FMECA!K33="No","No",IF(ISNUMBER(SEARCH("No; impactless.",FMECA!K33)),"Impactless",IF(ISNUMBER(SEARCH("Outside the scope",FMECA!K33)),"Outside Scope",IF(ISNUMBER(SEARCH("Maybe",FMECA!K33)),"Maybe","Not Applicable")))))</f>
        <v>No</v>
      </c>
      <c r="F31" s="132" t="s">
        <v>728</v>
      </c>
      <c r="G31" s="132" t="str">
        <f>IF(ISNUMBER(SEARCH("Yes",FMECA!L33)),"Yes",IF(FMECA!L33="No","No",IF(ISNUMBER(SEARCH("No; impactless.",FMECA!L33)),"Impactless","Not Applicable")))</f>
        <v>No</v>
      </c>
      <c r="H31" s="132" t="str">
        <f>IF(ISNUMBER(SEARCH("CM0", FMECA!AC33)), "CM0", IF(ISNUMBER(SEARCH("CM1", FMECA!AC33)), "CM1", IF(ISNUMBER(SEARCH("CM2", FMECA!AC33)), "CM2", IF(ISNUMBER(SEARCH("CM3", FMECA!AC33)), "CM3", "Not Applicable"))))</f>
        <v>CM1</v>
      </c>
      <c r="I31" s="134">
        <f t="shared" si="0"/>
        <v>0</v>
      </c>
      <c r="J31" s="134">
        <f t="shared" si="1"/>
        <v>0</v>
      </c>
      <c r="K31" s="134">
        <f t="shared" si="2"/>
        <v>0</v>
      </c>
      <c r="L31" s="134">
        <f t="shared" si="3"/>
        <v>0</v>
      </c>
      <c r="M31" s="134">
        <f t="shared" si="4"/>
        <v>0</v>
      </c>
      <c r="N31" s="134">
        <f t="shared" si="5"/>
        <v>0</v>
      </c>
      <c r="O31" s="134">
        <f t="shared" si="6"/>
        <v>7.0465531318791983E-9</v>
      </c>
      <c r="P31" s="134">
        <f t="shared" si="7"/>
        <v>0</v>
      </c>
      <c r="Q31" s="134">
        <f t="shared" si="8"/>
        <v>0</v>
      </c>
    </row>
    <row r="32" spans="1:17">
      <c r="A32" s="132" t="str">
        <f>FMECA!A34</f>
        <v>OC_Diag</v>
      </c>
      <c r="B32" s="133" t="str">
        <f>FMECA!B34</f>
        <v>Increase of current gain</v>
      </c>
      <c r="C32" s="133">
        <f>FMECA!E34</f>
        <v>7.0465531318791983E-9</v>
      </c>
      <c r="D32" s="132" t="str">
        <f>FMECA!H34</f>
        <v>Safe</v>
      </c>
      <c r="E32" s="132" t="str">
        <f>IF(ISNUMBER(SEARCH("Yes",FMECA!K34)),"Yes",IF(FMECA!K34="No","No",IF(ISNUMBER(SEARCH("No; impactless.",FMECA!K34)),"Impactless",IF(ISNUMBER(SEARCH("Outside the scope",FMECA!K34)),"Outside Scope",IF(ISNUMBER(SEARCH("Maybe",FMECA!K34)),"Maybe","Not Applicable")))))</f>
        <v>Impactless</v>
      </c>
      <c r="F32" s="132" t="s">
        <v>728</v>
      </c>
      <c r="G32" s="132" t="str">
        <f>IF(ISNUMBER(SEARCH("Yes",FMECA!L34)),"Yes",IF(FMECA!L34="No","No",IF(ISNUMBER(SEARCH("No; impactless.",FMECA!L34)),"Impactless","Not Applicable")))</f>
        <v>Impactless</v>
      </c>
      <c r="H32" s="132" t="str">
        <f>IF(ISNUMBER(SEARCH("CM0", FMECA!AC34)), "CM0", IF(ISNUMBER(SEARCH("CM1", FMECA!AC34)), "CM1", IF(ISNUMBER(SEARCH("CM2", FMECA!AC34)), "CM2", IF(ISNUMBER(SEARCH("CM3", FMECA!AC34)), "CM3", "Not Applicable"))))</f>
        <v>Not Applicable</v>
      </c>
      <c r="I32" s="134">
        <f t="shared" si="0"/>
        <v>0</v>
      </c>
      <c r="J32" s="134">
        <f t="shared" si="1"/>
        <v>0</v>
      </c>
      <c r="K32" s="134">
        <f t="shared" si="2"/>
        <v>0</v>
      </c>
      <c r="L32" s="134">
        <f t="shared" si="3"/>
        <v>0</v>
      </c>
      <c r="M32" s="134">
        <f t="shared" si="4"/>
        <v>0</v>
      </c>
      <c r="N32" s="134">
        <f t="shared" si="5"/>
        <v>0</v>
      </c>
      <c r="O32" s="134">
        <f t="shared" si="6"/>
        <v>0</v>
      </c>
      <c r="P32" s="134">
        <f t="shared" si="7"/>
        <v>0</v>
      </c>
      <c r="Q32" s="134">
        <f t="shared" si="8"/>
        <v>0</v>
      </c>
    </row>
    <row r="33" spans="1:17">
      <c r="A33" s="132" t="str">
        <f>FMECA!A35</f>
        <v>OC_Diag</v>
      </c>
      <c r="B33" s="133" t="str">
        <f>FMECA!B35</f>
        <v>Decrease of current gain</v>
      </c>
      <c r="C33" s="133">
        <f>FMECA!E35</f>
        <v>7.0465531318791983E-9</v>
      </c>
      <c r="D33" s="132" t="str">
        <f>FMECA!H35</f>
        <v>Safe</v>
      </c>
      <c r="E33" s="132" t="str">
        <f>IF(ISNUMBER(SEARCH("Yes",FMECA!K35)),"Yes",IF(FMECA!K35="No","No",IF(ISNUMBER(SEARCH("No; impactless.",FMECA!K35)),"Impactless",IF(ISNUMBER(SEARCH("Outside the scope",FMECA!K35)),"Outside Scope",IF(ISNUMBER(SEARCH("Maybe",FMECA!K35)),"Maybe","Not Applicable")))))</f>
        <v>No</v>
      </c>
      <c r="F33" s="132" t="s">
        <v>728</v>
      </c>
      <c r="G33" s="132" t="str">
        <f>IF(ISNUMBER(SEARCH("Yes",FMECA!L35)),"Yes",IF(FMECA!L35="No","No",IF(ISNUMBER(SEARCH("No; impactless.",FMECA!L35)),"Impactless","Not Applicable")))</f>
        <v>Yes</v>
      </c>
      <c r="H33" s="132" t="str">
        <f>IF(ISNUMBER(SEARCH("CM0", FMECA!AC35)), "CM0", IF(ISNUMBER(SEARCH("CM1", FMECA!AC35)), "CM1", IF(ISNUMBER(SEARCH("CM2", FMECA!AC35)), "CM2", IF(ISNUMBER(SEARCH("CM3", FMECA!AC35)), "CM3", "Not Applicable"))))</f>
        <v>Not Applicable</v>
      </c>
      <c r="I33" s="134">
        <f t="shared" si="0"/>
        <v>0</v>
      </c>
      <c r="J33" s="134">
        <f t="shared" si="1"/>
        <v>7.0465531318791983E-9</v>
      </c>
      <c r="K33" s="134">
        <f t="shared" si="2"/>
        <v>0</v>
      </c>
      <c r="L33" s="134">
        <f t="shared" si="3"/>
        <v>0</v>
      </c>
      <c r="M33" s="134">
        <f t="shared" si="4"/>
        <v>0</v>
      </c>
      <c r="N33" s="134">
        <f t="shared" si="5"/>
        <v>0</v>
      </c>
      <c r="O33" s="134">
        <f t="shared" si="6"/>
        <v>0</v>
      </c>
      <c r="P33" s="134">
        <f t="shared" si="7"/>
        <v>0</v>
      </c>
      <c r="Q33" s="134">
        <f t="shared" si="8"/>
        <v>0</v>
      </c>
    </row>
    <row r="34" spans="1:17">
      <c r="A34" s="132" t="str">
        <f>FMECA!A36</f>
        <v>R2_Diag</v>
      </c>
      <c r="B34" s="133" t="str">
        <f>FMECA!B36</f>
        <v>Open</v>
      </c>
      <c r="C34" s="133">
        <f>FMECA!E36</f>
        <v>2.4551082459100113E-9</v>
      </c>
      <c r="D34" s="132" t="str">
        <f>FMECA!H36</f>
        <v>Safe</v>
      </c>
      <c r="E34" s="132" t="str">
        <f>IF(ISNUMBER(SEARCH("Yes",FMECA!K36)),"Yes",IF(FMECA!K36="No","No",IF(ISNUMBER(SEARCH("No; impactless.",FMECA!K36)),"Impactless",IF(ISNUMBER(SEARCH("Outside the scope",FMECA!K36)),"Outside Scope",IF(ISNUMBER(SEARCH("Maybe",FMECA!K36)),"Maybe","Not Applicable")))))</f>
        <v>No</v>
      </c>
      <c r="F34" s="132" t="s">
        <v>728</v>
      </c>
      <c r="G34" s="132" t="str">
        <f>IF(ISNUMBER(SEARCH("Yes",FMECA!L36)),"Yes",IF(FMECA!L36="No","No",IF(ISNUMBER(SEARCH("No; impactless.",FMECA!L36)),"Impactless","Not Applicable")))</f>
        <v>No</v>
      </c>
      <c r="H34" s="132" t="str">
        <f>IF(ISNUMBER(SEARCH("CM0", FMECA!AC36)), "CM0", IF(ISNUMBER(SEARCH("CM1", FMECA!AC36)), "CM1", IF(ISNUMBER(SEARCH("CM2", FMECA!AC36)), "CM2", IF(ISNUMBER(SEARCH("CM3", FMECA!AC36)), "CM3", "Not Applicable"))))</f>
        <v>CM1</v>
      </c>
      <c r="I34" s="134">
        <f t="shared" si="0"/>
        <v>0</v>
      </c>
      <c r="J34" s="134">
        <f t="shared" si="1"/>
        <v>0</v>
      </c>
      <c r="K34" s="134">
        <f t="shared" si="2"/>
        <v>0</v>
      </c>
      <c r="L34" s="134">
        <f t="shared" si="3"/>
        <v>0</v>
      </c>
      <c r="M34" s="134">
        <f t="shared" si="4"/>
        <v>0</v>
      </c>
      <c r="N34" s="134">
        <f t="shared" si="5"/>
        <v>0</v>
      </c>
      <c r="O34" s="134">
        <f t="shared" si="6"/>
        <v>2.4551082459100113E-9</v>
      </c>
      <c r="P34" s="134">
        <f t="shared" si="7"/>
        <v>0</v>
      </c>
      <c r="Q34" s="134">
        <f t="shared" si="8"/>
        <v>0</v>
      </c>
    </row>
    <row r="35" spans="1:17">
      <c r="A35" s="132" t="str">
        <f>FMECA!A37</f>
        <v>R2_Diag</v>
      </c>
      <c r="B35" s="133" t="str">
        <f>FMECA!B37</f>
        <v>Short-Circuit</v>
      </c>
      <c r="C35" s="133">
        <f>FMECA!E37</f>
        <v>2.080600208398315E-10</v>
      </c>
      <c r="D35" s="132" t="str">
        <f>FMECA!H37</f>
        <v>Safe</v>
      </c>
      <c r="E35" s="132" t="str">
        <f>IF(ISNUMBER(SEARCH("Yes",FMECA!K37)),"Yes",IF(FMECA!K37="No","No",IF(ISNUMBER(SEARCH("No; impactless.",FMECA!K37)),"Impactless",IF(ISNUMBER(SEARCH("Outside the scope",FMECA!K37)),"Outside Scope",IF(ISNUMBER(SEARCH("Maybe",FMECA!K37)),"Maybe","Not Applicable")))))</f>
        <v>Outside Scope</v>
      </c>
      <c r="F35" s="132" t="s">
        <v>728</v>
      </c>
      <c r="G35" s="132" t="str">
        <f>IF(ISNUMBER(SEARCH("Yes",FMECA!L37)),"Yes",IF(FMECA!L37="No","No",IF(ISNUMBER(SEARCH("No; impactless.",FMECA!L37)),"Impactless","Not Applicable")))</f>
        <v>Yes</v>
      </c>
      <c r="H35" s="132" t="str">
        <f>IF(ISNUMBER(SEARCH("CM0", FMECA!AC37)), "CM0", IF(ISNUMBER(SEARCH("CM1", FMECA!AC37)), "CM1", IF(ISNUMBER(SEARCH("CM2", FMECA!AC37)), "CM2", IF(ISNUMBER(SEARCH("CM3", FMECA!AC37)), "CM3", "Not Applicable"))))</f>
        <v>Not Applicable</v>
      </c>
      <c r="I35" s="134">
        <f t="shared" si="0"/>
        <v>0</v>
      </c>
      <c r="J35" s="134">
        <f t="shared" si="1"/>
        <v>0</v>
      </c>
      <c r="K35" s="134">
        <f t="shared" si="2"/>
        <v>0</v>
      </c>
      <c r="L35" s="134">
        <f t="shared" si="3"/>
        <v>2.080600208398315E-10</v>
      </c>
      <c r="M35" s="134">
        <f t="shared" si="4"/>
        <v>0</v>
      </c>
      <c r="N35" s="134">
        <f t="shared" si="5"/>
        <v>0</v>
      </c>
      <c r="O35" s="134">
        <f t="shared" si="6"/>
        <v>0</v>
      </c>
      <c r="P35" s="134">
        <f t="shared" si="7"/>
        <v>0</v>
      </c>
      <c r="Q35" s="134">
        <f t="shared" si="8"/>
        <v>0</v>
      </c>
    </row>
    <row r="36" spans="1:17">
      <c r="A36" s="132" t="str">
        <f>FMECA!A38</f>
        <v>R2_Diag</v>
      </c>
      <c r="B36" s="133" t="str">
        <f>FMECA!B38</f>
        <v>Increase of Resistance Value</v>
      </c>
      <c r="C36" s="133">
        <f>FMECA!E38</f>
        <v>7.4901607502339334E-10</v>
      </c>
      <c r="D36" s="132" t="str">
        <f>FMECA!H38</f>
        <v>Safe</v>
      </c>
      <c r="E36" s="132" t="str">
        <f>IF(ISNUMBER(SEARCH("Yes",FMECA!K38)),"Yes",IF(FMECA!K38="No","No",IF(ISNUMBER(SEARCH("No; impactless.",FMECA!K38)),"Impactless",IF(ISNUMBER(SEARCH("Outside the scope",FMECA!K38)),"Outside Scope",IF(ISNUMBER(SEARCH("Maybe",FMECA!K38)),"Maybe","Not Applicable")))))</f>
        <v>No</v>
      </c>
      <c r="F36" s="132" t="s">
        <v>728</v>
      </c>
      <c r="G36" s="132" t="str">
        <f>IF(ISNUMBER(SEARCH("Yes",FMECA!L38)),"Yes",IF(FMECA!L38="No","No",IF(ISNUMBER(SEARCH("No; impactless.",FMECA!L38)),"Impactless","Not Applicable")))</f>
        <v>No</v>
      </c>
      <c r="H36" s="132" t="str">
        <f>IF(ISNUMBER(SEARCH("CM0", FMECA!AC38)), "CM0", IF(ISNUMBER(SEARCH("CM1", FMECA!AC38)), "CM1", IF(ISNUMBER(SEARCH("CM2", FMECA!AC38)), "CM2", IF(ISNUMBER(SEARCH("CM3", FMECA!AC38)), "CM3", "Not Applicable"))))</f>
        <v>CM1</v>
      </c>
      <c r="I36" s="134">
        <f t="shared" si="0"/>
        <v>0</v>
      </c>
      <c r="J36" s="134">
        <f t="shared" si="1"/>
        <v>0</v>
      </c>
      <c r="K36" s="134">
        <f t="shared" si="2"/>
        <v>0</v>
      </c>
      <c r="L36" s="134">
        <f t="shared" si="3"/>
        <v>0</v>
      </c>
      <c r="M36" s="134">
        <f t="shared" si="4"/>
        <v>0</v>
      </c>
      <c r="N36" s="134">
        <f t="shared" si="5"/>
        <v>0</v>
      </c>
      <c r="O36" s="134">
        <f t="shared" si="6"/>
        <v>7.4901607502339334E-10</v>
      </c>
      <c r="P36" s="134">
        <f t="shared" si="7"/>
        <v>0</v>
      </c>
      <c r="Q36" s="134">
        <f t="shared" si="8"/>
        <v>0</v>
      </c>
    </row>
    <row r="37" spans="1:17">
      <c r="A37" s="132" t="str">
        <f>FMECA!A39</f>
        <v>R2_Diag</v>
      </c>
      <c r="B37" s="133" t="str">
        <f>FMECA!B39</f>
        <v>Decrease of Resistance Value</v>
      </c>
      <c r="C37" s="133">
        <f>FMECA!E39</f>
        <v>7.4901607502339334E-10</v>
      </c>
      <c r="D37" s="132" t="str">
        <f>FMECA!H39</f>
        <v>Safe</v>
      </c>
      <c r="E37" s="132" t="str">
        <f>IF(ISNUMBER(SEARCH("Yes",FMECA!K39)),"Yes",IF(FMECA!K39="No","No",IF(ISNUMBER(SEARCH("No; impactless.",FMECA!K39)),"Impactless",IF(ISNUMBER(SEARCH("Outside the scope",FMECA!K39)),"Outside Scope",IF(ISNUMBER(SEARCH("Maybe",FMECA!K39)),"Maybe","Not Applicable")))))</f>
        <v>Outside Scope</v>
      </c>
      <c r="F37" s="132" t="s">
        <v>728</v>
      </c>
      <c r="G37" s="132" t="str">
        <f>IF(ISNUMBER(SEARCH("Yes",FMECA!L39)),"Yes",IF(FMECA!L39="No","No",IF(ISNUMBER(SEARCH("No; impactless.",FMECA!L39)),"Impactless","Not Applicable")))</f>
        <v>Yes</v>
      </c>
      <c r="H37" s="132" t="str">
        <f>IF(ISNUMBER(SEARCH("CM0", FMECA!AC39)), "CM0", IF(ISNUMBER(SEARCH("CM1", FMECA!AC39)), "CM1", IF(ISNUMBER(SEARCH("CM2", FMECA!AC39)), "CM2", IF(ISNUMBER(SEARCH("CM3", FMECA!AC39)), "CM3", "Not Applicable"))))</f>
        <v>Not Applicable</v>
      </c>
      <c r="I37" s="134">
        <f t="shared" si="0"/>
        <v>0</v>
      </c>
      <c r="J37" s="134">
        <f t="shared" si="1"/>
        <v>0</v>
      </c>
      <c r="K37" s="134">
        <f t="shared" si="2"/>
        <v>0</v>
      </c>
      <c r="L37" s="134">
        <f t="shared" si="3"/>
        <v>7.4901607502339334E-10</v>
      </c>
      <c r="M37" s="134">
        <f t="shared" si="4"/>
        <v>0</v>
      </c>
      <c r="N37" s="134">
        <f t="shared" si="5"/>
        <v>0</v>
      </c>
      <c r="O37" s="134">
        <f t="shared" si="6"/>
        <v>0</v>
      </c>
      <c r="P37" s="134">
        <f t="shared" si="7"/>
        <v>0</v>
      </c>
      <c r="Q37" s="134">
        <f t="shared" si="8"/>
        <v>0</v>
      </c>
    </row>
    <row r="38" spans="1:17">
      <c r="A38" s="132" t="str">
        <f>FMECA!A40</f>
        <v>R2_Diag</v>
      </c>
      <c r="B38" s="133" t="str">
        <f>FMECA!B40</f>
        <v>Short-Circuit to Casing</v>
      </c>
      <c r="C38" s="133">
        <f>FMECA!E40</f>
        <v>0</v>
      </c>
      <c r="D38" s="132" t="str">
        <f>FMECA!H40</f>
        <v>Safe</v>
      </c>
      <c r="E38" s="132" t="str">
        <f>IF(ISNUMBER(SEARCH("Yes",FMECA!K40)),"Yes",IF(FMECA!K40="No","No",IF(ISNUMBER(SEARCH("No; impactless.",FMECA!K40)),"Impactless",IF(ISNUMBER(SEARCH("Outside the scope",FMECA!K40)),"Outside Scope",IF(ISNUMBER(SEARCH("Maybe",FMECA!K40)),"Maybe","Not Applicable")))))</f>
        <v>Impactless</v>
      </c>
      <c r="F38" s="132" t="s">
        <v>728</v>
      </c>
      <c r="G38" s="132" t="str">
        <f>IF(ISNUMBER(SEARCH("Yes",FMECA!L40)),"Yes",IF(FMECA!L40="No","No",IF(ISNUMBER(SEARCH("No; impactless.",FMECA!L40)),"Impactless","Not Applicable")))</f>
        <v>Impactless</v>
      </c>
      <c r="H38" s="132" t="str">
        <f>IF(ISNUMBER(SEARCH("CM0", FMECA!AC40)), "CM0", IF(ISNUMBER(SEARCH("CM1", FMECA!AC40)), "CM1", IF(ISNUMBER(SEARCH("CM2", FMECA!AC40)), "CM2", IF(ISNUMBER(SEARCH("CM3", FMECA!AC40)), "CM3", "Not Applicable"))))</f>
        <v>Not Applicable</v>
      </c>
      <c r="I38" s="134">
        <f t="shared" si="0"/>
        <v>0</v>
      </c>
      <c r="J38" s="134">
        <f t="shared" si="1"/>
        <v>0</v>
      </c>
      <c r="K38" s="134">
        <f t="shared" si="2"/>
        <v>0</v>
      </c>
      <c r="L38" s="134">
        <f t="shared" si="3"/>
        <v>0</v>
      </c>
      <c r="M38" s="134">
        <f t="shared" si="4"/>
        <v>0</v>
      </c>
      <c r="N38" s="134">
        <f t="shared" si="5"/>
        <v>0</v>
      </c>
      <c r="O38" s="134">
        <f t="shared" si="6"/>
        <v>0</v>
      </c>
      <c r="P38" s="134">
        <f t="shared" si="7"/>
        <v>0</v>
      </c>
      <c r="Q38" s="134">
        <f t="shared" si="8"/>
        <v>0</v>
      </c>
    </row>
    <row r="39" spans="1:17">
      <c r="A39" s="132" t="str">
        <f>FMECA!A41</f>
        <v>DC_DC_Diag</v>
      </c>
      <c r="B39" s="133" t="str">
        <f>FMECA!B41</f>
        <v>No Output</v>
      </c>
      <c r="C39" s="133">
        <f>FMECA!E41</f>
        <v>4.9192708264389344E-9</v>
      </c>
      <c r="D39" s="132" t="str">
        <f>FMECA!H41</f>
        <v>Safe</v>
      </c>
      <c r="E39" s="132" t="str">
        <f>IF(ISNUMBER(SEARCH("Yes",FMECA!K41)),"Yes",IF(FMECA!K41="No","No",IF(ISNUMBER(SEARCH("No; impactless.",FMECA!K41)),"Impactless",IF(ISNUMBER(SEARCH("Outside the scope",FMECA!K41)),"Outside Scope",IF(ISNUMBER(SEARCH("Maybe",FMECA!K41)),"Maybe","Not Applicable")))))</f>
        <v>Not Applicable</v>
      </c>
      <c r="F39" s="132" t="s">
        <v>728</v>
      </c>
      <c r="G39" s="132" t="str">
        <f>IF(ISNUMBER(SEARCH("Yes",FMECA!L41)),"Yes",IF(FMECA!L41="No","No",IF(ISNUMBER(SEARCH("No; impactless.",FMECA!L41)),"Impactless","Not Applicable")))</f>
        <v>Not Applicable</v>
      </c>
      <c r="H39" s="132" t="str">
        <f>IF(ISNUMBER(SEARCH("CM0", FMECA!AC41)), "CM0", IF(ISNUMBER(SEARCH("CM1", FMECA!AC41)), "CM1", IF(ISNUMBER(SEARCH("CM2", FMECA!AC41)), "CM2", IF(ISNUMBER(SEARCH("CM3", FMECA!AC41)), "CM3", "Not Applicable"))))</f>
        <v>Not Applicable</v>
      </c>
      <c r="I39" s="134">
        <f t="shared" si="0"/>
        <v>0</v>
      </c>
      <c r="J39" s="134">
        <f t="shared" si="1"/>
        <v>0</v>
      </c>
      <c r="K39" s="134">
        <f t="shared" si="2"/>
        <v>0</v>
      </c>
      <c r="L39" s="134">
        <f t="shared" si="3"/>
        <v>0</v>
      </c>
      <c r="M39" s="134">
        <f t="shared" si="4"/>
        <v>0</v>
      </c>
      <c r="N39" s="134">
        <f t="shared" si="5"/>
        <v>0</v>
      </c>
      <c r="O39" s="134">
        <f t="shared" si="6"/>
        <v>0</v>
      </c>
      <c r="P39" s="134">
        <f t="shared" si="7"/>
        <v>0</v>
      </c>
      <c r="Q39" s="134">
        <f t="shared" si="8"/>
        <v>0</v>
      </c>
    </row>
    <row r="40" spans="1:17">
      <c r="A40" s="132" t="str">
        <f>FMECA!A42</f>
        <v>DC_DC_Diag</v>
      </c>
      <c r="B40" s="133" t="str">
        <f>FMECA!B42</f>
        <v>Increase in Output Voltage</v>
      </c>
      <c r="C40" s="133">
        <f>FMECA!E42</f>
        <v>5.4896210671854778E-9</v>
      </c>
      <c r="D40" s="132" t="str">
        <f>FMECA!H42</f>
        <v>Safe</v>
      </c>
      <c r="E40" s="132" t="str">
        <f>IF(ISNUMBER(SEARCH("Yes",FMECA!K42)),"Yes",IF(FMECA!K42="No","No",IF(ISNUMBER(SEARCH("No; impactless.",FMECA!K42)),"Impactless",IF(ISNUMBER(SEARCH("Outside the scope",FMECA!K42)),"Outside Scope",IF(ISNUMBER(SEARCH("Maybe",FMECA!K42)),"Maybe","Not Applicable")))))</f>
        <v>Outside Scope</v>
      </c>
      <c r="F40" s="132" t="s">
        <v>728</v>
      </c>
      <c r="G40" s="132" t="str">
        <f>IF(ISNUMBER(SEARCH("Yes",FMECA!L42)),"Yes",IF(FMECA!L42="No","No",IF(ISNUMBER(SEARCH("No; impactless.",FMECA!L42)),"Impactless","Not Applicable")))</f>
        <v>No</v>
      </c>
      <c r="H40" s="132" t="str">
        <f>IF(ISNUMBER(SEARCH("CM0", FMECA!AC42)), "CM0", IF(ISNUMBER(SEARCH("CM1", FMECA!AC42)), "CM1", IF(ISNUMBER(SEARCH("CM2", FMECA!AC42)), "CM2", IF(ISNUMBER(SEARCH("CM3", FMECA!AC42)), "CM3", "Not Applicable"))))</f>
        <v>Not Applicable</v>
      </c>
      <c r="I40" s="134">
        <f t="shared" si="0"/>
        <v>0</v>
      </c>
      <c r="J40" s="134">
        <f t="shared" si="1"/>
        <v>0</v>
      </c>
      <c r="K40" s="134">
        <f t="shared" si="2"/>
        <v>0</v>
      </c>
      <c r="L40" s="134">
        <f t="shared" si="3"/>
        <v>5.4896210671854778E-9</v>
      </c>
      <c r="M40" s="134">
        <f t="shared" si="4"/>
        <v>0</v>
      </c>
      <c r="N40" s="134">
        <f t="shared" si="5"/>
        <v>0</v>
      </c>
      <c r="O40" s="134">
        <f t="shared" si="6"/>
        <v>0</v>
      </c>
      <c r="P40" s="134">
        <f t="shared" si="7"/>
        <v>0</v>
      </c>
      <c r="Q40" s="134">
        <f t="shared" si="8"/>
        <v>0</v>
      </c>
    </row>
    <row r="41" spans="1:17">
      <c r="A41" s="132" t="str">
        <f>FMECA!A43</f>
        <v>DC_DC_Diag</v>
      </c>
      <c r="B41" s="133" t="str">
        <f>FMECA!B43</f>
        <v>Decrease in Output Voltage</v>
      </c>
      <c r="C41" s="133">
        <f>FMECA!E43</f>
        <v>5.4896210671854778E-9</v>
      </c>
      <c r="D41" s="132" t="str">
        <f>FMECA!H43</f>
        <v>Safe</v>
      </c>
      <c r="E41" s="132" t="str">
        <f>IF(ISNUMBER(SEARCH("Yes",FMECA!K43)),"Yes",IF(FMECA!K43="No","No",IF(ISNUMBER(SEARCH("No; impactless.",FMECA!K43)),"Impactless",IF(ISNUMBER(SEARCH("Outside the scope",FMECA!K43)),"Outside Scope",IF(ISNUMBER(SEARCH("Maybe",FMECA!K43)),"Maybe","Not Applicable")))))</f>
        <v>Outside Scope</v>
      </c>
      <c r="F41" s="132" t="s">
        <v>728</v>
      </c>
      <c r="G41" s="132" t="str">
        <f>IF(ISNUMBER(SEARCH("Yes",FMECA!L43)),"Yes",IF(FMECA!L43="No","No",IF(ISNUMBER(SEARCH("No; impactless.",FMECA!L43)),"Impactless","Not Applicable")))</f>
        <v>No</v>
      </c>
      <c r="H41" s="132" t="str">
        <f>IF(ISNUMBER(SEARCH("CM0", FMECA!AC43)), "CM0", IF(ISNUMBER(SEARCH("CM1", FMECA!AC43)), "CM1", IF(ISNUMBER(SEARCH("CM2", FMECA!AC43)), "CM2", IF(ISNUMBER(SEARCH("CM3", FMECA!AC43)), "CM3", "Not Applicable"))))</f>
        <v>Not Applicable</v>
      </c>
      <c r="I41" s="134">
        <f t="shared" si="0"/>
        <v>0</v>
      </c>
      <c r="J41" s="134">
        <f t="shared" si="1"/>
        <v>0</v>
      </c>
      <c r="K41" s="134">
        <f t="shared" si="2"/>
        <v>0</v>
      </c>
      <c r="L41" s="134">
        <f t="shared" si="3"/>
        <v>5.4896210671854778E-9</v>
      </c>
      <c r="M41" s="134">
        <f t="shared" si="4"/>
        <v>0</v>
      </c>
      <c r="N41" s="134">
        <f t="shared" si="5"/>
        <v>0</v>
      </c>
      <c r="O41" s="134">
        <f t="shared" si="6"/>
        <v>0</v>
      </c>
      <c r="P41" s="134">
        <f t="shared" si="7"/>
        <v>0</v>
      </c>
      <c r="Q41" s="134">
        <f t="shared" si="8"/>
        <v>0</v>
      </c>
    </row>
    <row r="42" spans="1:17">
      <c r="A42" s="132" t="str">
        <f>FMECA!A44</f>
        <v>DC_DC_Diag</v>
      </c>
      <c r="B42" s="133" t="str">
        <f>FMECA!B44</f>
        <v>Noisy Output</v>
      </c>
      <c r="C42" s="133">
        <f>FMECA!E44</f>
        <v>5.4896210671854778E-9</v>
      </c>
      <c r="D42" s="132" t="str">
        <f>FMECA!H44</f>
        <v>Safe</v>
      </c>
      <c r="E42" s="132" t="str">
        <f>IF(ISNUMBER(SEARCH("Yes",FMECA!K44)),"Yes",IF(FMECA!K44="No","No",IF(ISNUMBER(SEARCH("No; impactless.",FMECA!K44)),"Impactless",IF(ISNUMBER(SEARCH("Outside the scope",FMECA!K44)),"Outside Scope",IF(ISNUMBER(SEARCH("Maybe",FMECA!K44)),"Maybe","Not Applicable")))))</f>
        <v>Outside Scope</v>
      </c>
      <c r="F42" s="132" t="s">
        <v>728</v>
      </c>
      <c r="G42" s="132" t="str">
        <f>IF(ISNUMBER(SEARCH("Yes",FMECA!L44)),"Yes",IF(FMECA!L44="No","No",IF(ISNUMBER(SEARCH("No; impactless.",FMECA!L44)),"Impactless","Not Applicable")))</f>
        <v>No</v>
      </c>
      <c r="H42" s="132" t="str">
        <f>IF(ISNUMBER(SEARCH("CM0", FMECA!AC44)), "CM0", IF(ISNUMBER(SEARCH("CM1", FMECA!AC44)), "CM1", IF(ISNUMBER(SEARCH("CM2", FMECA!AC44)), "CM2", IF(ISNUMBER(SEARCH("CM3", FMECA!AC44)), "CM3", "Not Applicable"))))</f>
        <v>Not Applicable</v>
      </c>
      <c r="I42" s="134">
        <f t="shared" si="0"/>
        <v>0</v>
      </c>
      <c r="J42" s="134">
        <f t="shared" si="1"/>
        <v>0</v>
      </c>
      <c r="K42" s="134">
        <f t="shared" si="2"/>
        <v>0</v>
      </c>
      <c r="L42" s="134">
        <f t="shared" si="3"/>
        <v>5.4896210671854778E-9</v>
      </c>
      <c r="M42" s="134">
        <f t="shared" si="4"/>
        <v>0</v>
      </c>
      <c r="N42" s="134">
        <f t="shared" si="5"/>
        <v>0</v>
      </c>
      <c r="O42" s="134">
        <f t="shared" si="6"/>
        <v>0</v>
      </c>
      <c r="P42" s="134">
        <f t="shared" si="7"/>
        <v>0</v>
      </c>
      <c r="Q42" s="134">
        <f t="shared" si="8"/>
        <v>0</v>
      </c>
    </row>
    <row r="43" spans="1:17">
      <c r="A43" s="132" t="str">
        <f>FMECA!A45</f>
        <v>R1_Sys</v>
      </c>
      <c r="B43" s="133" t="str">
        <f>FMECA!B45</f>
        <v>Open</v>
      </c>
      <c r="C43" s="133">
        <f>FMECA!E45</f>
        <v>2.4551082459100113E-9</v>
      </c>
      <c r="D43" s="132" t="str">
        <f>FMECA!H45</f>
        <v>Safe</v>
      </c>
      <c r="E43" s="132" t="str">
        <f>IF(ISNUMBER(SEARCH("Yes",FMECA!K45)),"Yes",IF(FMECA!K45="No","No",IF(ISNUMBER(SEARCH("No; impactless.",FMECA!K45)),"Impactless",IF(ISNUMBER(SEARCH("Outside the scope",FMECA!K45)),"Outside Scope",IF(ISNUMBER(SEARCH("Maybe",FMECA!K45)),"Maybe","Not Applicable")))))</f>
        <v>Yes</v>
      </c>
      <c r="F43" s="132" t="s">
        <v>728</v>
      </c>
      <c r="G43" s="132" t="str">
        <f>IF(ISNUMBER(SEARCH("Yes",FMECA!L45)),"Yes",IF(FMECA!L45="No","No",IF(ISNUMBER(SEARCH("No; impactless.",FMECA!L45)),"Impactless","Not Applicable")))</f>
        <v>No</v>
      </c>
      <c r="H43" s="132" t="str">
        <f>IF(ISNUMBER(SEARCH("CM0", FMECA!AC45)), "CM0", IF(ISNUMBER(SEARCH("CM1", FMECA!AC45)), "CM1", IF(ISNUMBER(SEARCH("CM2", FMECA!AC45)), "CM2", IF(ISNUMBER(SEARCH("CM3", FMECA!AC45)), "CM3", "Not Applicable"))))</f>
        <v>Not Applicable</v>
      </c>
      <c r="I43" s="134">
        <f t="shared" si="0"/>
        <v>2.4551082459100113E-9</v>
      </c>
      <c r="J43" s="134">
        <f t="shared" si="1"/>
        <v>0</v>
      </c>
      <c r="K43" s="134">
        <f t="shared" si="2"/>
        <v>0</v>
      </c>
      <c r="L43" s="134">
        <f t="shared" si="3"/>
        <v>0</v>
      </c>
      <c r="M43" s="134">
        <f t="shared" si="4"/>
        <v>0</v>
      </c>
      <c r="N43" s="134">
        <f t="shared" si="5"/>
        <v>0</v>
      </c>
      <c r="O43" s="134">
        <f t="shared" si="6"/>
        <v>0</v>
      </c>
      <c r="P43" s="134">
        <f t="shared" si="7"/>
        <v>0</v>
      </c>
      <c r="Q43" s="134">
        <f t="shared" si="8"/>
        <v>0</v>
      </c>
    </row>
    <row r="44" spans="1:17">
      <c r="A44" s="132" t="str">
        <f>FMECA!A46</f>
        <v>R1_Sys</v>
      </c>
      <c r="B44" s="133" t="str">
        <f>FMECA!B46</f>
        <v>Short-Circuit</v>
      </c>
      <c r="C44" s="133">
        <f>FMECA!E46</f>
        <v>2.080600208398315E-10</v>
      </c>
      <c r="D44" s="132" t="str">
        <f>FMECA!H46</f>
        <v>Safe</v>
      </c>
      <c r="E44" s="132" t="str">
        <f>IF(ISNUMBER(SEARCH("Yes",FMECA!K46)),"Yes",IF(FMECA!K46="No","No",IF(ISNUMBER(SEARCH("No; impactless.",FMECA!K46)),"Impactless",IF(ISNUMBER(SEARCH("Outside the scope",FMECA!K46)),"Outside Scope",IF(ISNUMBER(SEARCH("Maybe",FMECA!K46)),"Maybe","Not Applicable")))))</f>
        <v>Yes</v>
      </c>
      <c r="F44" s="132" t="s">
        <v>728</v>
      </c>
      <c r="G44" s="132" t="str">
        <f>IF(ISNUMBER(SEARCH("Yes",FMECA!L46)),"Yes",IF(FMECA!L46="No","No",IF(ISNUMBER(SEARCH("No; impactless.",FMECA!L46)),"Impactless","Not Applicable")))</f>
        <v>No</v>
      </c>
      <c r="H44" s="132" t="str">
        <f>IF(ISNUMBER(SEARCH("CM0", FMECA!AC46)), "CM0", IF(ISNUMBER(SEARCH("CM1", FMECA!AC46)), "CM1", IF(ISNUMBER(SEARCH("CM2", FMECA!AC46)), "CM2", IF(ISNUMBER(SEARCH("CM3", FMECA!AC46)), "CM3", "Not Applicable"))))</f>
        <v>Not Applicable</v>
      </c>
      <c r="I44" s="134">
        <f t="shared" si="0"/>
        <v>2.080600208398315E-10</v>
      </c>
      <c r="J44" s="134">
        <f t="shared" si="1"/>
        <v>0</v>
      </c>
      <c r="K44" s="134">
        <f t="shared" si="2"/>
        <v>0</v>
      </c>
      <c r="L44" s="134">
        <f t="shared" si="3"/>
        <v>0</v>
      </c>
      <c r="M44" s="134">
        <f t="shared" si="4"/>
        <v>0</v>
      </c>
      <c r="N44" s="134">
        <f t="shared" si="5"/>
        <v>0</v>
      </c>
      <c r="O44" s="134">
        <f t="shared" si="6"/>
        <v>0</v>
      </c>
      <c r="P44" s="134">
        <f t="shared" si="7"/>
        <v>0</v>
      </c>
      <c r="Q44" s="134">
        <f t="shared" si="8"/>
        <v>0</v>
      </c>
    </row>
    <row r="45" spans="1:17">
      <c r="A45" s="132" t="str">
        <f>FMECA!A47</f>
        <v>R1_Sys</v>
      </c>
      <c r="B45" s="133" t="str">
        <f>FMECA!B47</f>
        <v>Increase of Resistance Value</v>
      </c>
      <c r="C45" s="133">
        <f>FMECA!E47</f>
        <v>7.4901607502339334E-10</v>
      </c>
      <c r="D45" s="132" t="str">
        <f>FMECA!H47</f>
        <v>Safe</v>
      </c>
      <c r="E45" s="132" t="str">
        <f>IF(ISNUMBER(SEARCH("Yes",FMECA!K47)),"Yes",IF(FMECA!K47="No","No",IF(ISNUMBER(SEARCH("No; impactless.",FMECA!K47)),"Impactless",IF(ISNUMBER(SEARCH("Outside the scope",FMECA!K47)),"Outside Scope",IF(ISNUMBER(SEARCH("Maybe",FMECA!K47)),"Maybe","Not Applicable")))))</f>
        <v>Maybe</v>
      </c>
      <c r="F45" s="132" t="s">
        <v>728</v>
      </c>
      <c r="G45" s="132" t="str">
        <f>IF(ISNUMBER(SEARCH("Yes",FMECA!L47)),"Yes",IF(FMECA!L47="No","No",IF(ISNUMBER(SEARCH("No; impactless.",FMECA!L47)),"Impactless","Not Applicable")))</f>
        <v>No</v>
      </c>
      <c r="H45" s="132" t="str">
        <f>IF(ISNUMBER(SEARCH("CM0", FMECA!AC47)), "CM0", IF(ISNUMBER(SEARCH("CM1", FMECA!AC47)), "CM1", IF(ISNUMBER(SEARCH("CM2", FMECA!AC47)), "CM2", IF(ISNUMBER(SEARCH("CM3", FMECA!AC47)), "CM3", "Not Applicable"))))</f>
        <v>CM2</v>
      </c>
      <c r="I45" s="134">
        <f t="shared" si="0"/>
        <v>0</v>
      </c>
      <c r="J45" s="134">
        <f t="shared" si="1"/>
        <v>0</v>
      </c>
      <c r="K45" s="134">
        <f t="shared" si="2"/>
        <v>0</v>
      </c>
      <c r="L45" s="134">
        <f t="shared" si="3"/>
        <v>0</v>
      </c>
      <c r="M45" s="134">
        <f t="shared" si="4"/>
        <v>0</v>
      </c>
      <c r="N45" s="134">
        <f t="shared" si="5"/>
        <v>7.4901607502339334E-10</v>
      </c>
      <c r="O45" s="134">
        <f t="shared" si="6"/>
        <v>0</v>
      </c>
      <c r="P45" s="134">
        <f t="shared" si="7"/>
        <v>0</v>
      </c>
      <c r="Q45" s="134">
        <f t="shared" si="8"/>
        <v>0</v>
      </c>
    </row>
    <row r="46" spans="1:17">
      <c r="A46" s="132" t="str">
        <f>FMECA!A48</f>
        <v>R1_Sys</v>
      </c>
      <c r="B46" s="133" t="str">
        <f>FMECA!B48</f>
        <v>Decrease of Resistance Value</v>
      </c>
      <c r="C46" s="133">
        <f>FMECA!E48</f>
        <v>7.4901607502339334E-10</v>
      </c>
      <c r="D46" s="132" t="str">
        <f>FMECA!H48</f>
        <v>Safe</v>
      </c>
      <c r="E46" s="132" t="str">
        <f>IF(ISNUMBER(SEARCH("Yes",FMECA!K48)),"Yes",IF(FMECA!K48="No","No",IF(ISNUMBER(SEARCH("No; impactless.",FMECA!K48)),"Impactless",IF(ISNUMBER(SEARCH("Outside the scope",FMECA!K48)),"Outside Scope",IF(ISNUMBER(SEARCH("Maybe",FMECA!K48)),"Maybe","Not Applicable")))))</f>
        <v>Maybe</v>
      </c>
      <c r="F46" s="132" t="s">
        <v>728</v>
      </c>
      <c r="G46" s="132" t="str">
        <f>IF(ISNUMBER(SEARCH("Yes",FMECA!L48)),"Yes",IF(FMECA!L48="No","No",IF(ISNUMBER(SEARCH("No; impactless.",FMECA!L48)),"Impactless","Not Applicable")))</f>
        <v>No</v>
      </c>
      <c r="H46" s="132" t="str">
        <f>IF(ISNUMBER(SEARCH("CM0", FMECA!AC48)), "CM0", IF(ISNUMBER(SEARCH("CM1", FMECA!AC48)), "CM1", IF(ISNUMBER(SEARCH("CM2", FMECA!AC48)), "CM2", IF(ISNUMBER(SEARCH("CM3", FMECA!AC48)), "CM3", "Not Applicable"))))</f>
        <v>CM2</v>
      </c>
      <c r="I46" s="134">
        <f t="shared" si="0"/>
        <v>0</v>
      </c>
      <c r="J46" s="134">
        <f t="shared" si="1"/>
        <v>0</v>
      </c>
      <c r="K46" s="134">
        <f t="shared" si="2"/>
        <v>0</v>
      </c>
      <c r="L46" s="134">
        <f t="shared" si="3"/>
        <v>0</v>
      </c>
      <c r="M46" s="134">
        <f t="shared" si="4"/>
        <v>0</v>
      </c>
      <c r="N46" s="134">
        <f t="shared" si="5"/>
        <v>7.4901607502339334E-10</v>
      </c>
      <c r="O46" s="134">
        <f t="shared" si="6"/>
        <v>0</v>
      </c>
      <c r="P46" s="134">
        <f t="shared" si="7"/>
        <v>0</v>
      </c>
      <c r="Q46" s="134">
        <f t="shared" si="8"/>
        <v>0</v>
      </c>
    </row>
    <row r="47" spans="1:17">
      <c r="A47" s="132" t="str">
        <f>FMECA!A49</f>
        <v>R1_Sys</v>
      </c>
      <c r="B47" s="133" t="str">
        <f>FMECA!B49</f>
        <v>Short-Circuit to Casing</v>
      </c>
      <c r="C47" s="133">
        <f>FMECA!E49</f>
        <v>0</v>
      </c>
      <c r="D47" s="132" t="str">
        <f>FMECA!H49</f>
        <v>Safe</v>
      </c>
      <c r="E47" s="132" t="str">
        <f>IF(ISNUMBER(SEARCH("Yes",FMECA!K49)),"Yes",IF(FMECA!K49="No","No",IF(ISNUMBER(SEARCH("No; impactless.",FMECA!K49)),"Impactless",IF(ISNUMBER(SEARCH("Outside the scope",FMECA!K49)),"Outside Scope",IF(ISNUMBER(SEARCH("Maybe",FMECA!K49)),"Maybe","Not Applicable")))))</f>
        <v>Impactless</v>
      </c>
      <c r="F47" s="132" t="s">
        <v>728</v>
      </c>
      <c r="G47" s="132" t="str">
        <f>IF(ISNUMBER(SEARCH("Yes",FMECA!L49)),"Yes",IF(FMECA!L49="No","No",IF(ISNUMBER(SEARCH("No; impactless.",FMECA!L49)),"Impactless","Not Applicable")))</f>
        <v>Impactless</v>
      </c>
      <c r="H47" s="132" t="str">
        <f>IF(ISNUMBER(SEARCH("CM0", FMECA!AC49)), "CM0", IF(ISNUMBER(SEARCH("CM1", FMECA!AC49)), "CM1", IF(ISNUMBER(SEARCH("CM2", FMECA!AC49)), "CM2", IF(ISNUMBER(SEARCH("CM3", FMECA!AC49)), "CM3", "Not Applicable"))))</f>
        <v>Not Applicable</v>
      </c>
      <c r="I47" s="134">
        <f t="shared" si="0"/>
        <v>0</v>
      </c>
      <c r="J47" s="134">
        <f t="shared" si="1"/>
        <v>0</v>
      </c>
      <c r="K47" s="134">
        <f t="shared" si="2"/>
        <v>0</v>
      </c>
      <c r="L47" s="134">
        <f t="shared" si="3"/>
        <v>0</v>
      </c>
      <c r="M47" s="134">
        <f t="shared" si="4"/>
        <v>0</v>
      </c>
      <c r="N47" s="134">
        <f t="shared" si="5"/>
        <v>0</v>
      </c>
      <c r="O47" s="134">
        <f t="shared" si="6"/>
        <v>0</v>
      </c>
      <c r="P47" s="134">
        <f t="shared" si="7"/>
        <v>0</v>
      </c>
      <c r="Q47" s="134">
        <f t="shared" si="8"/>
        <v>0</v>
      </c>
    </row>
    <row r="48" spans="1:17">
      <c r="A48" s="132" t="str">
        <f>FMECA!A50</f>
        <v>OC1_Sys</v>
      </c>
      <c r="B48" s="133" t="str">
        <f>FMECA!B50</f>
        <v>Open diode</v>
      </c>
      <c r="C48" s="133">
        <f>FMECA!E50</f>
        <v>7.0465531318791983E-9</v>
      </c>
      <c r="D48" s="132" t="str">
        <f>FMECA!H50</f>
        <v>Safe</v>
      </c>
      <c r="E48" s="132" t="str">
        <f>IF(ISNUMBER(SEARCH("Yes",FMECA!K50)),"Yes",IF(FMECA!K50="No","No",IF(ISNUMBER(SEARCH("No; impactless.",FMECA!K50)),"Impactless",IF(ISNUMBER(SEARCH("Outside the scope",FMECA!K50)),"Outside Scope",IF(ISNUMBER(SEARCH("Maybe",FMECA!K50)),"Maybe","Not Applicable")))))</f>
        <v>Yes</v>
      </c>
      <c r="F48" s="132" t="s">
        <v>728</v>
      </c>
      <c r="G48" s="132" t="str">
        <f>IF(ISNUMBER(SEARCH("Yes",FMECA!L50)),"Yes",IF(FMECA!L50="No","No",IF(ISNUMBER(SEARCH("No; impactless.",FMECA!L50)),"Impactless","Not Applicable")))</f>
        <v>No</v>
      </c>
      <c r="H48" s="132" t="str">
        <f>IF(ISNUMBER(SEARCH("CM0", FMECA!AC50)), "CM0", IF(ISNUMBER(SEARCH("CM1", FMECA!AC50)), "CM1", IF(ISNUMBER(SEARCH("CM2", FMECA!AC50)), "CM2", IF(ISNUMBER(SEARCH("CM3", FMECA!AC50)), "CM3", "Not Applicable"))))</f>
        <v>Not Applicable</v>
      </c>
      <c r="I48" s="134">
        <f t="shared" si="0"/>
        <v>7.0465531318791983E-9</v>
      </c>
      <c r="J48" s="134">
        <f t="shared" si="1"/>
        <v>0</v>
      </c>
      <c r="K48" s="134">
        <f t="shared" si="2"/>
        <v>0</v>
      </c>
      <c r="L48" s="134">
        <f t="shared" si="3"/>
        <v>0</v>
      </c>
      <c r="M48" s="134">
        <f t="shared" si="4"/>
        <v>0</v>
      </c>
      <c r="N48" s="134">
        <f t="shared" si="5"/>
        <v>0</v>
      </c>
      <c r="O48" s="134">
        <f t="shared" si="6"/>
        <v>0</v>
      </c>
      <c r="P48" s="134">
        <f t="shared" si="7"/>
        <v>0</v>
      </c>
      <c r="Q48" s="134">
        <f t="shared" si="8"/>
        <v>0</v>
      </c>
    </row>
    <row r="49" spans="1:17">
      <c r="A49" s="132" t="str">
        <f>FMECA!A51</f>
        <v>OC1_Sys</v>
      </c>
      <c r="B49" s="133" t="str">
        <f>FMECA!B51</f>
        <v>Open emitter</v>
      </c>
      <c r="C49" s="133">
        <f>FMECA!E51</f>
        <v>7.0465531318791983E-9</v>
      </c>
      <c r="D49" s="132" t="str">
        <f>FMECA!H51</f>
        <v>Safe</v>
      </c>
      <c r="E49" s="132" t="str">
        <f>IF(ISNUMBER(SEARCH("Yes",FMECA!K51)),"Yes",IF(FMECA!K51="No","No",IF(ISNUMBER(SEARCH("No; impactless.",FMECA!K51)),"Impactless",IF(ISNUMBER(SEARCH("Outside the scope",FMECA!K51)),"Outside Scope",IF(ISNUMBER(SEARCH("Maybe",FMECA!K51)),"Maybe","Not Applicable")))))</f>
        <v>Yes</v>
      </c>
      <c r="F49" s="132" t="s">
        <v>728</v>
      </c>
      <c r="G49" s="132" t="str">
        <f>IF(ISNUMBER(SEARCH("Yes",FMECA!L51)),"Yes",IF(FMECA!L51="No","No",IF(ISNUMBER(SEARCH("No; impactless.",FMECA!L51)),"Impactless","Not Applicable")))</f>
        <v>No</v>
      </c>
      <c r="H49" s="132" t="str">
        <f>IF(ISNUMBER(SEARCH("CM0", FMECA!AC51)), "CM0", IF(ISNUMBER(SEARCH("CM1", FMECA!AC51)), "CM1", IF(ISNUMBER(SEARCH("CM2", FMECA!AC51)), "CM2", IF(ISNUMBER(SEARCH("CM3", FMECA!AC51)), "CM3", "Not Applicable"))))</f>
        <v>Not Applicable</v>
      </c>
      <c r="I49" s="134">
        <f t="shared" si="0"/>
        <v>7.0465531318791983E-9</v>
      </c>
      <c r="J49" s="134">
        <f t="shared" si="1"/>
        <v>0</v>
      </c>
      <c r="K49" s="134">
        <f t="shared" si="2"/>
        <v>0</v>
      </c>
      <c r="L49" s="134">
        <f t="shared" si="3"/>
        <v>0</v>
      </c>
      <c r="M49" s="134">
        <f t="shared" si="4"/>
        <v>0</v>
      </c>
      <c r="N49" s="134">
        <f t="shared" si="5"/>
        <v>0</v>
      </c>
      <c r="O49" s="134">
        <f t="shared" si="6"/>
        <v>0</v>
      </c>
      <c r="P49" s="134">
        <f t="shared" si="7"/>
        <v>0</v>
      </c>
      <c r="Q49" s="134">
        <f t="shared" si="8"/>
        <v>0</v>
      </c>
    </row>
    <row r="50" spans="1:17">
      <c r="A50" s="132" t="str">
        <f>FMECA!A52</f>
        <v>OC1_Sys</v>
      </c>
      <c r="B50" s="133" t="str">
        <f>FMECA!B52</f>
        <v>Open collector</v>
      </c>
      <c r="C50" s="133">
        <f>FMECA!E52</f>
        <v>7.0465531318791983E-9</v>
      </c>
      <c r="D50" s="132" t="str">
        <f>FMECA!H52</f>
        <v>Safe</v>
      </c>
      <c r="E50" s="132" t="str">
        <f>IF(ISNUMBER(SEARCH("Yes",FMECA!K52)),"Yes",IF(FMECA!K52="No","No",IF(ISNUMBER(SEARCH("No; impactless.",FMECA!K52)),"Impactless",IF(ISNUMBER(SEARCH("Outside the scope",FMECA!K52)),"Outside Scope",IF(ISNUMBER(SEARCH("Maybe",FMECA!K52)),"Maybe","Not Applicable")))))</f>
        <v>Yes</v>
      </c>
      <c r="F50" s="132" t="s">
        <v>728</v>
      </c>
      <c r="G50" s="132" t="str">
        <f>IF(ISNUMBER(SEARCH("Yes",FMECA!L52)),"Yes",IF(FMECA!L52="No","No",IF(ISNUMBER(SEARCH("No; impactless.",FMECA!L52)),"Impactless","Not Applicable")))</f>
        <v>No</v>
      </c>
      <c r="H50" s="132" t="str">
        <f>IF(ISNUMBER(SEARCH("CM0", FMECA!AC52)), "CM0", IF(ISNUMBER(SEARCH("CM1", FMECA!AC52)), "CM1", IF(ISNUMBER(SEARCH("CM2", FMECA!AC52)), "CM2", IF(ISNUMBER(SEARCH("CM3", FMECA!AC52)), "CM3", "Not Applicable"))))</f>
        <v>Not Applicable</v>
      </c>
      <c r="I50" s="134">
        <f t="shared" si="0"/>
        <v>7.0465531318791983E-9</v>
      </c>
      <c r="J50" s="134">
        <f t="shared" si="1"/>
        <v>0</v>
      </c>
      <c r="K50" s="134">
        <f t="shared" si="2"/>
        <v>0</v>
      </c>
      <c r="L50" s="134">
        <f t="shared" si="3"/>
        <v>0</v>
      </c>
      <c r="M50" s="134">
        <f t="shared" si="4"/>
        <v>0</v>
      </c>
      <c r="N50" s="134">
        <f t="shared" si="5"/>
        <v>0</v>
      </c>
      <c r="O50" s="134">
        <f t="shared" si="6"/>
        <v>0</v>
      </c>
      <c r="P50" s="134">
        <f t="shared" si="7"/>
        <v>0</v>
      </c>
      <c r="Q50" s="134">
        <f t="shared" si="8"/>
        <v>0</v>
      </c>
    </row>
    <row r="51" spans="1:17">
      <c r="A51" s="132" t="str">
        <f>FMECA!A53</f>
        <v>OC1_Sys</v>
      </c>
      <c r="B51" s="133" t="str">
        <f>FMECA!B53</f>
        <v>Open base</v>
      </c>
      <c r="C51" s="133">
        <f>FMECA!E53</f>
        <v>7.0465531318791983E-9</v>
      </c>
      <c r="D51" s="132" t="str">
        <f>FMECA!H53</f>
        <v>Safe</v>
      </c>
      <c r="E51" s="132" t="str">
        <f>IF(ISNUMBER(SEARCH("Yes",FMECA!K53)),"Yes",IF(FMECA!K53="No","No",IF(ISNUMBER(SEARCH("No; impactless.",FMECA!K53)),"Impactless",IF(ISNUMBER(SEARCH("Outside the scope",FMECA!K53)),"Outside Scope",IF(ISNUMBER(SEARCH("Maybe",FMECA!K53)),"Maybe","Not Applicable")))))</f>
        <v>Impactless</v>
      </c>
      <c r="F51" s="132" t="s">
        <v>728</v>
      </c>
      <c r="G51" s="132" t="str">
        <f>IF(ISNUMBER(SEARCH("Yes",FMECA!L53)),"Yes",IF(FMECA!L53="No","No",IF(ISNUMBER(SEARCH("No; impactless.",FMECA!L53)),"Impactless","Not Applicable")))</f>
        <v>Impactless</v>
      </c>
      <c r="H51" s="132" t="str">
        <f>IF(ISNUMBER(SEARCH("CM0", FMECA!AC53)), "CM0", IF(ISNUMBER(SEARCH("CM1", FMECA!AC53)), "CM1", IF(ISNUMBER(SEARCH("CM2", FMECA!AC53)), "CM2", IF(ISNUMBER(SEARCH("CM3", FMECA!AC53)), "CM3", "Not Applicable"))))</f>
        <v>Not Applicable</v>
      </c>
      <c r="I51" s="134">
        <f t="shared" si="0"/>
        <v>0</v>
      </c>
      <c r="J51" s="134">
        <f t="shared" si="1"/>
        <v>0</v>
      </c>
      <c r="K51" s="134">
        <f t="shared" si="2"/>
        <v>0</v>
      </c>
      <c r="L51" s="134">
        <f t="shared" si="3"/>
        <v>0</v>
      </c>
      <c r="M51" s="134">
        <f t="shared" si="4"/>
        <v>0</v>
      </c>
      <c r="N51" s="134">
        <f t="shared" si="5"/>
        <v>0</v>
      </c>
      <c r="O51" s="134">
        <f t="shared" si="6"/>
        <v>0</v>
      </c>
      <c r="P51" s="134">
        <f t="shared" si="7"/>
        <v>0</v>
      </c>
      <c r="Q51" s="134">
        <f t="shared" si="8"/>
        <v>0</v>
      </c>
    </row>
    <row r="52" spans="1:17">
      <c r="A52" s="132" t="str">
        <f>FMECA!A54</f>
        <v>OC1_Sys</v>
      </c>
      <c r="B52" s="133" t="str">
        <f>FMECA!B54</f>
        <v>Increase of light sensitivity</v>
      </c>
      <c r="C52" s="133">
        <f>FMECA!E54</f>
        <v>7.0465531318791983E-9</v>
      </c>
      <c r="D52" s="132" t="str">
        <f>FMECA!H54</f>
        <v>Safe</v>
      </c>
      <c r="E52" s="132" t="str">
        <f>IF(ISNUMBER(SEARCH("Yes",FMECA!K54)),"Yes",IF(FMECA!K54="No","No",IF(ISNUMBER(SEARCH("No; impactless.",FMECA!K54)),"Impactless",IF(ISNUMBER(SEARCH("Outside the scope",FMECA!K54)),"Outside Scope",IF(ISNUMBER(SEARCH("Maybe",FMECA!K54)),"Maybe","Not Applicable")))))</f>
        <v>Impactless</v>
      </c>
      <c r="F52" s="132" t="s">
        <v>728</v>
      </c>
      <c r="G52" s="132" t="str">
        <f>IF(ISNUMBER(SEARCH("Yes",FMECA!L54)),"Yes",IF(FMECA!L54="No","No",IF(ISNUMBER(SEARCH("No; impactless.",FMECA!L54)),"Impactless","Not Applicable")))</f>
        <v>Impactless</v>
      </c>
      <c r="H52" s="132" t="str">
        <f>IF(ISNUMBER(SEARCH("CM0", FMECA!AC54)), "CM0", IF(ISNUMBER(SEARCH("CM1", FMECA!AC54)), "CM1", IF(ISNUMBER(SEARCH("CM2", FMECA!AC54)), "CM2", IF(ISNUMBER(SEARCH("CM3", FMECA!AC54)), "CM3", "Not Applicable"))))</f>
        <v>Not Applicable</v>
      </c>
      <c r="I52" s="134">
        <f t="shared" si="0"/>
        <v>0</v>
      </c>
      <c r="J52" s="134">
        <f t="shared" si="1"/>
        <v>0</v>
      </c>
      <c r="K52" s="134">
        <f t="shared" si="2"/>
        <v>0</v>
      </c>
      <c r="L52" s="134">
        <f t="shared" si="3"/>
        <v>0</v>
      </c>
      <c r="M52" s="134">
        <f t="shared" si="4"/>
        <v>0</v>
      </c>
      <c r="N52" s="134">
        <f t="shared" si="5"/>
        <v>0</v>
      </c>
      <c r="O52" s="134">
        <f t="shared" si="6"/>
        <v>0</v>
      </c>
      <c r="P52" s="134">
        <f t="shared" si="7"/>
        <v>0</v>
      </c>
      <c r="Q52" s="134">
        <f t="shared" si="8"/>
        <v>0</v>
      </c>
    </row>
    <row r="53" spans="1:17">
      <c r="A53" s="132" t="str">
        <f>FMECA!A55</f>
        <v>OC1_Sys</v>
      </c>
      <c r="B53" s="133" t="str">
        <f>FMECA!B55</f>
        <v>Decrease of light sensitivity</v>
      </c>
      <c r="C53" s="133">
        <f>FMECA!E55</f>
        <v>7.0465531318791983E-9</v>
      </c>
      <c r="D53" s="132" t="str">
        <f>FMECA!H55</f>
        <v>Safe</v>
      </c>
      <c r="E53" s="132" t="str">
        <f>IF(ISNUMBER(SEARCH("Yes",FMECA!K55)),"Yes",IF(FMECA!K55="No","No",IF(ISNUMBER(SEARCH("No; impactless.",FMECA!K55)),"Impactless",IF(ISNUMBER(SEARCH("Outside the scope",FMECA!K55)),"Outside Scope",IF(ISNUMBER(SEARCH("Maybe",FMECA!K55)),"Maybe","Not Applicable")))))</f>
        <v>Maybe</v>
      </c>
      <c r="F53" s="132" t="s">
        <v>729</v>
      </c>
      <c r="G53" s="132" t="str">
        <f>IF(ISNUMBER(SEARCH("Yes",FMECA!L55)),"Yes",IF(FMECA!L55="No","No",IF(ISNUMBER(SEARCH("No; impactless.",FMECA!L55)),"Impactless","Not Applicable")))</f>
        <v>No</v>
      </c>
      <c r="H53" s="132" t="str">
        <f>IF(ISNUMBER(SEARCH("CM0", FMECA!AC55)), "CM0", IF(ISNUMBER(SEARCH("CM1", FMECA!AC55)), "CM1", IF(ISNUMBER(SEARCH("CM2", FMECA!AC55)), "CM2", IF(ISNUMBER(SEARCH("CM3", FMECA!AC55)), "CM3", "Not Applicable"))))</f>
        <v>CM2</v>
      </c>
      <c r="I53" s="134">
        <f t="shared" si="0"/>
        <v>0</v>
      </c>
      <c r="J53" s="134">
        <f t="shared" si="1"/>
        <v>0</v>
      </c>
      <c r="K53" s="134">
        <f t="shared" si="2"/>
        <v>0</v>
      </c>
      <c r="L53" s="134">
        <f t="shared" si="3"/>
        <v>0</v>
      </c>
      <c r="M53" s="134">
        <f t="shared" si="4"/>
        <v>7.0465531318791983E-9</v>
      </c>
      <c r="N53" s="134">
        <f t="shared" si="5"/>
        <v>0</v>
      </c>
      <c r="O53" s="134">
        <f t="shared" si="6"/>
        <v>0</v>
      </c>
      <c r="P53" s="134">
        <f t="shared" si="7"/>
        <v>0</v>
      </c>
      <c r="Q53" s="134">
        <f t="shared" si="8"/>
        <v>0</v>
      </c>
    </row>
    <row r="54" spans="1:17">
      <c r="A54" s="132" t="str">
        <f>FMECA!A56</f>
        <v>OC1_Sys</v>
      </c>
      <c r="B54" s="133" t="str">
        <f>FMECA!B56</f>
        <v>Increase of leakage current</v>
      </c>
      <c r="C54" s="133">
        <f>FMECA!E56</f>
        <v>1.0569830120612003E-8</v>
      </c>
      <c r="D54" s="132" t="str">
        <f>FMECA!H56</f>
        <v>Safe</v>
      </c>
      <c r="E54" s="132" t="str">
        <f>IF(ISNUMBER(SEARCH("Yes",FMECA!K56)),"Yes",IF(FMECA!K56="No","No",IF(ISNUMBER(SEARCH("No; impactless.",FMECA!K56)),"Impactless",IF(ISNUMBER(SEARCH("Outside the scope",FMECA!K56)),"Outside Scope",IF(ISNUMBER(SEARCH("Maybe",FMECA!K56)),"Maybe","Not Applicable")))))</f>
        <v>Maybe</v>
      </c>
      <c r="F54" s="132" t="s">
        <v>729</v>
      </c>
      <c r="G54" s="132" t="str">
        <f>IF(ISNUMBER(SEARCH("Yes",FMECA!L56)),"Yes",IF(FMECA!L56="No","No",IF(ISNUMBER(SEARCH("No; impactless.",FMECA!L56)),"Impactless","Not Applicable")))</f>
        <v>No</v>
      </c>
      <c r="H54" s="132" t="str">
        <f>IF(ISNUMBER(SEARCH("CM0", FMECA!AC56)), "CM0", IF(ISNUMBER(SEARCH("CM1", FMECA!AC56)), "CM1", IF(ISNUMBER(SEARCH("CM2", FMECA!AC56)), "CM2", IF(ISNUMBER(SEARCH("CM3", FMECA!AC56)), "CM3", "Not Applicable"))))</f>
        <v>CM2</v>
      </c>
      <c r="I54" s="134">
        <f t="shared" si="0"/>
        <v>0</v>
      </c>
      <c r="J54" s="134">
        <f t="shared" si="1"/>
        <v>0</v>
      </c>
      <c r="K54" s="134">
        <f t="shared" si="2"/>
        <v>0</v>
      </c>
      <c r="L54" s="134">
        <f t="shared" si="3"/>
        <v>0</v>
      </c>
      <c r="M54" s="134">
        <f t="shared" si="4"/>
        <v>1.0569830120612003E-8</v>
      </c>
      <c r="N54" s="134">
        <f t="shared" si="5"/>
        <v>0</v>
      </c>
      <c r="O54" s="134">
        <f t="shared" si="6"/>
        <v>0</v>
      </c>
      <c r="P54" s="134">
        <f t="shared" si="7"/>
        <v>0</v>
      </c>
      <c r="Q54" s="134">
        <f t="shared" si="8"/>
        <v>0</v>
      </c>
    </row>
    <row r="55" spans="1:17">
      <c r="A55" s="132" t="str">
        <f>FMECA!A57</f>
        <v>OC1_Sys</v>
      </c>
      <c r="B55" s="133" t="str">
        <f>FMECA!B57</f>
        <v>Reduced insulation between input and output</v>
      </c>
      <c r="C55" s="133">
        <f>FMECA!E57</f>
        <v>1.0569830120612003E-8</v>
      </c>
      <c r="D55" s="132" t="str">
        <f>FMECA!H57</f>
        <v>Safe</v>
      </c>
      <c r="E55" s="132" t="str">
        <f>IF(ISNUMBER(SEARCH("Yes",FMECA!K57)),"Yes",IF(FMECA!K57="No","No",IF(ISNUMBER(SEARCH("No; impactless.",FMECA!K57)),"Impactless",IF(ISNUMBER(SEARCH("Outside the scope",FMECA!K57)),"Outside Scope",IF(ISNUMBER(SEARCH("Maybe",FMECA!K57)),"Maybe","Not Applicable")))))</f>
        <v>Yes</v>
      </c>
      <c r="F55" s="132" t="s">
        <v>728</v>
      </c>
      <c r="G55" s="132" t="str">
        <f>IF(ISNUMBER(SEARCH("Yes",FMECA!L57)),"Yes",IF(FMECA!L57="No","No",IF(ISNUMBER(SEARCH("No; impactless.",FMECA!L57)),"Impactless","Not Applicable")))</f>
        <v>No</v>
      </c>
      <c r="H55" s="132" t="str">
        <f>IF(ISNUMBER(SEARCH("CM0", FMECA!AC57)), "CM0", IF(ISNUMBER(SEARCH("CM1", FMECA!AC57)), "CM1", IF(ISNUMBER(SEARCH("CM2", FMECA!AC57)), "CM2", IF(ISNUMBER(SEARCH("CM3", FMECA!AC57)), "CM3", "Not Applicable"))))</f>
        <v>Not Applicable</v>
      </c>
      <c r="I55" s="134">
        <f t="shared" si="0"/>
        <v>1.0569830120612003E-8</v>
      </c>
      <c r="J55" s="134">
        <f t="shared" si="1"/>
        <v>0</v>
      </c>
      <c r="K55" s="134">
        <f t="shared" si="2"/>
        <v>0</v>
      </c>
      <c r="L55" s="134">
        <f t="shared" si="3"/>
        <v>0</v>
      </c>
      <c r="M55" s="134">
        <f t="shared" si="4"/>
        <v>0</v>
      </c>
      <c r="N55" s="134">
        <f t="shared" si="5"/>
        <v>0</v>
      </c>
      <c r="O55" s="134">
        <f t="shared" si="6"/>
        <v>0</v>
      </c>
      <c r="P55" s="134">
        <f t="shared" si="7"/>
        <v>0</v>
      </c>
      <c r="Q55" s="134">
        <f t="shared" si="8"/>
        <v>0</v>
      </c>
    </row>
    <row r="56" spans="1:17">
      <c r="A56" s="132" t="str">
        <f>FMECA!A58</f>
        <v>OC1_Sys</v>
      </c>
      <c r="B56" s="133" t="str">
        <f>FMECA!B58</f>
        <v>Change on switching time</v>
      </c>
      <c r="C56" s="133">
        <f>FMECA!E58</f>
        <v>7.0465531318791983E-9</v>
      </c>
      <c r="D56" s="132" t="str">
        <f>FMECA!H58</f>
        <v>Safe</v>
      </c>
      <c r="E56" s="132" t="str">
        <f>IF(ISNUMBER(SEARCH("Yes",FMECA!K58)),"Yes",IF(FMECA!K58="No","No",IF(ISNUMBER(SEARCH("No; impactless.",FMECA!K58)),"Impactless",IF(ISNUMBER(SEARCH("Outside the scope",FMECA!K58)),"Outside Scope",IF(ISNUMBER(SEARCH("Maybe",FMECA!K58)),"Maybe","Not Applicable")))))</f>
        <v>Yes</v>
      </c>
      <c r="F56" s="132" t="s">
        <v>728</v>
      </c>
      <c r="G56" s="132" t="str">
        <f>IF(ISNUMBER(SEARCH("Yes",FMECA!L58)),"Yes",IF(FMECA!L58="No","No",IF(ISNUMBER(SEARCH("No; impactless.",FMECA!L58)),"Impactless","Not Applicable")))</f>
        <v>No</v>
      </c>
      <c r="H56" s="132" t="str">
        <f>IF(ISNUMBER(SEARCH("CM0", FMECA!AC58)), "CM0", IF(ISNUMBER(SEARCH("CM1", FMECA!AC58)), "CM1", IF(ISNUMBER(SEARCH("CM2", FMECA!AC58)), "CM2", IF(ISNUMBER(SEARCH("CM3", FMECA!AC58)), "CM3", "Not Applicable"))))</f>
        <v>Not Applicable</v>
      </c>
      <c r="I56" s="134">
        <f t="shared" si="0"/>
        <v>7.0465531318791983E-9</v>
      </c>
      <c r="J56" s="134">
        <f t="shared" si="1"/>
        <v>0</v>
      </c>
      <c r="K56" s="134">
        <f t="shared" si="2"/>
        <v>0</v>
      </c>
      <c r="L56" s="134">
        <f t="shared" si="3"/>
        <v>0</v>
      </c>
      <c r="M56" s="134">
        <f t="shared" si="4"/>
        <v>0</v>
      </c>
      <c r="N56" s="134">
        <f t="shared" si="5"/>
        <v>0</v>
      </c>
      <c r="O56" s="134">
        <f t="shared" si="6"/>
        <v>0</v>
      </c>
      <c r="P56" s="134">
        <f t="shared" si="7"/>
        <v>0</v>
      </c>
      <c r="Q56" s="134">
        <f t="shared" si="8"/>
        <v>0</v>
      </c>
    </row>
    <row r="57" spans="1:17">
      <c r="A57" s="132" t="str">
        <f>FMECA!A59</f>
        <v>OC1_Sys</v>
      </c>
      <c r="B57" s="133" t="str">
        <f>FMECA!B59</f>
        <v>Increase of current gain</v>
      </c>
      <c r="C57" s="133">
        <f>FMECA!E59</f>
        <v>7.0465531318791983E-9</v>
      </c>
      <c r="D57" s="132" t="str">
        <f>FMECA!H59</f>
        <v>Safe</v>
      </c>
      <c r="E57" s="132" t="str">
        <f>IF(ISNUMBER(SEARCH("Yes",FMECA!K59)),"Yes",IF(FMECA!K59="No","No",IF(ISNUMBER(SEARCH("No; impactless.",FMECA!K59)),"Impactless",IF(ISNUMBER(SEARCH("Outside the scope",FMECA!K59)),"Outside Scope",IF(ISNUMBER(SEARCH("Maybe",FMECA!K59)),"Maybe","Not Applicable")))))</f>
        <v>Impactless</v>
      </c>
      <c r="F57" s="132" t="s">
        <v>728</v>
      </c>
      <c r="G57" s="132" t="str">
        <f>IF(ISNUMBER(SEARCH("Yes",FMECA!L59)),"Yes",IF(FMECA!L59="No","No",IF(ISNUMBER(SEARCH("No; impactless.",FMECA!L59)),"Impactless","Not Applicable")))</f>
        <v>Impactless</v>
      </c>
      <c r="H57" s="132" t="str">
        <f>IF(ISNUMBER(SEARCH("CM0", FMECA!AC59)), "CM0", IF(ISNUMBER(SEARCH("CM1", FMECA!AC59)), "CM1", IF(ISNUMBER(SEARCH("CM2", FMECA!AC59)), "CM2", IF(ISNUMBER(SEARCH("CM3", FMECA!AC59)), "CM3", "Not Applicable"))))</f>
        <v>Not Applicable</v>
      </c>
      <c r="I57" s="134">
        <f t="shared" si="0"/>
        <v>0</v>
      </c>
      <c r="J57" s="134">
        <f t="shared" si="1"/>
        <v>0</v>
      </c>
      <c r="K57" s="134">
        <f t="shared" si="2"/>
        <v>0</v>
      </c>
      <c r="L57" s="134">
        <f t="shared" si="3"/>
        <v>0</v>
      </c>
      <c r="M57" s="134">
        <f t="shared" si="4"/>
        <v>0</v>
      </c>
      <c r="N57" s="134">
        <f t="shared" si="5"/>
        <v>0</v>
      </c>
      <c r="O57" s="134">
        <f t="shared" si="6"/>
        <v>0</v>
      </c>
      <c r="P57" s="134">
        <f t="shared" si="7"/>
        <v>0</v>
      </c>
      <c r="Q57" s="134">
        <f t="shared" si="8"/>
        <v>0</v>
      </c>
    </row>
    <row r="58" spans="1:17">
      <c r="A58" s="132" t="str">
        <f>FMECA!A60</f>
        <v>OC1_Sys</v>
      </c>
      <c r="B58" s="133" t="str">
        <f>FMECA!B60</f>
        <v>Decrease of current gain</v>
      </c>
      <c r="C58" s="133">
        <f>FMECA!E60</f>
        <v>7.0465531318791983E-9</v>
      </c>
      <c r="D58" s="132" t="str">
        <f>FMECA!H60</f>
        <v>Safe</v>
      </c>
      <c r="E58" s="132" t="str">
        <f>IF(ISNUMBER(SEARCH("Yes",FMECA!K60)),"Yes",IF(FMECA!K60="No","No",IF(ISNUMBER(SEARCH("No; impactless.",FMECA!K60)),"Impactless",IF(ISNUMBER(SEARCH("Outside the scope",FMECA!K60)),"Outside Scope",IF(ISNUMBER(SEARCH("Maybe",FMECA!K60)),"Maybe","Not Applicable")))))</f>
        <v>Maybe</v>
      </c>
      <c r="F58" s="132" t="s">
        <v>729</v>
      </c>
      <c r="G58" s="132" t="str">
        <f>IF(ISNUMBER(SEARCH("Yes",FMECA!L60)),"Yes",IF(FMECA!L60="No","No",IF(ISNUMBER(SEARCH("No; impactless.",FMECA!L60)),"Impactless","Not Applicable")))</f>
        <v>No</v>
      </c>
      <c r="H58" s="132" t="str">
        <f>IF(ISNUMBER(SEARCH("CM0", FMECA!AC60)), "CM0", IF(ISNUMBER(SEARCH("CM1", FMECA!AC60)), "CM1", IF(ISNUMBER(SEARCH("CM2", FMECA!AC60)), "CM2", IF(ISNUMBER(SEARCH("CM3", FMECA!AC60)), "CM3", "Not Applicable"))))</f>
        <v>CM2</v>
      </c>
      <c r="I58" s="134">
        <f t="shared" si="0"/>
        <v>0</v>
      </c>
      <c r="J58" s="134">
        <f t="shared" si="1"/>
        <v>0</v>
      </c>
      <c r="K58" s="134">
        <f t="shared" si="2"/>
        <v>0</v>
      </c>
      <c r="L58" s="134">
        <f t="shared" si="3"/>
        <v>0</v>
      </c>
      <c r="M58" s="134">
        <f t="shared" si="4"/>
        <v>7.0465531318791983E-9</v>
      </c>
      <c r="N58" s="134">
        <f t="shared" si="5"/>
        <v>0</v>
      </c>
      <c r="O58" s="134">
        <f t="shared" si="6"/>
        <v>0</v>
      </c>
      <c r="P58" s="134">
        <f t="shared" si="7"/>
        <v>0</v>
      </c>
      <c r="Q58" s="134">
        <f t="shared" si="8"/>
        <v>0</v>
      </c>
    </row>
    <row r="59" spans="1:17">
      <c r="A59" s="132" t="str">
        <f>FMECA!A61</f>
        <v>R2_Sys</v>
      </c>
      <c r="B59" s="133" t="str">
        <f>FMECA!B61</f>
        <v>Open</v>
      </c>
      <c r="C59" s="133">
        <f>FMECA!E61</f>
        <v>2.4551082459100113E-9</v>
      </c>
      <c r="D59" s="132" t="str">
        <f>FMECA!H61</f>
        <v>Safe</v>
      </c>
      <c r="E59" s="132" t="str">
        <f>IF(ISNUMBER(SEARCH("Yes",FMECA!K61)),"Yes",IF(FMECA!K61="No","No",IF(ISNUMBER(SEARCH("No; impactless.",FMECA!K61)),"Impactless",IF(ISNUMBER(SEARCH("Outside the scope",FMECA!K61)),"Outside Scope",IF(ISNUMBER(SEARCH("Maybe",FMECA!K61)),"Maybe","Not Applicable")))))</f>
        <v>Outside Scope</v>
      </c>
      <c r="F59" s="132" t="s">
        <v>728</v>
      </c>
      <c r="G59" s="132" t="str">
        <f>IF(ISNUMBER(SEARCH("Yes",FMECA!L61)),"Yes",IF(FMECA!L61="No","No",IF(ISNUMBER(SEARCH("No; impactless.",FMECA!L61)),"Impactless","Not Applicable")))</f>
        <v>No</v>
      </c>
      <c r="H59" s="132" t="str">
        <f>IF(ISNUMBER(SEARCH("CM0", FMECA!AC61)), "CM0", IF(ISNUMBER(SEARCH("CM1", FMECA!AC61)), "CM1", IF(ISNUMBER(SEARCH("CM2", FMECA!AC61)), "CM2", IF(ISNUMBER(SEARCH("CM3", FMECA!AC61)), "CM3", "Not Applicable"))))</f>
        <v>Not Applicable</v>
      </c>
      <c r="I59" s="134">
        <f t="shared" si="0"/>
        <v>0</v>
      </c>
      <c r="J59" s="134">
        <f t="shared" si="1"/>
        <v>0</v>
      </c>
      <c r="K59" s="134">
        <f t="shared" si="2"/>
        <v>0</v>
      </c>
      <c r="L59" s="134">
        <f t="shared" si="3"/>
        <v>2.4551082459100113E-9</v>
      </c>
      <c r="M59" s="134">
        <f t="shared" si="4"/>
        <v>0</v>
      </c>
      <c r="N59" s="134">
        <f t="shared" si="5"/>
        <v>0</v>
      </c>
      <c r="O59" s="134">
        <f t="shared" si="6"/>
        <v>0</v>
      </c>
      <c r="P59" s="134">
        <f t="shared" si="7"/>
        <v>0</v>
      </c>
      <c r="Q59" s="134">
        <f t="shared" si="8"/>
        <v>0</v>
      </c>
    </row>
    <row r="60" spans="1:17">
      <c r="A60" s="132" t="str">
        <f>FMECA!A62</f>
        <v>R2_Sys</v>
      </c>
      <c r="B60" s="133" t="str">
        <f>FMECA!B62</f>
        <v>Short-Circuit</v>
      </c>
      <c r="C60" s="133">
        <f>FMECA!E62</f>
        <v>2.080600208398315E-10</v>
      </c>
      <c r="D60" s="132" t="str">
        <f>FMECA!H62</f>
        <v>Safe</v>
      </c>
      <c r="E60" s="132" t="str">
        <f>IF(ISNUMBER(SEARCH("Yes",FMECA!K62)),"Yes",IF(FMECA!K62="No","No",IF(ISNUMBER(SEARCH("No; impactless.",FMECA!K62)),"Impactless",IF(ISNUMBER(SEARCH("Outside the scope",FMECA!K62)),"Outside Scope",IF(ISNUMBER(SEARCH("Maybe",FMECA!K62)),"Maybe","Not Applicable")))))</f>
        <v>Yes</v>
      </c>
      <c r="F60" s="132" t="s">
        <v>728</v>
      </c>
      <c r="G60" s="132" t="str">
        <f>IF(ISNUMBER(SEARCH("Yes",FMECA!L62)),"Yes",IF(FMECA!L62="No","No",IF(ISNUMBER(SEARCH("No; impactless.",FMECA!L62)),"Impactless","Not Applicable")))</f>
        <v>No</v>
      </c>
      <c r="H60" s="132" t="str">
        <f>IF(ISNUMBER(SEARCH("CM0", FMECA!AC62)), "CM0", IF(ISNUMBER(SEARCH("CM1", FMECA!AC62)), "CM1", IF(ISNUMBER(SEARCH("CM2", FMECA!AC62)), "CM2", IF(ISNUMBER(SEARCH("CM3", FMECA!AC62)), "CM3", "Not Applicable"))))</f>
        <v>Not Applicable</v>
      </c>
      <c r="I60" s="134">
        <f t="shared" si="0"/>
        <v>2.080600208398315E-10</v>
      </c>
      <c r="J60" s="134">
        <f t="shared" si="1"/>
        <v>0</v>
      </c>
      <c r="K60" s="134">
        <f t="shared" si="2"/>
        <v>0</v>
      </c>
      <c r="L60" s="134">
        <f t="shared" si="3"/>
        <v>0</v>
      </c>
      <c r="M60" s="134">
        <f t="shared" si="4"/>
        <v>0</v>
      </c>
      <c r="N60" s="134">
        <f t="shared" si="5"/>
        <v>0</v>
      </c>
      <c r="O60" s="134">
        <f t="shared" si="6"/>
        <v>0</v>
      </c>
      <c r="P60" s="134">
        <f t="shared" si="7"/>
        <v>0</v>
      </c>
      <c r="Q60" s="134">
        <f t="shared" si="8"/>
        <v>0</v>
      </c>
    </row>
    <row r="61" spans="1:17">
      <c r="A61" s="132" t="str">
        <f>FMECA!A63</f>
        <v>R2_Sys</v>
      </c>
      <c r="B61" s="133" t="str">
        <f>FMECA!B63</f>
        <v>Increase of Resistance Value</v>
      </c>
      <c r="C61" s="133">
        <f>FMECA!E63</f>
        <v>7.4901607502339334E-10</v>
      </c>
      <c r="D61" s="132" t="str">
        <f>FMECA!H63</f>
        <v>Safe</v>
      </c>
      <c r="E61" s="132" t="str">
        <f>IF(ISNUMBER(SEARCH("Yes",FMECA!K63)),"Yes",IF(FMECA!K63="No","No",IF(ISNUMBER(SEARCH("No; impactless.",FMECA!K63)),"Impactless",IF(ISNUMBER(SEARCH("Outside the scope",FMECA!K63)),"Outside Scope",IF(ISNUMBER(SEARCH("Maybe",FMECA!K63)),"Maybe","Not Applicable")))))</f>
        <v>Outside Scope</v>
      </c>
      <c r="F61" s="132" t="s">
        <v>728</v>
      </c>
      <c r="G61" s="132" t="str">
        <f>IF(ISNUMBER(SEARCH("Yes",FMECA!L63)),"Yes",IF(FMECA!L63="No","No",IF(ISNUMBER(SEARCH("No; impactless.",FMECA!L63)),"Impactless","Not Applicable")))</f>
        <v>No</v>
      </c>
      <c r="H61" s="132" t="str">
        <f>IF(ISNUMBER(SEARCH("CM0", FMECA!AC63)), "CM0", IF(ISNUMBER(SEARCH("CM1", FMECA!AC63)), "CM1", IF(ISNUMBER(SEARCH("CM2", FMECA!AC63)), "CM2", IF(ISNUMBER(SEARCH("CM3", FMECA!AC63)), "CM3", "Not Applicable"))))</f>
        <v>Not Applicable</v>
      </c>
      <c r="I61" s="134">
        <f t="shared" si="0"/>
        <v>0</v>
      </c>
      <c r="J61" s="134">
        <f t="shared" si="1"/>
        <v>0</v>
      </c>
      <c r="K61" s="134">
        <f t="shared" si="2"/>
        <v>0</v>
      </c>
      <c r="L61" s="134">
        <f t="shared" si="3"/>
        <v>7.4901607502339334E-10</v>
      </c>
      <c r="M61" s="134">
        <f t="shared" si="4"/>
        <v>0</v>
      </c>
      <c r="N61" s="134">
        <f t="shared" si="5"/>
        <v>0</v>
      </c>
      <c r="O61" s="134">
        <f t="shared" si="6"/>
        <v>0</v>
      </c>
      <c r="P61" s="134">
        <f t="shared" si="7"/>
        <v>0</v>
      </c>
      <c r="Q61" s="134">
        <f t="shared" si="8"/>
        <v>0</v>
      </c>
    </row>
    <row r="62" spans="1:17">
      <c r="A62" s="132" t="str">
        <f>FMECA!A64</f>
        <v>R2_Sys</v>
      </c>
      <c r="B62" s="133" t="str">
        <f>FMECA!B64</f>
        <v>Decrease of Resistance Value</v>
      </c>
      <c r="C62" s="133">
        <f>FMECA!E64</f>
        <v>7.4901607502339334E-10</v>
      </c>
      <c r="D62" s="132" t="str">
        <f>FMECA!H64</f>
        <v>Safe</v>
      </c>
      <c r="E62" s="132" t="str">
        <f>IF(ISNUMBER(SEARCH("Yes",FMECA!K64)),"Yes",IF(FMECA!K64="No","No",IF(ISNUMBER(SEARCH("No; impactless.",FMECA!K64)),"Impactless",IF(ISNUMBER(SEARCH("Outside the scope",FMECA!K64)),"Outside Scope",IF(ISNUMBER(SEARCH("Maybe",FMECA!K64)),"Maybe","Not Applicable")))))</f>
        <v>Yes</v>
      </c>
      <c r="F62" s="132" t="s">
        <v>728</v>
      </c>
      <c r="G62" s="132" t="str">
        <f>IF(ISNUMBER(SEARCH("Yes",FMECA!L64)),"Yes",IF(FMECA!L64="No","No",IF(ISNUMBER(SEARCH("No; impactless.",FMECA!L64)),"Impactless","Not Applicable")))</f>
        <v>No</v>
      </c>
      <c r="H62" s="132" t="str">
        <f>IF(ISNUMBER(SEARCH("CM0", FMECA!AC64)), "CM0", IF(ISNUMBER(SEARCH("CM1", FMECA!AC64)), "CM1", IF(ISNUMBER(SEARCH("CM2", FMECA!AC64)), "CM2", IF(ISNUMBER(SEARCH("CM3", FMECA!AC64)), "CM3", "Not Applicable"))))</f>
        <v>Not Applicable</v>
      </c>
      <c r="I62" s="134">
        <f t="shared" si="0"/>
        <v>7.4901607502339334E-10</v>
      </c>
      <c r="J62" s="134">
        <f t="shared" si="1"/>
        <v>0</v>
      </c>
      <c r="K62" s="134">
        <f t="shared" si="2"/>
        <v>0</v>
      </c>
      <c r="L62" s="134">
        <f t="shared" si="3"/>
        <v>0</v>
      </c>
      <c r="M62" s="134">
        <f t="shared" si="4"/>
        <v>0</v>
      </c>
      <c r="N62" s="134">
        <f t="shared" si="5"/>
        <v>0</v>
      </c>
      <c r="O62" s="134">
        <f t="shared" si="6"/>
        <v>0</v>
      </c>
      <c r="P62" s="134">
        <f t="shared" si="7"/>
        <v>0</v>
      </c>
      <c r="Q62" s="134">
        <f t="shared" si="8"/>
        <v>0</v>
      </c>
    </row>
    <row r="63" spans="1:17">
      <c r="A63" s="132" t="str">
        <f>FMECA!A65</f>
        <v>R2_Sys</v>
      </c>
      <c r="B63" s="133" t="str">
        <f>FMECA!B65</f>
        <v>Short-Circuit to Casing</v>
      </c>
      <c r="C63" s="133">
        <f>FMECA!E65</f>
        <v>0</v>
      </c>
      <c r="D63" s="132" t="str">
        <f>FMECA!H65</f>
        <v>Safe</v>
      </c>
      <c r="E63" s="132" t="str">
        <f>IF(ISNUMBER(SEARCH("Yes",FMECA!K65)),"Yes",IF(FMECA!K65="No","No",IF(ISNUMBER(SEARCH("No; impactless.",FMECA!K65)),"Impactless",IF(ISNUMBER(SEARCH("Outside the scope",FMECA!K65)),"Outside Scope",IF(ISNUMBER(SEARCH("Maybe",FMECA!K65)),"Maybe","Not Applicable")))))</f>
        <v>Impactless</v>
      </c>
      <c r="F63" s="132" t="s">
        <v>728</v>
      </c>
      <c r="G63" s="132" t="str">
        <f>IF(ISNUMBER(SEARCH("Yes",FMECA!L65)),"Yes",IF(FMECA!L65="No","No",IF(ISNUMBER(SEARCH("No; impactless.",FMECA!L65)),"Impactless","Not Applicable")))</f>
        <v>Impactless</v>
      </c>
      <c r="H63" s="132" t="str">
        <f>IF(ISNUMBER(SEARCH("CM0", FMECA!AC65)), "CM0", IF(ISNUMBER(SEARCH("CM1", FMECA!AC65)), "CM1", IF(ISNUMBER(SEARCH("CM2", FMECA!AC65)), "CM2", IF(ISNUMBER(SEARCH("CM3", FMECA!AC65)), "CM3", "Not Applicable"))))</f>
        <v>Not Applicable</v>
      </c>
      <c r="I63" s="134">
        <f t="shared" si="0"/>
        <v>0</v>
      </c>
      <c r="J63" s="134">
        <f t="shared" si="1"/>
        <v>0</v>
      </c>
      <c r="K63" s="134">
        <f t="shared" si="2"/>
        <v>0</v>
      </c>
      <c r="L63" s="134">
        <f t="shared" si="3"/>
        <v>0</v>
      </c>
      <c r="M63" s="134">
        <f t="shared" si="4"/>
        <v>0</v>
      </c>
      <c r="N63" s="134">
        <f t="shared" si="5"/>
        <v>0</v>
      </c>
      <c r="O63" s="134">
        <f t="shared" si="6"/>
        <v>0</v>
      </c>
      <c r="P63" s="134">
        <f t="shared" si="7"/>
        <v>0</v>
      </c>
      <c r="Q63" s="134">
        <f t="shared" si="8"/>
        <v>0</v>
      </c>
    </row>
    <row r="64" spans="1:17">
      <c r="A64" s="132" t="str">
        <f>FMECA!A66</f>
        <v>OC2_Sys</v>
      </c>
      <c r="B64" s="133" t="str">
        <f>FMECA!B66</f>
        <v>Open diode</v>
      </c>
      <c r="C64" s="133">
        <f>FMECA!E66</f>
        <v>7.0465531318791983E-9</v>
      </c>
      <c r="D64" s="132" t="str">
        <f>FMECA!H66</f>
        <v>Safe</v>
      </c>
      <c r="E64" s="132" t="str">
        <f>IF(ISNUMBER(SEARCH("Yes",FMECA!K66)),"Yes",IF(FMECA!K66="No","No",IF(ISNUMBER(SEARCH("No; impactless.",FMECA!K66)),"Impactless",IF(ISNUMBER(SEARCH("Outside the scope",FMECA!K66)),"Outside Scope",IF(ISNUMBER(SEARCH("Maybe",FMECA!K66)),"Maybe","Not Applicable")))))</f>
        <v>Yes</v>
      </c>
      <c r="F64" s="132" t="s">
        <v>728</v>
      </c>
      <c r="G64" s="132" t="str">
        <f>IF(ISNUMBER(SEARCH("Yes",FMECA!L66)),"Yes",IF(FMECA!L66="No","No",IF(ISNUMBER(SEARCH("No; impactless.",FMECA!L66)),"Impactless","Not Applicable")))</f>
        <v>No</v>
      </c>
      <c r="H64" s="132" t="str">
        <f>IF(ISNUMBER(SEARCH("CM0", FMECA!AC66)), "CM0", IF(ISNUMBER(SEARCH("CM1", FMECA!AC66)), "CM1", IF(ISNUMBER(SEARCH("CM2", FMECA!AC66)), "CM2", IF(ISNUMBER(SEARCH("CM3", FMECA!AC66)), "CM3", "Not Applicable"))))</f>
        <v>Not Applicable</v>
      </c>
      <c r="I64" s="134">
        <f t="shared" si="0"/>
        <v>7.0465531318791983E-9</v>
      </c>
      <c r="J64" s="134">
        <f t="shared" si="1"/>
        <v>0</v>
      </c>
      <c r="K64" s="134">
        <f t="shared" si="2"/>
        <v>0</v>
      </c>
      <c r="L64" s="134">
        <f t="shared" si="3"/>
        <v>0</v>
      </c>
      <c r="M64" s="134">
        <f t="shared" si="4"/>
        <v>0</v>
      </c>
      <c r="N64" s="134">
        <f t="shared" si="5"/>
        <v>0</v>
      </c>
      <c r="O64" s="134">
        <f t="shared" si="6"/>
        <v>0</v>
      </c>
      <c r="P64" s="134">
        <f t="shared" si="7"/>
        <v>0</v>
      </c>
      <c r="Q64" s="134">
        <f t="shared" si="8"/>
        <v>0</v>
      </c>
    </row>
    <row r="65" spans="1:17">
      <c r="A65" s="132" t="str">
        <f>FMECA!A67</f>
        <v>OC2_Sys</v>
      </c>
      <c r="B65" s="133" t="str">
        <f>FMECA!B67</f>
        <v>Open emitter</v>
      </c>
      <c r="C65" s="133">
        <f>FMECA!E67</f>
        <v>7.0465531318791983E-9</v>
      </c>
      <c r="D65" s="132" t="str">
        <f>FMECA!H67</f>
        <v>Safe</v>
      </c>
      <c r="E65" s="132" t="str">
        <f>IF(ISNUMBER(SEARCH("Yes",FMECA!K67)),"Yes",IF(FMECA!K67="No","No",IF(ISNUMBER(SEARCH("No; impactless.",FMECA!K67)),"Impactless",IF(ISNUMBER(SEARCH("Outside the scope",FMECA!K67)),"Outside Scope",IF(ISNUMBER(SEARCH("Maybe",FMECA!K67)),"Maybe","Not Applicable")))))</f>
        <v>Yes</v>
      </c>
      <c r="F65" s="132" t="s">
        <v>728</v>
      </c>
      <c r="G65" s="132" t="str">
        <f>IF(ISNUMBER(SEARCH("Yes",FMECA!L67)),"Yes",IF(FMECA!L67="No","No",IF(ISNUMBER(SEARCH("No; impactless.",FMECA!L67)),"Impactless","Not Applicable")))</f>
        <v>No</v>
      </c>
      <c r="H65" s="132" t="str">
        <f>IF(ISNUMBER(SEARCH("CM0", FMECA!AC67)), "CM0", IF(ISNUMBER(SEARCH("CM1", FMECA!AC67)), "CM1", IF(ISNUMBER(SEARCH("CM2", FMECA!AC67)), "CM2", IF(ISNUMBER(SEARCH("CM3", FMECA!AC67)), "CM3", "Not Applicable"))))</f>
        <v>Not Applicable</v>
      </c>
      <c r="I65" s="134">
        <f t="shared" si="0"/>
        <v>7.0465531318791983E-9</v>
      </c>
      <c r="J65" s="134">
        <f t="shared" si="1"/>
        <v>0</v>
      </c>
      <c r="K65" s="134">
        <f t="shared" si="2"/>
        <v>0</v>
      </c>
      <c r="L65" s="134">
        <f t="shared" si="3"/>
        <v>0</v>
      </c>
      <c r="M65" s="134">
        <f t="shared" si="4"/>
        <v>0</v>
      </c>
      <c r="N65" s="134">
        <f t="shared" si="5"/>
        <v>0</v>
      </c>
      <c r="O65" s="134">
        <f t="shared" si="6"/>
        <v>0</v>
      </c>
      <c r="P65" s="134">
        <f t="shared" si="7"/>
        <v>0</v>
      </c>
      <c r="Q65" s="134">
        <f t="shared" si="8"/>
        <v>0</v>
      </c>
    </row>
    <row r="66" spans="1:17">
      <c r="A66" s="132" t="str">
        <f>FMECA!A68</f>
        <v>OC2_Sys</v>
      </c>
      <c r="B66" s="133" t="str">
        <f>FMECA!B68</f>
        <v>Open collector</v>
      </c>
      <c r="C66" s="133">
        <f>FMECA!E68</f>
        <v>7.0465531318791983E-9</v>
      </c>
      <c r="D66" s="132" t="str">
        <f>FMECA!H68</f>
        <v>Safe</v>
      </c>
      <c r="E66" s="132" t="str">
        <f>IF(ISNUMBER(SEARCH("Yes",FMECA!K68)),"Yes",IF(FMECA!K68="No","No",IF(ISNUMBER(SEARCH("No; impactless.",FMECA!K68)),"Impactless",IF(ISNUMBER(SEARCH("Outside the scope",FMECA!K68)),"Outside Scope",IF(ISNUMBER(SEARCH("Maybe",FMECA!K68)),"Maybe","Not Applicable")))))</f>
        <v>Yes</v>
      </c>
      <c r="F66" s="132" t="s">
        <v>728</v>
      </c>
      <c r="G66" s="132" t="str">
        <f>IF(ISNUMBER(SEARCH("Yes",FMECA!L68)),"Yes",IF(FMECA!L68="No","No",IF(ISNUMBER(SEARCH("No; impactless.",FMECA!L68)),"Impactless","Not Applicable")))</f>
        <v>No</v>
      </c>
      <c r="H66" s="132" t="str">
        <f>IF(ISNUMBER(SEARCH("CM0", FMECA!AC68)), "CM0", IF(ISNUMBER(SEARCH("CM1", FMECA!AC68)), "CM1", IF(ISNUMBER(SEARCH("CM2", FMECA!AC68)), "CM2", IF(ISNUMBER(SEARCH("CM3", FMECA!AC68)), "CM3", "Not Applicable"))))</f>
        <v>Not Applicable</v>
      </c>
      <c r="I66" s="134">
        <f t="shared" si="0"/>
        <v>7.0465531318791983E-9</v>
      </c>
      <c r="J66" s="134">
        <f t="shared" si="1"/>
        <v>0</v>
      </c>
      <c r="K66" s="134">
        <f t="shared" si="2"/>
        <v>0</v>
      </c>
      <c r="L66" s="134">
        <f t="shared" si="3"/>
        <v>0</v>
      </c>
      <c r="M66" s="134">
        <f t="shared" si="4"/>
        <v>0</v>
      </c>
      <c r="N66" s="134">
        <f t="shared" si="5"/>
        <v>0</v>
      </c>
      <c r="O66" s="134">
        <f t="shared" si="6"/>
        <v>0</v>
      </c>
      <c r="P66" s="134">
        <f t="shared" si="7"/>
        <v>0</v>
      </c>
      <c r="Q66" s="134">
        <f t="shared" si="8"/>
        <v>0</v>
      </c>
    </row>
    <row r="67" spans="1:17">
      <c r="A67" s="132" t="str">
        <f>FMECA!A69</f>
        <v>OC2_Sys</v>
      </c>
      <c r="B67" s="133" t="str">
        <f>FMECA!B69</f>
        <v>Open base</v>
      </c>
      <c r="C67" s="133">
        <f>FMECA!E69</f>
        <v>7.0465531318791983E-9</v>
      </c>
      <c r="D67" s="132" t="str">
        <f>FMECA!H69</f>
        <v>Safe</v>
      </c>
      <c r="E67" s="132" t="str">
        <f>IF(ISNUMBER(SEARCH("Yes",FMECA!K69)),"Yes",IF(FMECA!K69="No","No",IF(ISNUMBER(SEARCH("No; impactless.",FMECA!K69)),"Impactless",IF(ISNUMBER(SEARCH("Outside the scope",FMECA!K69)),"Outside Scope",IF(ISNUMBER(SEARCH("Maybe",FMECA!K69)),"Maybe","Not Applicable")))))</f>
        <v>Impactless</v>
      </c>
      <c r="F67" s="132" t="s">
        <v>728</v>
      </c>
      <c r="G67" s="132" t="str">
        <f>IF(ISNUMBER(SEARCH("Yes",FMECA!L69)),"Yes",IF(FMECA!L69="No","No",IF(ISNUMBER(SEARCH("No; impactless.",FMECA!L69)),"Impactless","Not Applicable")))</f>
        <v>Impactless</v>
      </c>
      <c r="H67" s="132" t="str">
        <f>IF(ISNUMBER(SEARCH("CM0", FMECA!AC69)), "CM0", IF(ISNUMBER(SEARCH("CM1", FMECA!AC69)), "CM1", IF(ISNUMBER(SEARCH("CM2", FMECA!AC69)), "CM2", IF(ISNUMBER(SEARCH("CM3", FMECA!AC69)), "CM3", "Not Applicable"))))</f>
        <v>Not Applicable</v>
      </c>
      <c r="I67" s="134">
        <f t="shared" ref="I67:I130" si="9">IF(AND(E67 = "Yes", G67 = "No"), C67, 0)</f>
        <v>0</v>
      </c>
      <c r="J67" s="134">
        <f t="shared" ref="J67:J130" si="10">IF(AND(OR(E67 = "No", E67 = "Maybe"), G67 = "Yes"), C67, 0)</f>
        <v>0</v>
      </c>
      <c r="K67" s="134">
        <f t="shared" ref="K67:K130" si="11">IF(AND(E67="Yes",G67="Yes"), C67, 0)</f>
        <v>0</v>
      </c>
      <c r="L67" s="134">
        <f t="shared" ref="L67:L130" si="12">IF(E67="Outside Scope", C67, 0)</f>
        <v>0</v>
      </c>
      <c r="M67" s="134">
        <f t="shared" ref="M67:M130" si="13">IF(AND(E67 = "Maybe", F67 = "Yes", G67 = "No"), C67, 0)</f>
        <v>0</v>
      </c>
      <c r="N67" s="134">
        <f t="shared" ref="N67:N130" si="14">IF(AND(E67 = "Maybe", F67 = "No", G67 = "No"), C67, 0)</f>
        <v>0</v>
      </c>
      <c r="O67" s="134">
        <f t="shared" ref="O67:O130" si="15">IF(H67 = "CM1", C67, 0)</f>
        <v>0</v>
      </c>
      <c r="P67" s="134">
        <f t="shared" ref="P67:P130" si="16">IF(AND(E67&lt;&gt; "Maybe", H67 = "CM2"), C67, 0)</f>
        <v>0</v>
      </c>
      <c r="Q67" s="134">
        <f t="shared" ref="Q67:Q130" si="17">IF(H67 = "CM3", C67, 0)</f>
        <v>0</v>
      </c>
    </row>
    <row r="68" spans="1:17">
      <c r="A68" s="132" t="str">
        <f>FMECA!A70</f>
        <v>OC2_Sys</v>
      </c>
      <c r="B68" s="133" t="str">
        <f>FMECA!B70</f>
        <v>Increase of light sensitivity</v>
      </c>
      <c r="C68" s="133">
        <f>FMECA!E70</f>
        <v>7.0465531318791983E-9</v>
      </c>
      <c r="D68" s="132" t="str">
        <f>FMECA!H70</f>
        <v>Safe</v>
      </c>
      <c r="E68" s="132" t="str">
        <f>IF(ISNUMBER(SEARCH("Yes",FMECA!K70)),"Yes",IF(FMECA!K70="No","No",IF(ISNUMBER(SEARCH("No; impactless.",FMECA!K70)),"Impactless",IF(ISNUMBER(SEARCH("Outside the scope",FMECA!K70)),"Outside Scope",IF(ISNUMBER(SEARCH("Maybe",FMECA!K70)),"Maybe","Not Applicable")))))</f>
        <v>Impactless</v>
      </c>
      <c r="F68" s="132" t="s">
        <v>728</v>
      </c>
      <c r="G68" s="132" t="str">
        <f>IF(ISNUMBER(SEARCH("Yes",FMECA!L70)),"Yes",IF(FMECA!L70="No","No",IF(ISNUMBER(SEARCH("No; impactless.",FMECA!L70)),"Impactless","Not Applicable")))</f>
        <v>Impactless</v>
      </c>
      <c r="H68" s="132" t="str">
        <f>IF(ISNUMBER(SEARCH("CM0", FMECA!AC70)), "CM0", IF(ISNUMBER(SEARCH("CM1", FMECA!AC70)), "CM1", IF(ISNUMBER(SEARCH("CM2", FMECA!AC70)), "CM2", IF(ISNUMBER(SEARCH("CM3", FMECA!AC70)), "CM3", "Not Applicable"))))</f>
        <v>Not Applicable</v>
      </c>
      <c r="I68" s="134">
        <f t="shared" si="9"/>
        <v>0</v>
      </c>
      <c r="J68" s="134">
        <f t="shared" si="10"/>
        <v>0</v>
      </c>
      <c r="K68" s="134">
        <f t="shared" si="11"/>
        <v>0</v>
      </c>
      <c r="L68" s="134">
        <f t="shared" si="12"/>
        <v>0</v>
      </c>
      <c r="M68" s="134">
        <f t="shared" si="13"/>
        <v>0</v>
      </c>
      <c r="N68" s="134">
        <f t="shared" si="14"/>
        <v>0</v>
      </c>
      <c r="O68" s="134">
        <f t="shared" si="15"/>
        <v>0</v>
      </c>
      <c r="P68" s="134">
        <f t="shared" si="16"/>
        <v>0</v>
      </c>
      <c r="Q68" s="134">
        <f t="shared" si="17"/>
        <v>0</v>
      </c>
    </row>
    <row r="69" spans="1:17">
      <c r="A69" s="132" t="str">
        <f>FMECA!A71</f>
        <v>OC2_Sys</v>
      </c>
      <c r="B69" s="133" t="str">
        <f>FMECA!B71</f>
        <v>Decrease of light sensitivity</v>
      </c>
      <c r="C69" s="133">
        <f>FMECA!E71</f>
        <v>7.0465531318791983E-9</v>
      </c>
      <c r="D69" s="132" t="str">
        <f>FMECA!H71</f>
        <v>Safe</v>
      </c>
      <c r="E69" s="132" t="str">
        <f>IF(ISNUMBER(SEARCH("Yes",FMECA!K71)),"Yes",IF(FMECA!K71="No","No",IF(ISNUMBER(SEARCH("No; impactless.",FMECA!K71)),"Impactless",IF(ISNUMBER(SEARCH("Outside the scope",FMECA!K71)),"Outside Scope",IF(ISNUMBER(SEARCH("Maybe",FMECA!K71)),"Maybe","Not Applicable")))))</f>
        <v>Yes</v>
      </c>
      <c r="F69" s="132" t="s">
        <v>728</v>
      </c>
      <c r="G69" s="132" t="str">
        <f>IF(ISNUMBER(SEARCH("Yes",FMECA!L71)),"Yes",IF(FMECA!L71="No","No",IF(ISNUMBER(SEARCH("No; impactless.",FMECA!L71)),"Impactless","Not Applicable")))</f>
        <v>No</v>
      </c>
      <c r="H69" s="132" t="str">
        <f>IF(ISNUMBER(SEARCH("CM0", FMECA!AC71)), "CM0", IF(ISNUMBER(SEARCH("CM1", FMECA!AC71)), "CM1", IF(ISNUMBER(SEARCH("CM2", FMECA!AC71)), "CM2", IF(ISNUMBER(SEARCH("CM3", FMECA!AC71)), "CM3", "Not Applicable"))))</f>
        <v>Not Applicable</v>
      </c>
      <c r="I69" s="134">
        <f t="shared" si="9"/>
        <v>7.0465531318791983E-9</v>
      </c>
      <c r="J69" s="134">
        <f t="shared" si="10"/>
        <v>0</v>
      </c>
      <c r="K69" s="134">
        <f t="shared" si="11"/>
        <v>0</v>
      </c>
      <c r="L69" s="134">
        <f t="shared" si="12"/>
        <v>0</v>
      </c>
      <c r="M69" s="134">
        <f t="shared" si="13"/>
        <v>0</v>
      </c>
      <c r="N69" s="134">
        <f t="shared" si="14"/>
        <v>0</v>
      </c>
      <c r="O69" s="134">
        <f t="shared" si="15"/>
        <v>0</v>
      </c>
      <c r="P69" s="134">
        <f t="shared" si="16"/>
        <v>0</v>
      </c>
      <c r="Q69" s="134">
        <f t="shared" si="17"/>
        <v>0</v>
      </c>
    </row>
    <row r="70" spans="1:17">
      <c r="A70" s="132" t="str">
        <f>FMECA!A72</f>
        <v>OC2_Sys</v>
      </c>
      <c r="B70" s="133" t="str">
        <f>FMECA!B72</f>
        <v>Increase of leakage current</v>
      </c>
      <c r="C70" s="133">
        <f>FMECA!E72</f>
        <v>1.0569830120612003E-8</v>
      </c>
      <c r="D70" s="132" t="str">
        <f>FMECA!H72</f>
        <v>Safe</v>
      </c>
      <c r="E70" s="132" t="str">
        <f>IF(ISNUMBER(SEARCH("Yes",FMECA!K72)),"Yes",IF(FMECA!K72="No","No",IF(ISNUMBER(SEARCH("No; impactless.",FMECA!K72)),"Impactless",IF(ISNUMBER(SEARCH("Outside the scope",FMECA!K72)),"Outside Scope",IF(ISNUMBER(SEARCH("Maybe",FMECA!K72)),"Maybe","Not Applicable")))))</f>
        <v>Yes</v>
      </c>
      <c r="F70" s="132" t="s">
        <v>728</v>
      </c>
      <c r="G70" s="132" t="str">
        <f>IF(ISNUMBER(SEARCH("Yes",FMECA!L72)),"Yes",IF(FMECA!L72="No","No",IF(ISNUMBER(SEARCH("No; impactless.",FMECA!L72)),"Impactless","Not Applicable")))</f>
        <v>No</v>
      </c>
      <c r="H70" s="132" t="str">
        <f>IF(ISNUMBER(SEARCH("CM0", FMECA!AC72)), "CM0", IF(ISNUMBER(SEARCH("CM1", FMECA!AC72)), "CM1", IF(ISNUMBER(SEARCH("CM2", FMECA!AC72)), "CM2", IF(ISNUMBER(SEARCH("CM3", FMECA!AC72)), "CM3", "Not Applicable"))))</f>
        <v>Not Applicable</v>
      </c>
      <c r="I70" s="134">
        <f t="shared" si="9"/>
        <v>1.0569830120612003E-8</v>
      </c>
      <c r="J70" s="134">
        <f t="shared" si="10"/>
        <v>0</v>
      </c>
      <c r="K70" s="134">
        <f t="shared" si="11"/>
        <v>0</v>
      </c>
      <c r="L70" s="134">
        <f t="shared" si="12"/>
        <v>0</v>
      </c>
      <c r="M70" s="134">
        <f t="shared" si="13"/>
        <v>0</v>
      </c>
      <c r="N70" s="134">
        <f t="shared" si="14"/>
        <v>0</v>
      </c>
      <c r="O70" s="134">
        <f t="shared" si="15"/>
        <v>0</v>
      </c>
      <c r="P70" s="134">
        <f t="shared" si="16"/>
        <v>0</v>
      </c>
      <c r="Q70" s="134">
        <f t="shared" si="17"/>
        <v>0</v>
      </c>
    </row>
    <row r="71" spans="1:17">
      <c r="A71" s="132" t="str">
        <f>FMECA!A73</f>
        <v>OC2_Sys</v>
      </c>
      <c r="B71" s="133" t="str">
        <f>FMECA!B73</f>
        <v>Reduced insulation between input and output</v>
      </c>
      <c r="C71" s="133">
        <f>FMECA!E73</f>
        <v>1.0569830120612003E-8</v>
      </c>
      <c r="D71" s="132" t="str">
        <f>FMECA!H73</f>
        <v>Safe</v>
      </c>
      <c r="E71" s="132" t="str">
        <f>IF(ISNUMBER(SEARCH("Yes",FMECA!K73)),"Yes",IF(FMECA!K73="No","No",IF(ISNUMBER(SEARCH("No; impactless.",FMECA!K73)),"Impactless",IF(ISNUMBER(SEARCH("Outside the scope",FMECA!K73)),"Outside Scope",IF(ISNUMBER(SEARCH("Maybe",FMECA!K73)),"Maybe","Not Applicable")))))</f>
        <v>Outside Scope</v>
      </c>
      <c r="F71" s="132" t="s">
        <v>728</v>
      </c>
      <c r="G71" s="132" t="str">
        <f>IF(ISNUMBER(SEARCH("Yes",FMECA!L73)),"Yes",IF(FMECA!L73="No","No",IF(ISNUMBER(SEARCH("No; impactless.",FMECA!L73)),"Impactless","Not Applicable")))</f>
        <v>No</v>
      </c>
      <c r="H71" s="132" t="str">
        <f>IF(ISNUMBER(SEARCH("CM0", FMECA!AC73)), "CM0", IF(ISNUMBER(SEARCH("CM1", FMECA!AC73)), "CM1", IF(ISNUMBER(SEARCH("CM2", FMECA!AC73)), "CM2", IF(ISNUMBER(SEARCH("CM3", FMECA!AC73)), "CM3", "Not Applicable"))))</f>
        <v>Not Applicable</v>
      </c>
      <c r="I71" s="134">
        <f t="shared" si="9"/>
        <v>0</v>
      </c>
      <c r="J71" s="134">
        <f t="shared" si="10"/>
        <v>0</v>
      </c>
      <c r="K71" s="134">
        <f t="shared" si="11"/>
        <v>0</v>
      </c>
      <c r="L71" s="134">
        <f t="shared" si="12"/>
        <v>1.0569830120612003E-8</v>
      </c>
      <c r="M71" s="134">
        <f t="shared" si="13"/>
        <v>0</v>
      </c>
      <c r="N71" s="134">
        <f t="shared" si="14"/>
        <v>0</v>
      </c>
      <c r="O71" s="134">
        <f t="shared" si="15"/>
        <v>0</v>
      </c>
      <c r="P71" s="134">
        <f t="shared" si="16"/>
        <v>0</v>
      </c>
      <c r="Q71" s="134">
        <f t="shared" si="17"/>
        <v>0</v>
      </c>
    </row>
    <row r="72" spans="1:17">
      <c r="A72" s="132" t="str">
        <f>FMECA!A74</f>
        <v>OC2_Sys</v>
      </c>
      <c r="B72" s="133" t="str">
        <f>FMECA!B74</f>
        <v>Change on switching time</v>
      </c>
      <c r="C72" s="133">
        <f>FMECA!E74</f>
        <v>7.0465531318791983E-9</v>
      </c>
      <c r="D72" s="132" t="str">
        <f>FMECA!H74</f>
        <v>Safe</v>
      </c>
      <c r="E72" s="132" t="str">
        <f>IF(ISNUMBER(SEARCH("Yes",FMECA!K74)),"Yes",IF(FMECA!K74="No","No",IF(ISNUMBER(SEARCH("No; impactless.",FMECA!K74)),"Impactless",IF(ISNUMBER(SEARCH("Outside the scope",FMECA!K74)),"Outside Scope",IF(ISNUMBER(SEARCH("Maybe",FMECA!K74)),"Maybe","Not Applicable")))))</f>
        <v>Outside Scope</v>
      </c>
      <c r="F72" s="132" t="s">
        <v>728</v>
      </c>
      <c r="G72" s="132" t="str">
        <f>IF(ISNUMBER(SEARCH("Yes",FMECA!L74)),"Yes",IF(FMECA!L74="No","No",IF(ISNUMBER(SEARCH("No; impactless.",FMECA!L74)),"Impactless","Not Applicable")))</f>
        <v>No</v>
      </c>
      <c r="H72" s="132" t="str">
        <f>IF(ISNUMBER(SEARCH("CM0", FMECA!AC74)), "CM0", IF(ISNUMBER(SEARCH("CM1", FMECA!AC74)), "CM1", IF(ISNUMBER(SEARCH("CM2", FMECA!AC74)), "CM2", IF(ISNUMBER(SEARCH("CM3", FMECA!AC74)), "CM3", "Not Applicable"))))</f>
        <v>Not Applicable</v>
      </c>
      <c r="I72" s="134">
        <f t="shared" si="9"/>
        <v>0</v>
      </c>
      <c r="J72" s="134">
        <f t="shared" si="10"/>
        <v>0</v>
      </c>
      <c r="K72" s="134">
        <f t="shared" si="11"/>
        <v>0</v>
      </c>
      <c r="L72" s="134">
        <f t="shared" si="12"/>
        <v>7.0465531318791983E-9</v>
      </c>
      <c r="M72" s="134">
        <f t="shared" si="13"/>
        <v>0</v>
      </c>
      <c r="N72" s="134">
        <f t="shared" si="14"/>
        <v>0</v>
      </c>
      <c r="O72" s="134">
        <f t="shared" si="15"/>
        <v>0</v>
      </c>
      <c r="P72" s="134">
        <f t="shared" si="16"/>
        <v>0</v>
      </c>
      <c r="Q72" s="134">
        <f t="shared" si="17"/>
        <v>0</v>
      </c>
    </row>
    <row r="73" spans="1:17">
      <c r="A73" s="132" t="str">
        <f>FMECA!A75</f>
        <v>OC2_Sys</v>
      </c>
      <c r="B73" s="133" t="str">
        <f>FMECA!B75</f>
        <v>Increase of current gain</v>
      </c>
      <c r="C73" s="133">
        <f>FMECA!E75</f>
        <v>7.0465531318791983E-9</v>
      </c>
      <c r="D73" s="132" t="str">
        <f>FMECA!H75</f>
        <v>Safe</v>
      </c>
      <c r="E73" s="132" t="str">
        <f>IF(ISNUMBER(SEARCH("Yes",FMECA!K75)),"Yes",IF(FMECA!K75="No","No",IF(ISNUMBER(SEARCH("No; impactless.",FMECA!K75)),"Impactless",IF(ISNUMBER(SEARCH("Outside the scope",FMECA!K75)),"Outside Scope",IF(ISNUMBER(SEARCH("Maybe",FMECA!K75)),"Maybe","Not Applicable")))))</f>
        <v>Impactless</v>
      </c>
      <c r="F73" s="132" t="s">
        <v>728</v>
      </c>
      <c r="G73" s="132" t="str">
        <f>IF(ISNUMBER(SEARCH("Yes",FMECA!L75)),"Yes",IF(FMECA!L75="No","No",IF(ISNUMBER(SEARCH("No; impactless.",FMECA!L75)),"Impactless","Not Applicable")))</f>
        <v>Impactless</v>
      </c>
      <c r="H73" s="132" t="str">
        <f>IF(ISNUMBER(SEARCH("CM0", FMECA!AC75)), "CM0", IF(ISNUMBER(SEARCH("CM1", FMECA!AC75)), "CM1", IF(ISNUMBER(SEARCH("CM2", FMECA!AC75)), "CM2", IF(ISNUMBER(SEARCH("CM3", FMECA!AC75)), "CM3", "Not Applicable"))))</f>
        <v>Not Applicable</v>
      </c>
      <c r="I73" s="134">
        <f t="shared" si="9"/>
        <v>0</v>
      </c>
      <c r="J73" s="134">
        <f t="shared" si="10"/>
        <v>0</v>
      </c>
      <c r="K73" s="134">
        <f t="shared" si="11"/>
        <v>0</v>
      </c>
      <c r="L73" s="134">
        <f t="shared" si="12"/>
        <v>0</v>
      </c>
      <c r="M73" s="134">
        <f t="shared" si="13"/>
        <v>0</v>
      </c>
      <c r="N73" s="134">
        <f t="shared" si="14"/>
        <v>0</v>
      </c>
      <c r="O73" s="134">
        <f t="shared" si="15"/>
        <v>0</v>
      </c>
      <c r="P73" s="134">
        <f t="shared" si="16"/>
        <v>0</v>
      </c>
      <c r="Q73" s="134">
        <f t="shared" si="17"/>
        <v>0</v>
      </c>
    </row>
    <row r="74" spans="1:17">
      <c r="A74" s="132" t="str">
        <f>FMECA!A76</f>
        <v>OC2_Sys</v>
      </c>
      <c r="B74" s="133" t="str">
        <f>FMECA!B76</f>
        <v>Decrease of current gain</v>
      </c>
      <c r="C74" s="133">
        <f>FMECA!E76</f>
        <v>7.0465531318791983E-9</v>
      </c>
      <c r="D74" s="132" t="str">
        <f>FMECA!H76</f>
        <v>Safe</v>
      </c>
      <c r="E74" s="132" t="str">
        <f>IF(ISNUMBER(SEARCH("Yes",FMECA!K76)),"Yes",IF(FMECA!K76="No","No",IF(ISNUMBER(SEARCH("No; impactless.",FMECA!K76)),"Impactless",IF(ISNUMBER(SEARCH("Outside the scope",FMECA!K76)),"Outside Scope",IF(ISNUMBER(SEARCH("Maybe",FMECA!K76)),"Maybe","Not Applicable")))))</f>
        <v>Outside Scope</v>
      </c>
      <c r="F74" s="132" t="s">
        <v>728</v>
      </c>
      <c r="G74" s="132" t="str">
        <f>IF(ISNUMBER(SEARCH("Yes",FMECA!L76)),"Yes",IF(FMECA!L76="No","No",IF(ISNUMBER(SEARCH("No; impactless.",FMECA!L76)),"Impactless","Not Applicable")))</f>
        <v>No</v>
      </c>
      <c r="H74" s="132" t="str">
        <f>IF(ISNUMBER(SEARCH("CM0", FMECA!AC76)), "CM0", IF(ISNUMBER(SEARCH("CM1", FMECA!AC76)), "CM1", IF(ISNUMBER(SEARCH("CM2", FMECA!AC76)), "CM2", IF(ISNUMBER(SEARCH("CM3", FMECA!AC76)), "CM3", "Not Applicable"))))</f>
        <v>Not Applicable</v>
      </c>
      <c r="I74" s="134">
        <f t="shared" si="9"/>
        <v>0</v>
      </c>
      <c r="J74" s="134">
        <f t="shared" si="10"/>
        <v>0</v>
      </c>
      <c r="K74" s="134">
        <f t="shared" si="11"/>
        <v>0</v>
      </c>
      <c r="L74" s="134">
        <f t="shared" si="12"/>
        <v>7.0465531318791983E-9</v>
      </c>
      <c r="M74" s="134">
        <f t="shared" si="13"/>
        <v>0</v>
      </c>
      <c r="N74" s="134">
        <f t="shared" si="14"/>
        <v>0</v>
      </c>
      <c r="O74" s="134">
        <f t="shared" si="15"/>
        <v>0</v>
      </c>
      <c r="P74" s="134">
        <f t="shared" si="16"/>
        <v>0</v>
      </c>
      <c r="Q74" s="134">
        <f t="shared" si="17"/>
        <v>0</v>
      </c>
    </row>
    <row r="75" spans="1:17">
      <c r="A75" s="132" t="str">
        <f>FMECA!A77</f>
        <v>R3_Sys</v>
      </c>
      <c r="B75" s="133" t="str">
        <f>FMECA!B77</f>
        <v>Open</v>
      </c>
      <c r="C75" s="133">
        <f>FMECA!E77</f>
        <v>2.4551082459100113E-9</v>
      </c>
      <c r="D75" s="132" t="str">
        <f>FMECA!H77</f>
        <v>Safe</v>
      </c>
      <c r="E75" s="132" t="str">
        <f>IF(ISNUMBER(SEARCH("Yes",FMECA!K77)),"Yes",IF(FMECA!K77="No","No",IF(ISNUMBER(SEARCH("No; impactless.",FMECA!K77)),"Impactless",IF(ISNUMBER(SEARCH("Outside the scope",FMECA!K77)),"Outside Scope",IF(ISNUMBER(SEARCH("Maybe",FMECA!K77)),"Maybe","Not Applicable")))))</f>
        <v>Yes</v>
      </c>
      <c r="F75" s="132" t="s">
        <v>728</v>
      </c>
      <c r="G75" s="132" t="str">
        <f>IF(ISNUMBER(SEARCH("Yes",FMECA!L77)),"Yes",IF(FMECA!L77="No","No",IF(ISNUMBER(SEARCH("No; impactless.",FMECA!L77)),"Impactless","Not Applicable")))</f>
        <v>Yes</v>
      </c>
      <c r="H75" s="132" t="str">
        <f>IF(ISNUMBER(SEARCH("CM0", FMECA!AC77)), "CM0", IF(ISNUMBER(SEARCH("CM1", FMECA!AC77)), "CM1", IF(ISNUMBER(SEARCH("CM2", FMECA!AC77)), "CM2", IF(ISNUMBER(SEARCH("CM3", FMECA!AC77)), "CM3", "Not Applicable"))))</f>
        <v>Not Applicable</v>
      </c>
      <c r="I75" s="134">
        <f t="shared" si="9"/>
        <v>0</v>
      </c>
      <c r="J75" s="134">
        <f t="shared" si="10"/>
        <v>0</v>
      </c>
      <c r="K75" s="134">
        <f t="shared" si="11"/>
        <v>2.4551082459100113E-9</v>
      </c>
      <c r="L75" s="134">
        <f t="shared" si="12"/>
        <v>0</v>
      </c>
      <c r="M75" s="134">
        <f t="shared" si="13"/>
        <v>0</v>
      </c>
      <c r="N75" s="134">
        <f t="shared" si="14"/>
        <v>0</v>
      </c>
      <c r="O75" s="134">
        <f t="shared" si="15"/>
        <v>0</v>
      </c>
      <c r="P75" s="134">
        <f t="shared" si="16"/>
        <v>0</v>
      </c>
      <c r="Q75" s="134">
        <f t="shared" si="17"/>
        <v>0</v>
      </c>
    </row>
    <row r="76" spans="1:17">
      <c r="A76" s="132" t="str">
        <f>FMECA!A78</f>
        <v>R3_Sys</v>
      </c>
      <c r="B76" s="133" t="str">
        <f>FMECA!B78</f>
        <v>Short-Circuit</v>
      </c>
      <c r="C76" s="133">
        <f>FMECA!E78</f>
        <v>2.080600208398315E-10</v>
      </c>
      <c r="D76" s="132" t="str">
        <f>FMECA!H78</f>
        <v>Safe</v>
      </c>
      <c r="E76" s="132" t="str">
        <f>IF(ISNUMBER(SEARCH("Yes",FMECA!K78)),"Yes",IF(FMECA!K78="No","No",IF(ISNUMBER(SEARCH("No; impactless.",FMECA!K78)),"Impactless",IF(ISNUMBER(SEARCH("Outside the scope",FMECA!K78)),"Outside Scope",IF(ISNUMBER(SEARCH("Maybe",FMECA!K78)),"Maybe","Not Applicable")))))</f>
        <v>No</v>
      </c>
      <c r="F76" s="132" t="s">
        <v>728</v>
      </c>
      <c r="G76" s="132" t="str">
        <f>IF(ISNUMBER(SEARCH("Yes",FMECA!L78)),"Yes",IF(FMECA!L78="No","No",IF(ISNUMBER(SEARCH("No; impactless.",FMECA!L78)),"Impactless","Not Applicable")))</f>
        <v>Yes</v>
      </c>
      <c r="H76" s="132" t="str">
        <f>IF(ISNUMBER(SEARCH("CM0", FMECA!AC78)), "CM0", IF(ISNUMBER(SEARCH("CM1", FMECA!AC78)), "CM1", IF(ISNUMBER(SEARCH("CM2", FMECA!AC78)), "CM2", IF(ISNUMBER(SEARCH("CM3", FMECA!AC78)), "CM3", "Not Applicable"))))</f>
        <v>Not Applicable</v>
      </c>
      <c r="I76" s="134">
        <f t="shared" si="9"/>
        <v>0</v>
      </c>
      <c r="J76" s="134">
        <f t="shared" si="10"/>
        <v>2.080600208398315E-10</v>
      </c>
      <c r="K76" s="134">
        <f t="shared" si="11"/>
        <v>0</v>
      </c>
      <c r="L76" s="134">
        <f t="shared" si="12"/>
        <v>0</v>
      </c>
      <c r="M76" s="134">
        <f t="shared" si="13"/>
        <v>0</v>
      </c>
      <c r="N76" s="134">
        <f t="shared" si="14"/>
        <v>0</v>
      </c>
      <c r="O76" s="134">
        <f t="shared" si="15"/>
        <v>0</v>
      </c>
      <c r="P76" s="134">
        <f t="shared" si="16"/>
        <v>0</v>
      </c>
      <c r="Q76" s="134">
        <f t="shared" si="17"/>
        <v>0</v>
      </c>
    </row>
    <row r="77" spans="1:17">
      <c r="A77" s="132" t="str">
        <f>FMECA!A79</f>
        <v>R3_Sys</v>
      </c>
      <c r="B77" s="133" t="str">
        <f>FMECA!B79</f>
        <v>Increase of Resistance Value</v>
      </c>
      <c r="C77" s="133">
        <f>FMECA!E79</f>
        <v>7.4901607502339334E-10</v>
      </c>
      <c r="D77" s="132" t="str">
        <f>FMECA!H79</f>
        <v>Safe</v>
      </c>
      <c r="E77" s="132" t="str">
        <f>IF(ISNUMBER(SEARCH("Yes",FMECA!K79)),"Yes",IF(FMECA!K79="No","No",IF(ISNUMBER(SEARCH("No; impactless.",FMECA!K79)),"Impactless",IF(ISNUMBER(SEARCH("Outside the scope",FMECA!K79)),"Outside Scope",IF(ISNUMBER(SEARCH("Maybe",FMECA!K79)),"Maybe","Not Applicable")))))</f>
        <v>Yes</v>
      </c>
      <c r="F77" s="132" t="s">
        <v>728</v>
      </c>
      <c r="G77" s="132" t="str">
        <f>IF(ISNUMBER(SEARCH("Yes",FMECA!L79)),"Yes",IF(FMECA!L79="No","No",IF(ISNUMBER(SEARCH("No; impactless.",FMECA!L79)),"Impactless","Not Applicable")))</f>
        <v>Yes</v>
      </c>
      <c r="H77" s="132" t="str">
        <f>IF(ISNUMBER(SEARCH("CM0", FMECA!AC79)), "CM0", IF(ISNUMBER(SEARCH("CM1", FMECA!AC79)), "CM1", IF(ISNUMBER(SEARCH("CM2", FMECA!AC79)), "CM2", IF(ISNUMBER(SEARCH("CM3", FMECA!AC79)), "CM3", "Not Applicable"))))</f>
        <v>Not Applicable</v>
      </c>
      <c r="I77" s="134">
        <f t="shared" si="9"/>
        <v>0</v>
      </c>
      <c r="J77" s="134">
        <f t="shared" si="10"/>
        <v>0</v>
      </c>
      <c r="K77" s="134">
        <f t="shared" si="11"/>
        <v>7.4901607502339334E-10</v>
      </c>
      <c r="L77" s="134">
        <f t="shared" si="12"/>
        <v>0</v>
      </c>
      <c r="M77" s="134">
        <f t="shared" si="13"/>
        <v>0</v>
      </c>
      <c r="N77" s="134">
        <f t="shared" si="14"/>
        <v>0</v>
      </c>
      <c r="O77" s="134">
        <f t="shared" si="15"/>
        <v>0</v>
      </c>
      <c r="P77" s="134">
        <f t="shared" si="16"/>
        <v>0</v>
      </c>
      <c r="Q77" s="134">
        <f t="shared" si="17"/>
        <v>0</v>
      </c>
    </row>
    <row r="78" spans="1:17">
      <c r="A78" s="132" t="str">
        <f>FMECA!A80</f>
        <v>R3_Sys</v>
      </c>
      <c r="B78" s="133" t="str">
        <f>FMECA!B80</f>
        <v>Decrease of Resistance Value</v>
      </c>
      <c r="C78" s="133">
        <f>FMECA!E80</f>
        <v>7.4901607502339334E-10</v>
      </c>
      <c r="D78" s="132" t="str">
        <f>FMECA!H80</f>
        <v>Safe</v>
      </c>
      <c r="E78" s="132" t="str">
        <f>IF(ISNUMBER(SEARCH("Yes",FMECA!K80)),"Yes",IF(FMECA!K80="No","No",IF(ISNUMBER(SEARCH("No; impactless.",FMECA!K80)),"Impactless",IF(ISNUMBER(SEARCH("Outside the scope",FMECA!K80)),"Outside Scope",IF(ISNUMBER(SEARCH("Maybe",FMECA!K80)),"Maybe","Not Applicable")))))</f>
        <v>No</v>
      </c>
      <c r="F78" s="132" t="s">
        <v>728</v>
      </c>
      <c r="G78" s="132" t="str">
        <f>IF(ISNUMBER(SEARCH("Yes",FMECA!L80)),"Yes",IF(FMECA!L80="No","No",IF(ISNUMBER(SEARCH("No; impactless.",FMECA!L80)),"Impactless","Not Applicable")))</f>
        <v>Yes</v>
      </c>
      <c r="H78" s="132" t="str">
        <f>IF(ISNUMBER(SEARCH("CM0", FMECA!AC80)), "CM0", IF(ISNUMBER(SEARCH("CM1", FMECA!AC80)), "CM1", IF(ISNUMBER(SEARCH("CM2", FMECA!AC80)), "CM2", IF(ISNUMBER(SEARCH("CM3", FMECA!AC80)), "CM3", "Not Applicable"))))</f>
        <v>Not Applicable</v>
      </c>
      <c r="I78" s="134">
        <f t="shared" si="9"/>
        <v>0</v>
      </c>
      <c r="J78" s="134">
        <f t="shared" si="10"/>
        <v>7.4901607502339334E-10</v>
      </c>
      <c r="K78" s="134">
        <f t="shared" si="11"/>
        <v>0</v>
      </c>
      <c r="L78" s="134">
        <f t="shared" si="12"/>
        <v>0</v>
      </c>
      <c r="M78" s="134">
        <f t="shared" si="13"/>
        <v>0</v>
      </c>
      <c r="N78" s="134">
        <f t="shared" si="14"/>
        <v>0</v>
      </c>
      <c r="O78" s="134">
        <f t="shared" si="15"/>
        <v>0</v>
      </c>
      <c r="P78" s="134">
        <f t="shared" si="16"/>
        <v>0</v>
      </c>
      <c r="Q78" s="134">
        <f t="shared" si="17"/>
        <v>0</v>
      </c>
    </row>
    <row r="79" spans="1:17">
      <c r="A79" s="132" t="str">
        <f>FMECA!A81</f>
        <v>R3_Sys</v>
      </c>
      <c r="B79" s="133" t="str">
        <f>FMECA!B81</f>
        <v>Short-Circuit to Casing</v>
      </c>
      <c r="C79" s="133">
        <f>FMECA!E81</f>
        <v>0</v>
      </c>
      <c r="D79" s="132" t="str">
        <f>FMECA!H81</f>
        <v>Safe</v>
      </c>
      <c r="E79" s="132" t="str">
        <f>IF(ISNUMBER(SEARCH("Yes",FMECA!K81)),"Yes",IF(FMECA!K81="No","No",IF(ISNUMBER(SEARCH("No; impactless.",FMECA!K81)),"Impactless",IF(ISNUMBER(SEARCH("Outside the scope",FMECA!K81)),"Outside Scope",IF(ISNUMBER(SEARCH("Maybe",FMECA!K81)),"Maybe","Not Applicable")))))</f>
        <v>Impactless</v>
      </c>
      <c r="F79" s="132" t="s">
        <v>728</v>
      </c>
      <c r="G79" s="132" t="str">
        <f>IF(ISNUMBER(SEARCH("Yes",FMECA!L81)),"Yes",IF(FMECA!L81="No","No",IF(ISNUMBER(SEARCH("No; impactless.",FMECA!L81)),"Impactless","Not Applicable")))</f>
        <v>Impactless</v>
      </c>
      <c r="H79" s="132" t="str">
        <f>IF(ISNUMBER(SEARCH("CM0", FMECA!AC81)), "CM0", IF(ISNUMBER(SEARCH("CM1", FMECA!AC81)), "CM1", IF(ISNUMBER(SEARCH("CM2", FMECA!AC81)), "CM2", IF(ISNUMBER(SEARCH("CM3", FMECA!AC81)), "CM3", "Not Applicable"))))</f>
        <v>Not Applicable</v>
      </c>
      <c r="I79" s="134">
        <f t="shared" si="9"/>
        <v>0</v>
      </c>
      <c r="J79" s="134">
        <f t="shared" si="10"/>
        <v>0</v>
      </c>
      <c r="K79" s="134">
        <f t="shared" si="11"/>
        <v>0</v>
      </c>
      <c r="L79" s="134">
        <f t="shared" si="12"/>
        <v>0</v>
      </c>
      <c r="M79" s="134">
        <f t="shared" si="13"/>
        <v>0</v>
      </c>
      <c r="N79" s="134">
        <f t="shared" si="14"/>
        <v>0</v>
      </c>
      <c r="O79" s="134">
        <f t="shared" si="15"/>
        <v>0</v>
      </c>
      <c r="P79" s="134">
        <f t="shared" si="16"/>
        <v>0</v>
      </c>
      <c r="Q79" s="134">
        <f t="shared" si="17"/>
        <v>0</v>
      </c>
    </row>
    <row r="80" spans="1:17">
      <c r="A80" s="132" t="str">
        <f>FMECA!A82</f>
        <v>OC3_Sys</v>
      </c>
      <c r="B80" s="133" t="str">
        <f>FMECA!B82</f>
        <v>Open diode</v>
      </c>
      <c r="C80" s="133">
        <f>FMECA!E82</f>
        <v>7.0465531318791983E-9</v>
      </c>
      <c r="D80" s="132" t="str">
        <f>FMECA!H82</f>
        <v>Safe</v>
      </c>
      <c r="E80" s="132" t="str">
        <f>IF(ISNUMBER(SEARCH("Yes",FMECA!K82)),"Yes",IF(FMECA!K82="No","No",IF(ISNUMBER(SEARCH("No; impactless.",FMECA!K82)),"Impactless",IF(ISNUMBER(SEARCH("Outside the scope",FMECA!K82)),"Outside Scope",IF(ISNUMBER(SEARCH("Maybe",FMECA!K82)),"Maybe","Not Applicable")))))</f>
        <v>Yes</v>
      </c>
      <c r="F80" s="132" t="s">
        <v>728</v>
      </c>
      <c r="G80" s="132" t="str">
        <f>IF(ISNUMBER(SEARCH("Yes",FMECA!L82)),"Yes",IF(FMECA!L82="No","No",IF(ISNUMBER(SEARCH("No; impactless.",FMECA!L82)),"Impactless","Not Applicable")))</f>
        <v>Yes</v>
      </c>
      <c r="H80" s="132" t="str">
        <f>IF(ISNUMBER(SEARCH("CM0", FMECA!AC82)), "CM0", IF(ISNUMBER(SEARCH("CM1", FMECA!AC82)), "CM1", IF(ISNUMBER(SEARCH("CM2", FMECA!AC82)), "CM2", IF(ISNUMBER(SEARCH("CM3", FMECA!AC82)), "CM3", "Not Applicable"))))</f>
        <v>Not Applicable</v>
      </c>
      <c r="I80" s="134">
        <f t="shared" si="9"/>
        <v>0</v>
      </c>
      <c r="J80" s="134">
        <f t="shared" si="10"/>
        <v>0</v>
      </c>
      <c r="K80" s="134">
        <f t="shared" si="11"/>
        <v>7.0465531318791983E-9</v>
      </c>
      <c r="L80" s="134">
        <f t="shared" si="12"/>
        <v>0</v>
      </c>
      <c r="M80" s="134">
        <f t="shared" si="13"/>
        <v>0</v>
      </c>
      <c r="N80" s="134">
        <f t="shared" si="14"/>
        <v>0</v>
      </c>
      <c r="O80" s="134">
        <f t="shared" si="15"/>
        <v>0</v>
      </c>
      <c r="P80" s="134">
        <f t="shared" si="16"/>
        <v>0</v>
      </c>
      <c r="Q80" s="134">
        <f t="shared" si="17"/>
        <v>0</v>
      </c>
    </row>
    <row r="81" spans="1:17">
      <c r="A81" s="132" t="str">
        <f>FMECA!A83</f>
        <v>OC3_Sys</v>
      </c>
      <c r="B81" s="133" t="str">
        <f>FMECA!B83</f>
        <v>Open emitter</v>
      </c>
      <c r="C81" s="133">
        <f>FMECA!E83</f>
        <v>7.0465531318791983E-9</v>
      </c>
      <c r="D81" s="132" t="str">
        <f>FMECA!H83</f>
        <v>Safe</v>
      </c>
      <c r="E81" s="132" t="str">
        <f>IF(ISNUMBER(SEARCH("Yes",FMECA!K83)),"Yes",IF(FMECA!K83="No","No",IF(ISNUMBER(SEARCH("No; impactless.",FMECA!K83)),"Impactless",IF(ISNUMBER(SEARCH("Outside the scope",FMECA!K83)),"Outside Scope",IF(ISNUMBER(SEARCH("Maybe",FMECA!K83)),"Maybe","Not Applicable")))))</f>
        <v>Yes</v>
      </c>
      <c r="F81" s="132" t="s">
        <v>728</v>
      </c>
      <c r="G81" s="132" t="str">
        <f>IF(ISNUMBER(SEARCH("Yes",FMECA!L83)),"Yes",IF(FMECA!L83="No","No",IF(ISNUMBER(SEARCH("No; impactless.",FMECA!L83)),"Impactless","Not Applicable")))</f>
        <v>Yes</v>
      </c>
      <c r="H81" s="132" t="str">
        <f>IF(ISNUMBER(SEARCH("CM0", FMECA!AC83)), "CM0", IF(ISNUMBER(SEARCH("CM1", FMECA!AC83)), "CM1", IF(ISNUMBER(SEARCH("CM2", FMECA!AC83)), "CM2", IF(ISNUMBER(SEARCH("CM3", FMECA!AC83)), "CM3", "Not Applicable"))))</f>
        <v>Not Applicable</v>
      </c>
      <c r="I81" s="134">
        <f t="shared" si="9"/>
        <v>0</v>
      </c>
      <c r="J81" s="134">
        <f t="shared" si="10"/>
        <v>0</v>
      </c>
      <c r="K81" s="134">
        <f t="shared" si="11"/>
        <v>7.0465531318791983E-9</v>
      </c>
      <c r="L81" s="134">
        <f t="shared" si="12"/>
        <v>0</v>
      </c>
      <c r="M81" s="134">
        <f t="shared" si="13"/>
        <v>0</v>
      </c>
      <c r="N81" s="134">
        <f t="shared" si="14"/>
        <v>0</v>
      </c>
      <c r="O81" s="134">
        <f t="shared" si="15"/>
        <v>0</v>
      </c>
      <c r="P81" s="134">
        <f t="shared" si="16"/>
        <v>0</v>
      </c>
      <c r="Q81" s="134">
        <f t="shared" si="17"/>
        <v>0</v>
      </c>
    </row>
    <row r="82" spans="1:17">
      <c r="A82" s="132" t="str">
        <f>FMECA!A84</f>
        <v>OC3_Sys</v>
      </c>
      <c r="B82" s="133" t="str">
        <f>FMECA!B84</f>
        <v>Open collector</v>
      </c>
      <c r="C82" s="133">
        <f>FMECA!E84</f>
        <v>7.0465531318791983E-9</v>
      </c>
      <c r="D82" s="132" t="str">
        <f>FMECA!H84</f>
        <v>Safe</v>
      </c>
      <c r="E82" s="132" t="str">
        <f>IF(ISNUMBER(SEARCH("Yes",FMECA!K84)),"Yes",IF(FMECA!K84="No","No",IF(ISNUMBER(SEARCH("No; impactless.",FMECA!K84)),"Impactless",IF(ISNUMBER(SEARCH("Outside the scope",FMECA!K84)),"Outside Scope",IF(ISNUMBER(SEARCH("Maybe",FMECA!K84)),"Maybe","Not Applicable")))))</f>
        <v>Yes</v>
      </c>
      <c r="F82" s="132" t="s">
        <v>728</v>
      </c>
      <c r="G82" s="132" t="str">
        <f>IF(ISNUMBER(SEARCH("Yes",FMECA!L84)),"Yes",IF(FMECA!L84="No","No",IF(ISNUMBER(SEARCH("No; impactless.",FMECA!L84)),"Impactless","Not Applicable")))</f>
        <v>Yes</v>
      </c>
      <c r="H82" s="132" t="str">
        <f>IF(ISNUMBER(SEARCH("CM0", FMECA!AC84)), "CM0", IF(ISNUMBER(SEARCH("CM1", FMECA!AC84)), "CM1", IF(ISNUMBER(SEARCH("CM2", FMECA!AC84)), "CM2", IF(ISNUMBER(SEARCH("CM3", FMECA!AC84)), "CM3", "Not Applicable"))))</f>
        <v>Not Applicable</v>
      </c>
      <c r="I82" s="134">
        <f t="shared" si="9"/>
        <v>0</v>
      </c>
      <c r="J82" s="134">
        <f t="shared" si="10"/>
        <v>0</v>
      </c>
      <c r="K82" s="134">
        <f t="shared" si="11"/>
        <v>7.0465531318791983E-9</v>
      </c>
      <c r="L82" s="134">
        <f t="shared" si="12"/>
        <v>0</v>
      </c>
      <c r="M82" s="134">
        <f t="shared" si="13"/>
        <v>0</v>
      </c>
      <c r="N82" s="134">
        <f t="shared" si="14"/>
        <v>0</v>
      </c>
      <c r="O82" s="134">
        <f t="shared" si="15"/>
        <v>0</v>
      </c>
      <c r="P82" s="134">
        <f t="shared" si="16"/>
        <v>0</v>
      </c>
      <c r="Q82" s="134">
        <f t="shared" si="17"/>
        <v>0</v>
      </c>
    </row>
    <row r="83" spans="1:17">
      <c r="A83" s="132" t="str">
        <f>FMECA!A85</f>
        <v>OC3_Sys</v>
      </c>
      <c r="B83" s="133" t="str">
        <f>FMECA!B85</f>
        <v>Open base</v>
      </c>
      <c r="C83" s="133">
        <f>FMECA!E85</f>
        <v>7.0465531318791983E-9</v>
      </c>
      <c r="D83" s="132" t="str">
        <f>FMECA!H85</f>
        <v>Safe</v>
      </c>
      <c r="E83" s="132" t="str">
        <f>IF(ISNUMBER(SEARCH("Yes",FMECA!K85)),"Yes",IF(FMECA!K85="No","No",IF(ISNUMBER(SEARCH("No; impactless.",FMECA!K85)),"Impactless",IF(ISNUMBER(SEARCH("Outside the scope",FMECA!K85)),"Outside Scope",IF(ISNUMBER(SEARCH("Maybe",FMECA!K85)),"Maybe","Not Applicable")))))</f>
        <v>Impactless</v>
      </c>
      <c r="F83" s="132" t="s">
        <v>728</v>
      </c>
      <c r="G83" s="132" t="str">
        <f>IF(ISNUMBER(SEARCH("Yes",FMECA!L85)),"Yes",IF(FMECA!L85="No","No",IF(ISNUMBER(SEARCH("No; impactless.",FMECA!L85)),"Impactless","Not Applicable")))</f>
        <v>Impactless</v>
      </c>
      <c r="H83" s="132" t="str">
        <f>IF(ISNUMBER(SEARCH("CM0", FMECA!AC85)), "CM0", IF(ISNUMBER(SEARCH("CM1", FMECA!AC85)), "CM1", IF(ISNUMBER(SEARCH("CM2", FMECA!AC85)), "CM2", IF(ISNUMBER(SEARCH("CM3", FMECA!AC85)), "CM3", "Not Applicable"))))</f>
        <v>Not Applicable</v>
      </c>
      <c r="I83" s="134">
        <f t="shared" si="9"/>
        <v>0</v>
      </c>
      <c r="J83" s="134">
        <f t="shared" si="10"/>
        <v>0</v>
      </c>
      <c r="K83" s="134">
        <f t="shared" si="11"/>
        <v>0</v>
      </c>
      <c r="L83" s="134">
        <f t="shared" si="12"/>
        <v>0</v>
      </c>
      <c r="M83" s="134">
        <f t="shared" si="13"/>
        <v>0</v>
      </c>
      <c r="N83" s="134">
        <f t="shared" si="14"/>
        <v>0</v>
      </c>
      <c r="O83" s="134">
        <f t="shared" si="15"/>
        <v>0</v>
      </c>
      <c r="P83" s="134">
        <f t="shared" si="16"/>
        <v>0</v>
      </c>
      <c r="Q83" s="134">
        <f t="shared" si="17"/>
        <v>0</v>
      </c>
    </row>
    <row r="84" spans="1:17">
      <c r="A84" s="132" t="str">
        <f>FMECA!A86</f>
        <v>OC3_Sys</v>
      </c>
      <c r="B84" s="133" t="str">
        <f>FMECA!B86</f>
        <v>Increase of light sensitivity</v>
      </c>
      <c r="C84" s="133">
        <f>FMECA!E86</f>
        <v>7.0465531318791983E-9</v>
      </c>
      <c r="D84" s="132" t="str">
        <f>FMECA!H86</f>
        <v>Safe</v>
      </c>
      <c r="E84" s="132" t="str">
        <f>IF(ISNUMBER(SEARCH("Yes",FMECA!K86)),"Yes",IF(FMECA!K86="No","No",IF(ISNUMBER(SEARCH("No; impactless.",FMECA!K86)),"Impactless",IF(ISNUMBER(SEARCH("Outside the scope",FMECA!K86)),"Outside Scope",IF(ISNUMBER(SEARCH("Maybe",FMECA!K86)),"Maybe","Not Applicable")))))</f>
        <v>Impactless</v>
      </c>
      <c r="F84" s="132" t="s">
        <v>728</v>
      </c>
      <c r="G84" s="132" t="str">
        <f>IF(ISNUMBER(SEARCH("Yes",FMECA!L86)),"Yes",IF(FMECA!L86="No","No",IF(ISNUMBER(SEARCH("No; impactless.",FMECA!L86)),"Impactless","Not Applicable")))</f>
        <v>Impactless</v>
      </c>
      <c r="H84" s="132" t="str">
        <f>IF(ISNUMBER(SEARCH("CM0", FMECA!AC86)), "CM0", IF(ISNUMBER(SEARCH("CM1", FMECA!AC86)), "CM1", IF(ISNUMBER(SEARCH("CM2", FMECA!AC86)), "CM2", IF(ISNUMBER(SEARCH("CM3", FMECA!AC86)), "CM3", "Not Applicable"))))</f>
        <v>Not Applicable</v>
      </c>
      <c r="I84" s="134">
        <f t="shared" si="9"/>
        <v>0</v>
      </c>
      <c r="J84" s="134">
        <f t="shared" si="10"/>
        <v>0</v>
      </c>
      <c r="K84" s="134">
        <f t="shared" si="11"/>
        <v>0</v>
      </c>
      <c r="L84" s="134">
        <f t="shared" si="12"/>
        <v>0</v>
      </c>
      <c r="M84" s="134">
        <f t="shared" si="13"/>
        <v>0</v>
      </c>
      <c r="N84" s="134">
        <f t="shared" si="14"/>
        <v>0</v>
      </c>
      <c r="O84" s="134">
        <f t="shared" si="15"/>
        <v>0</v>
      </c>
      <c r="P84" s="134">
        <f t="shared" si="16"/>
        <v>0</v>
      </c>
      <c r="Q84" s="134">
        <f t="shared" si="17"/>
        <v>0</v>
      </c>
    </row>
    <row r="85" spans="1:17">
      <c r="A85" s="132" t="str">
        <f>FMECA!A87</f>
        <v>OC3_Sys</v>
      </c>
      <c r="B85" s="133" t="str">
        <f>FMECA!B87</f>
        <v>Decrease of light sensitivity</v>
      </c>
      <c r="C85" s="133">
        <f>FMECA!E87</f>
        <v>7.0465531318791983E-9</v>
      </c>
      <c r="D85" s="132" t="str">
        <f>FMECA!H87</f>
        <v>Safe</v>
      </c>
      <c r="E85" s="132" t="str">
        <f>IF(ISNUMBER(SEARCH("Yes",FMECA!K87)),"Yes",IF(FMECA!K87="No","No",IF(ISNUMBER(SEARCH("No; impactless.",FMECA!K87)),"Impactless",IF(ISNUMBER(SEARCH("Outside the scope",FMECA!K87)),"Outside Scope",IF(ISNUMBER(SEARCH("Maybe",FMECA!K87)),"Maybe","Not Applicable")))))</f>
        <v>Yes</v>
      </c>
      <c r="F85" s="132" t="s">
        <v>728</v>
      </c>
      <c r="G85" s="132" t="str">
        <f>IF(ISNUMBER(SEARCH("Yes",FMECA!L87)),"Yes",IF(FMECA!L87="No","No",IF(ISNUMBER(SEARCH("No; impactless.",FMECA!L87)),"Impactless","Not Applicable")))</f>
        <v>Yes</v>
      </c>
      <c r="H85" s="132" t="str">
        <f>IF(ISNUMBER(SEARCH("CM0", FMECA!AC87)), "CM0", IF(ISNUMBER(SEARCH("CM1", FMECA!AC87)), "CM1", IF(ISNUMBER(SEARCH("CM2", FMECA!AC87)), "CM2", IF(ISNUMBER(SEARCH("CM3", FMECA!AC87)), "CM3", "Not Applicable"))))</f>
        <v>Not Applicable</v>
      </c>
      <c r="I85" s="134">
        <f t="shared" si="9"/>
        <v>0</v>
      </c>
      <c r="J85" s="134">
        <f t="shared" si="10"/>
        <v>0</v>
      </c>
      <c r="K85" s="134">
        <f t="shared" si="11"/>
        <v>7.0465531318791983E-9</v>
      </c>
      <c r="L85" s="134">
        <f t="shared" si="12"/>
        <v>0</v>
      </c>
      <c r="M85" s="134">
        <f t="shared" si="13"/>
        <v>0</v>
      </c>
      <c r="N85" s="134">
        <f t="shared" si="14"/>
        <v>0</v>
      </c>
      <c r="O85" s="134">
        <f t="shared" si="15"/>
        <v>0</v>
      </c>
      <c r="P85" s="134">
        <f t="shared" si="16"/>
        <v>0</v>
      </c>
      <c r="Q85" s="134">
        <f t="shared" si="17"/>
        <v>0</v>
      </c>
    </row>
    <row r="86" spans="1:17">
      <c r="A86" s="132" t="str">
        <f>FMECA!A88</f>
        <v>OC3_Sys</v>
      </c>
      <c r="B86" s="133" t="str">
        <f>FMECA!B88</f>
        <v>Increase of leakage current</v>
      </c>
      <c r="C86" s="133">
        <f>FMECA!E88</f>
        <v>1.0569830120612003E-8</v>
      </c>
      <c r="D86" s="132" t="str">
        <f>FMECA!H88</f>
        <v>Safe</v>
      </c>
      <c r="E86" s="132" t="str">
        <f>IF(ISNUMBER(SEARCH("Yes",FMECA!K88)),"Yes",IF(FMECA!K88="No","No",IF(ISNUMBER(SEARCH("No; impactless.",FMECA!K88)),"Impactless",IF(ISNUMBER(SEARCH("Outside the scope",FMECA!K88)),"Outside Scope",IF(ISNUMBER(SEARCH("Maybe",FMECA!K88)),"Maybe","Not Applicable")))))</f>
        <v>Yes</v>
      </c>
      <c r="F86" s="132" t="s">
        <v>728</v>
      </c>
      <c r="G86" s="132" t="str">
        <f>IF(ISNUMBER(SEARCH("Yes",FMECA!L88)),"Yes",IF(FMECA!L88="No","No",IF(ISNUMBER(SEARCH("No; impactless.",FMECA!L88)),"Impactless","Not Applicable")))</f>
        <v>Yes</v>
      </c>
      <c r="H86" s="132" t="str">
        <f>IF(ISNUMBER(SEARCH("CM0", FMECA!AC88)), "CM0", IF(ISNUMBER(SEARCH("CM1", FMECA!AC88)), "CM1", IF(ISNUMBER(SEARCH("CM2", FMECA!AC88)), "CM2", IF(ISNUMBER(SEARCH("CM3", FMECA!AC88)), "CM3", "Not Applicable"))))</f>
        <v>Not Applicable</v>
      </c>
      <c r="I86" s="134">
        <f t="shared" si="9"/>
        <v>0</v>
      </c>
      <c r="J86" s="134">
        <f t="shared" si="10"/>
        <v>0</v>
      </c>
      <c r="K86" s="134">
        <f t="shared" si="11"/>
        <v>1.0569830120612003E-8</v>
      </c>
      <c r="L86" s="134">
        <f t="shared" si="12"/>
        <v>0</v>
      </c>
      <c r="M86" s="134">
        <f t="shared" si="13"/>
        <v>0</v>
      </c>
      <c r="N86" s="134">
        <f t="shared" si="14"/>
        <v>0</v>
      </c>
      <c r="O86" s="134">
        <f t="shared" si="15"/>
        <v>0</v>
      </c>
      <c r="P86" s="134">
        <f t="shared" si="16"/>
        <v>0</v>
      </c>
      <c r="Q86" s="134">
        <f t="shared" si="17"/>
        <v>0</v>
      </c>
    </row>
    <row r="87" spans="1:17">
      <c r="A87" s="132" t="str">
        <f>FMECA!A89</f>
        <v>OC3_Sys</v>
      </c>
      <c r="B87" s="133" t="str">
        <f>FMECA!B89</f>
        <v>Reduced insulation between input and output</v>
      </c>
      <c r="C87" s="133">
        <f>FMECA!E89</f>
        <v>1.0569830120612003E-8</v>
      </c>
      <c r="D87" s="132" t="str">
        <f>FMECA!H89</f>
        <v>Safe</v>
      </c>
      <c r="E87" s="132" t="str">
        <f>IF(ISNUMBER(SEARCH("Yes",FMECA!K89)),"Yes",IF(FMECA!K89="No","No",IF(ISNUMBER(SEARCH("No; impactless.",FMECA!K89)),"Impactless",IF(ISNUMBER(SEARCH("Outside the scope",FMECA!K89)),"Outside Scope",IF(ISNUMBER(SEARCH("Maybe",FMECA!K89)),"Maybe","Not Applicable")))))</f>
        <v>No</v>
      </c>
      <c r="F87" s="132" t="s">
        <v>728</v>
      </c>
      <c r="G87" s="132" t="str">
        <f>IF(ISNUMBER(SEARCH("Yes",FMECA!L89)),"Yes",IF(FMECA!L89="No","No",IF(ISNUMBER(SEARCH("No; impactless.",FMECA!L89)),"Impactless","Not Applicable")))</f>
        <v>Yes</v>
      </c>
      <c r="H87" s="132" t="str">
        <f>IF(ISNUMBER(SEARCH("CM0", FMECA!AC89)), "CM0", IF(ISNUMBER(SEARCH("CM1", FMECA!AC89)), "CM1", IF(ISNUMBER(SEARCH("CM2", FMECA!AC89)), "CM2", IF(ISNUMBER(SEARCH("CM3", FMECA!AC89)), "CM3", "Not Applicable"))))</f>
        <v>Not Applicable</v>
      </c>
      <c r="I87" s="134">
        <f t="shared" si="9"/>
        <v>0</v>
      </c>
      <c r="J87" s="134">
        <f t="shared" si="10"/>
        <v>1.0569830120612003E-8</v>
      </c>
      <c r="K87" s="134">
        <f t="shared" si="11"/>
        <v>0</v>
      </c>
      <c r="L87" s="134">
        <f t="shared" si="12"/>
        <v>0</v>
      </c>
      <c r="M87" s="134">
        <f t="shared" si="13"/>
        <v>0</v>
      </c>
      <c r="N87" s="134">
        <f t="shared" si="14"/>
        <v>0</v>
      </c>
      <c r="O87" s="134">
        <f t="shared" si="15"/>
        <v>0</v>
      </c>
      <c r="P87" s="134">
        <f t="shared" si="16"/>
        <v>0</v>
      </c>
      <c r="Q87" s="134">
        <f t="shared" si="17"/>
        <v>0</v>
      </c>
    </row>
    <row r="88" spans="1:17">
      <c r="A88" s="132" t="str">
        <f>FMECA!A90</f>
        <v>OC3_Sys</v>
      </c>
      <c r="B88" s="133" t="str">
        <f>FMECA!B90</f>
        <v>Change on switching time</v>
      </c>
      <c r="C88" s="133">
        <f>FMECA!E90</f>
        <v>7.0465531318791983E-9</v>
      </c>
      <c r="D88" s="132" t="str">
        <f>FMECA!H90</f>
        <v>Safe</v>
      </c>
      <c r="E88" s="132" t="str">
        <f>IF(ISNUMBER(SEARCH("Yes",FMECA!K90)),"Yes",IF(FMECA!K90="No","No",IF(ISNUMBER(SEARCH("No; impactless.",FMECA!K90)),"Impactless",IF(ISNUMBER(SEARCH("Outside the scope",FMECA!K90)),"Outside Scope",IF(ISNUMBER(SEARCH("Maybe",FMECA!K90)),"Maybe","Not Applicable")))))</f>
        <v>No</v>
      </c>
      <c r="F88" s="132" t="s">
        <v>728</v>
      </c>
      <c r="G88" s="132" t="str">
        <f>IF(ISNUMBER(SEARCH("Yes",FMECA!L90)),"Yes",IF(FMECA!L90="No","No",IF(ISNUMBER(SEARCH("No; impactless.",FMECA!L90)),"Impactless","Not Applicable")))</f>
        <v>No</v>
      </c>
      <c r="H88" s="132" t="str">
        <f>IF(ISNUMBER(SEARCH("CM0", FMECA!AC90)), "CM0", IF(ISNUMBER(SEARCH("CM1", FMECA!AC90)), "CM1", IF(ISNUMBER(SEARCH("CM2", FMECA!AC90)), "CM2", IF(ISNUMBER(SEARCH("CM3", FMECA!AC90)), "CM3", "Not Applicable"))))</f>
        <v>CM1</v>
      </c>
      <c r="I88" s="134">
        <f t="shared" si="9"/>
        <v>0</v>
      </c>
      <c r="J88" s="134">
        <f t="shared" si="10"/>
        <v>0</v>
      </c>
      <c r="K88" s="134">
        <f t="shared" si="11"/>
        <v>0</v>
      </c>
      <c r="L88" s="134">
        <f t="shared" si="12"/>
        <v>0</v>
      </c>
      <c r="M88" s="134">
        <f t="shared" si="13"/>
        <v>0</v>
      </c>
      <c r="N88" s="134">
        <f t="shared" si="14"/>
        <v>0</v>
      </c>
      <c r="O88" s="134">
        <f t="shared" si="15"/>
        <v>7.0465531318791983E-9</v>
      </c>
      <c r="P88" s="134">
        <f t="shared" si="16"/>
        <v>0</v>
      </c>
      <c r="Q88" s="134">
        <f t="shared" si="17"/>
        <v>0</v>
      </c>
    </row>
    <row r="89" spans="1:17">
      <c r="A89" s="132" t="str">
        <f>FMECA!A91</f>
        <v>OC3_Sys</v>
      </c>
      <c r="B89" s="133" t="str">
        <f>FMECA!B91</f>
        <v>Increase of current gain</v>
      </c>
      <c r="C89" s="133">
        <f>FMECA!E91</f>
        <v>7.0465531318791983E-9</v>
      </c>
      <c r="D89" s="132" t="str">
        <f>FMECA!H91</f>
        <v>Safe</v>
      </c>
      <c r="E89" s="132" t="str">
        <f>IF(ISNUMBER(SEARCH("Yes",FMECA!K91)),"Yes",IF(FMECA!K91="No","No",IF(ISNUMBER(SEARCH("No; impactless.",FMECA!K91)),"Impactless",IF(ISNUMBER(SEARCH("Outside the scope",FMECA!K91)),"Outside Scope",IF(ISNUMBER(SEARCH("Maybe",FMECA!K91)),"Maybe","Not Applicable")))))</f>
        <v>Impactless</v>
      </c>
      <c r="F89" s="132" t="s">
        <v>728</v>
      </c>
      <c r="G89" s="132" t="str">
        <f>IF(ISNUMBER(SEARCH("Yes",FMECA!L91)),"Yes",IF(FMECA!L91="No","No",IF(ISNUMBER(SEARCH("No; impactless.",FMECA!L91)),"Impactless","Not Applicable")))</f>
        <v>Impactless</v>
      </c>
      <c r="H89" s="132" t="str">
        <f>IF(ISNUMBER(SEARCH("CM0", FMECA!AC91)), "CM0", IF(ISNUMBER(SEARCH("CM1", FMECA!AC91)), "CM1", IF(ISNUMBER(SEARCH("CM2", FMECA!AC91)), "CM2", IF(ISNUMBER(SEARCH("CM3", FMECA!AC91)), "CM3", "Not Applicable"))))</f>
        <v>Not Applicable</v>
      </c>
      <c r="I89" s="134">
        <f t="shared" si="9"/>
        <v>0</v>
      </c>
      <c r="J89" s="134">
        <f t="shared" si="10"/>
        <v>0</v>
      </c>
      <c r="K89" s="134">
        <f t="shared" si="11"/>
        <v>0</v>
      </c>
      <c r="L89" s="134">
        <f t="shared" si="12"/>
        <v>0</v>
      </c>
      <c r="M89" s="134">
        <f t="shared" si="13"/>
        <v>0</v>
      </c>
      <c r="N89" s="134">
        <f t="shared" si="14"/>
        <v>0</v>
      </c>
      <c r="O89" s="134">
        <f t="shared" si="15"/>
        <v>0</v>
      </c>
      <c r="P89" s="134">
        <f t="shared" si="16"/>
        <v>0</v>
      </c>
      <c r="Q89" s="134">
        <f t="shared" si="17"/>
        <v>0</v>
      </c>
    </row>
    <row r="90" spans="1:17">
      <c r="A90" s="132" t="str">
        <f>FMECA!A92</f>
        <v>OC3_Sys</v>
      </c>
      <c r="B90" s="133" t="str">
        <f>FMECA!B92</f>
        <v>Decrease of current gain</v>
      </c>
      <c r="C90" s="133">
        <f>FMECA!E92</f>
        <v>7.0465531318791983E-9</v>
      </c>
      <c r="D90" s="132" t="str">
        <f>FMECA!H92</f>
        <v>Safe</v>
      </c>
      <c r="E90" s="132" t="str">
        <f>IF(ISNUMBER(SEARCH("Yes",FMECA!K92)),"Yes",IF(FMECA!K92="No","No",IF(ISNUMBER(SEARCH("No; impactless.",FMECA!K92)),"Impactless",IF(ISNUMBER(SEARCH("Outside the scope",FMECA!K92)),"Outside Scope",IF(ISNUMBER(SEARCH("Maybe",FMECA!K92)),"Maybe","Not Applicable")))))</f>
        <v>Outside Scope</v>
      </c>
      <c r="F90" s="132" t="s">
        <v>728</v>
      </c>
      <c r="G90" s="132" t="str">
        <f>IF(ISNUMBER(SEARCH("Yes",FMECA!L92)),"Yes",IF(FMECA!L92="No","No",IF(ISNUMBER(SEARCH("No; impactless.",FMECA!L92)),"Impactless","Not Applicable")))</f>
        <v>No</v>
      </c>
      <c r="H90" s="132" t="str">
        <f>IF(ISNUMBER(SEARCH("CM0", FMECA!AC92)), "CM0", IF(ISNUMBER(SEARCH("CM1", FMECA!AC92)), "CM1", IF(ISNUMBER(SEARCH("CM2", FMECA!AC92)), "CM2", IF(ISNUMBER(SEARCH("CM3", FMECA!AC92)), "CM3", "Not Applicable"))))</f>
        <v>Not Applicable</v>
      </c>
      <c r="I90" s="134">
        <f t="shared" si="9"/>
        <v>0</v>
      </c>
      <c r="J90" s="134">
        <f t="shared" si="10"/>
        <v>0</v>
      </c>
      <c r="K90" s="134">
        <f t="shared" si="11"/>
        <v>0</v>
      </c>
      <c r="L90" s="134">
        <f t="shared" si="12"/>
        <v>7.0465531318791983E-9</v>
      </c>
      <c r="M90" s="134">
        <f t="shared" si="13"/>
        <v>0</v>
      </c>
      <c r="N90" s="134">
        <f t="shared" si="14"/>
        <v>0</v>
      </c>
      <c r="O90" s="134">
        <f t="shared" si="15"/>
        <v>0</v>
      </c>
      <c r="P90" s="134">
        <f t="shared" si="16"/>
        <v>0</v>
      </c>
      <c r="Q90" s="134">
        <f t="shared" si="17"/>
        <v>0</v>
      </c>
    </row>
    <row r="91" spans="1:17">
      <c r="A91" s="132" t="str">
        <f>FMECA!A93</f>
        <v>D_Sys</v>
      </c>
      <c r="B91" s="133" t="str">
        <f>FMECA!B93</f>
        <v>Open</v>
      </c>
      <c r="C91" s="133">
        <f>FMECA!E93</f>
        <v>8.3831483928768434E-8</v>
      </c>
      <c r="D91" s="132" t="str">
        <f>FMECA!H93</f>
        <v>Safe</v>
      </c>
      <c r="E91" s="132" t="str">
        <f>IF(ISNUMBER(SEARCH("Yes",FMECA!K93)),"Yes",IF(FMECA!K93="No","No",IF(ISNUMBER(SEARCH("No; impactless.",FMECA!K93)),"Impactless",IF(ISNUMBER(SEARCH("Outside the scope",FMECA!K93)),"Outside Scope",IF(ISNUMBER(SEARCH("Maybe",FMECA!K93)),"Maybe","Not Applicable")))))</f>
        <v>No</v>
      </c>
      <c r="F91" s="132" t="s">
        <v>728</v>
      </c>
      <c r="G91" s="132" t="str">
        <f>IF(ISNUMBER(SEARCH("Yes",FMECA!L93)),"Yes",IF(FMECA!L93="No","No",IF(ISNUMBER(SEARCH("No; impactless.",FMECA!L93)),"Impactless","Not Applicable")))</f>
        <v>Yes</v>
      </c>
      <c r="H91" s="132" t="str">
        <f>IF(ISNUMBER(SEARCH("CM0", FMECA!AC93)), "CM0", IF(ISNUMBER(SEARCH("CM1", FMECA!AC93)), "CM1", IF(ISNUMBER(SEARCH("CM2", FMECA!AC93)), "CM2", IF(ISNUMBER(SEARCH("CM3", FMECA!AC93)), "CM3", "Not Applicable"))))</f>
        <v>Not Applicable</v>
      </c>
      <c r="I91" s="134">
        <f t="shared" si="9"/>
        <v>0</v>
      </c>
      <c r="J91" s="134">
        <f t="shared" si="10"/>
        <v>8.3831483928768434E-8</v>
      </c>
      <c r="K91" s="134">
        <f t="shared" si="11"/>
        <v>0</v>
      </c>
      <c r="L91" s="134">
        <f t="shared" si="12"/>
        <v>0</v>
      </c>
      <c r="M91" s="134">
        <f t="shared" si="13"/>
        <v>0</v>
      </c>
      <c r="N91" s="134">
        <f t="shared" si="14"/>
        <v>0</v>
      </c>
      <c r="O91" s="134">
        <f t="shared" si="15"/>
        <v>0</v>
      </c>
      <c r="P91" s="134">
        <f t="shared" si="16"/>
        <v>0</v>
      </c>
      <c r="Q91" s="134">
        <f t="shared" si="17"/>
        <v>0</v>
      </c>
    </row>
    <row r="92" spans="1:17">
      <c r="A92" s="132" t="str">
        <f>FMECA!A94</f>
        <v>D_Sys</v>
      </c>
      <c r="B92" s="133" t="str">
        <f>FMECA!B94</f>
        <v>Short-Circuit</v>
      </c>
      <c r="C92" s="133">
        <f>FMECA!E94</f>
        <v>1.4742778208162726E-7</v>
      </c>
      <c r="D92" s="132" t="str">
        <f>FMECA!H94</f>
        <v>Safe</v>
      </c>
      <c r="E92" s="132" t="str">
        <f>IF(ISNUMBER(SEARCH("Yes",FMECA!K94)),"Yes",IF(FMECA!K94="No","No",IF(ISNUMBER(SEARCH("No; impactless.",FMECA!K94)),"Impactless",IF(ISNUMBER(SEARCH("Outside the scope",FMECA!K94)),"Outside Scope",IF(ISNUMBER(SEARCH("Maybe",FMECA!K94)),"Maybe","Not Applicable")))))</f>
        <v>Yes</v>
      </c>
      <c r="F92" s="132" t="s">
        <v>728</v>
      </c>
      <c r="G92" s="132" t="str">
        <f>IF(ISNUMBER(SEARCH("Yes",FMECA!L94)),"Yes",IF(FMECA!L94="No","No",IF(ISNUMBER(SEARCH("No; impactless.",FMECA!L94)),"Impactless","Not Applicable")))</f>
        <v>Yes</v>
      </c>
      <c r="H92" s="132" t="str">
        <f>IF(ISNUMBER(SEARCH("CM0", FMECA!AC94)), "CM0", IF(ISNUMBER(SEARCH("CM1", FMECA!AC94)), "CM1", IF(ISNUMBER(SEARCH("CM2", FMECA!AC94)), "CM2", IF(ISNUMBER(SEARCH("CM3", FMECA!AC94)), "CM3", "Not Applicable"))))</f>
        <v>Not Applicable</v>
      </c>
      <c r="I92" s="134">
        <f t="shared" si="9"/>
        <v>0</v>
      </c>
      <c r="J92" s="134">
        <f t="shared" si="10"/>
        <v>0</v>
      </c>
      <c r="K92" s="134">
        <f t="shared" si="11"/>
        <v>1.4742778208162726E-7</v>
      </c>
      <c r="L92" s="134">
        <f t="shared" si="12"/>
        <v>0</v>
      </c>
      <c r="M92" s="134">
        <f t="shared" si="13"/>
        <v>0</v>
      </c>
      <c r="N92" s="134">
        <f t="shared" si="14"/>
        <v>0</v>
      </c>
      <c r="O92" s="134">
        <f t="shared" si="15"/>
        <v>0</v>
      </c>
      <c r="P92" s="134">
        <f t="shared" si="16"/>
        <v>0</v>
      </c>
      <c r="Q92" s="134">
        <f t="shared" si="17"/>
        <v>0</v>
      </c>
    </row>
    <row r="93" spans="1:17">
      <c r="A93" s="132" t="str">
        <f>FMECA!A95</f>
        <v>D_Sys</v>
      </c>
      <c r="B93" s="133" t="str">
        <f>FMECA!B95</f>
        <v>Increase of Reverse Current</v>
      </c>
      <c r="C93" s="133">
        <f>FMECA!E95</f>
        <v>9.6358027504331533E-9</v>
      </c>
      <c r="D93" s="132" t="str">
        <f>FMECA!H95</f>
        <v>Safe</v>
      </c>
      <c r="E93" s="132" t="str">
        <f>IF(ISNUMBER(SEARCH("Yes",FMECA!K95)),"Yes",IF(FMECA!K95="No","No",IF(ISNUMBER(SEARCH("No; impactless.",FMECA!K95)),"Impactless",IF(ISNUMBER(SEARCH("Outside the scope",FMECA!K95)),"Outside Scope",IF(ISNUMBER(SEARCH("Maybe",FMECA!K95)),"Maybe","Not Applicable")))))</f>
        <v>Yes</v>
      </c>
      <c r="F93" s="132" t="s">
        <v>728</v>
      </c>
      <c r="G93" s="132" t="str">
        <f>IF(ISNUMBER(SEARCH("Yes",FMECA!L95)),"Yes",IF(FMECA!L95="No","No",IF(ISNUMBER(SEARCH("No; impactless.",FMECA!L95)),"Impactless","Not Applicable")))</f>
        <v>Yes</v>
      </c>
      <c r="H93" s="132" t="str">
        <f>IF(ISNUMBER(SEARCH("CM0", FMECA!AC95)), "CM0", IF(ISNUMBER(SEARCH("CM1", FMECA!AC95)), "CM1", IF(ISNUMBER(SEARCH("CM2", FMECA!AC95)), "CM2", IF(ISNUMBER(SEARCH("CM3", FMECA!AC95)), "CM3", "Not Applicable"))))</f>
        <v>Not Applicable</v>
      </c>
      <c r="I93" s="134">
        <f t="shared" si="9"/>
        <v>0</v>
      </c>
      <c r="J93" s="134">
        <f t="shared" si="10"/>
        <v>0</v>
      </c>
      <c r="K93" s="134">
        <f t="shared" si="11"/>
        <v>9.6358027504331533E-9</v>
      </c>
      <c r="L93" s="134">
        <f t="shared" si="12"/>
        <v>0</v>
      </c>
      <c r="M93" s="134">
        <f t="shared" si="13"/>
        <v>0</v>
      </c>
      <c r="N93" s="134">
        <f t="shared" si="14"/>
        <v>0</v>
      </c>
      <c r="O93" s="134">
        <f t="shared" si="15"/>
        <v>0</v>
      </c>
      <c r="P93" s="134">
        <f t="shared" si="16"/>
        <v>0</v>
      </c>
      <c r="Q93" s="134">
        <f t="shared" si="17"/>
        <v>0</v>
      </c>
    </row>
    <row r="94" spans="1:17">
      <c r="A94" s="132" t="str">
        <f>FMECA!A96</f>
        <v>D_Sys</v>
      </c>
      <c r="B94" s="133" t="str">
        <f>FMECA!B96</f>
        <v>Decrease of Reverse Breakdown Voltage</v>
      </c>
      <c r="C94" s="133">
        <f>FMECA!E96</f>
        <v>9.6358027504331533E-9</v>
      </c>
      <c r="D94" s="132" t="str">
        <f>FMECA!H96</f>
        <v>Safe</v>
      </c>
      <c r="E94" s="132" t="str">
        <f>IF(ISNUMBER(SEARCH("Yes",FMECA!K96)),"Yes",IF(FMECA!K96="No","No",IF(ISNUMBER(SEARCH("No; impactless.",FMECA!K96)),"Impactless",IF(ISNUMBER(SEARCH("Outside the scope",FMECA!K96)),"Outside Scope",IF(ISNUMBER(SEARCH("Maybe",FMECA!K96)),"Maybe","Not Applicable")))))</f>
        <v>Yes</v>
      </c>
      <c r="F94" s="132" t="s">
        <v>728</v>
      </c>
      <c r="G94" s="132" t="str">
        <f>IF(ISNUMBER(SEARCH("Yes",FMECA!L96)),"Yes",IF(FMECA!L96="No","No",IF(ISNUMBER(SEARCH("No; impactless.",FMECA!L96)),"Impactless","Not Applicable")))</f>
        <v>Yes</v>
      </c>
      <c r="H94" s="132" t="str">
        <f>IF(ISNUMBER(SEARCH("CM0", FMECA!AC96)), "CM0", IF(ISNUMBER(SEARCH("CM1", FMECA!AC96)), "CM1", IF(ISNUMBER(SEARCH("CM2", FMECA!AC96)), "CM2", IF(ISNUMBER(SEARCH("CM3", FMECA!AC96)), "CM3", "Not Applicable"))))</f>
        <v>Not Applicable</v>
      </c>
      <c r="I94" s="134">
        <f t="shared" si="9"/>
        <v>0</v>
      </c>
      <c r="J94" s="134">
        <f t="shared" si="10"/>
        <v>0</v>
      </c>
      <c r="K94" s="134">
        <f t="shared" si="11"/>
        <v>9.6358027504331533E-9</v>
      </c>
      <c r="L94" s="134">
        <f t="shared" si="12"/>
        <v>0</v>
      </c>
      <c r="M94" s="134">
        <f t="shared" si="13"/>
        <v>0</v>
      </c>
      <c r="N94" s="134">
        <f t="shared" si="14"/>
        <v>0</v>
      </c>
      <c r="O94" s="134">
        <f t="shared" si="15"/>
        <v>0</v>
      </c>
      <c r="P94" s="134">
        <f t="shared" si="16"/>
        <v>0</v>
      </c>
      <c r="Q94" s="134">
        <f t="shared" si="17"/>
        <v>0</v>
      </c>
    </row>
    <row r="95" spans="1:17">
      <c r="A95" s="132" t="str">
        <f>FMECA!A97</f>
        <v>D_Sys</v>
      </c>
      <c r="B95" s="133" t="str">
        <f>FMECA!B97</f>
        <v>Increase of Conducting-State Voltage</v>
      </c>
      <c r="C95" s="133">
        <f>FMECA!E97</f>
        <v>9.6358027504331533E-9</v>
      </c>
      <c r="D95" s="132" t="str">
        <f>FMECA!H97</f>
        <v>Safe</v>
      </c>
      <c r="E95" s="132" t="str">
        <f>IF(ISNUMBER(SEARCH("Yes",FMECA!K97)),"Yes",IF(FMECA!K97="No","No",IF(ISNUMBER(SEARCH("No; impactless.",FMECA!K97)),"Impactless",IF(ISNUMBER(SEARCH("Outside the scope",FMECA!K97)),"Outside Scope",IF(ISNUMBER(SEARCH("Maybe",FMECA!K97)),"Maybe","Not Applicable")))))</f>
        <v>No</v>
      </c>
      <c r="F95" s="132" t="s">
        <v>728</v>
      </c>
      <c r="G95" s="132" t="str">
        <f>IF(ISNUMBER(SEARCH("Yes",FMECA!L97)),"Yes",IF(FMECA!L97="No","No",IF(ISNUMBER(SEARCH("No; impactless.",FMECA!L97)),"Impactless","Not Applicable")))</f>
        <v>Yes</v>
      </c>
      <c r="H95" s="132" t="str">
        <f>IF(ISNUMBER(SEARCH("CM0", FMECA!AC97)), "CM0", IF(ISNUMBER(SEARCH("CM1", FMECA!AC97)), "CM1", IF(ISNUMBER(SEARCH("CM2", FMECA!AC97)), "CM2", IF(ISNUMBER(SEARCH("CM3", FMECA!AC97)), "CM3", "Not Applicable"))))</f>
        <v>Not Applicable</v>
      </c>
      <c r="I95" s="134">
        <f t="shared" si="9"/>
        <v>0</v>
      </c>
      <c r="J95" s="134">
        <f t="shared" si="10"/>
        <v>9.6358027504331533E-9</v>
      </c>
      <c r="K95" s="134">
        <f t="shared" si="11"/>
        <v>0</v>
      </c>
      <c r="L95" s="134">
        <f t="shared" si="12"/>
        <v>0</v>
      </c>
      <c r="M95" s="134">
        <f t="shared" si="13"/>
        <v>0</v>
      </c>
      <c r="N95" s="134">
        <f t="shared" si="14"/>
        <v>0</v>
      </c>
      <c r="O95" s="134">
        <f t="shared" si="15"/>
        <v>0</v>
      </c>
      <c r="P95" s="134">
        <f t="shared" si="16"/>
        <v>0</v>
      </c>
      <c r="Q95" s="134">
        <f t="shared" si="17"/>
        <v>0</v>
      </c>
    </row>
    <row r="96" spans="1:17">
      <c r="A96" s="132" t="str">
        <f>FMECA!A98</f>
        <v>D_Sys</v>
      </c>
      <c r="B96" s="133" t="str">
        <f>FMECA!B98</f>
        <v>Decrease of Conducting-State Voltage</v>
      </c>
      <c r="C96" s="133">
        <f>FMECA!E98</f>
        <v>9.6358027504331533E-9</v>
      </c>
      <c r="D96" s="132" t="str">
        <f>FMECA!H98</f>
        <v>Safe</v>
      </c>
      <c r="E96" s="132" t="str">
        <f>IF(ISNUMBER(SEARCH("Yes",FMECA!K98)),"Yes",IF(FMECA!K98="No","No",IF(ISNUMBER(SEARCH("No; impactless.",FMECA!K98)),"Impactless",IF(ISNUMBER(SEARCH("Outside the scope",FMECA!K98)),"Outside Scope",IF(ISNUMBER(SEARCH("Maybe",FMECA!K98)),"Maybe","Not Applicable")))))</f>
        <v>Yes</v>
      </c>
      <c r="F96" s="132" t="s">
        <v>728</v>
      </c>
      <c r="G96" s="132" t="str">
        <f>IF(ISNUMBER(SEARCH("Yes",FMECA!L98)),"Yes",IF(FMECA!L98="No","No",IF(ISNUMBER(SEARCH("No; impactless.",FMECA!L98)),"Impactless","Not Applicable")))</f>
        <v>Yes</v>
      </c>
      <c r="H96" s="132" t="str">
        <f>IF(ISNUMBER(SEARCH("CM0", FMECA!AC98)), "CM0", IF(ISNUMBER(SEARCH("CM1", FMECA!AC98)), "CM1", IF(ISNUMBER(SEARCH("CM2", FMECA!AC98)), "CM2", IF(ISNUMBER(SEARCH("CM3", FMECA!AC98)), "CM3", "Not Applicable"))))</f>
        <v>Not Applicable</v>
      </c>
      <c r="I96" s="134">
        <f t="shared" si="9"/>
        <v>0</v>
      </c>
      <c r="J96" s="134">
        <f t="shared" si="10"/>
        <v>0</v>
      </c>
      <c r="K96" s="134">
        <f t="shared" si="11"/>
        <v>9.6358027504331533E-9</v>
      </c>
      <c r="L96" s="134">
        <f t="shared" si="12"/>
        <v>0</v>
      </c>
      <c r="M96" s="134">
        <f t="shared" si="13"/>
        <v>0</v>
      </c>
      <c r="N96" s="134">
        <f t="shared" si="14"/>
        <v>0</v>
      </c>
      <c r="O96" s="134">
        <f t="shared" si="15"/>
        <v>0</v>
      </c>
      <c r="P96" s="134">
        <f t="shared" si="16"/>
        <v>0</v>
      </c>
      <c r="Q96" s="134">
        <f t="shared" si="17"/>
        <v>0</v>
      </c>
    </row>
    <row r="97" spans="1:17">
      <c r="A97" s="132" t="str">
        <f>FMECA!A99</f>
        <v>D_Sys</v>
      </c>
      <c r="B97" s="133" t="str">
        <f>FMECA!B99</f>
        <v>Increase of Threshold Voltage</v>
      </c>
      <c r="C97" s="133">
        <f>FMECA!E99</f>
        <v>9.6358027504331533E-9</v>
      </c>
      <c r="D97" s="132" t="str">
        <f>FMECA!H99</f>
        <v>Safe</v>
      </c>
      <c r="E97" s="132" t="str">
        <f>IF(ISNUMBER(SEARCH("Yes",FMECA!K99)),"Yes",IF(FMECA!K99="No","No",IF(ISNUMBER(SEARCH("No; impactless.",FMECA!K99)),"Impactless",IF(ISNUMBER(SEARCH("Outside the scope",FMECA!K99)),"Outside Scope",IF(ISNUMBER(SEARCH("Maybe",FMECA!K99)),"Maybe","Not Applicable")))))</f>
        <v>No</v>
      </c>
      <c r="F97" s="132" t="s">
        <v>728</v>
      </c>
      <c r="G97" s="132" t="str">
        <f>IF(ISNUMBER(SEARCH("Yes",FMECA!L99)),"Yes",IF(FMECA!L99="No","No",IF(ISNUMBER(SEARCH("No; impactless.",FMECA!L99)),"Impactless","Not Applicable")))</f>
        <v>Yes</v>
      </c>
      <c r="H97" s="132" t="str">
        <f>IF(ISNUMBER(SEARCH("CM0", FMECA!AC99)), "CM0", IF(ISNUMBER(SEARCH("CM1", FMECA!AC99)), "CM1", IF(ISNUMBER(SEARCH("CM2", FMECA!AC99)), "CM2", IF(ISNUMBER(SEARCH("CM3", FMECA!AC99)), "CM3", "Not Applicable"))))</f>
        <v>Not Applicable</v>
      </c>
      <c r="I97" s="134">
        <f t="shared" si="9"/>
        <v>0</v>
      </c>
      <c r="J97" s="134">
        <f t="shared" si="10"/>
        <v>9.6358027504331533E-9</v>
      </c>
      <c r="K97" s="134">
        <f t="shared" si="11"/>
        <v>0</v>
      </c>
      <c r="L97" s="134">
        <f t="shared" si="12"/>
        <v>0</v>
      </c>
      <c r="M97" s="134">
        <f t="shared" si="13"/>
        <v>0</v>
      </c>
      <c r="N97" s="134">
        <f t="shared" si="14"/>
        <v>0</v>
      </c>
      <c r="O97" s="134">
        <f t="shared" si="15"/>
        <v>0</v>
      </c>
      <c r="P97" s="134">
        <f t="shared" si="16"/>
        <v>0</v>
      </c>
      <c r="Q97" s="134">
        <f t="shared" si="17"/>
        <v>0</v>
      </c>
    </row>
    <row r="98" spans="1:17">
      <c r="A98" s="132" t="str">
        <f>FMECA!A100</f>
        <v>D_Sys</v>
      </c>
      <c r="B98" s="133" t="str">
        <f>FMECA!B100</f>
        <v>Decrease of Threshold Voltage</v>
      </c>
      <c r="C98" s="133">
        <f>FMECA!E100</f>
        <v>9.6358027504331533E-9</v>
      </c>
      <c r="D98" s="132" t="str">
        <f>FMECA!H100</f>
        <v>Safe</v>
      </c>
      <c r="E98" s="132" t="str">
        <f>IF(ISNUMBER(SEARCH("Yes",FMECA!K100)),"Yes",IF(FMECA!K100="No","No",IF(ISNUMBER(SEARCH("No; impactless.",FMECA!K100)),"Impactless",IF(ISNUMBER(SEARCH("Outside the scope",FMECA!K100)),"Outside Scope",IF(ISNUMBER(SEARCH("Maybe",FMECA!K100)),"Maybe","Not Applicable")))))</f>
        <v>Yes</v>
      </c>
      <c r="F98" s="132" t="s">
        <v>728</v>
      </c>
      <c r="G98" s="132" t="str">
        <f>IF(ISNUMBER(SEARCH("Yes",FMECA!L100)),"Yes",IF(FMECA!L100="No","No",IF(ISNUMBER(SEARCH("No; impactless.",FMECA!L100)),"Impactless","Not Applicable")))</f>
        <v>Yes</v>
      </c>
      <c r="H98" s="132" t="str">
        <f>IF(ISNUMBER(SEARCH("CM0", FMECA!AC100)), "CM0", IF(ISNUMBER(SEARCH("CM1", FMECA!AC100)), "CM1", IF(ISNUMBER(SEARCH("CM2", FMECA!AC100)), "CM2", IF(ISNUMBER(SEARCH("CM3", FMECA!AC100)), "CM3", "Not Applicable"))))</f>
        <v>Not Applicable</v>
      </c>
      <c r="I98" s="134">
        <f t="shared" si="9"/>
        <v>0</v>
      </c>
      <c r="J98" s="134">
        <f t="shared" si="10"/>
        <v>0</v>
      </c>
      <c r="K98" s="134">
        <f t="shared" si="11"/>
        <v>9.6358027504331533E-9</v>
      </c>
      <c r="L98" s="134">
        <f t="shared" si="12"/>
        <v>0</v>
      </c>
      <c r="M98" s="134">
        <f t="shared" si="13"/>
        <v>0</v>
      </c>
      <c r="N98" s="134">
        <f t="shared" si="14"/>
        <v>0</v>
      </c>
      <c r="O98" s="134">
        <f t="shared" si="15"/>
        <v>0</v>
      </c>
      <c r="P98" s="134">
        <f t="shared" si="16"/>
        <v>0</v>
      </c>
      <c r="Q98" s="134">
        <f t="shared" si="17"/>
        <v>0</v>
      </c>
    </row>
    <row r="99" spans="1:17">
      <c r="A99" s="132" t="str">
        <f>FMECA!A101</f>
        <v>D_Sys</v>
      </c>
      <c r="B99" s="133" t="str">
        <f>FMECA!B101</f>
        <v>Short-Circuit to Conductive Casing</v>
      </c>
      <c r="C99" s="133">
        <f>FMECA!E101</f>
        <v>0</v>
      </c>
      <c r="D99" s="132" t="str">
        <f>FMECA!H101</f>
        <v>Safe</v>
      </c>
      <c r="E99" s="132" t="str">
        <f>IF(ISNUMBER(SEARCH("Yes",FMECA!K101)),"Yes",IF(FMECA!K101="No","No",IF(ISNUMBER(SEARCH("No; impactless.",FMECA!K101)),"Impactless",IF(ISNUMBER(SEARCH("Outside the scope",FMECA!K101)),"Outside Scope",IF(ISNUMBER(SEARCH("Maybe",FMECA!K101)),"Maybe","Not Applicable")))))</f>
        <v>Impactless</v>
      </c>
      <c r="F99" s="132" t="s">
        <v>728</v>
      </c>
      <c r="G99" s="132" t="str">
        <f>IF(ISNUMBER(SEARCH("Yes",FMECA!L101)),"Yes",IF(FMECA!L101="No","No",IF(ISNUMBER(SEARCH("No; impactless.",FMECA!L101)),"Impactless","Not Applicable")))</f>
        <v>Impactless</v>
      </c>
      <c r="H99" s="132" t="str">
        <f>IF(ISNUMBER(SEARCH("CM0", FMECA!AC101)), "CM0", IF(ISNUMBER(SEARCH("CM1", FMECA!AC101)), "CM1", IF(ISNUMBER(SEARCH("CM2", FMECA!AC101)), "CM2", IF(ISNUMBER(SEARCH("CM3", FMECA!AC101)), "CM3", "Not Applicable"))))</f>
        <v>Not Applicable</v>
      </c>
      <c r="I99" s="134">
        <f t="shared" si="9"/>
        <v>0</v>
      </c>
      <c r="J99" s="134">
        <f t="shared" si="10"/>
        <v>0</v>
      </c>
      <c r="K99" s="134">
        <f t="shared" si="11"/>
        <v>0</v>
      </c>
      <c r="L99" s="134">
        <f t="shared" si="12"/>
        <v>0</v>
      </c>
      <c r="M99" s="134">
        <f t="shared" si="13"/>
        <v>0</v>
      </c>
      <c r="N99" s="134">
        <f t="shared" si="14"/>
        <v>0</v>
      </c>
      <c r="O99" s="134">
        <f t="shared" si="15"/>
        <v>0</v>
      </c>
      <c r="P99" s="134">
        <f t="shared" si="16"/>
        <v>0</v>
      </c>
      <c r="Q99" s="134">
        <f t="shared" si="17"/>
        <v>0</v>
      </c>
    </row>
    <row r="100" spans="1:17">
      <c r="A100" s="132" t="str">
        <f>FMECA!A102</f>
        <v>K_Sys</v>
      </c>
      <c r="B100" s="133" t="str">
        <f>FMECA!B102</f>
        <v>Interruption of any coil</v>
      </c>
      <c r="C100" s="133">
        <f>FMECA!E102</f>
        <v>3.1495790314816006E-7</v>
      </c>
      <c r="D100" s="132" t="str">
        <f>FMECA!H102</f>
        <v>Safe</v>
      </c>
      <c r="E100" s="132" t="str">
        <f>IF(ISNUMBER(SEARCH("Yes",FMECA!K102)),"Yes",IF(FMECA!K102="No","No",IF(ISNUMBER(SEARCH("No; impactless.",FMECA!K102)),"Impactless",IF(ISNUMBER(SEARCH("Outside the scope",FMECA!K102)),"Outside Scope",IF(ISNUMBER(SEARCH("Maybe",FMECA!K102)),"Maybe","Not Applicable")))))</f>
        <v>Yes</v>
      </c>
      <c r="F100" s="132" t="s">
        <v>728</v>
      </c>
      <c r="G100" s="132" t="str">
        <f>IF(ISNUMBER(SEARCH("Yes",FMECA!L102)),"Yes",IF(FMECA!L102="No","No",IF(ISNUMBER(SEARCH("No; impactless.",FMECA!L102)),"Impactless","Not Applicable")))</f>
        <v>Yes</v>
      </c>
      <c r="H100" s="132" t="str">
        <f>IF(ISNUMBER(SEARCH("CM0", FMECA!AC102)), "CM0", IF(ISNUMBER(SEARCH("CM1", FMECA!AC102)), "CM1", IF(ISNUMBER(SEARCH("CM2", FMECA!AC102)), "CM2", IF(ISNUMBER(SEARCH("CM3", FMECA!AC102)), "CM3", "Not Applicable"))))</f>
        <v>Not Applicable</v>
      </c>
      <c r="I100" s="134">
        <f t="shared" si="9"/>
        <v>0</v>
      </c>
      <c r="J100" s="134">
        <f t="shared" si="10"/>
        <v>0</v>
      </c>
      <c r="K100" s="134">
        <f t="shared" si="11"/>
        <v>3.1495790314816006E-7</v>
      </c>
      <c r="L100" s="134">
        <f t="shared" si="12"/>
        <v>0</v>
      </c>
      <c r="M100" s="134">
        <f t="shared" si="13"/>
        <v>0</v>
      </c>
      <c r="N100" s="134">
        <f t="shared" si="14"/>
        <v>0</v>
      </c>
      <c r="O100" s="134">
        <f t="shared" si="15"/>
        <v>0</v>
      </c>
      <c r="P100" s="134">
        <f t="shared" si="16"/>
        <v>0</v>
      </c>
      <c r="Q100" s="134">
        <f t="shared" si="17"/>
        <v>0</v>
      </c>
    </row>
    <row r="101" spans="1:17">
      <c r="A101" s="132" t="str">
        <f>FMECA!A103</f>
        <v>K_Sys</v>
      </c>
      <c r="B101" s="133" t="str">
        <f>FMECA!B103</f>
        <v>Interruption of NO contact</v>
      </c>
      <c r="C101" s="133">
        <f>FMECA!E103</f>
        <v>5.790135189188397E-8</v>
      </c>
      <c r="D101" s="132" t="str">
        <f>FMECA!H103</f>
        <v>Safe</v>
      </c>
      <c r="E101" s="132" t="str">
        <f>IF(ISNUMBER(SEARCH("Yes",FMECA!K103)),"Yes",IF(FMECA!K103="No","No",IF(ISNUMBER(SEARCH("No; impactless.",FMECA!K103)),"Impactless",IF(ISNUMBER(SEARCH("Outside the scope",FMECA!K103)),"Outside Scope",IF(ISNUMBER(SEARCH("Maybe",FMECA!K103)),"Maybe","Not Applicable")))))</f>
        <v>Yes</v>
      </c>
      <c r="F101" s="132" t="s">
        <v>728</v>
      </c>
      <c r="G101" s="132" t="str">
        <f>IF(ISNUMBER(SEARCH("Yes",FMECA!L103)),"Yes",IF(FMECA!L103="No","No",IF(ISNUMBER(SEARCH("No; impactless.",FMECA!L103)),"Impactless","Not Applicable")))</f>
        <v>Yes</v>
      </c>
      <c r="H101" s="132" t="str">
        <f>IF(ISNUMBER(SEARCH("CM0", FMECA!AC103)), "CM0", IF(ISNUMBER(SEARCH("CM1", FMECA!AC103)), "CM1", IF(ISNUMBER(SEARCH("CM2", FMECA!AC103)), "CM2", IF(ISNUMBER(SEARCH("CM3", FMECA!AC103)), "CM3", "Not Applicable"))))</f>
        <v>Not Applicable</v>
      </c>
      <c r="I101" s="134">
        <f t="shared" si="9"/>
        <v>0</v>
      </c>
      <c r="J101" s="134">
        <f t="shared" si="10"/>
        <v>0</v>
      </c>
      <c r="K101" s="134">
        <f t="shared" si="11"/>
        <v>5.790135189188397E-8</v>
      </c>
      <c r="L101" s="134">
        <f t="shared" si="12"/>
        <v>0</v>
      </c>
      <c r="M101" s="134">
        <f t="shared" si="13"/>
        <v>0</v>
      </c>
      <c r="N101" s="134">
        <f t="shared" si="14"/>
        <v>0</v>
      </c>
      <c r="O101" s="134">
        <f t="shared" si="15"/>
        <v>0</v>
      </c>
      <c r="P101" s="134">
        <f t="shared" si="16"/>
        <v>0</v>
      </c>
      <c r="Q101" s="134">
        <f t="shared" si="17"/>
        <v>0</v>
      </c>
    </row>
    <row r="102" spans="1:17">
      <c r="A102" s="132" t="str">
        <f>FMECA!A104</f>
        <v>K_Sys</v>
      </c>
      <c r="B102" s="133" t="str">
        <f>FMECA!B104</f>
        <v>Interruption of NC contact</v>
      </c>
      <c r="C102" s="133">
        <f>FMECA!E104</f>
        <v>5.790135189188397E-8</v>
      </c>
      <c r="D102" s="132" t="str">
        <f>FMECA!H104</f>
        <v>Safe</v>
      </c>
      <c r="E102" s="132" t="str">
        <f>IF(ISNUMBER(SEARCH("Yes",FMECA!K104)),"Yes",IF(FMECA!K104="No","No",IF(ISNUMBER(SEARCH("No; impactless.",FMECA!K104)),"Impactless",IF(ISNUMBER(SEARCH("Outside the scope",FMECA!K104)),"Outside Scope",IF(ISNUMBER(SEARCH("Maybe",FMECA!K104)),"Maybe","Not Applicable")))))</f>
        <v>No</v>
      </c>
      <c r="F102" s="132" t="s">
        <v>728</v>
      </c>
      <c r="G102" s="132" t="str">
        <f>IF(ISNUMBER(SEARCH("Yes",FMECA!L104)),"Yes",IF(FMECA!L104="No","No",IF(ISNUMBER(SEARCH("No; impactless.",FMECA!L104)),"Impactless","Not Applicable")))</f>
        <v>Yes</v>
      </c>
      <c r="H102" s="132" t="str">
        <f>IF(ISNUMBER(SEARCH("CM0", FMECA!AC104)), "CM0", IF(ISNUMBER(SEARCH("CM1", FMECA!AC104)), "CM1", IF(ISNUMBER(SEARCH("CM2", FMECA!AC104)), "CM2", IF(ISNUMBER(SEARCH("CM3", FMECA!AC104)), "CM3", "Not Applicable"))))</f>
        <v>Not Applicable</v>
      </c>
      <c r="I102" s="134">
        <f t="shared" si="9"/>
        <v>0</v>
      </c>
      <c r="J102" s="134">
        <f t="shared" si="10"/>
        <v>5.790135189188397E-8</v>
      </c>
      <c r="K102" s="134">
        <f t="shared" si="11"/>
        <v>0</v>
      </c>
      <c r="L102" s="134">
        <f t="shared" si="12"/>
        <v>0</v>
      </c>
      <c r="M102" s="134">
        <f t="shared" si="13"/>
        <v>0</v>
      </c>
      <c r="N102" s="134">
        <f t="shared" si="14"/>
        <v>0</v>
      </c>
      <c r="O102" s="134">
        <f t="shared" si="15"/>
        <v>0</v>
      </c>
      <c r="P102" s="134">
        <f t="shared" si="16"/>
        <v>0</v>
      </c>
      <c r="Q102" s="134">
        <f t="shared" si="17"/>
        <v>0</v>
      </c>
    </row>
    <row r="103" spans="1:17">
      <c r="A103" s="132" t="str">
        <f>FMECA!A105</f>
        <v>K_Sys</v>
      </c>
      <c r="B103" s="133" t="str">
        <f>FMECA!B105</f>
        <v>Short-circuit or decrease of insulation resistance across open contacts</v>
      </c>
      <c r="C103" s="133">
        <f>FMECA!E105</f>
        <v>2.5387515829518358E-7</v>
      </c>
      <c r="D103" s="132" t="str">
        <f>FMECA!H105</f>
        <v>Safe</v>
      </c>
      <c r="E103" s="132" t="str">
        <f>IF(ISNUMBER(SEARCH("Yes",FMECA!K105)),"Yes",IF(FMECA!K105="No","No",IF(ISNUMBER(SEARCH("No; impactless.",FMECA!K105)),"Impactless",IF(ISNUMBER(SEARCH("Outside the scope",FMECA!K105)),"Outside Scope",IF(ISNUMBER(SEARCH("Maybe",FMECA!K105)),"Maybe","Not Applicable")))))</f>
        <v>No</v>
      </c>
      <c r="F103" s="132" t="s">
        <v>728</v>
      </c>
      <c r="G103" s="132" t="str">
        <f>IF(ISNUMBER(SEARCH("Yes",FMECA!L105)),"Yes",IF(FMECA!L105="No","No",IF(ISNUMBER(SEARCH("No; impactless.",FMECA!L105)),"Impactless","Not Applicable")))</f>
        <v>Yes</v>
      </c>
      <c r="H103" s="132" t="str">
        <f>IF(ISNUMBER(SEARCH("CM0", FMECA!AC105)), "CM0", IF(ISNUMBER(SEARCH("CM1", FMECA!AC105)), "CM1", IF(ISNUMBER(SEARCH("CM2", FMECA!AC105)), "CM2", IF(ISNUMBER(SEARCH("CM3", FMECA!AC105)), "CM3", "Not Applicable"))))</f>
        <v>Not Applicable</v>
      </c>
      <c r="I103" s="134">
        <f t="shared" si="9"/>
        <v>0</v>
      </c>
      <c r="J103" s="134">
        <f t="shared" si="10"/>
        <v>2.5387515829518358E-7</v>
      </c>
      <c r="K103" s="134">
        <f t="shared" si="11"/>
        <v>0</v>
      </c>
      <c r="L103" s="134">
        <f t="shared" si="12"/>
        <v>0</v>
      </c>
      <c r="M103" s="134">
        <f t="shared" si="13"/>
        <v>0</v>
      </c>
      <c r="N103" s="134">
        <f t="shared" si="14"/>
        <v>0</v>
      </c>
      <c r="O103" s="134">
        <f t="shared" si="15"/>
        <v>0</v>
      </c>
      <c r="P103" s="134">
        <f t="shared" si="16"/>
        <v>0</v>
      </c>
      <c r="Q103" s="134">
        <f t="shared" si="17"/>
        <v>0</v>
      </c>
    </row>
    <row r="104" spans="1:17">
      <c r="A104" s="132" t="str">
        <f>FMECA!A106</f>
        <v>K_Sys</v>
      </c>
      <c r="B104" s="133" t="str">
        <f>FMECA!B106</f>
        <v>Short-circuit or decrease of insulation resistance between coil and coil</v>
      </c>
      <c r="C104" s="133">
        <f>FMECA!E106</f>
        <v>0</v>
      </c>
      <c r="D104" s="132" t="str">
        <f>FMECA!H106</f>
        <v>Safe</v>
      </c>
      <c r="E104" s="132" t="str">
        <f>IF(ISNUMBER(SEARCH("Yes",FMECA!K106)),"Yes",IF(FMECA!K106="No","No",IF(ISNUMBER(SEARCH("No; impactless.",FMECA!K106)),"Impactless",IF(ISNUMBER(SEARCH("Outside the scope",FMECA!K106)),"Outside Scope",IF(ISNUMBER(SEARCH("Maybe",FMECA!K106)),"Maybe","Not Applicable")))))</f>
        <v>Impactless</v>
      </c>
      <c r="F104" s="132" t="s">
        <v>728</v>
      </c>
      <c r="G104" s="132" t="str">
        <f>IF(ISNUMBER(SEARCH("Yes",FMECA!L106)),"Yes",IF(FMECA!L106="No","No",IF(ISNUMBER(SEARCH("No; impactless.",FMECA!L106)),"Impactless","Not Applicable")))</f>
        <v>Impactless</v>
      </c>
      <c r="H104" s="132" t="str">
        <f>IF(ISNUMBER(SEARCH("CM0", FMECA!AC106)), "CM0", IF(ISNUMBER(SEARCH("CM1", FMECA!AC106)), "CM1", IF(ISNUMBER(SEARCH("CM2", FMECA!AC106)), "CM2", IF(ISNUMBER(SEARCH("CM3", FMECA!AC106)), "CM3", "Not Applicable"))))</f>
        <v>Not Applicable</v>
      </c>
      <c r="I104" s="134">
        <f t="shared" si="9"/>
        <v>0</v>
      </c>
      <c r="J104" s="134">
        <f t="shared" si="10"/>
        <v>0</v>
      </c>
      <c r="K104" s="134">
        <f t="shared" si="11"/>
        <v>0</v>
      </c>
      <c r="L104" s="134">
        <f t="shared" si="12"/>
        <v>0</v>
      </c>
      <c r="M104" s="134">
        <f t="shared" si="13"/>
        <v>0</v>
      </c>
      <c r="N104" s="134">
        <f t="shared" si="14"/>
        <v>0</v>
      </c>
      <c r="O104" s="134">
        <f t="shared" si="15"/>
        <v>0</v>
      </c>
      <c r="P104" s="134">
        <f t="shared" si="16"/>
        <v>0</v>
      </c>
      <c r="Q104" s="134">
        <f t="shared" si="17"/>
        <v>0</v>
      </c>
    </row>
    <row r="105" spans="1:17">
      <c r="A105" s="132" t="str">
        <f>FMECA!A107</f>
        <v>K_Sys</v>
      </c>
      <c r="B105" s="133" t="str">
        <f>FMECA!B107</f>
        <v>Short-circuit or decrease of insulation resistance between coil and contact</v>
      </c>
      <c r="C105" s="133">
        <f>FMECA!E107</f>
        <v>2.5387515829518358E-7</v>
      </c>
      <c r="D105" s="132" t="str">
        <f>FMECA!H107</f>
        <v>Safe</v>
      </c>
      <c r="E105" s="132" t="str">
        <f>IF(ISNUMBER(SEARCH("Yes",FMECA!K107)),"Yes",IF(FMECA!K107="No","No",IF(ISNUMBER(SEARCH("No; impactless.",FMECA!K107)),"Impactless",IF(ISNUMBER(SEARCH("Outside the scope",FMECA!K107)),"Outside Scope",IF(ISNUMBER(SEARCH("Maybe",FMECA!K107)),"Maybe","Not Applicable")))))</f>
        <v>No</v>
      </c>
      <c r="F105" s="132" t="s">
        <v>728</v>
      </c>
      <c r="G105" s="132" t="str">
        <f>IF(ISNUMBER(SEARCH("Yes",FMECA!L107)),"Yes",IF(FMECA!L107="No","No",IF(ISNUMBER(SEARCH("No; impactless.",FMECA!L107)),"Impactless","Not Applicable")))</f>
        <v>Yes</v>
      </c>
      <c r="H105" s="132" t="str">
        <f>IF(ISNUMBER(SEARCH("CM0", FMECA!AC107)), "CM0", IF(ISNUMBER(SEARCH("CM1", FMECA!AC107)), "CM1", IF(ISNUMBER(SEARCH("CM2", FMECA!AC107)), "CM2", IF(ISNUMBER(SEARCH("CM3", FMECA!AC107)), "CM3", "Not Applicable"))))</f>
        <v>Not Applicable</v>
      </c>
      <c r="I105" s="134">
        <f t="shared" si="9"/>
        <v>0</v>
      </c>
      <c r="J105" s="134">
        <f t="shared" si="10"/>
        <v>2.5387515829518358E-7</v>
      </c>
      <c r="K105" s="134">
        <f t="shared" si="11"/>
        <v>0</v>
      </c>
      <c r="L105" s="134">
        <f t="shared" si="12"/>
        <v>0</v>
      </c>
      <c r="M105" s="134">
        <f t="shared" si="13"/>
        <v>0</v>
      </c>
      <c r="N105" s="134">
        <f t="shared" si="14"/>
        <v>0</v>
      </c>
      <c r="O105" s="134">
        <f t="shared" si="15"/>
        <v>0</v>
      </c>
      <c r="P105" s="134">
        <f t="shared" si="16"/>
        <v>0</v>
      </c>
      <c r="Q105" s="134">
        <f t="shared" si="17"/>
        <v>0</v>
      </c>
    </row>
    <row r="106" spans="1:17">
      <c r="A106" s="132" t="str">
        <f>FMECA!A108</f>
        <v>K_Sys</v>
      </c>
      <c r="B106" s="133" t="str">
        <f>FMECA!B108</f>
        <v>Short-circuit or decrease of insulation resistance between coil and case</v>
      </c>
      <c r="C106" s="133">
        <f>FMECA!E108</f>
        <v>0</v>
      </c>
      <c r="D106" s="132" t="str">
        <f>FMECA!H108</f>
        <v>Safe</v>
      </c>
      <c r="E106" s="132" t="str">
        <f>IF(ISNUMBER(SEARCH("Yes",FMECA!K108)),"Yes",IF(FMECA!K108="No","No",IF(ISNUMBER(SEARCH("No; impactless.",FMECA!K108)),"Impactless",IF(ISNUMBER(SEARCH("Outside the scope",FMECA!K108)),"Outside Scope",IF(ISNUMBER(SEARCH("Maybe",FMECA!K108)),"Maybe","Not Applicable")))))</f>
        <v>Impactless</v>
      </c>
      <c r="F106" s="132" t="s">
        <v>728</v>
      </c>
      <c r="G106" s="132" t="str">
        <f>IF(ISNUMBER(SEARCH("Yes",FMECA!L108)),"Yes",IF(FMECA!L108="No","No",IF(ISNUMBER(SEARCH("No; impactless.",FMECA!L108)),"Impactless","Not Applicable")))</f>
        <v>Impactless</v>
      </c>
      <c r="H106" s="132" t="str">
        <f>IF(ISNUMBER(SEARCH("CM0", FMECA!AC108)), "CM0", IF(ISNUMBER(SEARCH("CM1", FMECA!AC108)), "CM1", IF(ISNUMBER(SEARCH("CM2", FMECA!AC108)), "CM2", IF(ISNUMBER(SEARCH("CM3", FMECA!AC108)), "CM3", "Not Applicable"))))</f>
        <v>Not Applicable</v>
      </c>
      <c r="I106" s="134">
        <f t="shared" si="9"/>
        <v>0</v>
      </c>
      <c r="J106" s="134">
        <f t="shared" si="10"/>
        <v>0</v>
      </c>
      <c r="K106" s="134">
        <f t="shared" si="11"/>
        <v>0</v>
      </c>
      <c r="L106" s="134">
        <f t="shared" si="12"/>
        <v>0</v>
      </c>
      <c r="M106" s="134">
        <f t="shared" si="13"/>
        <v>0</v>
      </c>
      <c r="N106" s="134">
        <f t="shared" si="14"/>
        <v>0</v>
      </c>
      <c r="O106" s="134">
        <f t="shared" si="15"/>
        <v>0</v>
      </c>
      <c r="P106" s="134">
        <f t="shared" si="16"/>
        <v>0</v>
      </c>
      <c r="Q106" s="134">
        <f t="shared" si="17"/>
        <v>0</v>
      </c>
    </row>
    <row r="107" spans="1:17">
      <c r="A107" s="132" t="str">
        <f>FMECA!A109</f>
        <v>K_Sys</v>
      </c>
      <c r="B107" s="133" t="str">
        <f>FMECA!B109</f>
        <v>Short-circuit or decrease of insulation resistance between contact and contact</v>
      </c>
      <c r="C107" s="133">
        <f>FMECA!E109</f>
        <v>2.5387515829518358E-7</v>
      </c>
      <c r="D107" s="132" t="str">
        <f>FMECA!H109</f>
        <v>Safe</v>
      </c>
      <c r="E107" s="132" t="str">
        <f>IF(ISNUMBER(SEARCH("Yes",FMECA!K109)),"Yes",IF(FMECA!K109="No","No",IF(ISNUMBER(SEARCH("No; impactless.",FMECA!K109)),"Impactless",IF(ISNUMBER(SEARCH("Outside the scope",FMECA!K109)),"Outside Scope",IF(ISNUMBER(SEARCH("Maybe",FMECA!K109)),"Maybe","Not Applicable")))))</f>
        <v>Outside Scope</v>
      </c>
      <c r="F107" s="132" t="s">
        <v>728</v>
      </c>
      <c r="G107" s="132" t="str">
        <f>IF(ISNUMBER(SEARCH("Yes",FMECA!L109)),"Yes",IF(FMECA!L109="No","No",IF(ISNUMBER(SEARCH("No; impactless.",FMECA!L109)),"Impactless","Not Applicable")))</f>
        <v>No</v>
      </c>
      <c r="H107" s="132" t="str">
        <f>IF(ISNUMBER(SEARCH("CM0", FMECA!AC109)), "CM0", IF(ISNUMBER(SEARCH("CM1", FMECA!AC109)), "CM1", IF(ISNUMBER(SEARCH("CM2", FMECA!AC109)), "CM2", IF(ISNUMBER(SEARCH("CM3", FMECA!AC109)), "CM3", "Not Applicable"))))</f>
        <v>Not Applicable</v>
      </c>
      <c r="I107" s="134">
        <f t="shared" si="9"/>
        <v>0</v>
      </c>
      <c r="J107" s="134">
        <f t="shared" si="10"/>
        <v>0</v>
      </c>
      <c r="K107" s="134">
        <f t="shared" si="11"/>
        <v>0</v>
      </c>
      <c r="L107" s="134">
        <f t="shared" si="12"/>
        <v>2.5387515829518358E-7</v>
      </c>
      <c r="M107" s="134">
        <f t="shared" si="13"/>
        <v>0</v>
      </c>
      <c r="N107" s="134">
        <f t="shared" si="14"/>
        <v>0</v>
      </c>
      <c r="O107" s="134">
        <f t="shared" si="15"/>
        <v>0</v>
      </c>
      <c r="P107" s="134">
        <f t="shared" si="16"/>
        <v>0</v>
      </c>
      <c r="Q107" s="134">
        <f t="shared" si="17"/>
        <v>0</v>
      </c>
    </row>
    <row r="108" spans="1:17">
      <c r="A108" s="132" t="str">
        <f>FMECA!A110</f>
        <v>K_Sys</v>
      </c>
      <c r="B108" s="133" t="str">
        <f>FMECA!B110</f>
        <v>Short-circuit or decrease of insulation resistance between contact and case</v>
      </c>
      <c r="C108" s="133">
        <f>FMECA!E110</f>
        <v>0</v>
      </c>
      <c r="D108" s="132" t="str">
        <f>FMECA!H110</f>
        <v>Safe</v>
      </c>
      <c r="E108" s="132" t="str">
        <f>IF(ISNUMBER(SEARCH("Yes",FMECA!K110)),"Yes",IF(FMECA!K110="No","No",IF(ISNUMBER(SEARCH("No; impactless.",FMECA!K110)),"Impactless",IF(ISNUMBER(SEARCH("Outside the scope",FMECA!K110)),"Outside Scope",IF(ISNUMBER(SEARCH("Maybe",FMECA!K110)),"Maybe","Not Applicable")))))</f>
        <v>Impactless</v>
      </c>
      <c r="F108" s="132" t="s">
        <v>728</v>
      </c>
      <c r="G108" s="132" t="str">
        <f>IF(ISNUMBER(SEARCH("Yes",FMECA!L110)),"Yes",IF(FMECA!L110="No","No",IF(ISNUMBER(SEARCH("No; impactless.",FMECA!L110)),"Impactless","Not Applicable")))</f>
        <v>Impactless</v>
      </c>
      <c r="H108" s="132" t="str">
        <f>IF(ISNUMBER(SEARCH("CM0", FMECA!AC110)), "CM0", IF(ISNUMBER(SEARCH("CM1", FMECA!AC110)), "CM1", IF(ISNUMBER(SEARCH("CM2", FMECA!AC110)), "CM2", IF(ISNUMBER(SEARCH("CM3", FMECA!AC110)), "CM3", "Not Applicable"))))</f>
        <v>Not Applicable</v>
      </c>
      <c r="I108" s="134">
        <f t="shared" si="9"/>
        <v>0</v>
      </c>
      <c r="J108" s="134">
        <f t="shared" si="10"/>
        <v>0</v>
      </c>
      <c r="K108" s="134">
        <f t="shared" si="11"/>
        <v>0</v>
      </c>
      <c r="L108" s="134">
        <f t="shared" si="12"/>
        <v>0</v>
      </c>
      <c r="M108" s="134">
        <f t="shared" si="13"/>
        <v>0</v>
      </c>
      <c r="N108" s="134">
        <f t="shared" si="14"/>
        <v>0</v>
      </c>
      <c r="O108" s="134">
        <f t="shared" si="15"/>
        <v>0</v>
      </c>
      <c r="P108" s="134">
        <f t="shared" si="16"/>
        <v>0</v>
      </c>
      <c r="Q108" s="134">
        <f t="shared" si="17"/>
        <v>0</v>
      </c>
    </row>
    <row r="109" spans="1:17">
      <c r="A109" s="132" t="str">
        <f>FMECA!A111</f>
        <v>K_Sys</v>
      </c>
      <c r="B109" s="133" t="str">
        <f>FMECA!B111</f>
        <v>Welding of NO contacts</v>
      </c>
      <c r="C109" s="133">
        <f>FMECA!E111</f>
        <v>5.790135189188397E-8</v>
      </c>
      <c r="D109" s="132" t="str">
        <f>FMECA!H111</f>
        <v>Safe</v>
      </c>
      <c r="E109" s="132" t="str">
        <f>IF(ISNUMBER(SEARCH("Yes",FMECA!K111)),"Yes",IF(FMECA!K111="No","No",IF(ISNUMBER(SEARCH("No; impactless.",FMECA!K111)),"Impactless",IF(ISNUMBER(SEARCH("Outside the scope",FMECA!K111)),"Outside Scope",IF(ISNUMBER(SEARCH("Maybe",FMECA!K111)),"Maybe","Not Applicable")))))</f>
        <v>No</v>
      </c>
      <c r="F109" s="132" t="s">
        <v>728</v>
      </c>
      <c r="G109" s="132" t="str">
        <f>IF(ISNUMBER(SEARCH("Yes",FMECA!L111)),"Yes",IF(FMECA!L111="No","No",IF(ISNUMBER(SEARCH("No; impactless.",FMECA!L111)),"Impactless","Not Applicable")))</f>
        <v>Yes</v>
      </c>
      <c r="H109" s="132" t="str">
        <f>IF(ISNUMBER(SEARCH("CM0", FMECA!AC111)), "CM0", IF(ISNUMBER(SEARCH("CM1", FMECA!AC111)), "CM1", IF(ISNUMBER(SEARCH("CM2", FMECA!AC111)), "CM2", IF(ISNUMBER(SEARCH("CM3", FMECA!AC111)), "CM3", "Not Applicable"))))</f>
        <v>Not Applicable</v>
      </c>
      <c r="I109" s="134">
        <f t="shared" si="9"/>
        <v>0</v>
      </c>
      <c r="J109" s="134">
        <f t="shared" si="10"/>
        <v>5.790135189188397E-8</v>
      </c>
      <c r="K109" s="134">
        <f t="shared" si="11"/>
        <v>0</v>
      </c>
      <c r="L109" s="134">
        <f t="shared" si="12"/>
        <v>0</v>
      </c>
      <c r="M109" s="134">
        <f t="shared" si="13"/>
        <v>0</v>
      </c>
      <c r="N109" s="134">
        <f t="shared" si="14"/>
        <v>0</v>
      </c>
      <c r="O109" s="134">
        <f t="shared" si="15"/>
        <v>0</v>
      </c>
      <c r="P109" s="134">
        <f t="shared" si="16"/>
        <v>0</v>
      </c>
      <c r="Q109" s="134">
        <f t="shared" si="17"/>
        <v>0</v>
      </c>
    </row>
    <row r="110" spans="1:17">
      <c r="A110" s="132" t="str">
        <f>FMECA!A112</f>
        <v>K_Sys</v>
      </c>
      <c r="B110" s="133" t="str">
        <f>FMECA!B112</f>
        <v>Welding of NC contacts</v>
      </c>
      <c r="C110" s="133">
        <f>FMECA!E112</f>
        <v>5.790135189188397E-8</v>
      </c>
      <c r="D110" s="132" t="str">
        <f>FMECA!H112</f>
        <v>Safe</v>
      </c>
      <c r="E110" s="132" t="str">
        <f>IF(ISNUMBER(SEARCH("Yes",FMECA!K112)),"Yes",IF(FMECA!K112="No","No",IF(ISNUMBER(SEARCH("No; impactless.",FMECA!K112)),"Impactless",IF(ISNUMBER(SEARCH("Outside the scope",FMECA!K112)),"Outside Scope",IF(ISNUMBER(SEARCH("Maybe",FMECA!K112)),"Maybe","Not Applicable")))))</f>
        <v>Yes</v>
      </c>
      <c r="F110" s="132" t="s">
        <v>728</v>
      </c>
      <c r="G110" s="132" t="str">
        <f>IF(ISNUMBER(SEARCH("Yes",FMECA!L112)),"Yes",IF(FMECA!L112="No","No",IF(ISNUMBER(SEARCH("No; impactless.",FMECA!L112)),"Impactless","Not Applicable")))</f>
        <v>Yes</v>
      </c>
      <c r="H110" s="132" t="str">
        <f>IF(ISNUMBER(SEARCH("CM0", FMECA!AC112)), "CM0", IF(ISNUMBER(SEARCH("CM1", FMECA!AC112)), "CM1", IF(ISNUMBER(SEARCH("CM2", FMECA!AC112)), "CM2", IF(ISNUMBER(SEARCH("CM3", FMECA!AC112)), "CM3", "Not Applicable"))))</f>
        <v>Not Applicable</v>
      </c>
      <c r="I110" s="134">
        <f t="shared" si="9"/>
        <v>0</v>
      </c>
      <c r="J110" s="134">
        <f t="shared" si="10"/>
        <v>0</v>
      </c>
      <c r="K110" s="134">
        <f t="shared" si="11"/>
        <v>5.790135189188397E-8</v>
      </c>
      <c r="L110" s="134">
        <f t="shared" si="12"/>
        <v>0</v>
      </c>
      <c r="M110" s="134">
        <f t="shared" si="13"/>
        <v>0</v>
      </c>
      <c r="N110" s="134">
        <f t="shared" si="14"/>
        <v>0</v>
      </c>
      <c r="O110" s="134">
        <f t="shared" si="15"/>
        <v>0</v>
      </c>
      <c r="P110" s="134">
        <f t="shared" si="16"/>
        <v>0</v>
      </c>
      <c r="Q110" s="134">
        <f t="shared" si="17"/>
        <v>0</v>
      </c>
    </row>
    <row r="111" spans="1:17">
      <c r="A111" s="132" t="str">
        <f>FMECA!A113</f>
        <v>K_Sys</v>
      </c>
      <c r="B111" s="133" t="str">
        <f>FMECA!B113</f>
        <v>Increase of NO contact resistance</v>
      </c>
      <c r="C111" s="133">
        <f>FMECA!E113</f>
        <v>5.790135189188397E-8</v>
      </c>
      <c r="D111" s="132" t="str">
        <f>FMECA!H113</f>
        <v>Safe</v>
      </c>
      <c r="E111" s="132" t="str">
        <f>IF(ISNUMBER(SEARCH("Yes",FMECA!K113)),"Yes",IF(FMECA!K113="No","No",IF(ISNUMBER(SEARCH("No; impactless.",FMECA!K113)),"Impactless",IF(ISNUMBER(SEARCH("Outside the scope",FMECA!K113)),"Outside Scope",IF(ISNUMBER(SEARCH("Maybe",FMECA!K113)),"Maybe","Not Applicable")))))</f>
        <v>Yes</v>
      </c>
      <c r="F111" s="132" t="s">
        <v>728</v>
      </c>
      <c r="G111" s="132" t="str">
        <f>IF(ISNUMBER(SEARCH("Yes",FMECA!L113)),"Yes",IF(FMECA!L113="No","No",IF(ISNUMBER(SEARCH("No; impactless.",FMECA!L113)),"Impactless","Not Applicable")))</f>
        <v>Yes</v>
      </c>
      <c r="H111" s="132" t="str">
        <f>IF(ISNUMBER(SEARCH("CM0", FMECA!AC113)), "CM0", IF(ISNUMBER(SEARCH("CM1", FMECA!AC113)), "CM1", IF(ISNUMBER(SEARCH("CM2", FMECA!AC113)), "CM2", IF(ISNUMBER(SEARCH("CM3", FMECA!AC113)), "CM3", "Not Applicable"))))</f>
        <v>Not Applicable</v>
      </c>
      <c r="I111" s="134">
        <f t="shared" si="9"/>
        <v>0</v>
      </c>
      <c r="J111" s="134">
        <f t="shared" si="10"/>
        <v>0</v>
      </c>
      <c r="K111" s="134">
        <f t="shared" si="11"/>
        <v>5.790135189188397E-8</v>
      </c>
      <c r="L111" s="134">
        <f t="shared" si="12"/>
        <v>0</v>
      </c>
      <c r="M111" s="134">
        <f t="shared" si="13"/>
        <v>0</v>
      </c>
      <c r="N111" s="134">
        <f t="shared" si="14"/>
        <v>0</v>
      </c>
      <c r="O111" s="134">
        <f t="shared" si="15"/>
        <v>0</v>
      </c>
      <c r="P111" s="134">
        <f t="shared" si="16"/>
        <v>0</v>
      </c>
      <c r="Q111" s="134">
        <f t="shared" si="17"/>
        <v>0</v>
      </c>
    </row>
    <row r="112" spans="1:17">
      <c r="A112" s="132" t="str">
        <f>FMECA!A114</f>
        <v>K_Sys</v>
      </c>
      <c r="B112" s="133" t="str">
        <f>FMECA!B114</f>
        <v>Increase of NC contact resistance</v>
      </c>
      <c r="C112" s="133">
        <f>FMECA!E114</f>
        <v>5.790135189188397E-8</v>
      </c>
      <c r="D112" s="132" t="str">
        <f>FMECA!H114</f>
        <v>Safe</v>
      </c>
      <c r="E112" s="132" t="str">
        <f>IF(ISNUMBER(SEARCH("Yes",FMECA!K114)),"Yes",IF(FMECA!K114="No","No",IF(ISNUMBER(SEARCH("No; impactless.",FMECA!K114)),"Impactless",IF(ISNUMBER(SEARCH("Outside the scope",FMECA!K114)),"Outside Scope",IF(ISNUMBER(SEARCH("Maybe",FMECA!K114)),"Maybe","Not Applicable")))))</f>
        <v>No</v>
      </c>
      <c r="F112" s="132" t="s">
        <v>728</v>
      </c>
      <c r="G112" s="132" t="str">
        <f>IF(ISNUMBER(SEARCH("Yes",FMECA!L114)),"Yes",IF(FMECA!L114="No","No",IF(ISNUMBER(SEARCH("No; impactless.",FMECA!L114)),"Impactless","Not Applicable")))</f>
        <v>Yes</v>
      </c>
      <c r="H112" s="132" t="str">
        <f>IF(ISNUMBER(SEARCH("CM0", FMECA!AC114)), "CM0", IF(ISNUMBER(SEARCH("CM1", FMECA!AC114)), "CM1", IF(ISNUMBER(SEARCH("CM2", FMECA!AC114)), "CM2", IF(ISNUMBER(SEARCH("CM3", FMECA!AC114)), "CM3", "Not Applicable"))))</f>
        <v>Not Applicable</v>
      </c>
      <c r="I112" s="134">
        <f t="shared" si="9"/>
        <v>0</v>
      </c>
      <c r="J112" s="134">
        <f t="shared" si="10"/>
        <v>5.790135189188397E-8</v>
      </c>
      <c r="K112" s="134">
        <f t="shared" si="11"/>
        <v>0</v>
      </c>
      <c r="L112" s="134">
        <f t="shared" si="12"/>
        <v>0</v>
      </c>
      <c r="M112" s="134">
        <f t="shared" si="13"/>
        <v>0</v>
      </c>
      <c r="N112" s="134">
        <f t="shared" si="14"/>
        <v>0</v>
      </c>
      <c r="O112" s="134">
        <f t="shared" si="15"/>
        <v>0</v>
      </c>
      <c r="P112" s="134">
        <f t="shared" si="16"/>
        <v>0</v>
      </c>
      <c r="Q112" s="134">
        <f t="shared" si="17"/>
        <v>0</v>
      </c>
    </row>
    <row r="113" spans="1:17">
      <c r="A113" s="132" t="str">
        <f>FMECA!A115</f>
        <v>K_Sys</v>
      </c>
      <c r="B113" s="133" t="str">
        <f>FMECA!B115</f>
        <v>Contact chatter</v>
      </c>
      <c r="C113" s="133">
        <f>FMECA!E115</f>
        <v>1.1580270378376794E-7</v>
      </c>
      <c r="D113" s="132" t="str">
        <f>FMECA!H115</f>
        <v>Safe</v>
      </c>
      <c r="E113" s="132" t="str">
        <f>IF(ISNUMBER(SEARCH("Yes",FMECA!K115)),"Yes",IF(FMECA!K115="No","No",IF(ISNUMBER(SEARCH("No; impactless.",FMECA!K115)),"Impactless",IF(ISNUMBER(SEARCH("Outside the scope",FMECA!K115)),"Outside Scope",IF(ISNUMBER(SEARCH("Maybe",FMECA!K115)),"Maybe","Not Applicable")))))</f>
        <v>Outside Scope</v>
      </c>
      <c r="F113" s="132" t="s">
        <v>728</v>
      </c>
      <c r="G113" s="132" t="str">
        <f>IF(ISNUMBER(SEARCH("Yes",FMECA!L115)),"Yes",IF(FMECA!L115="No","No",IF(ISNUMBER(SEARCH("No; impactless.",FMECA!L115)),"Impactless","Not Applicable")))</f>
        <v>No</v>
      </c>
      <c r="H113" s="132" t="str">
        <f>IF(ISNUMBER(SEARCH("CM0", FMECA!AC115)), "CM0", IF(ISNUMBER(SEARCH("CM1", FMECA!AC115)), "CM1", IF(ISNUMBER(SEARCH("CM2", FMECA!AC115)), "CM2", IF(ISNUMBER(SEARCH("CM3", FMECA!AC115)), "CM3", "Not Applicable"))))</f>
        <v>Not Applicable</v>
      </c>
      <c r="I113" s="134">
        <f t="shared" si="9"/>
        <v>0</v>
      </c>
      <c r="J113" s="134">
        <f t="shared" si="10"/>
        <v>0</v>
      </c>
      <c r="K113" s="134">
        <f t="shared" si="11"/>
        <v>0</v>
      </c>
      <c r="L113" s="134">
        <f t="shared" si="12"/>
        <v>1.1580270378376794E-7</v>
      </c>
      <c r="M113" s="134">
        <f t="shared" si="13"/>
        <v>0</v>
      </c>
      <c r="N113" s="134">
        <f t="shared" si="14"/>
        <v>0</v>
      </c>
      <c r="O113" s="134">
        <f t="shared" si="15"/>
        <v>0</v>
      </c>
      <c r="P113" s="134">
        <f t="shared" si="16"/>
        <v>0</v>
      </c>
      <c r="Q113" s="134">
        <f t="shared" si="17"/>
        <v>0</v>
      </c>
    </row>
    <row r="114" spans="1:17">
      <c r="A114" s="132" t="str">
        <f>FMECA!A116</f>
        <v>K_Sys</v>
      </c>
      <c r="B114" s="133" t="str">
        <f>FMECA!B116</f>
        <v>Increase of pick-up current</v>
      </c>
      <c r="C114" s="133">
        <f>FMECA!E116</f>
        <v>3.1495790314816006E-7</v>
      </c>
      <c r="D114" s="132" t="str">
        <f>FMECA!H116</f>
        <v>Safe</v>
      </c>
      <c r="E114" s="132" t="str">
        <f>IF(ISNUMBER(SEARCH("Yes",FMECA!K116)),"Yes",IF(FMECA!K116="No","No",IF(ISNUMBER(SEARCH("No; impactless.",FMECA!K116)),"Impactless",IF(ISNUMBER(SEARCH("Outside the scope",FMECA!K116)),"Outside Scope",IF(ISNUMBER(SEARCH("Maybe",FMECA!K116)),"Maybe","Not Applicable")))))</f>
        <v>Yes</v>
      </c>
      <c r="F114" s="132" t="s">
        <v>728</v>
      </c>
      <c r="G114" s="132" t="str">
        <f>IF(ISNUMBER(SEARCH("Yes",FMECA!L116)),"Yes",IF(FMECA!L116="No","No",IF(ISNUMBER(SEARCH("No; impactless.",FMECA!L116)),"Impactless","Not Applicable")))</f>
        <v>Yes</v>
      </c>
      <c r="H114" s="132" t="str">
        <f>IF(ISNUMBER(SEARCH("CM0", FMECA!AC116)), "CM0", IF(ISNUMBER(SEARCH("CM1", FMECA!AC116)), "CM1", IF(ISNUMBER(SEARCH("CM2", FMECA!AC116)), "CM2", IF(ISNUMBER(SEARCH("CM3", FMECA!AC116)), "CM3", "Not Applicable"))))</f>
        <v>Not Applicable</v>
      </c>
      <c r="I114" s="134">
        <f t="shared" si="9"/>
        <v>0</v>
      </c>
      <c r="J114" s="134">
        <f t="shared" si="10"/>
        <v>0</v>
      </c>
      <c r="K114" s="134">
        <f t="shared" si="11"/>
        <v>3.1495790314816006E-7</v>
      </c>
      <c r="L114" s="134">
        <f t="shared" si="12"/>
        <v>0</v>
      </c>
      <c r="M114" s="134">
        <f t="shared" si="13"/>
        <v>0</v>
      </c>
      <c r="N114" s="134">
        <f t="shared" si="14"/>
        <v>0</v>
      </c>
      <c r="O114" s="134">
        <f t="shared" si="15"/>
        <v>0</v>
      </c>
      <c r="P114" s="134">
        <f t="shared" si="16"/>
        <v>0</v>
      </c>
      <c r="Q114" s="134">
        <f t="shared" si="17"/>
        <v>0</v>
      </c>
    </row>
    <row r="115" spans="1:17">
      <c r="A115" s="132" t="str">
        <f>FMECA!A117</f>
        <v>K_Sys</v>
      </c>
      <c r="B115" s="133" t="str">
        <f>FMECA!B117</f>
        <v>Decrease of pick-up current</v>
      </c>
      <c r="C115" s="133">
        <f>FMECA!E117</f>
        <v>1.1580270378376794E-7</v>
      </c>
      <c r="D115" s="132" t="str">
        <f>FMECA!H117</f>
        <v>Safe</v>
      </c>
      <c r="E115" s="132" t="str">
        <f>IF(ISNUMBER(SEARCH("Yes",FMECA!K117)),"Yes",IF(FMECA!K117="No","No",IF(ISNUMBER(SEARCH("No; impactless.",FMECA!K117)),"Impactless",IF(ISNUMBER(SEARCH("Outside the scope",FMECA!K117)),"Outside Scope",IF(ISNUMBER(SEARCH("Maybe",FMECA!K117)),"Maybe","Not Applicable")))))</f>
        <v>Impactless</v>
      </c>
      <c r="F115" s="132" t="s">
        <v>728</v>
      </c>
      <c r="G115" s="132" t="str">
        <f>IF(ISNUMBER(SEARCH("Yes",FMECA!L117)),"Yes",IF(FMECA!L117="No","No",IF(ISNUMBER(SEARCH("No; impactless.",FMECA!L117)),"Impactless","Not Applicable")))</f>
        <v>Impactless</v>
      </c>
      <c r="H115" s="132" t="str">
        <f>IF(ISNUMBER(SEARCH("CM0", FMECA!AC117)), "CM0", IF(ISNUMBER(SEARCH("CM1", FMECA!AC117)), "CM1", IF(ISNUMBER(SEARCH("CM2", FMECA!AC117)), "CM2", IF(ISNUMBER(SEARCH("CM3", FMECA!AC117)), "CM3", "Not Applicable"))))</f>
        <v>Not Applicable</v>
      </c>
      <c r="I115" s="134">
        <f t="shared" si="9"/>
        <v>0</v>
      </c>
      <c r="J115" s="134">
        <f t="shared" si="10"/>
        <v>0</v>
      </c>
      <c r="K115" s="134">
        <f t="shared" si="11"/>
        <v>0</v>
      </c>
      <c r="L115" s="134">
        <f t="shared" si="12"/>
        <v>0</v>
      </c>
      <c r="M115" s="134">
        <f t="shared" si="13"/>
        <v>0</v>
      </c>
      <c r="N115" s="134">
        <f t="shared" si="14"/>
        <v>0</v>
      </c>
      <c r="O115" s="134">
        <f t="shared" si="15"/>
        <v>0</v>
      </c>
      <c r="P115" s="134">
        <f t="shared" si="16"/>
        <v>0</v>
      </c>
      <c r="Q115" s="134">
        <f t="shared" si="17"/>
        <v>0</v>
      </c>
    </row>
    <row r="116" spans="1:17">
      <c r="A116" s="132" t="str">
        <f>FMECA!A118</f>
        <v>K_Sys</v>
      </c>
      <c r="B116" s="133" t="str">
        <f>FMECA!B118</f>
        <v>Increase of drop-away current</v>
      </c>
      <c r="C116" s="133">
        <f>FMECA!E118</f>
        <v>3.1495790314816006E-7</v>
      </c>
      <c r="D116" s="132" t="str">
        <f>FMECA!H118</f>
        <v>Safe</v>
      </c>
      <c r="E116" s="132" t="str">
        <f>IF(ISNUMBER(SEARCH("Yes",FMECA!K118)),"Yes",IF(FMECA!K118="No","No",IF(ISNUMBER(SEARCH("No; impactless.",FMECA!K118)),"Impactless",IF(ISNUMBER(SEARCH("Outside the scope",FMECA!K118)),"Outside Scope",IF(ISNUMBER(SEARCH("Maybe",FMECA!K118)),"Maybe","Not Applicable")))))</f>
        <v>Impactless</v>
      </c>
      <c r="F116" s="132" t="s">
        <v>728</v>
      </c>
      <c r="G116" s="132" t="str">
        <f>IF(ISNUMBER(SEARCH("Yes",FMECA!L118)),"Yes",IF(FMECA!L118="No","No",IF(ISNUMBER(SEARCH("No; impactless.",FMECA!L118)),"Impactless","Not Applicable")))</f>
        <v>Impactless</v>
      </c>
      <c r="H116" s="132" t="str">
        <f>IF(ISNUMBER(SEARCH("CM0", FMECA!AC118)), "CM0", IF(ISNUMBER(SEARCH("CM1", FMECA!AC118)), "CM1", IF(ISNUMBER(SEARCH("CM2", FMECA!AC118)), "CM2", IF(ISNUMBER(SEARCH("CM3", FMECA!AC118)), "CM3", "Not Applicable"))))</f>
        <v>Not Applicable</v>
      </c>
      <c r="I116" s="134">
        <f t="shared" si="9"/>
        <v>0</v>
      </c>
      <c r="J116" s="134">
        <f t="shared" si="10"/>
        <v>0</v>
      </c>
      <c r="K116" s="134">
        <f t="shared" si="11"/>
        <v>0</v>
      </c>
      <c r="L116" s="134">
        <f t="shared" si="12"/>
        <v>0</v>
      </c>
      <c r="M116" s="134">
        <f t="shared" si="13"/>
        <v>0</v>
      </c>
      <c r="N116" s="134">
        <f t="shared" si="14"/>
        <v>0</v>
      </c>
      <c r="O116" s="134">
        <f t="shared" si="15"/>
        <v>0</v>
      </c>
      <c r="P116" s="134">
        <f t="shared" si="16"/>
        <v>0</v>
      </c>
      <c r="Q116" s="134">
        <f t="shared" si="17"/>
        <v>0</v>
      </c>
    </row>
    <row r="117" spans="1:17">
      <c r="A117" s="132" t="str">
        <f>FMECA!A119</f>
        <v>K_Sys</v>
      </c>
      <c r="B117" s="133" t="str">
        <f>FMECA!B119</f>
        <v>Decrease of drop-away current</v>
      </c>
      <c r="C117" s="133">
        <f>FMECA!E119</f>
        <v>1.1580270378376794E-7</v>
      </c>
      <c r="D117" s="132" t="str">
        <f>FMECA!H119</f>
        <v>Safe</v>
      </c>
      <c r="E117" s="132" t="str">
        <f>IF(ISNUMBER(SEARCH("Yes",FMECA!K119)),"Yes",IF(FMECA!K119="No","No",IF(ISNUMBER(SEARCH("No; impactless.",FMECA!K119)),"Impactless",IF(ISNUMBER(SEARCH("Outside the scope",FMECA!K119)),"Outside Scope",IF(ISNUMBER(SEARCH("Maybe",FMECA!K119)),"Maybe","Not Applicable")))))</f>
        <v>No</v>
      </c>
      <c r="F117" s="132" t="s">
        <v>728</v>
      </c>
      <c r="G117" s="132" t="str">
        <f>IF(ISNUMBER(SEARCH("Yes",FMECA!L119)),"Yes",IF(FMECA!L119="No","No",IF(ISNUMBER(SEARCH("No; impactless.",FMECA!L119)),"Impactless","Not Applicable")))</f>
        <v>Yes</v>
      </c>
      <c r="H117" s="132" t="str">
        <f>IF(ISNUMBER(SEARCH("CM0", FMECA!AC119)), "CM0", IF(ISNUMBER(SEARCH("CM1", FMECA!AC119)), "CM1", IF(ISNUMBER(SEARCH("CM2", FMECA!AC119)), "CM2", IF(ISNUMBER(SEARCH("CM3", FMECA!AC119)), "CM3", "Not Applicable"))))</f>
        <v>Not Applicable</v>
      </c>
      <c r="I117" s="134">
        <f t="shared" si="9"/>
        <v>0</v>
      </c>
      <c r="J117" s="134">
        <f t="shared" si="10"/>
        <v>1.1580270378376794E-7</v>
      </c>
      <c r="K117" s="134">
        <f t="shared" si="11"/>
        <v>0</v>
      </c>
      <c r="L117" s="134">
        <f t="shared" si="12"/>
        <v>0</v>
      </c>
      <c r="M117" s="134">
        <f t="shared" si="13"/>
        <v>0</v>
      </c>
      <c r="N117" s="134">
        <f t="shared" si="14"/>
        <v>0</v>
      </c>
      <c r="O117" s="134">
        <f t="shared" si="15"/>
        <v>0</v>
      </c>
      <c r="P117" s="134">
        <f t="shared" si="16"/>
        <v>0</v>
      </c>
      <c r="Q117" s="134">
        <f t="shared" si="17"/>
        <v>0</v>
      </c>
    </row>
    <row r="118" spans="1:17">
      <c r="A118" s="132" t="str">
        <f>FMECA!A120</f>
        <v>K_Sys</v>
      </c>
      <c r="B118" s="133" t="str">
        <f>FMECA!B120</f>
        <v>Change of pick-up to drop-away ratio</v>
      </c>
      <c r="C118" s="133">
        <f>FMECA!E120</f>
        <v>1.1580270378376794E-7</v>
      </c>
      <c r="D118" s="132" t="str">
        <f>FMECA!H120</f>
        <v>Safe</v>
      </c>
      <c r="E118" s="132" t="str">
        <f>IF(ISNUMBER(SEARCH("Yes",FMECA!K120)),"Yes",IF(FMECA!K120="No","No",IF(ISNUMBER(SEARCH("No; impactless.",FMECA!K120)),"Impactless",IF(ISNUMBER(SEARCH("Outside the scope",FMECA!K120)),"Outside Scope",IF(ISNUMBER(SEARCH("Maybe",FMECA!K120)),"Maybe","Not Applicable")))))</f>
        <v>Impactless</v>
      </c>
      <c r="F118" s="132" t="s">
        <v>728</v>
      </c>
      <c r="G118" s="132" t="str">
        <f>IF(ISNUMBER(SEARCH("Yes",FMECA!L120)),"Yes",IF(FMECA!L120="No","No",IF(ISNUMBER(SEARCH("No; impactless.",FMECA!L120)),"Impactless","Not Applicable")))</f>
        <v>Impactless</v>
      </c>
      <c r="H118" s="132" t="str">
        <f>IF(ISNUMBER(SEARCH("CM0", FMECA!AC120)), "CM0", IF(ISNUMBER(SEARCH("CM1", FMECA!AC120)), "CM1", IF(ISNUMBER(SEARCH("CM2", FMECA!AC120)), "CM2", IF(ISNUMBER(SEARCH("CM3", FMECA!AC120)), "CM3", "Not Applicable"))))</f>
        <v>Not Applicable</v>
      </c>
      <c r="I118" s="134">
        <f t="shared" si="9"/>
        <v>0</v>
      </c>
      <c r="J118" s="134">
        <f t="shared" si="10"/>
        <v>0</v>
      </c>
      <c r="K118" s="134">
        <f t="shared" si="11"/>
        <v>0</v>
      </c>
      <c r="L118" s="134">
        <f t="shared" si="12"/>
        <v>0</v>
      </c>
      <c r="M118" s="134">
        <f t="shared" si="13"/>
        <v>0</v>
      </c>
      <c r="N118" s="134">
        <f t="shared" si="14"/>
        <v>0</v>
      </c>
      <c r="O118" s="134">
        <f t="shared" si="15"/>
        <v>0</v>
      </c>
      <c r="P118" s="134">
        <f t="shared" si="16"/>
        <v>0</v>
      </c>
      <c r="Q118" s="134">
        <f t="shared" si="17"/>
        <v>0</v>
      </c>
    </row>
    <row r="119" spans="1:17">
      <c r="A119" s="132" t="str">
        <f>FMECA!A121</f>
        <v>K_Sys</v>
      </c>
      <c r="B119" s="133" t="str">
        <f>FMECA!B121</f>
        <v>Increase of pick-up time</v>
      </c>
      <c r="C119" s="133">
        <f>FMECA!E121</f>
        <v>3.1495790314816006E-7</v>
      </c>
      <c r="D119" s="132" t="str">
        <f>FMECA!H121</f>
        <v>Safe</v>
      </c>
      <c r="E119" s="132" t="str">
        <f>IF(ISNUMBER(SEARCH("Yes",FMECA!K121)),"Yes",IF(FMECA!K121="No","No",IF(ISNUMBER(SEARCH("No; impactless.",FMECA!K121)),"Impactless",IF(ISNUMBER(SEARCH("Outside the scope",FMECA!K121)),"Outside Scope",IF(ISNUMBER(SEARCH("Maybe",FMECA!K121)),"Maybe","Not Applicable")))))</f>
        <v>Outside Scope</v>
      </c>
      <c r="F119" s="132" t="s">
        <v>728</v>
      </c>
      <c r="G119" s="132" t="str">
        <f>IF(ISNUMBER(SEARCH("Yes",FMECA!L121)),"Yes",IF(FMECA!L121="No","No",IF(ISNUMBER(SEARCH("No; impactless.",FMECA!L121)),"Impactless","Not Applicable")))</f>
        <v>No</v>
      </c>
      <c r="H119" s="132" t="str">
        <f>IF(ISNUMBER(SEARCH("CM0", FMECA!AC121)), "CM0", IF(ISNUMBER(SEARCH("CM1", FMECA!AC121)), "CM1", IF(ISNUMBER(SEARCH("CM2", FMECA!AC121)), "CM2", IF(ISNUMBER(SEARCH("CM3", FMECA!AC121)), "CM3", "Not Applicable"))))</f>
        <v>Not Applicable</v>
      </c>
      <c r="I119" s="134">
        <f t="shared" si="9"/>
        <v>0</v>
      </c>
      <c r="J119" s="134">
        <f t="shared" si="10"/>
        <v>0</v>
      </c>
      <c r="K119" s="134">
        <f t="shared" si="11"/>
        <v>0</v>
      </c>
      <c r="L119" s="134">
        <f t="shared" si="12"/>
        <v>3.1495790314816006E-7</v>
      </c>
      <c r="M119" s="134">
        <f t="shared" si="13"/>
        <v>0</v>
      </c>
      <c r="N119" s="134">
        <f t="shared" si="14"/>
        <v>0</v>
      </c>
      <c r="O119" s="134">
        <f t="shared" si="15"/>
        <v>0</v>
      </c>
      <c r="P119" s="134">
        <f t="shared" si="16"/>
        <v>0</v>
      </c>
      <c r="Q119" s="134">
        <f t="shared" si="17"/>
        <v>0</v>
      </c>
    </row>
    <row r="120" spans="1:17">
      <c r="A120" s="132" t="str">
        <f>FMECA!A122</f>
        <v>K_Sys</v>
      </c>
      <c r="B120" s="133" t="str">
        <f>FMECA!B122</f>
        <v>Decrease of pick-up time</v>
      </c>
      <c r="C120" s="133">
        <f>FMECA!E122</f>
        <v>1.1580270378376794E-7</v>
      </c>
      <c r="D120" s="132" t="str">
        <f>FMECA!H122</f>
        <v>Safe</v>
      </c>
      <c r="E120" s="132" t="str">
        <f>IF(ISNUMBER(SEARCH("Yes",FMECA!K122)),"Yes",IF(FMECA!K122="No","No",IF(ISNUMBER(SEARCH("No; impactless.",FMECA!K122)),"Impactless",IF(ISNUMBER(SEARCH("Outside the scope",FMECA!K122)),"Outside Scope",IF(ISNUMBER(SEARCH("Maybe",FMECA!K122)),"Maybe","Not Applicable")))))</f>
        <v>Impactless</v>
      </c>
      <c r="F120" s="132" t="s">
        <v>728</v>
      </c>
      <c r="G120" s="132" t="str">
        <f>IF(ISNUMBER(SEARCH("Yes",FMECA!L122)),"Yes",IF(FMECA!L122="No","No",IF(ISNUMBER(SEARCH("No; impactless.",FMECA!L122)),"Impactless","Not Applicable")))</f>
        <v>Impactless</v>
      </c>
      <c r="H120" s="132" t="str">
        <f>IF(ISNUMBER(SEARCH("CM0", FMECA!AC122)), "CM0", IF(ISNUMBER(SEARCH("CM1", FMECA!AC122)), "CM1", IF(ISNUMBER(SEARCH("CM2", FMECA!AC122)), "CM2", IF(ISNUMBER(SEARCH("CM3", FMECA!AC122)), "CM3", "Not Applicable"))))</f>
        <v>Not Applicable</v>
      </c>
      <c r="I120" s="134">
        <f t="shared" si="9"/>
        <v>0</v>
      </c>
      <c r="J120" s="134">
        <f t="shared" si="10"/>
        <v>0</v>
      </c>
      <c r="K120" s="134">
        <f t="shared" si="11"/>
        <v>0</v>
      </c>
      <c r="L120" s="134">
        <f t="shared" si="12"/>
        <v>0</v>
      </c>
      <c r="M120" s="134">
        <f t="shared" si="13"/>
        <v>0</v>
      </c>
      <c r="N120" s="134">
        <f t="shared" si="14"/>
        <v>0</v>
      </c>
      <c r="O120" s="134">
        <f t="shared" si="15"/>
        <v>0</v>
      </c>
      <c r="P120" s="134">
        <f t="shared" si="16"/>
        <v>0</v>
      </c>
      <c r="Q120" s="134">
        <f t="shared" si="17"/>
        <v>0</v>
      </c>
    </row>
    <row r="121" spans="1:17">
      <c r="A121" s="132" t="str">
        <f>FMECA!A123</f>
        <v>K_Sys</v>
      </c>
      <c r="B121" s="133" t="str">
        <f>FMECA!B123</f>
        <v>Increase of drop-away time</v>
      </c>
      <c r="C121" s="133">
        <f>FMECA!E123</f>
        <v>3.1495790314816006E-7</v>
      </c>
      <c r="D121" s="132" t="str">
        <f>FMECA!H123</f>
        <v>Safe</v>
      </c>
      <c r="E121" s="132" t="str">
        <f>IF(ISNUMBER(SEARCH("Yes",FMECA!K123)),"Yes",IF(FMECA!K123="No","No",IF(ISNUMBER(SEARCH("No; impactless.",FMECA!K123)),"Impactless",IF(ISNUMBER(SEARCH("Outside the scope",FMECA!K123)),"Outside Scope",IF(ISNUMBER(SEARCH("Maybe",FMECA!K123)),"Maybe","Not Applicable")))))</f>
        <v>No</v>
      </c>
      <c r="F121" s="132" t="s">
        <v>728</v>
      </c>
      <c r="G121" s="132" t="str">
        <f>IF(ISNUMBER(SEARCH("Yes",FMECA!L123)),"Yes",IF(FMECA!L123="No","No",IF(ISNUMBER(SEARCH("No; impactless.",FMECA!L123)),"Impactless","Not Applicable")))</f>
        <v>Yes</v>
      </c>
      <c r="H121" s="132" t="str">
        <f>IF(ISNUMBER(SEARCH("CM0", FMECA!AC123)), "CM0", IF(ISNUMBER(SEARCH("CM1", FMECA!AC123)), "CM1", IF(ISNUMBER(SEARCH("CM2", FMECA!AC123)), "CM2", IF(ISNUMBER(SEARCH("CM3", FMECA!AC123)), "CM3", "Not Applicable"))))</f>
        <v>Not Applicable</v>
      </c>
      <c r="I121" s="134">
        <f t="shared" si="9"/>
        <v>0</v>
      </c>
      <c r="J121" s="134">
        <f t="shared" si="10"/>
        <v>3.1495790314816006E-7</v>
      </c>
      <c r="K121" s="134">
        <f t="shared" si="11"/>
        <v>0</v>
      </c>
      <c r="L121" s="134">
        <f t="shared" si="12"/>
        <v>0</v>
      </c>
      <c r="M121" s="134">
        <f t="shared" si="13"/>
        <v>0</v>
      </c>
      <c r="N121" s="134">
        <f t="shared" si="14"/>
        <v>0</v>
      </c>
      <c r="O121" s="134">
        <f t="shared" si="15"/>
        <v>0</v>
      </c>
      <c r="P121" s="134">
        <f t="shared" si="16"/>
        <v>0</v>
      </c>
      <c r="Q121" s="134">
        <f t="shared" si="17"/>
        <v>0</v>
      </c>
    </row>
    <row r="122" spans="1:17">
      <c r="A122" s="132" t="str">
        <f>FMECA!A124</f>
        <v>K_Sys</v>
      </c>
      <c r="B122" s="133" t="str">
        <f>FMECA!B124</f>
        <v>Decrease of drop-away time</v>
      </c>
      <c r="C122" s="133">
        <f>FMECA!E124</f>
        <v>1.1580270378376794E-7</v>
      </c>
      <c r="D122" s="132" t="str">
        <f>FMECA!H124</f>
        <v>Safe</v>
      </c>
      <c r="E122" s="132" t="str">
        <f>IF(ISNUMBER(SEARCH("Yes",FMECA!K124)),"Yes",IF(FMECA!K124="No","No",IF(ISNUMBER(SEARCH("No; impactless.",FMECA!K124)),"Impactless",IF(ISNUMBER(SEARCH("Outside the scope",FMECA!K124)),"Outside Scope",IF(ISNUMBER(SEARCH("Maybe",FMECA!K124)),"Maybe","Not Applicable")))))</f>
        <v>Impactless</v>
      </c>
      <c r="F122" s="132" t="s">
        <v>728</v>
      </c>
      <c r="G122" s="132" t="str">
        <f>IF(ISNUMBER(SEARCH("Yes",FMECA!L124)),"Yes",IF(FMECA!L124="No","No",IF(ISNUMBER(SEARCH("No; impactless.",FMECA!L124)),"Impactless","Not Applicable")))</f>
        <v>Impactless</v>
      </c>
      <c r="H122" s="132" t="str">
        <f>IF(ISNUMBER(SEARCH("CM0", FMECA!AC124)), "CM0", IF(ISNUMBER(SEARCH("CM1", FMECA!AC124)), "CM1", IF(ISNUMBER(SEARCH("CM2", FMECA!AC124)), "CM2", IF(ISNUMBER(SEARCH("CM3", FMECA!AC124)), "CM3", "Not Applicable"))))</f>
        <v>Not Applicable</v>
      </c>
      <c r="I122" s="134">
        <f t="shared" si="9"/>
        <v>0</v>
      </c>
      <c r="J122" s="134">
        <f t="shared" si="10"/>
        <v>0</v>
      </c>
      <c r="K122" s="134">
        <f t="shared" si="11"/>
        <v>0</v>
      </c>
      <c r="L122" s="134">
        <f t="shared" si="12"/>
        <v>0</v>
      </c>
      <c r="M122" s="134">
        <f t="shared" si="13"/>
        <v>0</v>
      </c>
      <c r="N122" s="134">
        <f t="shared" si="14"/>
        <v>0</v>
      </c>
      <c r="O122" s="134">
        <f t="shared" si="15"/>
        <v>0</v>
      </c>
      <c r="P122" s="134">
        <f t="shared" si="16"/>
        <v>0</v>
      </c>
      <c r="Q122" s="134">
        <f t="shared" si="17"/>
        <v>0</v>
      </c>
    </row>
    <row r="123" spans="1:17">
      <c r="A123" s="132" t="str">
        <f>FMECA!A125</f>
        <v>K_Sys</v>
      </c>
      <c r="B123" s="133" t="str">
        <f>FMECA!B125</f>
        <v>Relay does not pick up</v>
      </c>
      <c r="C123" s="133">
        <f>FMECA!E125</f>
        <v>3.1495790314816006E-7</v>
      </c>
      <c r="D123" s="132" t="str">
        <f>FMECA!H125</f>
        <v>Safe</v>
      </c>
      <c r="E123" s="132" t="str">
        <f>IF(ISNUMBER(SEARCH("Yes",FMECA!K125)),"Yes",IF(FMECA!K125="No","No",IF(ISNUMBER(SEARCH("No; impactless.",FMECA!K125)),"Impactless",IF(ISNUMBER(SEARCH("Outside the scope",FMECA!K125)),"Outside Scope",IF(ISNUMBER(SEARCH("Maybe",FMECA!K125)),"Maybe","Not Applicable")))))</f>
        <v>Yes</v>
      </c>
      <c r="F123" s="132" t="s">
        <v>728</v>
      </c>
      <c r="G123" s="132" t="str">
        <f>IF(ISNUMBER(SEARCH("Yes",FMECA!L125)),"Yes",IF(FMECA!L125="No","No",IF(ISNUMBER(SEARCH("No; impactless.",FMECA!L125)),"Impactless","Not Applicable")))</f>
        <v>Yes</v>
      </c>
      <c r="H123" s="132" t="str">
        <f>IF(ISNUMBER(SEARCH("CM0", FMECA!AC125)), "CM0", IF(ISNUMBER(SEARCH("CM1", FMECA!AC125)), "CM1", IF(ISNUMBER(SEARCH("CM2", FMECA!AC125)), "CM2", IF(ISNUMBER(SEARCH("CM3", FMECA!AC125)), "CM3", "Not Applicable"))))</f>
        <v>Not Applicable</v>
      </c>
      <c r="I123" s="134">
        <f t="shared" si="9"/>
        <v>0</v>
      </c>
      <c r="J123" s="134">
        <f t="shared" si="10"/>
        <v>0</v>
      </c>
      <c r="K123" s="134">
        <f t="shared" si="11"/>
        <v>3.1495790314816006E-7</v>
      </c>
      <c r="L123" s="134">
        <f t="shared" si="12"/>
        <v>0</v>
      </c>
      <c r="M123" s="134">
        <f t="shared" si="13"/>
        <v>0</v>
      </c>
      <c r="N123" s="134">
        <f t="shared" si="14"/>
        <v>0</v>
      </c>
      <c r="O123" s="134">
        <f t="shared" si="15"/>
        <v>0</v>
      </c>
      <c r="P123" s="134">
        <f t="shared" si="16"/>
        <v>0</v>
      </c>
      <c r="Q123" s="134">
        <f t="shared" si="17"/>
        <v>0</v>
      </c>
    </row>
    <row r="124" spans="1:17">
      <c r="A124" s="132" t="str">
        <f>FMECA!A126</f>
        <v>K_Sys</v>
      </c>
      <c r="B124" s="133" t="str">
        <f>FMECA!B126</f>
        <v>Relay does not drop away</v>
      </c>
      <c r="C124" s="133">
        <f>FMECA!E126</f>
        <v>3.1495790314816006E-7</v>
      </c>
      <c r="D124" s="132" t="str">
        <f>FMECA!H126</f>
        <v>Safe</v>
      </c>
      <c r="E124" s="132" t="str">
        <f>IF(ISNUMBER(SEARCH("Yes",FMECA!K126)),"Yes",IF(FMECA!K126="No","No",IF(ISNUMBER(SEARCH("No; impactless.",FMECA!K126)),"Impactless",IF(ISNUMBER(SEARCH("Outside the scope",FMECA!K126)),"Outside Scope",IF(ISNUMBER(SEARCH("Maybe",FMECA!K126)),"Maybe","Not Applicable")))))</f>
        <v>No</v>
      </c>
      <c r="F124" s="132" t="s">
        <v>728</v>
      </c>
      <c r="G124" s="132" t="str">
        <f>IF(ISNUMBER(SEARCH("Yes",FMECA!L126)),"Yes",IF(FMECA!L126="No","No",IF(ISNUMBER(SEARCH("No; impactless.",FMECA!L126)),"Impactless","Not Applicable")))</f>
        <v>Yes</v>
      </c>
      <c r="H124" s="132" t="str">
        <f>IF(ISNUMBER(SEARCH("CM0", FMECA!AC126)), "CM0", IF(ISNUMBER(SEARCH("CM1", FMECA!AC126)), "CM1", IF(ISNUMBER(SEARCH("CM2", FMECA!AC126)), "CM2", IF(ISNUMBER(SEARCH("CM3", FMECA!AC126)), "CM3", "Not Applicable"))))</f>
        <v>Not Applicable</v>
      </c>
      <c r="I124" s="134">
        <f t="shared" si="9"/>
        <v>0</v>
      </c>
      <c r="J124" s="134">
        <f t="shared" si="10"/>
        <v>3.1495790314816006E-7</v>
      </c>
      <c r="K124" s="134">
        <f t="shared" si="11"/>
        <v>0</v>
      </c>
      <c r="L124" s="134">
        <f t="shared" si="12"/>
        <v>0</v>
      </c>
      <c r="M124" s="134">
        <f t="shared" si="13"/>
        <v>0</v>
      </c>
      <c r="N124" s="134">
        <f t="shared" si="14"/>
        <v>0</v>
      </c>
      <c r="O124" s="134">
        <f t="shared" si="15"/>
        <v>0</v>
      </c>
      <c r="P124" s="134">
        <f t="shared" si="16"/>
        <v>0</v>
      </c>
      <c r="Q124" s="134">
        <f t="shared" si="17"/>
        <v>0</v>
      </c>
    </row>
    <row r="125" spans="1:17">
      <c r="A125" s="132" t="str">
        <f>FMECA!A127</f>
        <v>K_Sys</v>
      </c>
      <c r="B125" s="133" t="str">
        <f>FMECA!B127</f>
        <v>Closure of any front contact at the same time as any back contact (transient or continuous)</v>
      </c>
      <c r="C125" s="133">
        <f>FMECA!E127</f>
        <v>0</v>
      </c>
      <c r="D125" s="132" t="str">
        <f>FMECA!H127</f>
        <v>Safe</v>
      </c>
      <c r="E125" s="132" t="str">
        <f>IF(ISNUMBER(SEARCH("Yes",FMECA!K127)),"Yes",IF(FMECA!K127="No","No",IF(ISNUMBER(SEARCH("No; impactless.",FMECA!K127)),"Impactless",IF(ISNUMBER(SEARCH("Outside the scope",FMECA!K127)),"Outside Scope",IF(ISNUMBER(SEARCH("Maybe",FMECA!K127)),"Maybe","Not Applicable")))))</f>
        <v>Impactless</v>
      </c>
      <c r="F125" s="132" t="s">
        <v>728</v>
      </c>
      <c r="G125" s="132" t="str">
        <f>IF(ISNUMBER(SEARCH("Yes",FMECA!L127)),"Yes",IF(FMECA!L127="No","No",IF(ISNUMBER(SEARCH("No; impactless.",FMECA!L127)),"Impactless","Not Applicable")))</f>
        <v>Impactless</v>
      </c>
      <c r="H125" s="132" t="str">
        <f>IF(ISNUMBER(SEARCH("CM0", FMECA!AC127)), "CM0", IF(ISNUMBER(SEARCH("CM1", FMECA!AC127)), "CM1", IF(ISNUMBER(SEARCH("CM2", FMECA!AC127)), "CM2", IF(ISNUMBER(SEARCH("CM3", FMECA!AC127)), "CM3", "Not Applicable"))))</f>
        <v>Not Applicable</v>
      </c>
      <c r="I125" s="134">
        <f t="shared" si="9"/>
        <v>0</v>
      </c>
      <c r="J125" s="134">
        <f t="shared" si="10"/>
        <v>0</v>
      </c>
      <c r="K125" s="134">
        <f t="shared" si="11"/>
        <v>0</v>
      </c>
      <c r="L125" s="134">
        <f t="shared" si="12"/>
        <v>0</v>
      </c>
      <c r="M125" s="134">
        <f t="shared" si="13"/>
        <v>0</v>
      </c>
      <c r="N125" s="134">
        <f t="shared" si="14"/>
        <v>0</v>
      </c>
      <c r="O125" s="134">
        <f t="shared" si="15"/>
        <v>0</v>
      </c>
      <c r="P125" s="134">
        <f t="shared" si="16"/>
        <v>0</v>
      </c>
      <c r="Q125" s="134">
        <f t="shared" si="17"/>
        <v>0</v>
      </c>
    </row>
    <row r="126" spans="1:17">
      <c r="A126" s="132" t="str">
        <f>FMECA!A128</f>
        <v>K_Sys</v>
      </c>
      <c r="B126" s="133" t="str">
        <f>FMECA!B128</f>
        <v>Non-correspondence between front contacts</v>
      </c>
      <c r="C126" s="133">
        <f>FMECA!E128</f>
        <v>0</v>
      </c>
      <c r="D126" s="132" t="str">
        <f>FMECA!H128</f>
        <v>Safe</v>
      </c>
      <c r="E126" s="132" t="str">
        <f>IF(ISNUMBER(SEARCH("Yes",FMECA!K128)),"Yes",IF(FMECA!K128="No","No",IF(ISNUMBER(SEARCH("No; impactless.",FMECA!K128)),"Impactless",IF(ISNUMBER(SEARCH("Outside the scope",FMECA!K128)),"Outside Scope",IF(ISNUMBER(SEARCH("Maybe",FMECA!K128)),"Maybe","Not Applicable")))))</f>
        <v>Impactless</v>
      </c>
      <c r="F126" s="132" t="s">
        <v>728</v>
      </c>
      <c r="G126" s="132" t="str">
        <f>IF(ISNUMBER(SEARCH("Yes",FMECA!L128)),"Yes",IF(FMECA!L128="No","No",IF(ISNUMBER(SEARCH("No; impactless.",FMECA!L128)),"Impactless","Not Applicable")))</f>
        <v>Impactless</v>
      </c>
      <c r="H126" s="132" t="str">
        <f>IF(ISNUMBER(SEARCH("CM0", FMECA!AC128)), "CM0", IF(ISNUMBER(SEARCH("CM1", FMECA!AC128)), "CM1", IF(ISNUMBER(SEARCH("CM2", FMECA!AC128)), "CM2", IF(ISNUMBER(SEARCH("CM3", FMECA!AC128)), "CM3", "Not Applicable"))))</f>
        <v>Not Applicable</v>
      </c>
      <c r="I126" s="134">
        <f t="shared" si="9"/>
        <v>0</v>
      </c>
      <c r="J126" s="134">
        <f t="shared" si="10"/>
        <v>0</v>
      </c>
      <c r="K126" s="134">
        <f t="shared" si="11"/>
        <v>0</v>
      </c>
      <c r="L126" s="134">
        <f t="shared" si="12"/>
        <v>0</v>
      </c>
      <c r="M126" s="134">
        <f t="shared" si="13"/>
        <v>0</v>
      </c>
      <c r="N126" s="134">
        <f t="shared" si="14"/>
        <v>0</v>
      </c>
      <c r="O126" s="134">
        <f t="shared" si="15"/>
        <v>0</v>
      </c>
      <c r="P126" s="134">
        <f t="shared" si="16"/>
        <v>0</v>
      </c>
      <c r="Q126" s="134">
        <f t="shared" si="17"/>
        <v>0</v>
      </c>
    </row>
    <row r="127" spans="1:17">
      <c r="A127" s="132" t="str">
        <f>FMECA!A129</f>
        <v>K_Sys</v>
      </c>
      <c r="B127" s="133" t="str">
        <f>FMECA!B129</f>
        <v>Non-correspondence between back contacts</v>
      </c>
      <c r="C127" s="133">
        <f>FMECA!E129</f>
        <v>0</v>
      </c>
      <c r="D127" s="132" t="str">
        <f>FMECA!H129</f>
        <v>Safe</v>
      </c>
      <c r="E127" s="132" t="str">
        <f>IF(ISNUMBER(SEARCH("Yes",FMECA!K129)),"Yes",IF(FMECA!K129="No","No",IF(ISNUMBER(SEARCH("No; impactless.",FMECA!K129)),"Impactless",IF(ISNUMBER(SEARCH("Outside the scope",FMECA!K129)),"Outside Scope",IF(ISNUMBER(SEARCH("Maybe",FMECA!K129)),"Maybe","Not Applicable")))))</f>
        <v>Impactless</v>
      </c>
      <c r="F127" s="132" t="s">
        <v>728</v>
      </c>
      <c r="G127" s="132" t="str">
        <f>IF(ISNUMBER(SEARCH("Yes",FMECA!L129)),"Yes",IF(FMECA!L129="No","No",IF(ISNUMBER(SEARCH("No; impactless.",FMECA!L129)),"Impactless","Not Applicable")))</f>
        <v>Impactless</v>
      </c>
      <c r="H127" s="132" t="str">
        <f>IF(ISNUMBER(SEARCH("CM0", FMECA!AC129)), "CM0", IF(ISNUMBER(SEARCH("CM1", FMECA!AC129)), "CM1", IF(ISNUMBER(SEARCH("CM2", FMECA!AC129)), "CM2", IF(ISNUMBER(SEARCH("CM3", FMECA!AC129)), "CM3", "Not Applicable"))))</f>
        <v>Not Applicable</v>
      </c>
      <c r="I127" s="134">
        <f t="shared" si="9"/>
        <v>0</v>
      </c>
      <c r="J127" s="134">
        <f t="shared" si="10"/>
        <v>0</v>
      </c>
      <c r="K127" s="134">
        <f t="shared" si="11"/>
        <v>0</v>
      </c>
      <c r="L127" s="134">
        <f t="shared" si="12"/>
        <v>0</v>
      </c>
      <c r="M127" s="134">
        <f t="shared" si="13"/>
        <v>0</v>
      </c>
      <c r="N127" s="134">
        <f t="shared" si="14"/>
        <v>0</v>
      </c>
      <c r="O127" s="134">
        <f t="shared" si="15"/>
        <v>0</v>
      </c>
      <c r="P127" s="134">
        <f t="shared" si="16"/>
        <v>0</v>
      </c>
      <c r="Q127" s="134">
        <f t="shared" si="17"/>
        <v>0</v>
      </c>
    </row>
    <row r="128" spans="1:17">
      <c r="A128" s="132" t="str">
        <f>FMECA!A130</f>
        <v>OR_Sys</v>
      </c>
      <c r="B128" s="133" t="str">
        <f>FMECA!B130</f>
        <v>VCC Supply open</v>
      </c>
      <c r="C128" s="133">
        <f>FMECA!E130</f>
        <v>8.468009584679352E-10</v>
      </c>
      <c r="D128" s="132" t="str">
        <f>FMECA!H130</f>
        <v>Safe</v>
      </c>
      <c r="E128" s="132" t="str">
        <f>IF(ISNUMBER(SEARCH("Yes",FMECA!K130)),"Yes",IF(FMECA!K130="No","No",IF(ISNUMBER(SEARCH("No; impactless.",FMECA!K130)),"Impactless",IF(ISNUMBER(SEARCH("Outside the scope",FMECA!K130)),"Outside Scope",IF(ISNUMBER(SEARCH("Maybe",FMECA!K130)),"Maybe","Not Applicable")))))</f>
        <v>Yes</v>
      </c>
      <c r="F128" s="132" t="s">
        <v>728</v>
      </c>
      <c r="G128" s="132" t="str">
        <f>IF(ISNUMBER(SEARCH("Yes",FMECA!L130)),"Yes",IF(FMECA!L130="No","No",IF(ISNUMBER(SEARCH("No; impactless.",FMECA!L130)),"Impactless","Not Applicable")))</f>
        <v>No</v>
      </c>
      <c r="H128" s="132" t="str">
        <f>IF(ISNUMBER(SEARCH("CM0", FMECA!AC130)), "CM0", IF(ISNUMBER(SEARCH("CM1", FMECA!AC130)), "CM1", IF(ISNUMBER(SEARCH("CM2", FMECA!AC130)), "CM2", IF(ISNUMBER(SEARCH("CM3", FMECA!AC130)), "CM3", "Not Applicable"))))</f>
        <v>Not Applicable</v>
      </c>
      <c r="I128" s="134">
        <f t="shared" si="9"/>
        <v>8.468009584679352E-10</v>
      </c>
      <c r="J128" s="134">
        <f t="shared" si="10"/>
        <v>0</v>
      </c>
      <c r="K128" s="134">
        <f t="shared" si="11"/>
        <v>0</v>
      </c>
      <c r="L128" s="134">
        <f t="shared" si="12"/>
        <v>0</v>
      </c>
      <c r="M128" s="134">
        <f t="shared" si="13"/>
        <v>0</v>
      </c>
      <c r="N128" s="134">
        <f t="shared" si="14"/>
        <v>0</v>
      </c>
      <c r="O128" s="134">
        <f t="shared" si="15"/>
        <v>0</v>
      </c>
      <c r="P128" s="134">
        <f t="shared" si="16"/>
        <v>0</v>
      </c>
      <c r="Q128" s="134">
        <f t="shared" si="17"/>
        <v>0</v>
      </c>
    </row>
    <row r="129" spans="1:17">
      <c r="A129" s="132" t="str">
        <f>FMECA!A131</f>
        <v>OR_Sys</v>
      </c>
      <c r="B129" s="133" t="str">
        <f>FMECA!B131</f>
        <v>GND Supply open</v>
      </c>
      <c r="C129" s="133">
        <f>FMECA!E131</f>
        <v>8.468009584679352E-10</v>
      </c>
      <c r="D129" s="132" t="str">
        <f>FMECA!H131</f>
        <v>Safe</v>
      </c>
      <c r="E129" s="132" t="str">
        <f>IF(ISNUMBER(SEARCH("Yes",FMECA!K131)),"Yes",IF(FMECA!K131="No","No",IF(ISNUMBER(SEARCH("No; impactless.",FMECA!K131)),"Impactless",IF(ISNUMBER(SEARCH("Outside the scope",FMECA!K131)),"Outside Scope",IF(ISNUMBER(SEARCH("Maybe",FMECA!K131)),"Maybe","Not Applicable")))))</f>
        <v>Yes</v>
      </c>
      <c r="F129" s="132" t="s">
        <v>728</v>
      </c>
      <c r="G129" s="132" t="str">
        <f>IF(ISNUMBER(SEARCH("Yes",FMECA!L131)),"Yes",IF(FMECA!L131="No","No",IF(ISNUMBER(SEARCH("No; impactless.",FMECA!L131)),"Impactless","Not Applicable")))</f>
        <v>No</v>
      </c>
      <c r="H129" s="132" t="str">
        <f>IF(ISNUMBER(SEARCH("CM0", FMECA!AC131)), "CM0", IF(ISNUMBER(SEARCH("CM1", FMECA!AC131)), "CM1", IF(ISNUMBER(SEARCH("CM2", FMECA!AC131)), "CM2", IF(ISNUMBER(SEARCH("CM3", FMECA!AC131)), "CM3", "Not Applicable"))))</f>
        <v>Not Applicable</v>
      </c>
      <c r="I129" s="134">
        <f t="shared" si="9"/>
        <v>8.468009584679352E-10</v>
      </c>
      <c r="J129" s="134">
        <f t="shared" si="10"/>
        <v>0</v>
      </c>
      <c r="K129" s="134">
        <f t="shared" si="11"/>
        <v>0</v>
      </c>
      <c r="L129" s="134">
        <f t="shared" si="12"/>
        <v>0</v>
      </c>
      <c r="M129" s="134">
        <f t="shared" si="13"/>
        <v>0</v>
      </c>
      <c r="N129" s="134">
        <f t="shared" si="14"/>
        <v>0</v>
      </c>
      <c r="O129" s="134">
        <f t="shared" si="15"/>
        <v>0</v>
      </c>
      <c r="P129" s="134">
        <f t="shared" si="16"/>
        <v>0</v>
      </c>
      <c r="Q129" s="134">
        <f t="shared" si="17"/>
        <v>0</v>
      </c>
    </row>
    <row r="130" spans="1:17">
      <c r="A130" s="132" t="str">
        <f>FMECA!A132</f>
        <v>OR_Sys</v>
      </c>
      <c r="B130" s="133" t="str">
        <f>FMECA!B132</f>
        <v>Output 'Y' open</v>
      </c>
      <c r="C130" s="133">
        <f>FMECA!E132</f>
        <v>5.0808057508076114E-9</v>
      </c>
      <c r="D130" s="132" t="str">
        <f>FMECA!H132</f>
        <v>Safe</v>
      </c>
      <c r="E130" s="132" t="str">
        <f>IF(ISNUMBER(SEARCH("Yes",FMECA!K132)),"Yes",IF(FMECA!K132="No","No",IF(ISNUMBER(SEARCH("No; impactless.",FMECA!K132)),"Impactless",IF(ISNUMBER(SEARCH("Outside the scope",FMECA!K132)),"Outside Scope",IF(ISNUMBER(SEARCH("Maybe",FMECA!K132)),"Maybe","Not Applicable")))))</f>
        <v>Yes</v>
      </c>
      <c r="F130" s="132" t="s">
        <v>728</v>
      </c>
      <c r="G130" s="132" t="str">
        <f>IF(ISNUMBER(SEARCH("Yes",FMECA!L132)),"Yes",IF(FMECA!L132="No","No",IF(ISNUMBER(SEARCH("No; impactless.",FMECA!L132)),"Impactless","Not Applicable")))</f>
        <v>No</v>
      </c>
      <c r="H130" s="132" t="str">
        <f>IF(ISNUMBER(SEARCH("CM0", FMECA!AC132)), "CM0", IF(ISNUMBER(SEARCH("CM1", FMECA!AC132)), "CM1", IF(ISNUMBER(SEARCH("CM2", FMECA!AC132)), "CM2", IF(ISNUMBER(SEARCH("CM3", FMECA!AC132)), "CM3", "Not Applicable"))))</f>
        <v>Not Applicable</v>
      </c>
      <c r="I130" s="134">
        <f t="shared" si="9"/>
        <v>5.0808057508076114E-9</v>
      </c>
      <c r="J130" s="134">
        <f t="shared" si="10"/>
        <v>0</v>
      </c>
      <c r="K130" s="134">
        <f t="shared" si="11"/>
        <v>0</v>
      </c>
      <c r="L130" s="134">
        <f t="shared" si="12"/>
        <v>0</v>
      </c>
      <c r="M130" s="134">
        <f t="shared" si="13"/>
        <v>0</v>
      </c>
      <c r="N130" s="134">
        <f t="shared" si="14"/>
        <v>0</v>
      </c>
      <c r="O130" s="134">
        <f t="shared" si="15"/>
        <v>0</v>
      </c>
      <c r="P130" s="134">
        <f t="shared" si="16"/>
        <v>0</v>
      </c>
      <c r="Q130" s="134">
        <f t="shared" si="17"/>
        <v>0</v>
      </c>
    </row>
    <row r="131" spans="1:17">
      <c r="A131" s="132" t="str">
        <f>FMECA!A133</f>
        <v>OR_Sys</v>
      </c>
      <c r="B131" s="133" t="str">
        <f>FMECA!B133</f>
        <v>Output 'Y' stuck low</v>
      </c>
      <c r="C131" s="133">
        <f>FMECA!E133</f>
        <v>1.2702014377019029E-9</v>
      </c>
      <c r="D131" s="132" t="str">
        <f>FMECA!H133</f>
        <v>Safe</v>
      </c>
      <c r="E131" s="132" t="str">
        <f>IF(ISNUMBER(SEARCH("Yes",FMECA!K133)),"Yes",IF(FMECA!K133="No","No",IF(ISNUMBER(SEARCH("No; impactless.",FMECA!K133)),"Impactless",IF(ISNUMBER(SEARCH("Outside the scope",FMECA!K133)),"Outside Scope",IF(ISNUMBER(SEARCH("Maybe",FMECA!K133)),"Maybe","Not Applicable")))))</f>
        <v>Yes</v>
      </c>
      <c r="F131" s="132" t="s">
        <v>728</v>
      </c>
      <c r="G131" s="132" t="str">
        <f>IF(ISNUMBER(SEARCH("Yes",FMECA!L133)),"Yes",IF(FMECA!L133="No","No",IF(ISNUMBER(SEARCH("No; impactless.",FMECA!L133)),"Impactless","Not Applicable")))</f>
        <v>No</v>
      </c>
      <c r="H131" s="132" t="str">
        <f>IF(ISNUMBER(SEARCH("CM0", FMECA!AC133)), "CM0", IF(ISNUMBER(SEARCH("CM1", FMECA!AC133)), "CM1", IF(ISNUMBER(SEARCH("CM2", FMECA!AC133)), "CM2", IF(ISNUMBER(SEARCH("CM3", FMECA!AC133)), "CM3", "Not Applicable"))))</f>
        <v>Not Applicable</v>
      </c>
      <c r="I131" s="134">
        <f t="shared" ref="I131:I194" si="18">IF(AND(E131 = "Yes", G131 = "No"), C131, 0)</f>
        <v>1.2702014377019029E-9</v>
      </c>
      <c r="J131" s="134">
        <f t="shared" ref="J131:J194" si="19">IF(AND(OR(E131 = "No", E131 = "Maybe"), G131 = "Yes"), C131, 0)</f>
        <v>0</v>
      </c>
      <c r="K131" s="134">
        <f t="shared" ref="K131:K194" si="20">IF(AND(E131="Yes",G131="Yes"), C131, 0)</f>
        <v>0</v>
      </c>
      <c r="L131" s="134">
        <f t="shared" ref="L131:L194" si="21">IF(E131="Outside Scope", C131, 0)</f>
        <v>0</v>
      </c>
      <c r="M131" s="134">
        <f t="shared" ref="M131:M194" si="22">IF(AND(E131 = "Maybe", F131 = "Yes", G131 = "No"), C131, 0)</f>
        <v>0</v>
      </c>
      <c r="N131" s="134">
        <f t="shared" ref="N131:N194" si="23">IF(AND(E131 = "Maybe", F131 = "No", G131 = "No"), C131, 0)</f>
        <v>0</v>
      </c>
      <c r="O131" s="134">
        <f t="shared" ref="O131:O194" si="24">IF(H131 = "CM1", C131, 0)</f>
        <v>0</v>
      </c>
      <c r="P131" s="134">
        <f t="shared" ref="P131:P194" si="25">IF(AND(E131&lt;&gt; "Maybe", H131 = "CM2"), C131, 0)</f>
        <v>0</v>
      </c>
      <c r="Q131" s="134">
        <f t="shared" ref="Q131:Q194" si="26">IF(H131 = "CM3", C131, 0)</f>
        <v>0</v>
      </c>
    </row>
    <row r="132" spans="1:17">
      <c r="A132" s="132" t="str">
        <f>FMECA!A134</f>
        <v>OR_Sys</v>
      </c>
      <c r="B132" s="133" t="str">
        <f>FMECA!B134</f>
        <v>Output 'Y' stuck high</v>
      </c>
      <c r="C132" s="133">
        <f>FMECA!E134</f>
        <v>1.1290679446239138E-9</v>
      </c>
      <c r="D132" s="132" t="str">
        <f>FMECA!H134</f>
        <v>Safe</v>
      </c>
      <c r="E132" s="132" t="str">
        <f>IF(ISNUMBER(SEARCH("Yes",FMECA!K134)),"Yes",IF(FMECA!K134="No","No",IF(ISNUMBER(SEARCH("No; impactless.",FMECA!K134)),"Impactless",IF(ISNUMBER(SEARCH("Outside the scope",FMECA!K134)),"Outside Scope",IF(ISNUMBER(SEARCH("Maybe",FMECA!K134)),"Maybe","Not Applicable")))))</f>
        <v>Yes</v>
      </c>
      <c r="F132" s="132" t="s">
        <v>728</v>
      </c>
      <c r="G132" s="132" t="str">
        <f>IF(ISNUMBER(SEARCH("Yes",FMECA!L134)),"Yes",IF(FMECA!L134="No","No",IF(ISNUMBER(SEARCH("No; impactless.",FMECA!L134)),"Impactless","Not Applicable")))</f>
        <v>No</v>
      </c>
      <c r="H132" s="132" t="str">
        <f>IF(ISNUMBER(SEARCH("CM0", FMECA!AC134)), "CM0", IF(ISNUMBER(SEARCH("CM1", FMECA!AC134)), "CM1", IF(ISNUMBER(SEARCH("CM2", FMECA!AC134)), "CM2", IF(ISNUMBER(SEARCH("CM3", FMECA!AC134)), "CM3", "Not Applicable"))))</f>
        <v>Not Applicable</v>
      </c>
      <c r="I132" s="134">
        <f t="shared" si="18"/>
        <v>1.1290679446239138E-9</v>
      </c>
      <c r="J132" s="134">
        <f t="shared" si="19"/>
        <v>0</v>
      </c>
      <c r="K132" s="134">
        <f t="shared" si="20"/>
        <v>0</v>
      </c>
      <c r="L132" s="134">
        <f t="shared" si="21"/>
        <v>0</v>
      </c>
      <c r="M132" s="134">
        <f t="shared" si="22"/>
        <v>0</v>
      </c>
      <c r="N132" s="134">
        <f t="shared" si="23"/>
        <v>0</v>
      </c>
      <c r="O132" s="134">
        <f t="shared" si="24"/>
        <v>0</v>
      </c>
      <c r="P132" s="134">
        <f t="shared" si="25"/>
        <v>0</v>
      </c>
      <c r="Q132" s="134">
        <f t="shared" si="26"/>
        <v>0</v>
      </c>
    </row>
    <row r="133" spans="1:17">
      <c r="A133" s="132" t="str">
        <f>FMECA!A135</f>
        <v>OR_Sys</v>
      </c>
      <c r="B133" s="133" t="str">
        <f>FMECA!B135</f>
        <v>Input 'A' open</v>
      </c>
      <c r="C133" s="133">
        <f>FMECA!E135</f>
        <v>1.6936019169358704E-9</v>
      </c>
      <c r="D133" s="132" t="str">
        <f>FMECA!H135</f>
        <v>Safe</v>
      </c>
      <c r="E133" s="132" t="str">
        <f>IF(ISNUMBER(SEARCH("Yes",FMECA!K135)),"Yes",IF(FMECA!K135="No","No",IF(ISNUMBER(SEARCH("No; impactless.",FMECA!K135)),"Impactless",IF(ISNUMBER(SEARCH("Outside the scope",FMECA!K135)),"Outside Scope",IF(ISNUMBER(SEARCH("Maybe",FMECA!K135)),"Maybe","Not Applicable")))))</f>
        <v>Yes</v>
      </c>
      <c r="F133" s="132" t="s">
        <v>728</v>
      </c>
      <c r="G133" s="132" t="str">
        <f>IF(ISNUMBER(SEARCH("Yes",FMECA!L135)),"Yes",IF(FMECA!L135="No","No",IF(ISNUMBER(SEARCH("No; impactless.",FMECA!L135)),"Impactless","Not Applicable")))</f>
        <v>No</v>
      </c>
      <c r="H133" s="132" t="str">
        <f>IF(ISNUMBER(SEARCH("CM0", FMECA!AC135)), "CM0", IF(ISNUMBER(SEARCH("CM1", FMECA!AC135)), "CM1", IF(ISNUMBER(SEARCH("CM2", FMECA!AC135)), "CM2", IF(ISNUMBER(SEARCH("CM3", FMECA!AC135)), "CM3", "Not Applicable"))))</f>
        <v>Not Applicable</v>
      </c>
      <c r="I133" s="134">
        <f t="shared" si="18"/>
        <v>1.6936019169358704E-9</v>
      </c>
      <c r="J133" s="134">
        <f t="shared" si="19"/>
        <v>0</v>
      </c>
      <c r="K133" s="134">
        <f t="shared" si="20"/>
        <v>0</v>
      </c>
      <c r="L133" s="134">
        <f t="shared" si="21"/>
        <v>0</v>
      </c>
      <c r="M133" s="134">
        <f t="shared" si="22"/>
        <v>0</v>
      </c>
      <c r="N133" s="134">
        <f t="shared" si="23"/>
        <v>0</v>
      </c>
      <c r="O133" s="134">
        <f t="shared" si="24"/>
        <v>0</v>
      </c>
      <c r="P133" s="134">
        <f t="shared" si="25"/>
        <v>0</v>
      </c>
      <c r="Q133" s="134">
        <f t="shared" si="26"/>
        <v>0</v>
      </c>
    </row>
    <row r="134" spans="1:17">
      <c r="A134" s="132" t="str">
        <f>FMECA!A136</f>
        <v>OR_Sys</v>
      </c>
      <c r="B134" s="133" t="str">
        <f>FMECA!B136</f>
        <v>Input 'B' open</v>
      </c>
      <c r="C134" s="133">
        <f>FMECA!E136</f>
        <v>1.6936019169358704E-9</v>
      </c>
      <c r="D134" s="132" t="str">
        <f>FMECA!H136</f>
        <v>Safe</v>
      </c>
      <c r="E134" s="132" t="str">
        <f>IF(ISNUMBER(SEARCH("Yes",FMECA!K136)),"Yes",IF(FMECA!K136="No","No",IF(ISNUMBER(SEARCH("No; impactless.",FMECA!K136)),"Impactless",IF(ISNUMBER(SEARCH("Outside the scope",FMECA!K136)),"Outside Scope",IF(ISNUMBER(SEARCH("Maybe",FMECA!K136)),"Maybe","Not Applicable")))))</f>
        <v>Yes</v>
      </c>
      <c r="F134" s="132" t="s">
        <v>728</v>
      </c>
      <c r="G134" s="132" t="str">
        <f>IF(ISNUMBER(SEARCH("Yes",FMECA!L136)),"Yes",IF(FMECA!L136="No","No",IF(ISNUMBER(SEARCH("No; impactless.",FMECA!L136)),"Impactless","Not Applicable")))</f>
        <v>No</v>
      </c>
      <c r="H134" s="132" t="str">
        <f>IF(ISNUMBER(SEARCH("CM0", FMECA!AC136)), "CM0", IF(ISNUMBER(SEARCH("CM1", FMECA!AC136)), "CM1", IF(ISNUMBER(SEARCH("CM2", FMECA!AC136)), "CM2", IF(ISNUMBER(SEARCH("CM3", FMECA!AC136)), "CM3", "Not Applicable"))))</f>
        <v>Not Applicable</v>
      </c>
      <c r="I134" s="134">
        <f t="shared" si="18"/>
        <v>1.6936019169358704E-9</v>
      </c>
      <c r="J134" s="134">
        <f t="shared" si="19"/>
        <v>0</v>
      </c>
      <c r="K134" s="134">
        <f t="shared" si="20"/>
        <v>0</v>
      </c>
      <c r="L134" s="134">
        <f t="shared" si="21"/>
        <v>0</v>
      </c>
      <c r="M134" s="134">
        <f t="shared" si="22"/>
        <v>0</v>
      </c>
      <c r="N134" s="134">
        <f t="shared" si="23"/>
        <v>0</v>
      </c>
      <c r="O134" s="134">
        <f t="shared" si="24"/>
        <v>0</v>
      </c>
      <c r="P134" s="134">
        <f t="shared" si="25"/>
        <v>0</v>
      </c>
      <c r="Q134" s="134">
        <f t="shared" si="26"/>
        <v>0</v>
      </c>
    </row>
    <row r="135" spans="1:17">
      <c r="A135" s="132" t="str">
        <f>FMECA!A137</f>
        <v>OR_Sys</v>
      </c>
      <c r="B135" s="133" t="str">
        <f>FMECA!B137</f>
        <v>Input 'C' open</v>
      </c>
      <c r="C135" s="133">
        <f>FMECA!E137</f>
        <v>1.6936019169358704E-9</v>
      </c>
      <c r="D135" s="132" t="str">
        <f>FMECA!H137</f>
        <v>Safe</v>
      </c>
      <c r="E135" s="132" t="str">
        <f>IF(ISNUMBER(SEARCH("Yes",FMECA!K137)),"Yes",IF(FMECA!K137="No","No",IF(ISNUMBER(SEARCH("No; impactless.",FMECA!K137)),"Impactless",IF(ISNUMBER(SEARCH("Outside the scope",FMECA!K137)),"Outside Scope",IF(ISNUMBER(SEARCH("Maybe",FMECA!K137)),"Maybe","Not Applicable")))))</f>
        <v>Yes</v>
      </c>
      <c r="F135" s="132" t="s">
        <v>728</v>
      </c>
      <c r="G135" s="132" t="str">
        <f>IF(ISNUMBER(SEARCH("Yes",FMECA!L137)),"Yes",IF(FMECA!L137="No","No",IF(ISNUMBER(SEARCH("No; impactless.",FMECA!L137)),"Impactless","Not Applicable")))</f>
        <v>No</v>
      </c>
      <c r="H135" s="132" t="str">
        <f>IF(ISNUMBER(SEARCH("CM0", FMECA!AC137)), "CM0", IF(ISNUMBER(SEARCH("CM1", FMECA!AC137)), "CM1", IF(ISNUMBER(SEARCH("CM2", FMECA!AC137)), "CM2", IF(ISNUMBER(SEARCH("CM3", FMECA!AC137)), "CM3", "Not Applicable"))))</f>
        <v>Not Applicable</v>
      </c>
      <c r="I135" s="134">
        <f t="shared" si="18"/>
        <v>1.6936019169358704E-9</v>
      </c>
      <c r="J135" s="134">
        <f t="shared" si="19"/>
        <v>0</v>
      </c>
      <c r="K135" s="134">
        <f t="shared" si="20"/>
        <v>0</v>
      </c>
      <c r="L135" s="134">
        <f t="shared" si="21"/>
        <v>0</v>
      </c>
      <c r="M135" s="134">
        <f t="shared" si="22"/>
        <v>0</v>
      </c>
      <c r="N135" s="134">
        <f t="shared" si="23"/>
        <v>0</v>
      </c>
      <c r="O135" s="134">
        <f t="shared" si="24"/>
        <v>0</v>
      </c>
      <c r="P135" s="134">
        <f t="shared" si="25"/>
        <v>0</v>
      </c>
      <c r="Q135" s="134">
        <f t="shared" si="26"/>
        <v>0</v>
      </c>
    </row>
    <row r="136" spans="1:17">
      <c r="A136" s="132" t="str">
        <f>FMECA!A138</f>
        <v>R4_Sys</v>
      </c>
      <c r="B136" s="133" t="str">
        <f>FMECA!B138</f>
        <v>Open</v>
      </c>
      <c r="C136" s="133">
        <f>FMECA!E138</f>
        <v>2.4551082459100113E-9</v>
      </c>
      <c r="D136" s="132" t="str">
        <f>FMECA!H138</f>
        <v>Safe</v>
      </c>
      <c r="E136" s="132" t="str">
        <f>IF(ISNUMBER(SEARCH("Yes",FMECA!K138)),"Yes",IF(FMECA!K138="No","No",IF(ISNUMBER(SEARCH("No; impactless.",FMECA!K138)),"Impactless",IF(ISNUMBER(SEARCH("Outside the scope",FMECA!K138)),"Outside Scope",IF(ISNUMBER(SEARCH("Maybe",FMECA!K138)),"Maybe","Not Applicable")))))</f>
        <v>Yes</v>
      </c>
      <c r="F136" s="132" t="s">
        <v>728</v>
      </c>
      <c r="G136" s="132" t="str">
        <f>IF(ISNUMBER(SEARCH("Yes",FMECA!L138)),"Yes",IF(FMECA!L138="No","No",IF(ISNUMBER(SEARCH("No; impactless.",FMECA!L138)),"Impactless","Not Applicable")))</f>
        <v>No</v>
      </c>
      <c r="H136" s="132" t="str">
        <f>IF(ISNUMBER(SEARCH("CM0", FMECA!AC138)), "CM0", IF(ISNUMBER(SEARCH("CM1", FMECA!AC138)), "CM1", IF(ISNUMBER(SEARCH("CM2", FMECA!AC138)), "CM2", IF(ISNUMBER(SEARCH("CM3", FMECA!AC138)), "CM3", "Not Applicable"))))</f>
        <v>Not Applicable</v>
      </c>
      <c r="I136" s="134">
        <f t="shared" si="18"/>
        <v>2.4551082459100113E-9</v>
      </c>
      <c r="J136" s="134">
        <f t="shared" si="19"/>
        <v>0</v>
      </c>
      <c r="K136" s="134">
        <f t="shared" si="20"/>
        <v>0</v>
      </c>
      <c r="L136" s="134">
        <f t="shared" si="21"/>
        <v>0</v>
      </c>
      <c r="M136" s="134">
        <f t="shared" si="22"/>
        <v>0</v>
      </c>
      <c r="N136" s="134">
        <f t="shared" si="23"/>
        <v>0</v>
      </c>
      <c r="O136" s="134">
        <f t="shared" si="24"/>
        <v>0</v>
      </c>
      <c r="P136" s="134">
        <f t="shared" si="25"/>
        <v>0</v>
      </c>
      <c r="Q136" s="134">
        <f t="shared" si="26"/>
        <v>0</v>
      </c>
    </row>
    <row r="137" spans="1:17">
      <c r="A137" s="132" t="str">
        <f>FMECA!A139</f>
        <v>R4_Sys</v>
      </c>
      <c r="B137" s="133" t="str">
        <f>FMECA!B139</f>
        <v>Short-Circuit</v>
      </c>
      <c r="C137" s="133">
        <f>FMECA!E139</f>
        <v>2.080600208398315E-10</v>
      </c>
      <c r="D137" s="132" t="str">
        <f>FMECA!H139</f>
        <v>Safe</v>
      </c>
      <c r="E137" s="132" t="str">
        <f>IF(ISNUMBER(SEARCH("Yes",FMECA!K139)),"Yes",IF(FMECA!K139="No","No",IF(ISNUMBER(SEARCH("No; impactless.",FMECA!K139)),"Impactless",IF(ISNUMBER(SEARCH("Outside the scope",FMECA!K139)),"Outside Scope",IF(ISNUMBER(SEARCH("Maybe",FMECA!K139)),"Maybe","Not Applicable")))))</f>
        <v>Yes</v>
      </c>
      <c r="F137" s="132" t="s">
        <v>728</v>
      </c>
      <c r="G137" s="132" t="str">
        <f>IF(ISNUMBER(SEARCH("Yes",FMECA!L139)),"Yes",IF(FMECA!L139="No","No",IF(ISNUMBER(SEARCH("No; impactless.",FMECA!L139)),"Impactless","Not Applicable")))</f>
        <v>No</v>
      </c>
      <c r="H137" s="132" t="str">
        <f>IF(ISNUMBER(SEARCH("CM0", FMECA!AC139)), "CM0", IF(ISNUMBER(SEARCH("CM1", FMECA!AC139)), "CM1", IF(ISNUMBER(SEARCH("CM2", FMECA!AC139)), "CM2", IF(ISNUMBER(SEARCH("CM3", FMECA!AC139)), "CM3", "Not Applicable"))))</f>
        <v>Not Applicable</v>
      </c>
      <c r="I137" s="134">
        <f t="shared" si="18"/>
        <v>2.080600208398315E-10</v>
      </c>
      <c r="J137" s="134">
        <f t="shared" si="19"/>
        <v>0</v>
      </c>
      <c r="K137" s="134">
        <f t="shared" si="20"/>
        <v>0</v>
      </c>
      <c r="L137" s="134">
        <f t="shared" si="21"/>
        <v>0</v>
      </c>
      <c r="M137" s="134">
        <f t="shared" si="22"/>
        <v>0</v>
      </c>
      <c r="N137" s="134">
        <f t="shared" si="23"/>
        <v>0</v>
      </c>
      <c r="O137" s="134">
        <f t="shared" si="24"/>
        <v>0</v>
      </c>
      <c r="P137" s="134">
        <f t="shared" si="25"/>
        <v>0</v>
      </c>
      <c r="Q137" s="134">
        <f t="shared" si="26"/>
        <v>0</v>
      </c>
    </row>
    <row r="138" spans="1:17">
      <c r="A138" s="132" t="str">
        <f>FMECA!A140</f>
        <v>R4_Sys</v>
      </c>
      <c r="B138" s="133" t="str">
        <f>FMECA!B140</f>
        <v>Increase of Resistance Value</v>
      </c>
      <c r="C138" s="133">
        <f>FMECA!E140</f>
        <v>7.4901607502339334E-10</v>
      </c>
      <c r="D138" s="132" t="str">
        <f>FMECA!H140</f>
        <v>Safe</v>
      </c>
      <c r="E138" s="132" t="str">
        <f>IF(ISNUMBER(SEARCH("Yes",FMECA!K140)),"Yes",IF(FMECA!K140="No","No",IF(ISNUMBER(SEARCH("No; impactless.",FMECA!K140)),"Impactless",IF(ISNUMBER(SEARCH("Outside the scope",FMECA!K140)),"Outside Scope",IF(ISNUMBER(SEARCH("Maybe",FMECA!K140)),"Maybe","Not Applicable")))))</f>
        <v>Maybe</v>
      </c>
      <c r="F138" s="132" t="s">
        <v>729</v>
      </c>
      <c r="G138" s="132" t="str">
        <f>IF(ISNUMBER(SEARCH("Yes",FMECA!L140)),"Yes",IF(FMECA!L140="No","No",IF(ISNUMBER(SEARCH("No; impactless.",FMECA!L140)),"Impactless","Not Applicable")))</f>
        <v>No</v>
      </c>
      <c r="H138" s="132" t="str">
        <f>IF(ISNUMBER(SEARCH("CM0", FMECA!AC140)), "CM0", IF(ISNUMBER(SEARCH("CM1", FMECA!AC140)), "CM1", IF(ISNUMBER(SEARCH("CM2", FMECA!AC140)), "CM2", IF(ISNUMBER(SEARCH("CM3", FMECA!AC140)), "CM3", "Not Applicable"))))</f>
        <v>CM2</v>
      </c>
      <c r="I138" s="134">
        <f t="shared" si="18"/>
        <v>0</v>
      </c>
      <c r="J138" s="134">
        <f t="shared" si="19"/>
        <v>0</v>
      </c>
      <c r="K138" s="134">
        <f t="shared" si="20"/>
        <v>0</v>
      </c>
      <c r="L138" s="134">
        <f t="shared" si="21"/>
        <v>0</v>
      </c>
      <c r="M138" s="134">
        <f t="shared" si="22"/>
        <v>7.4901607502339334E-10</v>
      </c>
      <c r="N138" s="134">
        <f t="shared" si="23"/>
        <v>0</v>
      </c>
      <c r="O138" s="134">
        <f t="shared" si="24"/>
        <v>0</v>
      </c>
      <c r="P138" s="134">
        <f t="shared" si="25"/>
        <v>0</v>
      </c>
      <c r="Q138" s="134">
        <f t="shared" si="26"/>
        <v>0</v>
      </c>
    </row>
    <row r="139" spans="1:17">
      <c r="A139" s="132" t="str">
        <f>FMECA!A141</f>
        <v>R4_Sys</v>
      </c>
      <c r="B139" s="133" t="str">
        <f>FMECA!B141</f>
        <v>Decrease of Resistance Value</v>
      </c>
      <c r="C139" s="133">
        <f>FMECA!E141</f>
        <v>7.4901607502339334E-10</v>
      </c>
      <c r="D139" s="132" t="str">
        <f>FMECA!H141</f>
        <v>Safe</v>
      </c>
      <c r="E139" s="132" t="str">
        <f>IF(ISNUMBER(SEARCH("Yes",FMECA!K141)),"Yes",IF(FMECA!K141="No","No",IF(ISNUMBER(SEARCH("No; impactless.",FMECA!K141)),"Impactless",IF(ISNUMBER(SEARCH("Outside the scope",FMECA!K141)),"Outside Scope",IF(ISNUMBER(SEARCH("Maybe",FMECA!K141)),"Maybe","Not Applicable")))))</f>
        <v>Yes</v>
      </c>
      <c r="F139" s="132" t="s">
        <v>728</v>
      </c>
      <c r="G139" s="132" t="str">
        <f>IF(ISNUMBER(SEARCH("Yes",FMECA!L141)),"Yes",IF(FMECA!L141="No","No",IF(ISNUMBER(SEARCH("No; impactless.",FMECA!L141)),"Impactless","Not Applicable")))</f>
        <v>No</v>
      </c>
      <c r="H139" s="132" t="str">
        <f>IF(ISNUMBER(SEARCH("CM0", FMECA!AC141)), "CM0", IF(ISNUMBER(SEARCH("CM1", FMECA!AC141)), "CM1", IF(ISNUMBER(SEARCH("CM2", FMECA!AC141)), "CM2", IF(ISNUMBER(SEARCH("CM3", FMECA!AC141)), "CM3", "Not Applicable"))))</f>
        <v>Not Applicable</v>
      </c>
      <c r="I139" s="134">
        <f t="shared" si="18"/>
        <v>7.4901607502339334E-10</v>
      </c>
      <c r="J139" s="134">
        <f t="shared" si="19"/>
        <v>0</v>
      </c>
      <c r="K139" s="134">
        <f t="shared" si="20"/>
        <v>0</v>
      </c>
      <c r="L139" s="134">
        <f t="shared" si="21"/>
        <v>0</v>
      </c>
      <c r="M139" s="134">
        <f t="shared" si="22"/>
        <v>0</v>
      </c>
      <c r="N139" s="134">
        <f t="shared" si="23"/>
        <v>0</v>
      </c>
      <c r="O139" s="134">
        <f t="shared" si="24"/>
        <v>0</v>
      </c>
      <c r="P139" s="134">
        <f t="shared" si="25"/>
        <v>0</v>
      </c>
      <c r="Q139" s="134">
        <f t="shared" si="26"/>
        <v>0</v>
      </c>
    </row>
    <row r="140" spans="1:17">
      <c r="A140" s="132" t="str">
        <f>FMECA!A142</f>
        <v>R4_Sys</v>
      </c>
      <c r="B140" s="133" t="str">
        <f>FMECA!B142</f>
        <v>Short-Circuit to Casing</v>
      </c>
      <c r="C140" s="133">
        <f>FMECA!E142</f>
        <v>0</v>
      </c>
      <c r="D140" s="132" t="str">
        <f>FMECA!H142</f>
        <v>Safe</v>
      </c>
      <c r="E140" s="132" t="str">
        <f>IF(ISNUMBER(SEARCH("Yes",FMECA!K142)),"Yes",IF(FMECA!K142="No","No",IF(ISNUMBER(SEARCH("No; impactless.",FMECA!K142)),"Impactless",IF(ISNUMBER(SEARCH("Outside the scope",FMECA!K142)),"Outside Scope",IF(ISNUMBER(SEARCH("Maybe",FMECA!K142)),"Maybe","Not Applicable")))))</f>
        <v>Impactless</v>
      </c>
      <c r="F140" s="132" t="s">
        <v>728</v>
      </c>
      <c r="G140" s="132" t="str">
        <f>IF(ISNUMBER(SEARCH("Yes",FMECA!L142)),"Yes",IF(FMECA!L142="No","No",IF(ISNUMBER(SEARCH("No; impactless.",FMECA!L142)),"Impactless","Not Applicable")))</f>
        <v>Impactless</v>
      </c>
      <c r="H140" s="132" t="str">
        <f>IF(ISNUMBER(SEARCH("CM0", FMECA!AC142)), "CM0", IF(ISNUMBER(SEARCH("CM1", FMECA!AC142)), "CM1", IF(ISNUMBER(SEARCH("CM2", FMECA!AC142)), "CM2", IF(ISNUMBER(SEARCH("CM3", FMECA!AC142)), "CM3", "Not Applicable"))))</f>
        <v>Not Applicable</v>
      </c>
      <c r="I140" s="134">
        <f t="shared" si="18"/>
        <v>0</v>
      </c>
      <c r="J140" s="134">
        <f t="shared" si="19"/>
        <v>0</v>
      </c>
      <c r="K140" s="134">
        <f t="shared" si="20"/>
        <v>0</v>
      </c>
      <c r="L140" s="134">
        <f t="shared" si="21"/>
        <v>0</v>
      </c>
      <c r="M140" s="134">
        <f t="shared" si="22"/>
        <v>0</v>
      </c>
      <c r="N140" s="134">
        <f t="shared" si="23"/>
        <v>0</v>
      </c>
      <c r="O140" s="134">
        <f t="shared" si="24"/>
        <v>0</v>
      </c>
      <c r="P140" s="134">
        <f t="shared" si="25"/>
        <v>0</v>
      </c>
      <c r="Q140" s="134">
        <f t="shared" si="26"/>
        <v>0</v>
      </c>
    </row>
    <row r="141" spans="1:17">
      <c r="A141" s="132" t="str">
        <f>FMECA!A143</f>
        <v>F_Sys</v>
      </c>
      <c r="B141" s="133" t="str">
        <f>FMECA!B143</f>
        <v>Interruption</v>
      </c>
      <c r="C141" s="133">
        <f>FMECA!E143</f>
        <v>8.0000000000000003E-10</v>
      </c>
      <c r="D141" s="132" t="str">
        <f>FMECA!H143</f>
        <v>Safe</v>
      </c>
      <c r="E141" s="132" t="str">
        <f>IF(ISNUMBER(SEARCH("Yes",FMECA!K143)),"Yes",IF(FMECA!K143="No","No",IF(ISNUMBER(SEARCH("No; impactless.",FMECA!K143)),"Impactless",IF(ISNUMBER(SEARCH("Outside the scope",FMECA!K143)),"Outside Scope",IF(ISNUMBER(SEARCH("Maybe",FMECA!K143)),"Maybe","Not Applicable")))))</f>
        <v>Yes</v>
      </c>
      <c r="F141" s="132" t="s">
        <v>728</v>
      </c>
      <c r="G141" s="132" t="str">
        <f>IF(ISNUMBER(SEARCH("Yes",FMECA!L143)),"Yes",IF(FMECA!L143="No","No",IF(ISNUMBER(SEARCH("No; impactless.",FMECA!L143)),"Impactless","Not Applicable")))</f>
        <v>No</v>
      </c>
      <c r="H141" s="132" t="str">
        <f>IF(ISNUMBER(SEARCH("CM0", FMECA!AC143)), "CM0", IF(ISNUMBER(SEARCH("CM1", FMECA!AC143)), "CM1", IF(ISNUMBER(SEARCH("CM2", FMECA!AC143)), "CM2", IF(ISNUMBER(SEARCH("CM3", FMECA!AC143)), "CM3", "Not Applicable"))))</f>
        <v>Not Applicable</v>
      </c>
      <c r="I141" s="134">
        <f t="shared" si="18"/>
        <v>8.0000000000000003E-10</v>
      </c>
      <c r="J141" s="134">
        <f t="shared" si="19"/>
        <v>0</v>
      </c>
      <c r="K141" s="134">
        <f t="shared" si="20"/>
        <v>0</v>
      </c>
      <c r="L141" s="134">
        <f t="shared" si="21"/>
        <v>0</v>
      </c>
      <c r="M141" s="134">
        <f t="shared" si="22"/>
        <v>0</v>
      </c>
      <c r="N141" s="134">
        <f t="shared" si="23"/>
        <v>0</v>
      </c>
      <c r="O141" s="134">
        <f t="shared" si="24"/>
        <v>0</v>
      </c>
      <c r="P141" s="134">
        <f t="shared" si="25"/>
        <v>0</v>
      </c>
      <c r="Q141" s="134">
        <f t="shared" si="26"/>
        <v>0</v>
      </c>
    </row>
    <row r="142" spans="1:17">
      <c r="A142" s="132" t="str">
        <f>FMECA!A144</f>
        <v>F_Sys</v>
      </c>
      <c r="B142" s="133" t="str">
        <f>FMECA!B144</f>
        <v>Parallel short-circuit</v>
      </c>
      <c r="C142" s="133">
        <f>FMECA!E144</f>
        <v>1.6333333333333333E-9</v>
      </c>
      <c r="D142" s="132" t="str">
        <f>FMECA!H144</f>
        <v>Safe</v>
      </c>
      <c r="E142" s="132" t="str">
        <f>IF(ISNUMBER(SEARCH("Yes",FMECA!K144)),"Yes",IF(FMECA!K144="No","No",IF(ISNUMBER(SEARCH("No; impactless.",FMECA!K144)),"Impactless",IF(ISNUMBER(SEARCH("Outside the scope",FMECA!K144)),"Outside Scope",IF(ISNUMBER(SEARCH("Maybe",FMECA!K144)),"Maybe","Not Applicable")))))</f>
        <v>No</v>
      </c>
      <c r="F142" s="132" t="s">
        <v>728</v>
      </c>
      <c r="G142" s="132" t="str">
        <f>IF(ISNUMBER(SEARCH("Yes",FMECA!L144)),"Yes",IF(FMECA!L144="No","No",IF(ISNUMBER(SEARCH("No; impactless.",FMECA!L144)),"Impactless","Not Applicable")))</f>
        <v>No</v>
      </c>
      <c r="H142" s="132" t="str">
        <f>IF(ISNUMBER(SEARCH("CM0", FMECA!AC144)), "CM0", IF(ISNUMBER(SEARCH("CM1", FMECA!AC144)), "CM1", IF(ISNUMBER(SEARCH("CM2", FMECA!AC144)), "CM2", IF(ISNUMBER(SEARCH("CM3", FMECA!AC144)), "CM3", "Not Applicable"))))</f>
        <v>CM2</v>
      </c>
      <c r="I142" s="134">
        <f t="shared" si="18"/>
        <v>0</v>
      </c>
      <c r="J142" s="134">
        <f t="shared" si="19"/>
        <v>0</v>
      </c>
      <c r="K142" s="134">
        <f t="shared" si="20"/>
        <v>0</v>
      </c>
      <c r="L142" s="134">
        <f t="shared" si="21"/>
        <v>0</v>
      </c>
      <c r="M142" s="134">
        <f t="shared" si="22"/>
        <v>0</v>
      </c>
      <c r="N142" s="134">
        <f t="shared" si="23"/>
        <v>0</v>
      </c>
      <c r="O142" s="134">
        <f t="shared" si="24"/>
        <v>0</v>
      </c>
      <c r="P142" s="134">
        <f t="shared" si="25"/>
        <v>1.6333333333333333E-9</v>
      </c>
      <c r="Q142" s="134">
        <f t="shared" si="26"/>
        <v>0</v>
      </c>
    </row>
    <row r="143" spans="1:17">
      <c r="A143" s="132" t="str">
        <f>FMECA!A145</f>
        <v>F_Sys</v>
      </c>
      <c r="B143" s="133" t="str">
        <f>FMECA!B145</f>
        <v>Increase of rupture current</v>
      </c>
      <c r="C143" s="133">
        <f>FMECA!E145</f>
        <v>1.6333333333333333E-9</v>
      </c>
      <c r="D143" s="132" t="str">
        <f>FMECA!H145</f>
        <v>Safe</v>
      </c>
      <c r="E143" s="132" t="str">
        <f>IF(ISNUMBER(SEARCH("Yes",FMECA!K145)),"Yes",IF(FMECA!K145="No","No",IF(ISNUMBER(SEARCH("No; impactless.",FMECA!K145)),"Impactless",IF(ISNUMBER(SEARCH("Outside the scope",FMECA!K145)),"Outside Scope",IF(ISNUMBER(SEARCH("Maybe",FMECA!K145)),"Maybe","Not Applicable")))))</f>
        <v>No</v>
      </c>
      <c r="F143" s="132" t="s">
        <v>728</v>
      </c>
      <c r="G143" s="132" t="str">
        <f>IF(ISNUMBER(SEARCH("Yes",FMECA!L145)),"Yes",IF(FMECA!L145="No","No",IF(ISNUMBER(SEARCH("No; impactless.",FMECA!L145)),"Impactless","Not Applicable")))</f>
        <v>No</v>
      </c>
      <c r="H143" s="132" t="str">
        <f>IF(ISNUMBER(SEARCH("CM0", FMECA!AC145)), "CM0", IF(ISNUMBER(SEARCH("CM1", FMECA!AC145)), "CM1", IF(ISNUMBER(SEARCH("CM2", FMECA!AC145)), "CM2", IF(ISNUMBER(SEARCH("CM3", FMECA!AC145)), "CM3", "Not Applicable"))))</f>
        <v>CM2</v>
      </c>
      <c r="I143" s="134">
        <f t="shared" si="18"/>
        <v>0</v>
      </c>
      <c r="J143" s="134">
        <f t="shared" si="19"/>
        <v>0</v>
      </c>
      <c r="K143" s="134">
        <f t="shared" si="20"/>
        <v>0</v>
      </c>
      <c r="L143" s="134">
        <f t="shared" si="21"/>
        <v>0</v>
      </c>
      <c r="M143" s="134">
        <f t="shared" si="22"/>
        <v>0</v>
      </c>
      <c r="N143" s="134">
        <f t="shared" si="23"/>
        <v>0</v>
      </c>
      <c r="O143" s="134">
        <f t="shared" si="24"/>
        <v>0</v>
      </c>
      <c r="P143" s="134">
        <f t="shared" si="25"/>
        <v>1.6333333333333333E-9</v>
      </c>
      <c r="Q143" s="134">
        <f t="shared" si="26"/>
        <v>0</v>
      </c>
    </row>
    <row r="144" spans="1:17">
      <c r="A144" s="132" t="str">
        <f>FMECA!A146</f>
        <v>F_Sys</v>
      </c>
      <c r="B144" s="133" t="str">
        <f>FMECA!B146</f>
        <v>Increase of rupture time</v>
      </c>
      <c r="C144" s="133">
        <f>FMECA!E146</f>
        <v>4.2999999999999996E-9</v>
      </c>
      <c r="D144" s="132" t="str">
        <f>FMECA!H146</f>
        <v>Safe</v>
      </c>
      <c r="E144" s="132" t="str">
        <f>IF(ISNUMBER(SEARCH("Yes",FMECA!K146)),"Yes",IF(FMECA!K146="No","No",IF(ISNUMBER(SEARCH("No; impactless.",FMECA!K146)),"Impactless",IF(ISNUMBER(SEARCH("Outside the scope",FMECA!K146)),"Outside Scope",IF(ISNUMBER(SEARCH("Maybe",FMECA!K146)),"Maybe","Not Applicable")))))</f>
        <v>No</v>
      </c>
      <c r="F144" s="132" t="s">
        <v>728</v>
      </c>
      <c r="G144" s="132" t="str">
        <f>IF(ISNUMBER(SEARCH("Yes",FMECA!L146)),"Yes",IF(FMECA!L146="No","No",IF(ISNUMBER(SEARCH("No; impactless.",FMECA!L146)),"Impactless","Not Applicable")))</f>
        <v>No</v>
      </c>
      <c r="H144" s="132" t="str">
        <f>IF(ISNUMBER(SEARCH("CM0", FMECA!AC146)), "CM0", IF(ISNUMBER(SEARCH("CM1", FMECA!AC146)), "CM1", IF(ISNUMBER(SEARCH("CM2", FMECA!AC146)), "CM2", IF(ISNUMBER(SEARCH("CM3", FMECA!AC146)), "CM3", "Not Applicable"))))</f>
        <v>CM2</v>
      </c>
      <c r="I144" s="134">
        <f t="shared" si="18"/>
        <v>0</v>
      </c>
      <c r="J144" s="134">
        <f t="shared" si="19"/>
        <v>0</v>
      </c>
      <c r="K144" s="134">
        <f t="shared" si="20"/>
        <v>0</v>
      </c>
      <c r="L144" s="134">
        <f t="shared" si="21"/>
        <v>0</v>
      </c>
      <c r="M144" s="134">
        <f t="shared" si="22"/>
        <v>0</v>
      </c>
      <c r="N144" s="134">
        <f t="shared" si="23"/>
        <v>0</v>
      </c>
      <c r="O144" s="134">
        <f t="shared" si="24"/>
        <v>0</v>
      </c>
      <c r="P144" s="134">
        <f t="shared" si="25"/>
        <v>4.2999999999999996E-9</v>
      </c>
      <c r="Q144" s="134">
        <f t="shared" si="26"/>
        <v>0</v>
      </c>
    </row>
    <row r="145" spans="1:17">
      <c r="A145" s="132" t="str">
        <f>FMECA!A147</f>
        <v>F_Sys</v>
      </c>
      <c r="B145" s="133" t="str">
        <f>FMECA!B147</f>
        <v>Reconnection after rupture</v>
      </c>
      <c r="C145" s="133">
        <f>FMECA!E147</f>
        <v>1.6333333333333333E-9</v>
      </c>
      <c r="D145" s="132" t="str">
        <f>FMECA!H147</f>
        <v>Safe</v>
      </c>
      <c r="E145" s="132" t="str">
        <f>IF(ISNUMBER(SEARCH("Yes",FMECA!K147)),"Yes",IF(FMECA!K147="No","No",IF(ISNUMBER(SEARCH("No; impactless.",FMECA!K147)),"Impactless",IF(ISNUMBER(SEARCH("Outside the scope",FMECA!K147)),"Outside Scope",IF(ISNUMBER(SEARCH("Maybe",FMECA!K147)),"Maybe","Not Applicable")))))</f>
        <v>No</v>
      </c>
      <c r="F145" s="132" t="s">
        <v>728</v>
      </c>
      <c r="G145" s="132" t="str">
        <f>IF(ISNUMBER(SEARCH("Yes",FMECA!L147)),"Yes",IF(FMECA!L147="No","No",IF(ISNUMBER(SEARCH("No; impactless.",FMECA!L147)),"Impactless","Not Applicable")))</f>
        <v>No</v>
      </c>
      <c r="H145" s="132" t="str">
        <f>IF(ISNUMBER(SEARCH("CM0", FMECA!AC147)), "CM0", IF(ISNUMBER(SEARCH("CM1", FMECA!AC147)), "CM1", IF(ISNUMBER(SEARCH("CM2", FMECA!AC147)), "CM2", IF(ISNUMBER(SEARCH("CM3", FMECA!AC147)), "CM3", "Not Applicable"))))</f>
        <v>CM2</v>
      </c>
      <c r="I145" s="134">
        <f t="shared" si="18"/>
        <v>0</v>
      </c>
      <c r="J145" s="134">
        <f t="shared" si="19"/>
        <v>0</v>
      </c>
      <c r="K145" s="134">
        <f t="shared" si="20"/>
        <v>0</v>
      </c>
      <c r="L145" s="134">
        <f t="shared" si="21"/>
        <v>0</v>
      </c>
      <c r="M145" s="134">
        <f t="shared" si="22"/>
        <v>0</v>
      </c>
      <c r="N145" s="134">
        <f t="shared" si="23"/>
        <v>0</v>
      </c>
      <c r="O145" s="134">
        <f t="shared" si="24"/>
        <v>0</v>
      </c>
      <c r="P145" s="134">
        <f t="shared" si="25"/>
        <v>1.6333333333333333E-9</v>
      </c>
      <c r="Q145" s="134">
        <f t="shared" si="26"/>
        <v>0</v>
      </c>
    </row>
    <row r="146" spans="1:17">
      <c r="A146" s="132" t="str">
        <f>FMECA!A148</f>
        <v>Q_Sys</v>
      </c>
      <c r="B146" s="133" t="str">
        <f>FMECA!B148</f>
        <v>Interruption of Gate</v>
      </c>
      <c r="C146" s="133">
        <f>FMECA!E148</f>
        <v>6.5191409211666409E-10</v>
      </c>
      <c r="D146" s="132" t="str">
        <f>FMECA!H148</f>
        <v>Safe</v>
      </c>
      <c r="E146" s="132" t="str">
        <f>IF(ISNUMBER(SEARCH("Yes",FMECA!K148)),"Yes",IF(FMECA!K148="No","No",IF(ISNUMBER(SEARCH("No; impactless.",FMECA!K148)),"Impactless",IF(ISNUMBER(SEARCH("Outside the scope",FMECA!K148)),"Outside Scope",IF(ISNUMBER(SEARCH("Maybe",FMECA!K148)),"Maybe","Not Applicable")))))</f>
        <v>Yes</v>
      </c>
      <c r="F146" s="132" t="s">
        <v>728</v>
      </c>
      <c r="G146" s="132" t="str">
        <f>IF(ISNUMBER(SEARCH("Yes",FMECA!L148)),"Yes",IF(FMECA!L148="No","No",IF(ISNUMBER(SEARCH("No; impactless.",FMECA!L148)),"Impactless","Not Applicable")))</f>
        <v>Yes</v>
      </c>
      <c r="H146" s="132" t="str">
        <f>IF(ISNUMBER(SEARCH("CM0", FMECA!AC148)), "CM0", IF(ISNUMBER(SEARCH("CM1", FMECA!AC148)), "CM1", IF(ISNUMBER(SEARCH("CM2", FMECA!AC148)), "CM2", IF(ISNUMBER(SEARCH("CM3", FMECA!AC148)), "CM3", "Not Applicable"))))</f>
        <v>Not Applicable</v>
      </c>
      <c r="I146" s="134">
        <f t="shared" si="18"/>
        <v>0</v>
      </c>
      <c r="J146" s="134">
        <f t="shared" si="19"/>
        <v>0</v>
      </c>
      <c r="K146" s="134">
        <f t="shared" si="20"/>
        <v>6.5191409211666409E-10</v>
      </c>
      <c r="L146" s="134">
        <f t="shared" si="21"/>
        <v>0</v>
      </c>
      <c r="M146" s="134">
        <f t="shared" si="22"/>
        <v>0</v>
      </c>
      <c r="N146" s="134">
        <f t="shared" si="23"/>
        <v>0</v>
      </c>
      <c r="O146" s="134">
        <f t="shared" si="24"/>
        <v>0</v>
      </c>
      <c r="P146" s="134">
        <f t="shared" si="25"/>
        <v>0</v>
      </c>
      <c r="Q146" s="134">
        <f t="shared" si="26"/>
        <v>0</v>
      </c>
    </row>
    <row r="147" spans="1:17">
      <c r="A147" s="132" t="str">
        <f>FMECA!A149</f>
        <v>Q_Sys</v>
      </c>
      <c r="B147" s="133" t="str">
        <f>FMECA!B149</f>
        <v>Interruption of Source</v>
      </c>
      <c r="C147" s="133">
        <f>FMECA!E149</f>
        <v>6.5191409211666409E-10</v>
      </c>
      <c r="D147" s="132" t="str">
        <f>FMECA!H149</f>
        <v>Safe</v>
      </c>
      <c r="E147" s="132" t="str">
        <f>IF(ISNUMBER(SEARCH("Yes",FMECA!K149)),"Yes",IF(FMECA!K149="No","No",IF(ISNUMBER(SEARCH("No; impactless.",FMECA!K149)),"Impactless",IF(ISNUMBER(SEARCH("Outside the scope",FMECA!K149)),"Outside Scope",IF(ISNUMBER(SEARCH("Maybe",FMECA!K149)),"Maybe","Not Applicable")))))</f>
        <v>Yes</v>
      </c>
      <c r="F147" s="132" t="s">
        <v>728</v>
      </c>
      <c r="G147" s="132" t="str">
        <f>IF(ISNUMBER(SEARCH("Yes",FMECA!L149)),"Yes",IF(FMECA!L149="No","No",IF(ISNUMBER(SEARCH("No; impactless.",FMECA!L149)),"Impactless","Not Applicable")))</f>
        <v>Yes</v>
      </c>
      <c r="H147" s="132" t="str">
        <f>IF(ISNUMBER(SEARCH("CM0", FMECA!AC149)), "CM0", IF(ISNUMBER(SEARCH("CM1", FMECA!AC149)), "CM1", IF(ISNUMBER(SEARCH("CM2", FMECA!AC149)), "CM2", IF(ISNUMBER(SEARCH("CM3", FMECA!AC149)), "CM3", "Not Applicable"))))</f>
        <v>Not Applicable</v>
      </c>
      <c r="I147" s="134">
        <f t="shared" si="18"/>
        <v>0</v>
      </c>
      <c r="J147" s="134">
        <f t="shared" si="19"/>
        <v>0</v>
      </c>
      <c r="K147" s="134">
        <f t="shared" si="20"/>
        <v>6.5191409211666409E-10</v>
      </c>
      <c r="L147" s="134">
        <f t="shared" si="21"/>
        <v>0</v>
      </c>
      <c r="M147" s="134">
        <f t="shared" si="22"/>
        <v>0</v>
      </c>
      <c r="N147" s="134">
        <f t="shared" si="23"/>
        <v>0</v>
      </c>
      <c r="O147" s="134">
        <f t="shared" si="24"/>
        <v>0</v>
      </c>
      <c r="P147" s="134">
        <f t="shared" si="25"/>
        <v>0</v>
      </c>
      <c r="Q147" s="134">
        <f t="shared" si="26"/>
        <v>0</v>
      </c>
    </row>
    <row r="148" spans="1:17">
      <c r="A148" s="132" t="str">
        <f>FMECA!A150</f>
        <v>Q_Sys</v>
      </c>
      <c r="B148" s="133" t="str">
        <f>FMECA!B150</f>
        <v>Interruption of Drain</v>
      </c>
      <c r="C148" s="133">
        <f>FMECA!E150</f>
        <v>6.5191409211666409E-10</v>
      </c>
      <c r="D148" s="132" t="str">
        <f>FMECA!H150</f>
        <v>Safe</v>
      </c>
      <c r="E148" s="132" t="str">
        <f>IF(ISNUMBER(SEARCH("Yes",FMECA!K150)),"Yes",IF(FMECA!K150="No","No",IF(ISNUMBER(SEARCH("No; impactless.",FMECA!K150)),"Impactless",IF(ISNUMBER(SEARCH("Outside the scope",FMECA!K150)),"Outside Scope",IF(ISNUMBER(SEARCH("Maybe",FMECA!K150)),"Maybe","Not Applicable")))))</f>
        <v>Yes</v>
      </c>
      <c r="F148" s="132" t="s">
        <v>728</v>
      </c>
      <c r="G148" s="132" t="str">
        <f>IF(ISNUMBER(SEARCH("Yes",FMECA!L150)),"Yes",IF(FMECA!L150="No","No",IF(ISNUMBER(SEARCH("No; impactless.",FMECA!L150)),"Impactless","Not Applicable")))</f>
        <v>Yes</v>
      </c>
      <c r="H148" s="132" t="str">
        <f>IF(ISNUMBER(SEARCH("CM0", FMECA!AC150)), "CM0", IF(ISNUMBER(SEARCH("CM1", FMECA!AC150)), "CM1", IF(ISNUMBER(SEARCH("CM2", FMECA!AC150)), "CM2", IF(ISNUMBER(SEARCH("CM3", FMECA!AC150)), "CM3", "Not Applicable"))))</f>
        <v>Not Applicable</v>
      </c>
      <c r="I148" s="134">
        <f t="shared" si="18"/>
        <v>0</v>
      </c>
      <c r="J148" s="134">
        <f t="shared" si="19"/>
        <v>0</v>
      </c>
      <c r="K148" s="134">
        <f t="shared" si="20"/>
        <v>6.5191409211666409E-10</v>
      </c>
      <c r="L148" s="134">
        <f t="shared" si="21"/>
        <v>0</v>
      </c>
      <c r="M148" s="134">
        <f t="shared" si="22"/>
        <v>0</v>
      </c>
      <c r="N148" s="134">
        <f t="shared" si="23"/>
        <v>0</v>
      </c>
      <c r="O148" s="134">
        <f t="shared" si="24"/>
        <v>0</v>
      </c>
      <c r="P148" s="134">
        <f t="shared" si="25"/>
        <v>0</v>
      </c>
      <c r="Q148" s="134">
        <f t="shared" si="26"/>
        <v>0</v>
      </c>
    </row>
    <row r="149" spans="1:17">
      <c r="A149" s="132" t="str">
        <f>FMECA!A151</f>
        <v>Q_Sys</v>
      </c>
      <c r="B149" s="133" t="str">
        <f>FMECA!B151</f>
        <v>Interruption of Gate and Source</v>
      </c>
      <c r="C149" s="133">
        <f>FMECA!E151</f>
        <v>6.5191409211666409E-10</v>
      </c>
      <c r="D149" s="132" t="str">
        <f>FMECA!H151</f>
        <v>Safe</v>
      </c>
      <c r="E149" s="132" t="str">
        <f>IF(ISNUMBER(SEARCH("Yes",FMECA!K151)),"Yes",IF(FMECA!K151="No","No",IF(ISNUMBER(SEARCH("No; impactless.",FMECA!K151)),"Impactless",IF(ISNUMBER(SEARCH("Outside the scope",FMECA!K151)),"Outside Scope",IF(ISNUMBER(SEARCH("Maybe",FMECA!K151)),"Maybe","Not Applicable")))))</f>
        <v>Yes</v>
      </c>
      <c r="F149" s="132" t="s">
        <v>728</v>
      </c>
      <c r="G149" s="132" t="str">
        <f>IF(ISNUMBER(SEARCH("Yes",FMECA!L151)),"Yes",IF(FMECA!L151="No","No",IF(ISNUMBER(SEARCH("No; impactless.",FMECA!L151)),"Impactless","Not Applicable")))</f>
        <v>Yes</v>
      </c>
      <c r="H149" s="132" t="str">
        <f>IF(ISNUMBER(SEARCH("CM0", FMECA!AC151)), "CM0", IF(ISNUMBER(SEARCH("CM1", FMECA!AC151)), "CM1", IF(ISNUMBER(SEARCH("CM2", FMECA!AC151)), "CM2", IF(ISNUMBER(SEARCH("CM3", FMECA!AC151)), "CM3", "Not Applicable"))))</f>
        <v>Not Applicable</v>
      </c>
      <c r="I149" s="134">
        <f t="shared" si="18"/>
        <v>0</v>
      </c>
      <c r="J149" s="134">
        <f t="shared" si="19"/>
        <v>0</v>
      </c>
      <c r="K149" s="134">
        <f t="shared" si="20"/>
        <v>6.5191409211666409E-10</v>
      </c>
      <c r="L149" s="134">
        <f t="shared" si="21"/>
        <v>0</v>
      </c>
      <c r="M149" s="134">
        <f t="shared" si="22"/>
        <v>0</v>
      </c>
      <c r="N149" s="134">
        <f t="shared" si="23"/>
        <v>0</v>
      </c>
      <c r="O149" s="134">
        <f t="shared" si="24"/>
        <v>0</v>
      </c>
      <c r="P149" s="134">
        <f t="shared" si="25"/>
        <v>0</v>
      </c>
      <c r="Q149" s="134">
        <f t="shared" si="26"/>
        <v>0</v>
      </c>
    </row>
    <row r="150" spans="1:17">
      <c r="A150" s="132" t="str">
        <f>FMECA!A152</f>
        <v>Q_Sys</v>
      </c>
      <c r="B150" s="133" t="str">
        <f>FMECA!B152</f>
        <v>Interruption of Gate and Drain</v>
      </c>
      <c r="C150" s="133">
        <f>FMECA!E152</f>
        <v>6.5191409211666409E-10</v>
      </c>
      <c r="D150" s="132" t="str">
        <f>FMECA!H152</f>
        <v>Safe</v>
      </c>
      <c r="E150" s="132" t="str">
        <f>IF(ISNUMBER(SEARCH("Yes",FMECA!K152)),"Yes",IF(FMECA!K152="No","No",IF(ISNUMBER(SEARCH("No; impactless.",FMECA!K152)),"Impactless",IF(ISNUMBER(SEARCH("Outside the scope",FMECA!K152)),"Outside Scope",IF(ISNUMBER(SEARCH("Maybe",FMECA!K152)),"Maybe","Not Applicable")))))</f>
        <v>Yes</v>
      </c>
      <c r="F150" s="132" t="s">
        <v>728</v>
      </c>
      <c r="G150" s="132" t="str">
        <f>IF(ISNUMBER(SEARCH("Yes",FMECA!L152)),"Yes",IF(FMECA!L152="No","No",IF(ISNUMBER(SEARCH("No; impactless.",FMECA!L152)),"Impactless","Not Applicable")))</f>
        <v>Yes</v>
      </c>
      <c r="H150" s="132" t="str">
        <f>IF(ISNUMBER(SEARCH("CM0", FMECA!AC152)), "CM0", IF(ISNUMBER(SEARCH("CM1", FMECA!AC152)), "CM1", IF(ISNUMBER(SEARCH("CM2", FMECA!AC152)), "CM2", IF(ISNUMBER(SEARCH("CM3", FMECA!AC152)), "CM3", "Not Applicable"))))</f>
        <v>Not Applicable</v>
      </c>
      <c r="I150" s="134">
        <f t="shared" si="18"/>
        <v>0</v>
      </c>
      <c r="J150" s="134">
        <f t="shared" si="19"/>
        <v>0</v>
      </c>
      <c r="K150" s="134">
        <f t="shared" si="20"/>
        <v>6.5191409211666409E-10</v>
      </c>
      <c r="L150" s="134">
        <f t="shared" si="21"/>
        <v>0</v>
      </c>
      <c r="M150" s="134">
        <f t="shared" si="22"/>
        <v>0</v>
      </c>
      <c r="N150" s="134">
        <f t="shared" si="23"/>
        <v>0</v>
      </c>
      <c r="O150" s="134">
        <f t="shared" si="24"/>
        <v>0</v>
      </c>
      <c r="P150" s="134">
        <f t="shared" si="25"/>
        <v>0</v>
      </c>
      <c r="Q150" s="134">
        <f t="shared" si="26"/>
        <v>0</v>
      </c>
    </row>
    <row r="151" spans="1:17">
      <c r="A151" s="132" t="str">
        <f>FMECA!A153</f>
        <v>Q_Sys</v>
      </c>
      <c r="B151" s="133" t="str">
        <f>FMECA!B153</f>
        <v>Interruption of Source and Drain</v>
      </c>
      <c r="C151" s="133">
        <f>FMECA!E153</f>
        <v>6.5191409211666409E-10</v>
      </c>
      <c r="D151" s="132" t="str">
        <f>FMECA!H153</f>
        <v>Safe</v>
      </c>
      <c r="E151" s="132" t="str">
        <f>IF(ISNUMBER(SEARCH("Yes",FMECA!K153)),"Yes",IF(FMECA!K153="No","No",IF(ISNUMBER(SEARCH("No; impactless.",FMECA!K153)),"Impactless",IF(ISNUMBER(SEARCH("Outside the scope",FMECA!K153)),"Outside Scope",IF(ISNUMBER(SEARCH("Maybe",FMECA!K153)),"Maybe","Not Applicable")))))</f>
        <v>Yes</v>
      </c>
      <c r="F151" s="132" t="s">
        <v>728</v>
      </c>
      <c r="G151" s="132" t="str">
        <f>IF(ISNUMBER(SEARCH("Yes",FMECA!L153)),"Yes",IF(FMECA!L153="No","No",IF(ISNUMBER(SEARCH("No; impactless.",FMECA!L153)),"Impactless","Not Applicable")))</f>
        <v>Yes</v>
      </c>
      <c r="H151" s="132" t="str">
        <f>IF(ISNUMBER(SEARCH("CM0", FMECA!AC153)), "CM0", IF(ISNUMBER(SEARCH("CM1", FMECA!AC153)), "CM1", IF(ISNUMBER(SEARCH("CM2", FMECA!AC153)), "CM2", IF(ISNUMBER(SEARCH("CM3", FMECA!AC153)), "CM3", "Not Applicable"))))</f>
        <v>Not Applicable</v>
      </c>
      <c r="I151" s="134">
        <f t="shared" si="18"/>
        <v>0</v>
      </c>
      <c r="J151" s="134">
        <f t="shared" si="19"/>
        <v>0</v>
      </c>
      <c r="K151" s="134">
        <f t="shared" si="20"/>
        <v>6.5191409211666409E-10</v>
      </c>
      <c r="L151" s="134">
        <f t="shared" si="21"/>
        <v>0</v>
      </c>
      <c r="M151" s="134">
        <f t="shared" si="22"/>
        <v>0</v>
      </c>
      <c r="N151" s="134">
        <f t="shared" si="23"/>
        <v>0</v>
      </c>
      <c r="O151" s="134">
        <f t="shared" si="24"/>
        <v>0</v>
      </c>
      <c r="P151" s="134">
        <f t="shared" si="25"/>
        <v>0</v>
      </c>
      <c r="Q151" s="134">
        <f t="shared" si="26"/>
        <v>0</v>
      </c>
    </row>
    <row r="152" spans="1:17">
      <c r="A152" s="132" t="str">
        <f>FMECA!A154</f>
        <v>Q_Sys</v>
      </c>
      <c r="B152" s="133" t="str">
        <f>FMECA!B154</f>
        <v>Interruption of Gate, Source and Drain</v>
      </c>
      <c r="C152" s="133">
        <f>FMECA!E154</f>
        <v>6.5191409211666409E-10</v>
      </c>
      <c r="D152" s="132" t="str">
        <f>FMECA!H154</f>
        <v>Safe</v>
      </c>
      <c r="E152" s="132" t="str">
        <f>IF(ISNUMBER(SEARCH("Yes",FMECA!K154)),"Yes",IF(FMECA!K154="No","No",IF(ISNUMBER(SEARCH("No; impactless.",FMECA!K154)),"Impactless",IF(ISNUMBER(SEARCH("Outside the scope",FMECA!K154)),"Outside Scope",IF(ISNUMBER(SEARCH("Maybe",FMECA!K154)),"Maybe","Not Applicable")))))</f>
        <v>Yes</v>
      </c>
      <c r="F152" s="132" t="s">
        <v>728</v>
      </c>
      <c r="G152" s="132" t="str">
        <f>IF(ISNUMBER(SEARCH("Yes",FMECA!L154)),"Yes",IF(FMECA!L154="No","No",IF(ISNUMBER(SEARCH("No; impactless.",FMECA!L154)),"Impactless","Not Applicable")))</f>
        <v>Yes</v>
      </c>
      <c r="H152" s="132" t="str">
        <f>IF(ISNUMBER(SEARCH("CM0", FMECA!AC154)), "CM0", IF(ISNUMBER(SEARCH("CM1", FMECA!AC154)), "CM1", IF(ISNUMBER(SEARCH("CM2", FMECA!AC154)), "CM2", IF(ISNUMBER(SEARCH("CM3", FMECA!AC154)), "CM3", "Not Applicable"))))</f>
        <v>Not Applicable</v>
      </c>
      <c r="I152" s="134">
        <f t="shared" si="18"/>
        <v>0</v>
      </c>
      <c r="J152" s="134">
        <f t="shared" si="19"/>
        <v>0</v>
      </c>
      <c r="K152" s="134">
        <f t="shared" si="20"/>
        <v>6.5191409211666409E-10</v>
      </c>
      <c r="L152" s="134">
        <f t="shared" si="21"/>
        <v>0</v>
      </c>
      <c r="M152" s="134">
        <f t="shared" si="22"/>
        <v>0</v>
      </c>
      <c r="N152" s="134">
        <f t="shared" si="23"/>
        <v>0</v>
      </c>
      <c r="O152" s="134">
        <f t="shared" si="24"/>
        <v>0</v>
      </c>
      <c r="P152" s="134">
        <f t="shared" si="25"/>
        <v>0</v>
      </c>
      <c r="Q152" s="134">
        <f t="shared" si="26"/>
        <v>0</v>
      </c>
    </row>
    <row r="153" spans="1:17">
      <c r="A153" s="132" t="str">
        <f>FMECA!A155</f>
        <v>Q_Sys</v>
      </c>
      <c r="B153" s="133" t="str">
        <f>FMECA!B155</f>
        <v>Short-Circuit Between Source and Drain</v>
      </c>
      <c r="C153" s="133">
        <f>FMECA!E155</f>
        <v>2.2728896725148557E-9</v>
      </c>
      <c r="D153" s="132" t="str">
        <f>FMECA!H155</f>
        <v>Safe</v>
      </c>
      <c r="E153" s="132" t="str">
        <f>IF(ISNUMBER(SEARCH("Yes",FMECA!K155)),"Yes",IF(FMECA!K155="No","No",IF(ISNUMBER(SEARCH("No; impactless.",FMECA!K155)),"Impactless",IF(ISNUMBER(SEARCH("Outside the scope",FMECA!K155)),"Outside Scope",IF(ISNUMBER(SEARCH("Maybe",FMECA!K155)),"Maybe","Not Applicable")))))</f>
        <v>Yes</v>
      </c>
      <c r="F153" s="132" t="s">
        <v>728</v>
      </c>
      <c r="G153" s="132" t="str">
        <f>IF(ISNUMBER(SEARCH("Yes",FMECA!L155)),"Yes",IF(FMECA!L155="No","No",IF(ISNUMBER(SEARCH("No; impactless.",FMECA!L155)),"Impactless","Not Applicable")))</f>
        <v>No</v>
      </c>
      <c r="H153" s="132" t="str">
        <f>IF(ISNUMBER(SEARCH("CM0", FMECA!AC155)), "CM0", IF(ISNUMBER(SEARCH("CM1", FMECA!AC155)), "CM1", IF(ISNUMBER(SEARCH("CM2", FMECA!AC155)), "CM2", IF(ISNUMBER(SEARCH("CM3", FMECA!AC155)), "CM3", "Not Applicable"))))</f>
        <v>Not Applicable</v>
      </c>
      <c r="I153" s="134">
        <f t="shared" si="18"/>
        <v>2.2728896725148557E-9</v>
      </c>
      <c r="J153" s="134">
        <f t="shared" si="19"/>
        <v>0</v>
      </c>
      <c r="K153" s="134">
        <f t="shared" si="20"/>
        <v>0</v>
      </c>
      <c r="L153" s="134">
        <f t="shared" si="21"/>
        <v>0</v>
      </c>
      <c r="M153" s="134">
        <f t="shared" si="22"/>
        <v>0</v>
      </c>
      <c r="N153" s="134">
        <f t="shared" si="23"/>
        <v>0</v>
      </c>
      <c r="O153" s="134">
        <f t="shared" si="24"/>
        <v>0</v>
      </c>
      <c r="P153" s="134">
        <f t="shared" si="25"/>
        <v>0</v>
      </c>
      <c r="Q153" s="134">
        <f t="shared" si="26"/>
        <v>0</v>
      </c>
    </row>
    <row r="154" spans="1:17">
      <c r="A154" s="132" t="str">
        <f>FMECA!A156</f>
        <v>Q_Sys</v>
      </c>
      <c r="B154" s="133" t="str">
        <f>FMECA!B156</f>
        <v>Short-Circuit Between Gate and Drain</v>
      </c>
      <c r="C154" s="133">
        <f>FMECA!E156</f>
        <v>2.2728896725148557E-9</v>
      </c>
      <c r="D154" s="132" t="str">
        <f>FMECA!H156</f>
        <v>Safe</v>
      </c>
      <c r="E154" s="132" t="str">
        <f>IF(ISNUMBER(SEARCH("Yes",FMECA!K156)),"Yes",IF(FMECA!K156="No","No",IF(ISNUMBER(SEARCH("No; impactless.",FMECA!K156)),"Impactless",IF(ISNUMBER(SEARCH("Outside the scope",FMECA!K156)),"Outside Scope",IF(ISNUMBER(SEARCH("Maybe",FMECA!K156)),"Maybe","Not Applicable")))))</f>
        <v>Yes</v>
      </c>
      <c r="F154" s="132" t="s">
        <v>728</v>
      </c>
      <c r="G154" s="132" t="str">
        <f>IF(ISNUMBER(SEARCH("Yes",FMECA!L156)),"Yes",IF(FMECA!L156="No","No",IF(ISNUMBER(SEARCH("No; impactless.",FMECA!L156)),"Impactless","Not Applicable")))</f>
        <v>No</v>
      </c>
      <c r="H154" s="132" t="str">
        <f>IF(ISNUMBER(SEARCH("CM0", FMECA!AC156)), "CM0", IF(ISNUMBER(SEARCH("CM1", FMECA!AC156)), "CM1", IF(ISNUMBER(SEARCH("CM2", FMECA!AC156)), "CM2", IF(ISNUMBER(SEARCH("CM3", FMECA!AC156)), "CM3", "Not Applicable"))))</f>
        <v>Not Applicable</v>
      </c>
      <c r="I154" s="134">
        <f t="shared" si="18"/>
        <v>2.2728896725148557E-9</v>
      </c>
      <c r="J154" s="134">
        <f t="shared" si="19"/>
        <v>0</v>
      </c>
      <c r="K154" s="134">
        <f t="shared" si="20"/>
        <v>0</v>
      </c>
      <c r="L154" s="134">
        <f t="shared" si="21"/>
        <v>0</v>
      </c>
      <c r="M154" s="134">
        <f t="shared" si="22"/>
        <v>0</v>
      </c>
      <c r="N154" s="134">
        <f t="shared" si="23"/>
        <v>0</v>
      </c>
      <c r="O154" s="134">
        <f t="shared" si="24"/>
        <v>0</v>
      </c>
      <c r="P154" s="134">
        <f t="shared" si="25"/>
        <v>0</v>
      </c>
      <c r="Q154" s="134">
        <f t="shared" si="26"/>
        <v>0</v>
      </c>
    </row>
    <row r="155" spans="1:17">
      <c r="A155" s="132" t="str">
        <f>FMECA!A157</f>
        <v>Q_Sys</v>
      </c>
      <c r="B155" s="133" t="str">
        <f>FMECA!B157</f>
        <v>Short-Circuit Between Source and Gate</v>
      </c>
      <c r="C155" s="133">
        <f>FMECA!E157</f>
        <v>2.2728896725148557E-9</v>
      </c>
      <c r="D155" s="132" t="str">
        <f>FMECA!H157</f>
        <v>Safe</v>
      </c>
      <c r="E155" s="132" t="str">
        <f>IF(ISNUMBER(SEARCH("Yes",FMECA!K157)),"Yes",IF(FMECA!K157="No","No",IF(ISNUMBER(SEARCH("No; impactless.",FMECA!K157)),"Impactless",IF(ISNUMBER(SEARCH("Outside the scope",FMECA!K157)),"Outside Scope",IF(ISNUMBER(SEARCH("Maybe",FMECA!K157)),"Maybe","Not Applicable")))))</f>
        <v>Yes</v>
      </c>
      <c r="F155" s="132" t="s">
        <v>728</v>
      </c>
      <c r="G155" s="132" t="str">
        <f>IF(ISNUMBER(SEARCH("Yes",FMECA!L157)),"Yes",IF(FMECA!L157="No","No",IF(ISNUMBER(SEARCH("No; impactless.",FMECA!L157)),"Impactless","Not Applicable")))</f>
        <v>Yes</v>
      </c>
      <c r="H155" s="132" t="str">
        <f>IF(ISNUMBER(SEARCH("CM0", FMECA!AC157)), "CM0", IF(ISNUMBER(SEARCH("CM1", FMECA!AC157)), "CM1", IF(ISNUMBER(SEARCH("CM2", FMECA!AC157)), "CM2", IF(ISNUMBER(SEARCH("CM3", FMECA!AC157)), "CM3", "Not Applicable"))))</f>
        <v>Not Applicable</v>
      </c>
      <c r="I155" s="134">
        <f t="shared" si="18"/>
        <v>0</v>
      </c>
      <c r="J155" s="134">
        <f t="shared" si="19"/>
        <v>0</v>
      </c>
      <c r="K155" s="134">
        <f t="shared" si="20"/>
        <v>2.2728896725148557E-9</v>
      </c>
      <c r="L155" s="134">
        <f t="shared" si="21"/>
        <v>0</v>
      </c>
      <c r="M155" s="134">
        <f t="shared" si="22"/>
        <v>0</v>
      </c>
      <c r="N155" s="134">
        <f t="shared" si="23"/>
        <v>0</v>
      </c>
      <c r="O155" s="134">
        <f t="shared" si="24"/>
        <v>0</v>
      </c>
      <c r="P155" s="134">
        <f t="shared" si="25"/>
        <v>0</v>
      </c>
      <c r="Q155" s="134">
        <f t="shared" si="26"/>
        <v>0</v>
      </c>
    </row>
    <row r="156" spans="1:17">
      <c r="A156" s="132" t="str">
        <f>FMECA!A158</f>
        <v>Q_Sys</v>
      </c>
      <c r="B156" s="133" t="str">
        <f>FMECA!B158</f>
        <v>Short-Circuit Between Source, Gate and Drain</v>
      </c>
      <c r="C156" s="133">
        <f>FMECA!E158</f>
        <v>2.2728896725148557E-9</v>
      </c>
      <c r="D156" s="132" t="str">
        <f>FMECA!H158</f>
        <v>Safe</v>
      </c>
      <c r="E156" s="132" t="str">
        <f>IF(ISNUMBER(SEARCH("Yes",FMECA!K158)),"Yes",IF(FMECA!K158="No","No",IF(ISNUMBER(SEARCH("No; impactless.",FMECA!K158)),"Impactless",IF(ISNUMBER(SEARCH("Outside the scope",FMECA!K158)),"Outside Scope",IF(ISNUMBER(SEARCH("Maybe",FMECA!K158)),"Maybe","Not Applicable")))))</f>
        <v>Yes</v>
      </c>
      <c r="F156" s="132" t="s">
        <v>728</v>
      </c>
      <c r="G156" s="132" t="str">
        <f>IF(ISNUMBER(SEARCH("Yes",FMECA!L158)),"Yes",IF(FMECA!L158="No","No",IF(ISNUMBER(SEARCH("No; impactless.",FMECA!L158)),"Impactless","Not Applicable")))</f>
        <v>No</v>
      </c>
      <c r="H156" s="132" t="str">
        <f>IF(ISNUMBER(SEARCH("CM0", FMECA!AC158)), "CM0", IF(ISNUMBER(SEARCH("CM1", FMECA!AC158)), "CM1", IF(ISNUMBER(SEARCH("CM2", FMECA!AC158)), "CM2", IF(ISNUMBER(SEARCH("CM3", FMECA!AC158)), "CM3", "Not Applicable"))))</f>
        <v>Not Applicable</v>
      </c>
      <c r="I156" s="134">
        <f t="shared" si="18"/>
        <v>2.2728896725148557E-9</v>
      </c>
      <c r="J156" s="134">
        <f t="shared" si="19"/>
        <v>0</v>
      </c>
      <c r="K156" s="134">
        <f t="shared" si="20"/>
        <v>0</v>
      </c>
      <c r="L156" s="134">
        <f t="shared" si="21"/>
        <v>0</v>
      </c>
      <c r="M156" s="134">
        <f t="shared" si="22"/>
        <v>0</v>
      </c>
      <c r="N156" s="134">
        <f t="shared" si="23"/>
        <v>0</v>
      </c>
      <c r="O156" s="134">
        <f t="shared" si="24"/>
        <v>0</v>
      </c>
      <c r="P156" s="134">
        <f t="shared" si="25"/>
        <v>0</v>
      </c>
      <c r="Q156" s="134">
        <f t="shared" si="26"/>
        <v>0</v>
      </c>
    </row>
    <row r="157" spans="1:17">
      <c r="A157" s="132" t="str">
        <f>FMECA!A159</f>
        <v>Q_Sys</v>
      </c>
      <c r="B157" s="133" t="str">
        <f>FMECA!B159</f>
        <v>Short-Circuit Between Source and Drain with Interruption of Gate</v>
      </c>
      <c r="C157" s="133">
        <f>FMECA!E159</f>
        <v>2.2728896725148557E-9</v>
      </c>
      <c r="D157" s="132" t="str">
        <f>FMECA!H159</f>
        <v>Safe</v>
      </c>
      <c r="E157" s="132" t="str">
        <f>IF(ISNUMBER(SEARCH("Yes",FMECA!K159)),"Yes",IF(FMECA!K159="No","No",IF(ISNUMBER(SEARCH("No; impactless.",FMECA!K159)),"Impactless",IF(ISNUMBER(SEARCH("Outside the scope",FMECA!K159)),"Outside Scope",IF(ISNUMBER(SEARCH("Maybe",FMECA!K159)),"Maybe","Not Applicable")))))</f>
        <v>Yes</v>
      </c>
      <c r="F157" s="132" t="s">
        <v>728</v>
      </c>
      <c r="G157" s="132" t="str">
        <f>IF(ISNUMBER(SEARCH("Yes",FMECA!L159)),"Yes",IF(FMECA!L159="No","No",IF(ISNUMBER(SEARCH("No; impactless.",FMECA!L159)),"Impactless","Not Applicable")))</f>
        <v>No</v>
      </c>
      <c r="H157" s="132" t="str">
        <f>IF(ISNUMBER(SEARCH("CM0", FMECA!AC159)), "CM0", IF(ISNUMBER(SEARCH("CM1", FMECA!AC159)), "CM1", IF(ISNUMBER(SEARCH("CM2", FMECA!AC159)), "CM2", IF(ISNUMBER(SEARCH("CM3", FMECA!AC159)), "CM3", "Not Applicable"))))</f>
        <v>Not Applicable</v>
      </c>
      <c r="I157" s="134">
        <f t="shared" si="18"/>
        <v>2.2728896725148557E-9</v>
      </c>
      <c r="J157" s="134">
        <f t="shared" si="19"/>
        <v>0</v>
      </c>
      <c r="K157" s="134">
        <f t="shared" si="20"/>
        <v>0</v>
      </c>
      <c r="L157" s="134">
        <f t="shared" si="21"/>
        <v>0</v>
      </c>
      <c r="M157" s="134">
        <f t="shared" si="22"/>
        <v>0</v>
      </c>
      <c r="N157" s="134">
        <f t="shared" si="23"/>
        <v>0</v>
      </c>
      <c r="O157" s="134">
        <f t="shared" si="24"/>
        <v>0</v>
      </c>
      <c r="P157" s="134">
        <f t="shared" si="25"/>
        <v>0</v>
      </c>
      <c r="Q157" s="134">
        <f t="shared" si="26"/>
        <v>0</v>
      </c>
    </row>
    <row r="158" spans="1:17">
      <c r="A158" s="132" t="str">
        <f>FMECA!A160</f>
        <v>Q_Sys</v>
      </c>
      <c r="B158" s="133" t="str">
        <f>FMECA!B160</f>
        <v>Short-Circuit Between Gate and Drain with Interruption of Source</v>
      </c>
      <c r="C158" s="133">
        <f>FMECA!E160</f>
        <v>2.2728896725148557E-9</v>
      </c>
      <c r="D158" s="132" t="str">
        <f>FMECA!H160</f>
        <v>Safe</v>
      </c>
      <c r="E158" s="132" t="str">
        <f>IF(ISNUMBER(SEARCH("Yes",FMECA!K160)),"Yes",IF(FMECA!K160="No","No",IF(ISNUMBER(SEARCH("No; impactless.",FMECA!K160)),"Impactless",IF(ISNUMBER(SEARCH("Outside the scope",FMECA!K160)),"Outside Scope",IF(ISNUMBER(SEARCH("Maybe",FMECA!K160)),"Maybe","Not Applicable")))))</f>
        <v>Yes</v>
      </c>
      <c r="F158" s="132" t="s">
        <v>728</v>
      </c>
      <c r="G158" s="132" t="str">
        <f>IF(ISNUMBER(SEARCH("Yes",FMECA!L160)),"Yes",IF(FMECA!L160="No","No",IF(ISNUMBER(SEARCH("No; impactless.",FMECA!L160)),"Impactless","Not Applicable")))</f>
        <v>No</v>
      </c>
      <c r="H158" s="132" t="str">
        <f>IF(ISNUMBER(SEARCH("CM0", FMECA!AC160)), "CM0", IF(ISNUMBER(SEARCH("CM1", FMECA!AC160)), "CM1", IF(ISNUMBER(SEARCH("CM2", FMECA!AC160)), "CM2", IF(ISNUMBER(SEARCH("CM3", FMECA!AC160)), "CM3", "Not Applicable"))))</f>
        <v>Not Applicable</v>
      </c>
      <c r="I158" s="134">
        <f t="shared" si="18"/>
        <v>2.2728896725148557E-9</v>
      </c>
      <c r="J158" s="134">
        <f t="shared" si="19"/>
        <v>0</v>
      </c>
      <c r="K158" s="134">
        <f t="shared" si="20"/>
        <v>0</v>
      </c>
      <c r="L158" s="134">
        <f t="shared" si="21"/>
        <v>0</v>
      </c>
      <c r="M158" s="134">
        <f t="shared" si="22"/>
        <v>0</v>
      </c>
      <c r="N158" s="134">
        <f t="shared" si="23"/>
        <v>0</v>
      </c>
      <c r="O158" s="134">
        <f t="shared" si="24"/>
        <v>0</v>
      </c>
      <c r="P158" s="134">
        <f t="shared" si="25"/>
        <v>0</v>
      </c>
      <c r="Q158" s="134">
        <f t="shared" si="26"/>
        <v>0</v>
      </c>
    </row>
    <row r="159" spans="1:17">
      <c r="A159" s="132" t="str">
        <f>FMECA!A161</f>
        <v>Q_Sys</v>
      </c>
      <c r="B159" s="133" t="str">
        <f>FMECA!B161</f>
        <v>Short-Circuit Between Source and Gate with Interruption of Drain</v>
      </c>
      <c r="C159" s="133">
        <f>FMECA!E161</f>
        <v>2.2728896725148557E-9</v>
      </c>
      <c r="D159" s="132" t="str">
        <f>FMECA!H161</f>
        <v>Safe</v>
      </c>
      <c r="E159" s="132" t="str">
        <f>IF(ISNUMBER(SEARCH("Yes",FMECA!K161)),"Yes",IF(FMECA!K161="No","No",IF(ISNUMBER(SEARCH("No; impactless.",FMECA!K161)),"Impactless",IF(ISNUMBER(SEARCH("Outside the scope",FMECA!K161)),"Outside Scope",IF(ISNUMBER(SEARCH("Maybe",FMECA!K161)),"Maybe","Not Applicable")))))</f>
        <v>Yes</v>
      </c>
      <c r="F159" s="132" t="s">
        <v>728</v>
      </c>
      <c r="G159" s="132" t="str">
        <f>IF(ISNUMBER(SEARCH("Yes",FMECA!L161)),"Yes",IF(FMECA!L161="No","No",IF(ISNUMBER(SEARCH("No; impactless.",FMECA!L161)),"Impactless","Not Applicable")))</f>
        <v>Yes</v>
      </c>
      <c r="H159" s="132" t="str">
        <f>IF(ISNUMBER(SEARCH("CM0", FMECA!AC161)), "CM0", IF(ISNUMBER(SEARCH("CM1", FMECA!AC161)), "CM1", IF(ISNUMBER(SEARCH("CM2", FMECA!AC161)), "CM2", IF(ISNUMBER(SEARCH("CM3", FMECA!AC161)), "CM3", "Not Applicable"))))</f>
        <v>Not Applicable</v>
      </c>
      <c r="I159" s="134">
        <f t="shared" si="18"/>
        <v>0</v>
      </c>
      <c r="J159" s="134">
        <f t="shared" si="19"/>
        <v>0</v>
      </c>
      <c r="K159" s="134">
        <f t="shared" si="20"/>
        <v>2.2728896725148557E-9</v>
      </c>
      <c r="L159" s="134">
        <f t="shared" si="21"/>
        <v>0</v>
      </c>
      <c r="M159" s="134">
        <f t="shared" si="22"/>
        <v>0</v>
      </c>
      <c r="N159" s="134">
        <f t="shared" si="23"/>
        <v>0</v>
      </c>
      <c r="O159" s="134">
        <f t="shared" si="24"/>
        <v>0</v>
      </c>
      <c r="P159" s="134">
        <f t="shared" si="25"/>
        <v>0</v>
      </c>
      <c r="Q159" s="134">
        <f t="shared" si="26"/>
        <v>0</v>
      </c>
    </row>
    <row r="160" spans="1:17">
      <c r="A160" s="132" t="str">
        <f>FMECA!A162</f>
        <v>Q_Sys</v>
      </c>
      <c r="B160" s="133" t="str">
        <f>FMECA!B162</f>
        <v>Short-Circuit Between Casing and Source</v>
      </c>
      <c r="C160" s="133">
        <f>FMECA!E162</f>
        <v>0</v>
      </c>
      <c r="D160" s="132" t="str">
        <f>FMECA!H162</f>
        <v>Safe</v>
      </c>
      <c r="E160" s="132" t="str">
        <f>IF(ISNUMBER(SEARCH("Yes",FMECA!K162)),"Yes",IF(FMECA!K162="No","No",IF(ISNUMBER(SEARCH("No; impactless.",FMECA!K162)),"Impactless",IF(ISNUMBER(SEARCH("Outside the scope",FMECA!K162)),"Outside Scope",IF(ISNUMBER(SEARCH("Maybe",FMECA!K162)),"Maybe","Not Applicable")))))</f>
        <v>Impactless</v>
      </c>
      <c r="F160" s="132" t="s">
        <v>728</v>
      </c>
      <c r="G160" s="132" t="str">
        <f>IF(ISNUMBER(SEARCH("Yes",FMECA!L162)),"Yes",IF(FMECA!L162="No","No",IF(ISNUMBER(SEARCH("No; impactless.",FMECA!L162)),"Impactless","Not Applicable")))</f>
        <v>Impactless</v>
      </c>
      <c r="H160" s="132" t="str">
        <f>IF(ISNUMBER(SEARCH("CM0", FMECA!AC162)), "CM0", IF(ISNUMBER(SEARCH("CM1", FMECA!AC162)), "CM1", IF(ISNUMBER(SEARCH("CM2", FMECA!AC162)), "CM2", IF(ISNUMBER(SEARCH("CM3", FMECA!AC162)), "CM3", "Not Applicable"))))</f>
        <v>Not Applicable</v>
      </c>
      <c r="I160" s="134">
        <f t="shared" si="18"/>
        <v>0</v>
      </c>
      <c r="J160" s="134">
        <f t="shared" si="19"/>
        <v>0</v>
      </c>
      <c r="K160" s="134">
        <f t="shared" si="20"/>
        <v>0</v>
      </c>
      <c r="L160" s="134">
        <f t="shared" si="21"/>
        <v>0</v>
      </c>
      <c r="M160" s="134">
        <f t="shared" si="22"/>
        <v>0</v>
      </c>
      <c r="N160" s="134">
        <f t="shared" si="23"/>
        <v>0</v>
      </c>
      <c r="O160" s="134">
        <f t="shared" si="24"/>
        <v>0</v>
      </c>
      <c r="P160" s="134">
        <f t="shared" si="25"/>
        <v>0</v>
      </c>
      <c r="Q160" s="134">
        <f t="shared" si="26"/>
        <v>0</v>
      </c>
    </row>
    <row r="161" spans="1:17">
      <c r="A161" s="132" t="str">
        <f>FMECA!A163</f>
        <v>Q_Sys</v>
      </c>
      <c r="B161" s="133" t="str">
        <f>FMECA!B163</f>
        <v>Short-Circuit Between Casing and Gate</v>
      </c>
      <c r="C161" s="133">
        <f>FMECA!E163</f>
        <v>0</v>
      </c>
      <c r="D161" s="132" t="str">
        <f>FMECA!H163</f>
        <v>Safe</v>
      </c>
      <c r="E161" s="132" t="str">
        <f>IF(ISNUMBER(SEARCH("Yes",FMECA!K163)),"Yes",IF(FMECA!K163="No","No",IF(ISNUMBER(SEARCH("No; impactless.",FMECA!K163)),"Impactless",IF(ISNUMBER(SEARCH("Outside the scope",FMECA!K163)),"Outside Scope",IF(ISNUMBER(SEARCH("Maybe",FMECA!K163)),"Maybe","Not Applicable")))))</f>
        <v>Impactless</v>
      </c>
      <c r="F161" s="132" t="s">
        <v>728</v>
      </c>
      <c r="G161" s="132" t="str">
        <f>IF(ISNUMBER(SEARCH("Yes",FMECA!L163)),"Yes",IF(FMECA!L163="No","No",IF(ISNUMBER(SEARCH("No; impactless.",FMECA!L163)),"Impactless","Not Applicable")))</f>
        <v>Impactless</v>
      </c>
      <c r="H161" s="132" t="str">
        <f>IF(ISNUMBER(SEARCH("CM0", FMECA!AC163)), "CM0", IF(ISNUMBER(SEARCH("CM1", FMECA!AC163)), "CM1", IF(ISNUMBER(SEARCH("CM2", FMECA!AC163)), "CM2", IF(ISNUMBER(SEARCH("CM3", FMECA!AC163)), "CM3", "Not Applicable"))))</f>
        <v>Not Applicable</v>
      </c>
      <c r="I161" s="134">
        <f t="shared" si="18"/>
        <v>0</v>
      </c>
      <c r="J161" s="134">
        <f t="shared" si="19"/>
        <v>0</v>
      </c>
      <c r="K161" s="134">
        <f t="shared" si="20"/>
        <v>0</v>
      </c>
      <c r="L161" s="134">
        <f t="shared" si="21"/>
        <v>0</v>
      </c>
      <c r="M161" s="134">
        <f t="shared" si="22"/>
        <v>0</v>
      </c>
      <c r="N161" s="134">
        <f t="shared" si="23"/>
        <v>0</v>
      </c>
      <c r="O161" s="134">
        <f t="shared" si="24"/>
        <v>0</v>
      </c>
      <c r="P161" s="134">
        <f t="shared" si="25"/>
        <v>0</v>
      </c>
      <c r="Q161" s="134">
        <f t="shared" si="26"/>
        <v>0</v>
      </c>
    </row>
    <row r="162" spans="1:17">
      <c r="A162" s="132" t="str">
        <f>FMECA!A164</f>
        <v>Q_Sys</v>
      </c>
      <c r="B162" s="133" t="str">
        <f>FMECA!B164</f>
        <v>Short-Circuit Between Casing and Drain</v>
      </c>
      <c r="C162" s="133">
        <f>FMECA!E164</f>
        <v>0</v>
      </c>
      <c r="D162" s="132" t="str">
        <f>FMECA!H164</f>
        <v>Safe</v>
      </c>
      <c r="E162" s="132" t="str">
        <f>IF(ISNUMBER(SEARCH("Yes",FMECA!K164)),"Yes",IF(FMECA!K164="No","No",IF(ISNUMBER(SEARCH("No; impactless.",FMECA!K164)),"Impactless",IF(ISNUMBER(SEARCH("Outside the scope",FMECA!K164)),"Outside Scope",IF(ISNUMBER(SEARCH("Maybe",FMECA!K164)),"Maybe","Not Applicable")))))</f>
        <v>Impactless</v>
      </c>
      <c r="F162" s="132" t="s">
        <v>728</v>
      </c>
      <c r="G162" s="132" t="str">
        <f>IF(ISNUMBER(SEARCH("Yes",FMECA!L164)),"Yes",IF(FMECA!L164="No","No",IF(ISNUMBER(SEARCH("No; impactless.",FMECA!L164)),"Impactless","Not Applicable")))</f>
        <v>Impactless</v>
      </c>
      <c r="H162" s="132" t="str">
        <f>IF(ISNUMBER(SEARCH("CM0", FMECA!AC164)), "CM0", IF(ISNUMBER(SEARCH("CM1", FMECA!AC164)), "CM1", IF(ISNUMBER(SEARCH("CM2", FMECA!AC164)), "CM2", IF(ISNUMBER(SEARCH("CM3", FMECA!AC164)), "CM3", "Not Applicable"))))</f>
        <v>Not Applicable</v>
      </c>
      <c r="I162" s="134">
        <f t="shared" si="18"/>
        <v>0</v>
      </c>
      <c r="J162" s="134">
        <f t="shared" si="19"/>
        <v>0</v>
      </c>
      <c r="K162" s="134">
        <f t="shared" si="20"/>
        <v>0</v>
      </c>
      <c r="L162" s="134">
        <f t="shared" si="21"/>
        <v>0</v>
      </c>
      <c r="M162" s="134">
        <f t="shared" si="22"/>
        <v>0</v>
      </c>
      <c r="N162" s="134">
        <f t="shared" si="23"/>
        <v>0</v>
      </c>
      <c r="O162" s="134">
        <f t="shared" si="24"/>
        <v>0</v>
      </c>
      <c r="P162" s="134">
        <f t="shared" si="25"/>
        <v>0</v>
      </c>
      <c r="Q162" s="134">
        <f t="shared" si="26"/>
        <v>0</v>
      </c>
    </row>
    <row r="163" spans="1:17">
      <c r="A163" s="132" t="str">
        <f>FMECA!A165</f>
        <v>Q_Sys</v>
      </c>
      <c r="B163" s="133" t="str">
        <f>FMECA!B165</f>
        <v>Increase of Forward Transcondutance</v>
      </c>
      <c r="C163" s="133">
        <f>FMECA!E165</f>
        <v>3.2256871917622881E-10</v>
      </c>
      <c r="D163" s="132" t="str">
        <f>FMECA!H165</f>
        <v>Safe</v>
      </c>
      <c r="E163" s="132" t="str">
        <f>IF(ISNUMBER(SEARCH("Yes",FMECA!K165)),"Yes",IF(FMECA!K165="No","No",IF(ISNUMBER(SEARCH("No; impactless.",FMECA!K165)),"Impactless",IF(ISNUMBER(SEARCH("Outside the scope",FMECA!K165)),"Outside Scope",IF(ISNUMBER(SEARCH("Maybe",FMECA!K165)),"Maybe","Not Applicable")))))</f>
        <v>Impactless</v>
      </c>
      <c r="F163" s="132" t="s">
        <v>728</v>
      </c>
      <c r="G163" s="132" t="str">
        <f>IF(ISNUMBER(SEARCH("Yes",FMECA!L165)),"Yes",IF(FMECA!L165="No","No",IF(ISNUMBER(SEARCH("No; impactless.",FMECA!L165)),"Impactless","Not Applicable")))</f>
        <v>Impactless</v>
      </c>
      <c r="H163" s="132" t="str">
        <f>IF(ISNUMBER(SEARCH("CM0", FMECA!AC165)), "CM0", IF(ISNUMBER(SEARCH("CM1", FMECA!AC165)), "CM1", IF(ISNUMBER(SEARCH("CM2", FMECA!AC165)), "CM2", IF(ISNUMBER(SEARCH("CM3", FMECA!AC165)), "CM3", "Not Applicable"))))</f>
        <v>Not Applicable</v>
      </c>
      <c r="I163" s="134">
        <f t="shared" si="18"/>
        <v>0</v>
      </c>
      <c r="J163" s="134">
        <f t="shared" si="19"/>
        <v>0</v>
      </c>
      <c r="K163" s="134">
        <f t="shared" si="20"/>
        <v>0</v>
      </c>
      <c r="L163" s="134">
        <f t="shared" si="21"/>
        <v>0</v>
      </c>
      <c r="M163" s="134">
        <f t="shared" si="22"/>
        <v>0</v>
      </c>
      <c r="N163" s="134">
        <f t="shared" si="23"/>
        <v>0</v>
      </c>
      <c r="O163" s="134">
        <f t="shared" si="24"/>
        <v>0</v>
      </c>
      <c r="P163" s="134">
        <f t="shared" si="25"/>
        <v>0</v>
      </c>
      <c r="Q163" s="134">
        <f t="shared" si="26"/>
        <v>0</v>
      </c>
    </row>
    <row r="164" spans="1:17">
      <c r="A164" s="132" t="str">
        <f>FMECA!A166</f>
        <v>Q_Sys</v>
      </c>
      <c r="B164" s="133" t="str">
        <f>FMECA!B166</f>
        <v>Decrease of Forward Transcondutance</v>
      </c>
      <c r="C164" s="133">
        <f>FMECA!E166</f>
        <v>3.2256871917622881E-10</v>
      </c>
      <c r="D164" s="132" t="str">
        <f>FMECA!H166</f>
        <v>Safe</v>
      </c>
      <c r="E164" s="132" t="str">
        <f>IF(ISNUMBER(SEARCH("Yes",FMECA!K166)),"Yes",IF(FMECA!K166="No","No",IF(ISNUMBER(SEARCH("No; impactless.",FMECA!K166)),"Impactless",IF(ISNUMBER(SEARCH("Outside the scope",FMECA!K166)),"Outside Scope",IF(ISNUMBER(SEARCH("Maybe",FMECA!K166)),"Maybe","Not Applicable")))))</f>
        <v>Yes</v>
      </c>
      <c r="F164" s="132" t="s">
        <v>728</v>
      </c>
      <c r="G164" s="132" t="str">
        <f>IF(ISNUMBER(SEARCH("Yes",FMECA!L166)),"Yes",IF(FMECA!L166="No","No",IF(ISNUMBER(SEARCH("No; impactless.",FMECA!L166)),"Impactless","Not Applicable")))</f>
        <v>Yes</v>
      </c>
      <c r="H164" s="132" t="str">
        <f>IF(ISNUMBER(SEARCH("CM0", FMECA!AC166)), "CM0", IF(ISNUMBER(SEARCH("CM1", FMECA!AC166)), "CM1", IF(ISNUMBER(SEARCH("CM2", FMECA!AC166)), "CM2", IF(ISNUMBER(SEARCH("CM3", FMECA!AC166)), "CM3", "Not Applicable"))))</f>
        <v>Not Applicable</v>
      </c>
      <c r="I164" s="134">
        <f t="shared" si="18"/>
        <v>0</v>
      </c>
      <c r="J164" s="134">
        <f t="shared" si="19"/>
        <v>0</v>
      </c>
      <c r="K164" s="134">
        <f t="shared" si="20"/>
        <v>3.2256871917622881E-10</v>
      </c>
      <c r="L164" s="134">
        <f t="shared" si="21"/>
        <v>0</v>
      </c>
      <c r="M164" s="134">
        <f t="shared" si="22"/>
        <v>0</v>
      </c>
      <c r="N164" s="134">
        <f t="shared" si="23"/>
        <v>0</v>
      </c>
      <c r="O164" s="134">
        <f t="shared" si="24"/>
        <v>0</v>
      </c>
      <c r="P164" s="134">
        <f t="shared" si="25"/>
        <v>0</v>
      </c>
      <c r="Q164" s="134">
        <f t="shared" si="26"/>
        <v>0</v>
      </c>
    </row>
    <row r="165" spans="1:17">
      <c r="A165" s="132" t="str">
        <f>FMECA!A167</f>
        <v>Q_Sys</v>
      </c>
      <c r="B165" s="133" t="str">
        <f>FMECA!B167</f>
        <v>Increase of Gate Threshold Voltage</v>
      </c>
      <c r="C165" s="133">
        <f>FMECA!E167</f>
        <v>3.2256871917622881E-10</v>
      </c>
      <c r="D165" s="132" t="str">
        <f>FMECA!H167</f>
        <v>Safe</v>
      </c>
      <c r="E165" s="132" t="str">
        <f>IF(ISNUMBER(SEARCH("Yes",FMECA!K167)),"Yes",IF(FMECA!K167="No","No",IF(ISNUMBER(SEARCH("No; impactless.",FMECA!K167)),"Impactless",IF(ISNUMBER(SEARCH("Outside the scope",FMECA!K167)),"Outside Scope",IF(ISNUMBER(SEARCH("Maybe",FMECA!K167)),"Maybe","Not Applicable")))))</f>
        <v>Yes</v>
      </c>
      <c r="F165" s="132" t="s">
        <v>728</v>
      </c>
      <c r="G165" s="132" t="str">
        <f>IF(ISNUMBER(SEARCH("Yes",FMECA!L167)),"Yes",IF(FMECA!L167="No","No",IF(ISNUMBER(SEARCH("No; impactless.",FMECA!L167)),"Impactless","Not Applicable")))</f>
        <v>Yes</v>
      </c>
      <c r="H165" s="132" t="str">
        <f>IF(ISNUMBER(SEARCH("CM0", FMECA!AC167)), "CM0", IF(ISNUMBER(SEARCH("CM1", FMECA!AC167)), "CM1", IF(ISNUMBER(SEARCH("CM2", FMECA!AC167)), "CM2", IF(ISNUMBER(SEARCH("CM3", FMECA!AC167)), "CM3", "Not Applicable"))))</f>
        <v>Not Applicable</v>
      </c>
      <c r="I165" s="134">
        <f t="shared" si="18"/>
        <v>0</v>
      </c>
      <c r="J165" s="134">
        <f t="shared" si="19"/>
        <v>0</v>
      </c>
      <c r="K165" s="134">
        <f t="shared" si="20"/>
        <v>3.2256871917622881E-10</v>
      </c>
      <c r="L165" s="134">
        <f t="shared" si="21"/>
        <v>0</v>
      </c>
      <c r="M165" s="134">
        <f t="shared" si="22"/>
        <v>0</v>
      </c>
      <c r="N165" s="134">
        <f t="shared" si="23"/>
        <v>0</v>
      </c>
      <c r="O165" s="134">
        <f t="shared" si="24"/>
        <v>0</v>
      </c>
      <c r="P165" s="134">
        <f t="shared" si="25"/>
        <v>0</v>
      </c>
      <c r="Q165" s="134">
        <f t="shared" si="26"/>
        <v>0</v>
      </c>
    </row>
    <row r="166" spans="1:17">
      <c r="A166" s="132" t="str">
        <f>FMECA!A168</f>
        <v>Q_Sys</v>
      </c>
      <c r="B166" s="133" t="str">
        <f>FMECA!B168</f>
        <v>Decrease of Gate Threshold Voltage</v>
      </c>
      <c r="C166" s="133">
        <f>FMECA!E168</f>
        <v>3.2256871917622881E-10</v>
      </c>
      <c r="D166" s="132" t="str">
        <f>FMECA!H168</f>
        <v>Safe</v>
      </c>
      <c r="E166" s="132" t="str">
        <f>IF(ISNUMBER(SEARCH("Yes",FMECA!K168)),"Yes",IF(FMECA!K168="No","No",IF(ISNUMBER(SEARCH("No; impactless.",FMECA!K168)),"Impactless",IF(ISNUMBER(SEARCH("Outside the scope",FMECA!K168)),"Outside Scope",IF(ISNUMBER(SEARCH("Maybe",FMECA!K168)),"Maybe","Not Applicable")))))</f>
        <v>Maybe</v>
      </c>
      <c r="F166" s="132" t="s">
        <v>729</v>
      </c>
      <c r="G166" s="132" t="str">
        <f>IF(ISNUMBER(SEARCH("Yes",FMECA!L168)),"Yes",IF(FMECA!L168="No","No",IF(ISNUMBER(SEARCH("No; impactless.",FMECA!L168)),"Impactless","Not Applicable")))</f>
        <v>No</v>
      </c>
      <c r="H166" s="132" t="str">
        <f>IF(ISNUMBER(SEARCH("CM0", FMECA!AC168)), "CM0", IF(ISNUMBER(SEARCH("CM1", FMECA!AC168)), "CM1", IF(ISNUMBER(SEARCH("CM2", FMECA!AC168)), "CM2", IF(ISNUMBER(SEARCH("CM3", FMECA!AC168)), "CM3", "Not Applicable"))))</f>
        <v>CM2</v>
      </c>
      <c r="I166" s="134">
        <f t="shared" si="18"/>
        <v>0</v>
      </c>
      <c r="J166" s="134">
        <f t="shared" si="19"/>
        <v>0</v>
      </c>
      <c r="K166" s="134">
        <f t="shared" si="20"/>
        <v>0</v>
      </c>
      <c r="L166" s="134">
        <f t="shared" si="21"/>
        <v>0</v>
      </c>
      <c r="M166" s="134">
        <f t="shared" si="22"/>
        <v>3.2256871917622881E-10</v>
      </c>
      <c r="N166" s="134">
        <f t="shared" si="23"/>
        <v>0</v>
      </c>
      <c r="O166" s="134">
        <f t="shared" si="24"/>
        <v>0</v>
      </c>
      <c r="P166" s="134">
        <f t="shared" si="25"/>
        <v>0</v>
      </c>
      <c r="Q166" s="134">
        <f t="shared" si="26"/>
        <v>0</v>
      </c>
    </row>
    <row r="167" spans="1:17">
      <c r="A167" s="132" t="str">
        <f>FMECA!A169</f>
        <v>Q_Sys</v>
      </c>
      <c r="B167" s="133" t="str">
        <f>FMECA!B169</f>
        <v>Decrease of Drain-Source Breakdown Voltage</v>
      </c>
      <c r="C167" s="133">
        <f>FMECA!E169</f>
        <v>3.2256871917622881E-10</v>
      </c>
      <c r="D167" s="132" t="str">
        <f>FMECA!H169</f>
        <v>Safe</v>
      </c>
      <c r="E167" s="132" t="str">
        <f>IF(ISNUMBER(SEARCH("Yes",FMECA!K169)),"Yes",IF(FMECA!K169="No","No",IF(ISNUMBER(SEARCH("No; impactless.",FMECA!K169)),"Impactless",IF(ISNUMBER(SEARCH("Outside the scope",FMECA!K169)),"Outside Scope",IF(ISNUMBER(SEARCH("Maybe",FMECA!K169)),"Maybe","Not Applicable")))))</f>
        <v>Maybe</v>
      </c>
      <c r="F167" s="132" t="s">
        <v>729</v>
      </c>
      <c r="G167" s="132" t="str">
        <f>IF(ISNUMBER(SEARCH("Yes",FMECA!L169)),"Yes",IF(FMECA!L169="No","No",IF(ISNUMBER(SEARCH("No; impactless.",FMECA!L169)),"Impactless","Not Applicable")))</f>
        <v>No</v>
      </c>
      <c r="H167" s="132" t="str">
        <f>IF(ISNUMBER(SEARCH("CM0", FMECA!AC169)), "CM0", IF(ISNUMBER(SEARCH("CM1", FMECA!AC169)), "CM1", IF(ISNUMBER(SEARCH("CM2", FMECA!AC169)), "CM2", IF(ISNUMBER(SEARCH("CM3", FMECA!AC169)), "CM3", "Not Applicable"))))</f>
        <v>CM2</v>
      </c>
      <c r="I167" s="134">
        <f t="shared" si="18"/>
        <v>0</v>
      </c>
      <c r="J167" s="134">
        <f t="shared" si="19"/>
        <v>0</v>
      </c>
      <c r="K167" s="134">
        <f t="shared" si="20"/>
        <v>0</v>
      </c>
      <c r="L167" s="134">
        <f t="shared" si="21"/>
        <v>0</v>
      </c>
      <c r="M167" s="134">
        <f t="shared" si="22"/>
        <v>3.2256871917622881E-10</v>
      </c>
      <c r="N167" s="134">
        <f t="shared" si="23"/>
        <v>0</v>
      </c>
      <c r="O167" s="134">
        <f t="shared" si="24"/>
        <v>0</v>
      </c>
      <c r="P167" s="134">
        <f t="shared" si="25"/>
        <v>0</v>
      </c>
      <c r="Q167" s="134">
        <f t="shared" si="26"/>
        <v>0</v>
      </c>
    </row>
    <row r="168" spans="1:17">
      <c r="A168" s="132" t="str">
        <f>FMECA!A170</f>
        <v>Q_Sys</v>
      </c>
      <c r="B168" s="133" t="str">
        <f>FMECA!B170</f>
        <v>Decrease of Gate-Source Maximum Rated Voltage</v>
      </c>
      <c r="C168" s="133">
        <f>FMECA!E170</f>
        <v>3.2256871917622881E-10</v>
      </c>
      <c r="D168" s="132" t="str">
        <f>FMECA!H170</f>
        <v>Safe</v>
      </c>
      <c r="E168" s="132" t="str">
        <f>IF(ISNUMBER(SEARCH("Yes",FMECA!K170)),"Yes",IF(FMECA!K170="No","No",IF(ISNUMBER(SEARCH("No; impactless.",FMECA!K170)),"Impactless",IF(ISNUMBER(SEARCH("Outside the scope",FMECA!K170)),"Outside Scope",IF(ISNUMBER(SEARCH("Maybe",FMECA!K170)),"Maybe","Not Applicable")))))</f>
        <v>Yes</v>
      </c>
      <c r="F168" s="132" t="s">
        <v>728</v>
      </c>
      <c r="G168" s="132" t="str">
        <f>IF(ISNUMBER(SEARCH("Yes",FMECA!L170)),"Yes",IF(FMECA!L170="No","No",IF(ISNUMBER(SEARCH("No; impactless.",FMECA!L170)),"Impactless","Not Applicable")))</f>
        <v>Yes</v>
      </c>
      <c r="H168" s="132" t="str">
        <f>IF(ISNUMBER(SEARCH("CM0", FMECA!AC170)), "CM0", IF(ISNUMBER(SEARCH("CM1", FMECA!AC170)), "CM1", IF(ISNUMBER(SEARCH("CM2", FMECA!AC170)), "CM2", IF(ISNUMBER(SEARCH("CM3", FMECA!AC170)), "CM3", "Not Applicable"))))</f>
        <v>Not Applicable</v>
      </c>
      <c r="I168" s="134">
        <f t="shared" si="18"/>
        <v>0</v>
      </c>
      <c r="J168" s="134">
        <f t="shared" si="19"/>
        <v>0</v>
      </c>
      <c r="K168" s="134">
        <f t="shared" si="20"/>
        <v>3.2256871917622881E-10</v>
      </c>
      <c r="L168" s="134">
        <f t="shared" si="21"/>
        <v>0</v>
      </c>
      <c r="M168" s="134">
        <f t="shared" si="22"/>
        <v>0</v>
      </c>
      <c r="N168" s="134">
        <f t="shared" si="23"/>
        <v>0</v>
      </c>
      <c r="O168" s="134">
        <f t="shared" si="24"/>
        <v>0</v>
      </c>
      <c r="P168" s="134">
        <f t="shared" si="25"/>
        <v>0</v>
      </c>
      <c r="Q168" s="134">
        <f t="shared" si="26"/>
        <v>0</v>
      </c>
    </row>
    <row r="169" spans="1:17">
      <c r="A169" s="132" t="str">
        <f>FMECA!A171</f>
        <v>Q_Sys</v>
      </c>
      <c r="B169" s="133" t="str">
        <f>FMECA!B171</f>
        <v>Decrease of Drain-Gate Maximum Rated Voltage</v>
      </c>
      <c r="C169" s="133">
        <f>FMECA!E171</f>
        <v>3.2256871917622881E-10</v>
      </c>
      <c r="D169" s="132" t="str">
        <f>FMECA!H171</f>
        <v>Safe</v>
      </c>
      <c r="E169" s="132" t="str">
        <f>IF(ISNUMBER(SEARCH("Yes",FMECA!K171)),"Yes",IF(FMECA!K171="No","No",IF(ISNUMBER(SEARCH("No; impactless.",FMECA!K171)),"Impactless",IF(ISNUMBER(SEARCH("Outside the scope",FMECA!K171)),"Outside Scope",IF(ISNUMBER(SEARCH("Maybe",FMECA!K171)),"Maybe","Not Applicable")))))</f>
        <v>Maybe</v>
      </c>
      <c r="F169" s="132" t="s">
        <v>729</v>
      </c>
      <c r="G169" s="132" t="str">
        <f>IF(ISNUMBER(SEARCH("Yes",FMECA!L171)),"Yes",IF(FMECA!L171="No","No",IF(ISNUMBER(SEARCH("No; impactless.",FMECA!L171)),"Impactless","Not Applicable")))</f>
        <v>No</v>
      </c>
      <c r="H169" s="132" t="str">
        <f>IF(ISNUMBER(SEARCH("CM0", FMECA!AC171)), "CM0", IF(ISNUMBER(SEARCH("CM1", FMECA!AC171)), "CM1", IF(ISNUMBER(SEARCH("CM2", FMECA!AC171)), "CM2", IF(ISNUMBER(SEARCH("CM3", FMECA!AC171)), "CM3", "Not Applicable"))))</f>
        <v>CM2</v>
      </c>
      <c r="I169" s="134">
        <f t="shared" si="18"/>
        <v>0</v>
      </c>
      <c r="J169" s="134">
        <f t="shared" si="19"/>
        <v>0</v>
      </c>
      <c r="K169" s="134">
        <f t="shared" si="20"/>
        <v>0</v>
      </c>
      <c r="L169" s="134">
        <f t="shared" si="21"/>
        <v>0</v>
      </c>
      <c r="M169" s="134">
        <f t="shared" si="22"/>
        <v>3.2256871917622881E-10</v>
      </c>
      <c r="N169" s="134">
        <f t="shared" si="23"/>
        <v>0</v>
      </c>
      <c r="O169" s="134">
        <f t="shared" si="24"/>
        <v>0</v>
      </c>
      <c r="P169" s="134">
        <f t="shared" si="25"/>
        <v>0</v>
      </c>
      <c r="Q169" s="134">
        <f t="shared" si="26"/>
        <v>0</v>
      </c>
    </row>
    <row r="170" spans="1:17">
      <c r="A170" s="132" t="str">
        <f>FMECA!A172</f>
        <v>Q_Sys</v>
      </c>
      <c r="B170" s="133" t="str">
        <f>FMECA!B172</f>
        <v>Change of Turn-On Time</v>
      </c>
      <c r="C170" s="133">
        <f>FMECA!E172</f>
        <v>3.2256871917622881E-10</v>
      </c>
      <c r="D170" s="132" t="str">
        <f>FMECA!H172</f>
        <v>Safe</v>
      </c>
      <c r="E170" s="132" t="str">
        <f>IF(ISNUMBER(SEARCH("Yes",FMECA!K172)),"Yes",IF(FMECA!K172="No","No",IF(ISNUMBER(SEARCH("No; impactless.",FMECA!K172)),"Impactless",IF(ISNUMBER(SEARCH("Outside the scope",FMECA!K172)),"Outside Scope",IF(ISNUMBER(SEARCH("Maybe",FMECA!K172)),"Maybe","Not Applicable")))))</f>
        <v>Yes</v>
      </c>
      <c r="F170" s="132" t="s">
        <v>728</v>
      </c>
      <c r="G170" s="132" t="str">
        <f>IF(ISNUMBER(SEARCH("Yes",FMECA!L172)),"Yes",IF(FMECA!L172="No","No",IF(ISNUMBER(SEARCH("No; impactless.",FMECA!L172)),"Impactless","Not Applicable")))</f>
        <v>No</v>
      </c>
      <c r="H170" s="132" t="str">
        <f>IF(ISNUMBER(SEARCH("CM0", FMECA!AC172)), "CM0", IF(ISNUMBER(SEARCH("CM1", FMECA!AC172)), "CM1", IF(ISNUMBER(SEARCH("CM2", FMECA!AC172)), "CM2", IF(ISNUMBER(SEARCH("CM3", FMECA!AC172)), "CM3", "Not Applicable"))))</f>
        <v>Not Applicable</v>
      </c>
      <c r="I170" s="134">
        <f t="shared" si="18"/>
        <v>3.2256871917622881E-10</v>
      </c>
      <c r="J170" s="134">
        <f t="shared" si="19"/>
        <v>0</v>
      </c>
      <c r="K170" s="134">
        <f t="shared" si="20"/>
        <v>0</v>
      </c>
      <c r="L170" s="134">
        <f t="shared" si="21"/>
        <v>0</v>
      </c>
      <c r="M170" s="134">
        <f t="shared" si="22"/>
        <v>0</v>
      </c>
      <c r="N170" s="134">
        <f t="shared" si="23"/>
        <v>0</v>
      </c>
      <c r="O170" s="134">
        <f t="shared" si="24"/>
        <v>0</v>
      </c>
      <c r="P170" s="134">
        <f t="shared" si="25"/>
        <v>0</v>
      </c>
      <c r="Q170" s="134">
        <f t="shared" si="26"/>
        <v>0</v>
      </c>
    </row>
    <row r="171" spans="1:17">
      <c r="A171" s="132" t="str">
        <f>FMECA!A173</f>
        <v>Q_Sys</v>
      </c>
      <c r="B171" s="133" t="str">
        <f>FMECA!B173</f>
        <v>Change of Turn-Off Time</v>
      </c>
      <c r="C171" s="133">
        <f>FMECA!E173</f>
        <v>3.2256871917622881E-10</v>
      </c>
      <c r="D171" s="132" t="str">
        <f>FMECA!H173</f>
        <v>Safe</v>
      </c>
      <c r="E171" s="132" t="str">
        <f>IF(ISNUMBER(SEARCH("Yes",FMECA!K173)),"Yes",IF(FMECA!K173="No","No",IF(ISNUMBER(SEARCH("No; impactless.",FMECA!K173)),"Impactless",IF(ISNUMBER(SEARCH("Outside the scope",FMECA!K173)),"Outside Scope",IF(ISNUMBER(SEARCH("Maybe",FMECA!K173)),"Maybe","Not Applicable")))))</f>
        <v>Yes</v>
      </c>
      <c r="F171" s="132" t="s">
        <v>728</v>
      </c>
      <c r="G171" s="132" t="str">
        <f>IF(ISNUMBER(SEARCH("Yes",FMECA!L173)),"Yes",IF(FMECA!L173="No","No",IF(ISNUMBER(SEARCH("No; impactless.",FMECA!L173)),"Impactless","Not Applicable")))</f>
        <v>No</v>
      </c>
      <c r="H171" s="132" t="str">
        <f>IF(ISNUMBER(SEARCH("CM0", FMECA!AC173)), "CM0", IF(ISNUMBER(SEARCH("CM1", FMECA!AC173)), "CM1", IF(ISNUMBER(SEARCH("CM2", FMECA!AC173)), "CM2", IF(ISNUMBER(SEARCH("CM3", FMECA!AC173)), "CM3", "Not Applicable"))))</f>
        <v>Not Applicable</v>
      </c>
      <c r="I171" s="134">
        <f t="shared" si="18"/>
        <v>3.2256871917622881E-10</v>
      </c>
      <c r="J171" s="134">
        <f t="shared" si="19"/>
        <v>0</v>
      </c>
      <c r="K171" s="134">
        <f t="shared" si="20"/>
        <v>0</v>
      </c>
      <c r="L171" s="134">
        <f t="shared" si="21"/>
        <v>0</v>
      </c>
      <c r="M171" s="134">
        <f t="shared" si="22"/>
        <v>0</v>
      </c>
      <c r="N171" s="134">
        <f t="shared" si="23"/>
        <v>0</v>
      </c>
      <c r="O171" s="134">
        <f t="shared" si="24"/>
        <v>0</v>
      </c>
      <c r="P171" s="134">
        <f t="shared" si="25"/>
        <v>0</v>
      </c>
      <c r="Q171" s="134">
        <f t="shared" si="26"/>
        <v>0</v>
      </c>
    </row>
    <row r="172" spans="1:17">
      <c r="A172" s="132" t="str">
        <f>FMECA!A174</f>
        <v>Q_Sys</v>
      </c>
      <c r="B172" s="133" t="str">
        <f>FMECA!B174</f>
        <v>Increase of Leakage Current IGS</v>
      </c>
      <c r="C172" s="133">
        <f>FMECA!E174</f>
        <v>3.2256871917622881E-10</v>
      </c>
      <c r="D172" s="132" t="str">
        <f>FMECA!H174</f>
        <v>Safe</v>
      </c>
      <c r="E172" s="132" t="str">
        <f>IF(ISNUMBER(SEARCH("Yes",FMECA!K174)),"Yes",IF(FMECA!K174="No","No",IF(ISNUMBER(SEARCH("No; impactless.",FMECA!K174)),"Impactless",IF(ISNUMBER(SEARCH("Outside the scope",FMECA!K174)),"Outside Scope",IF(ISNUMBER(SEARCH("Maybe",FMECA!K174)),"Maybe","Not Applicable")))))</f>
        <v>Yes</v>
      </c>
      <c r="F172" s="132" t="s">
        <v>728</v>
      </c>
      <c r="G172" s="132" t="str">
        <f>IF(ISNUMBER(SEARCH("Yes",FMECA!L174)),"Yes",IF(FMECA!L174="No","No",IF(ISNUMBER(SEARCH("No; impactless.",FMECA!L174)),"Impactless","Not Applicable")))</f>
        <v>Yes</v>
      </c>
      <c r="H172" s="132" t="str">
        <f>IF(ISNUMBER(SEARCH("CM0", FMECA!AC174)), "CM0", IF(ISNUMBER(SEARCH("CM1", FMECA!AC174)), "CM1", IF(ISNUMBER(SEARCH("CM2", FMECA!AC174)), "CM2", IF(ISNUMBER(SEARCH("CM3", FMECA!AC174)), "CM3", "Not Applicable"))))</f>
        <v>Not Applicable</v>
      </c>
      <c r="I172" s="134">
        <f t="shared" si="18"/>
        <v>0</v>
      </c>
      <c r="J172" s="134">
        <f t="shared" si="19"/>
        <v>0</v>
      </c>
      <c r="K172" s="134">
        <f t="shared" si="20"/>
        <v>3.2256871917622881E-10</v>
      </c>
      <c r="L172" s="134">
        <f t="shared" si="21"/>
        <v>0</v>
      </c>
      <c r="M172" s="134">
        <f t="shared" si="22"/>
        <v>0</v>
      </c>
      <c r="N172" s="134">
        <f t="shared" si="23"/>
        <v>0</v>
      </c>
      <c r="O172" s="134">
        <f t="shared" si="24"/>
        <v>0</v>
      </c>
      <c r="P172" s="134">
        <f t="shared" si="25"/>
        <v>0</v>
      </c>
      <c r="Q172" s="134">
        <f t="shared" si="26"/>
        <v>0</v>
      </c>
    </row>
    <row r="173" spans="1:17">
      <c r="A173" s="132" t="str">
        <f>FMECA!A175</f>
        <v>Q_Sys</v>
      </c>
      <c r="B173" s="133" t="str">
        <f>FMECA!B175</f>
        <v>Increase of Leakage Current IDS</v>
      </c>
      <c r="C173" s="133">
        <f>FMECA!E175</f>
        <v>3.2256871917622881E-10</v>
      </c>
      <c r="D173" s="132" t="str">
        <f>FMECA!H175</f>
        <v>Safe</v>
      </c>
      <c r="E173" s="132" t="str">
        <f>IF(ISNUMBER(SEARCH("Yes",FMECA!K175)),"Yes",IF(FMECA!K175="No","No",IF(ISNUMBER(SEARCH("No; impactless.",FMECA!K175)),"Impactless",IF(ISNUMBER(SEARCH("Outside the scope",FMECA!K175)),"Outside Scope",IF(ISNUMBER(SEARCH("Maybe",FMECA!K175)),"Maybe","Not Applicable")))))</f>
        <v>Maybe</v>
      </c>
      <c r="F173" s="132" t="s">
        <v>729</v>
      </c>
      <c r="G173" s="132" t="str">
        <f>IF(ISNUMBER(SEARCH("Yes",FMECA!L175)),"Yes",IF(FMECA!L175="No","No",IF(ISNUMBER(SEARCH("No; impactless.",FMECA!L175)),"Impactless","Not Applicable")))</f>
        <v>No</v>
      </c>
      <c r="H173" s="132" t="str">
        <f>IF(ISNUMBER(SEARCH("CM0", FMECA!AC175)), "CM0", IF(ISNUMBER(SEARCH("CM1", FMECA!AC175)), "CM1", IF(ISNUMBER(SEARCH("CM2", FMECA!AC175)), "CM2", IF(ISNUMBER(SEARCH("CM3", FMECA!AC175)), "CM3", "Not Applicable"))))</f>
        <v>CM2</v>
      </c>
      <c r="I173" s="134">
        <f t="shared" si="18"/>
        <v>0</v>
      </c>
      <c r="J173" s="134">
        <f t="shared" si="19"/>
        <v>0</v>
      </c>
      <c r="K173" s="134">
        <f t="shared" si="20"/>
        <v>0</v>
      </c>
      <c r="L173" s="134">
        <f t="shared" si="21"/>
        <v>0</v>
      </c>
      <c r="M173" s="134">
        <f t="shared" si="22"/>
        <v>3.2256871917622881E-10</v>
      </c>
      <c r="N173" s="134">
        <f t="shared" si="23"/>
        <v>0</v>
      </c>
      <c r="O173" s="134">
        <f t="shared" si="24"/>
        <v>0</v>
      </c>
      <c r="P173" s="134">
        <f t="shared" si="25"/>
        <v>0</v>
      </c>
      <c r="Q173" s="134">
        <f t="shared" si="26"/>
        <v>0</v>
      </c>
    </row>
    <row r="174" spans="1:17">
      <c r="A174" s="132" t="str">
        <f>FMECA!A176</f>
        <v>Q_Sys</v>
      </c>
      <c r="B174" s="133" t="str">
        <f>FMECA!B176</f>
        <v>Increase of Leakage Current IGD</v>
      </c>
      <c r="C174" s="133">
        <f>FMECA!E176</f>
        <v>3.2256871917622881E-10</v>
      </c>
      <c r="D174" s="132" t="str">
        <f>FMECA!H176</f>
        <v>Safe</v>
      </c>
      <c r="E174" s="132" t="str">
        <f>IF(ISNUMBER(SEARCH("Yes",FMECA!K176)),"Yes",IF(FMECA!K176="No","No",IF(ISNUMBER(SEARCH("No; impactless.",FMECA!K176)),"Impactless",IF(ISNUMBER(SEARCH("Outside the scope",FMECA!K176)),"Outside Scope",IF(ISNUMBER(SEARCH("Maybe",FMECA!K176)),"Maybe","Not Applicable")))))</f>
        <v>Maybe</v>
      </c>
      <c r="F174" s="132" t="s">
        <v>729</v>
      </c>
      <c r="G174" s="132" t="str">
        <f>IF(ISNUMBER(SEARCH("Yes",FMECA!L176)),"Yes",IF(FMECA!L176="No","No",IF(ISNUMBER(SEARCH("No; impactless.",FMECA!L176)),"Impactless","Not Applicable")))</f>
        <v>No</v>
      </c>
      <c r="H174" s="132" t="str">
        <f>IF(ISNUMBER(SEARCH("CM0", FMECA!AC176)), "CM0", IF(ISNUMBER(SEARCH("CM1", FMECA!AC176)), "CM1", IF(ISNUMBER(SEARCH("CM2", FMECA!AC176)), "CM2", IF(ISNUMBER(SEARCH("CM3", FMECA!AC176)), "CM3", "Not Applicable"))))</f>
        <v>CM2</v>
      </c>
      <c r="I174" s="134">
        <f t="shared" si="18"/>
        <v>0</v>
      </c>
      <c r="J174" s="134">
        <f t="shared" si="19"/>
        <v>0</v>
      </c>
      <c r="K174" s="134">
        <f t="shared" si="20"/>
        <v>0</v>
      </c>
      <c r="L174" s="134">
        <f t="shared" si="21"/>
        <v>0</v>
      </c>
      <c r="M174" s="134">
        <f t="shared" si="22"/>
        <v>3.2256871917622881E-10</v>
      </c>
      <c r="N174" s="134">
        <f t="shared" si="23"/>
        <v>0</v>
      </c>
      <c r="O174" s="134">
        <f t="shared" si="24"/>
        <v>0</v>
      </c>
      <c r="P174" s="134">
        <f t="shared" si="25"/>
        <v>0</v>
      </c>
      <c r="Q174" s="134">
        <f t="shared" si="26"/>
        <v>0</v>
      </c>
    </row>
    <row r="175" spans="1:17">
      <c r="A175" s="132" t="str">
        <f>FMECA!A177</f>
        <v>Q_Sys</v>
      </c>
      <c r="B175" s="133" t="str">
        <f>FMECA!B177</f>
        <v>Change of Static Drain to Source On-State Resistance</v>
      </c>
      <c r="C175" s="133">
        <f>FMECA!E177</f>
        <v>3.2256871917622881E-10</v>
      </c>
      <c r="D175" s="132" t="str">
        <f>FMECA!H177</f>
        <v>Safe</v>
      </c>
      <c r="E175" s="132" t="str">
        <f>IF(ISNUMBER(SEARCH("Yes",FMECA!K177)),"Yes",IF(FMECA!K177="No","No",IF(ISNUMBER(SEARCH("No; impactless.",FMECA!K177)),"Impactless",IF(ISNUMBER(SEARCH("Outside the scope",FMECA!K177)),"Outside Scope",IF(ISNUMBER(SEARCH("Maybe",FMECA!K177)),"Maybe","Not Applicable")))))</f>
        <v>Maybe</v>
      </c>
      <c r="F175" s="132" t="s">
        <v>729</v>
      </c>
      <c r="G175" s="132" t="str">
        <f>IF(ISNUMBER(SEARCH("Yes",FMECA!L177)),"Yes",IF(FMECA!L177="No","No",IF(ISNUMBER(SEARCH("No; impactless.",FMECA!L177)),"Impactless","Not Applicable")))</f>
        <v>No</v>
      </c>
      <c r="H175" s="132" t="str">
        <f>IF(ISNUMBER(SEARCH("CM0", FMECA!AC177)), "CM0", IF(ISNUMBER(SEARCH("CM1", FMECA!AC177)), "CM1", IF(ISNUMBER(SEARCH("CM2", FMECA!AC177)), "CM2", IF(ISNUMBER(SEARCH("CM3", FMECA!AC177)), "CM3", "Not Applicable"))))</f>
        <v>CM2</v>
      </c>
      <c r="I175" s="134">
        <f t="shared" si="18"/>
        <v>0</v>
      </c>
      <c r="J175" s="134">
        <f t="shared" si="19"/>
        <v>0</v>
      </c>
      <c r="K175" s="134">
        <f t="shared" si="20"/>
        <v>0</v>
      </c>
      <c r="L175" s="134">
        <f t="shared" si="21"/>
        <v>0</v>
      </c>
      <c r="M175" s="134">
        <f t="shared" si="22"/>
        <v>3.2256871917622881E-10</v>
      </c>
      <c r="N175" s="134">
        <f t="shared" si="23"/>
        <v>0</v>
      </c>
      <c r="O175" s="134">
        <f t="shared" si="24"/>
        <v>0</v>
      </c>
      <c r="P175" s="134">
        <f t="shared" si="25"/>
        <v>0</v>
      </c>
      <c r="Q175" s="134">
        <f t="shared" si="26"/>
        <v>0</v>
      </c>
    </row>
    <row r="176" spans="1:17">
      <c r="A176" s="132" t="str">
        <f>FMECA!A178</f>
        <v>DZ_Sys</v>
      </c>
      <c r="B176" s="133" t="str">
        <f>FMECA!B178</f>
        <v>Open</v>
      </c>
      <c r="C176" s="133">
        <f>FMECA!E178</f>
        <v>1.8060004454454948E-6</v>
      </c>
      <c r="D176" s="132" t="str">
        <f>FMECA!H178</f>
        <v>Safe</v>
      </c>
      <c r="E176" s="132" t="str">
        <f>IF(ISNUMBER(SEARCH("Yes",FMECA!K178)),"Yes",IF(FMECA!K178="No","No",IF(ISNUMBER(SEARCH("No; impactless.",FMECA!K178)),"Impactless",IF(ISNUMBER(SEARCH("Outside the scope",FMECA!K178)),"Outside Scope",IF(ISNUMBER(SEARCH("Maybe",FMECA!K178)),"Maybe","Not Applicable")))))</f>
        <v>Outside Scope</v>
      </c>
      <c r="F176" s="132" t="s">
        <v>728</v>
      </c>
      <c r="G176" s="132" t="str">
        <f>IF(ISNUMBER(SEARCH("Yes",FMECA!L178)),"Yes",IF(FMECA!L178="No","No",IF(ISNUMBER(SEARCH("No; impactless.",FMECA!L178)),"Impactless","Not Applicable")))</f>
        <v>No</v>
      </c>
      <c r="H176" s="132" t="str">
        <f>IF(ISNUMBER(SEARCH("CM0", FMECA!AC178)), "CM0", IF(ISNUMBER(SEARCH("CM1", FMECA!AC178)), "CM1", IF(ISNUMBER(SEARCH("CM2", FMECA!AC178)), "CM2", IF(ISNUMBER(SEARCH("CM3", FMECA!AC178)), "CM3", "Not Applicable"))))</f>
        <v>Not Applicable</v>
      </c>
      <c r="I176" s="134">
        <f t="shared" si="18"/>
        <v>0</v>
      </c>
      <c r="J176" s="134">
        <f t="shared" si="19"/>
        <v>0</v>
      </c>
      <c r="K176" s="134">
        <f t="shared" si="20"/>
        <v>0</v>
      </c>
      <c r="L176" s="134">
        <f t="shared" si="21"/>
        <v>1.8060004454454948E-6</v>
      </c>
      <c r="M176" s="134">
        <f t="shared" si="22"/>
        <v>0</v>
      </c>
      <c r="N176" s="134">
        <f t="shared" si="23"/>
        <v>0</v>
      </c>
      <c r="O176" s="134">
        <f t="shared" si="24"/>
        <v>0</v>
      </c>
      <c r="P176" s="134">
        <f t="shared" si="25"/>
        <v>0</v>
      </c>
      <c r="Q176" s="134">
        <f t="shared" si="26"/>
        <v>0</v>
      </c>
    </row>
    <row r="177" spans="1:17">
      <c r="A177" s="132" t="str">
        <f>FMECA!A179</f>
        <v>DZ_Sys</v>
      </c>
      <c r="B177" s="133" t="str">
        <f>FMECA!B179</f>
        <v>Short-Circuit</v>
      </c>
      <c r="C177" s="133">
        <f>FMECA!E179</f>
        <v>8.0266686464244223E-7</v>
      </c>
      <c r="D177" s="132" t="str">
        <f>FMECA!H179</f>
        <v>Safe</v>
      </c>
      <c r="E177" s="132" t="str">
        <f>IF(ISNUMBER(SEARCH("Yes",FMECA!K179)),"Yes",IF(FMECA!K179="No","No",IF(ISNUMBER(SEARCH("No; impactless.",FMECA!K179)),"Impactless",IF(ISNUMBER(SEARCH("Outside the scope",FMECA!K179)),"Outside Scope",IF(ISNUMBER(SEARCH("Maybe",FMECA!K179)),"Maybe","Not Applicable")))))</f>
        <v>Yes</v>
      </c>
      <c r="F177" s="132" t="s">
        <v>728</v>
      </c>
      <c r="G177" s="132" t="str">
        <f>IF(ISNUMBER(SEARCH("Yes",FMECA!L179)),"Yes",IF(FMECA!L179="No","No",IF(ISNUMBER(SEARCH("No; impactless.",FMECA!L179)),"Impactless","Not Applicable")))</f>
        <v>No</v>
      </c>
      <c r="H177" s="132" t="str">
        <f>IF(ISNUMBER(SEARCH("CM0", FMECA!AC179)), "CM0", IF(ISNUMBER(SEARCH("CM1", FMECA!AC179)), "CM1", IF(ISNUMBER(SEARCH("CM2", FMECA!AC179)), "CM2", IF(ISNUMBER(SEARCH("CM3", FMECA!AC179)), "CM3", "Not Applicable"))))</f>
        <v>Not Applicable</v>
      </c>
      <c r="I177" s="134">
        <f t="shared" si="18"/>
        <v>8.0266686464244223E-7</v>
      </c>
      <c r="J177" s="134">
        <f t="shared" si="19"/>
        <v>0</v>
      </c>
      <c r="K177" s="134">
        <f t="shared" si="20"/>
        <v>0</v>
      </c>
      <c r="L177" s="134">
        <f t="shared" si="21"/>
        <v>0</v>
      </c>
      <c r="M177" s="134">
        <f t="shared" si="22"/>
        <v>0</v>
      </c>
      <c r="N177" s="134">
        <f t="shared" si="23"/>
        <v>0</v>
      </c>
      <c r="O177" s="134">
        <f t="shared" si="24"/>
        <v>0</v>
      </c>
      <c r="P177" s="134">
        <f t="shared" si="25"/>
        <v>0</v>
      </c>
      <c r="Q177" s="134">
        <f t="shared" si="26"/>
        <v>0</v>
      </c>
    </row>
    <row r="178" spans="1:17">
      <c r="A178" s="132" t="str">
        <f>FMECA!A180</f>
        <v>DZ_Sys</v>
      </c>
      <c r="B178" s="133" t="str">
        <f>FMECA!B180</f>
        <v>Increase of Zener Voltage</v>
      </c>
      <c r="C178" s="133">
        <f>FMECA!E180</f>
        <v>1.7558337664053421E-7</v>
      </c>
      <c r="D178" s="132" t="str">
        <f>FMECA!H180</f>
        <v>Safe</v>
      </c>
      <c r="E178" s="132" t="str">
        <f>IF(ISNUMBER(SEARCH("Yes",FMECA!K180)),"Yes",IF(FMECA!K180="No","No",IF(ISNUMBER(SEARCH("No; impactless.",FMECA!K180)),"Impactless",IF(ISNUMBER(SEARCH("Outside the scope",FMECA!K180)),"Outside Scope",IF(ISNUMBER(SEARCH("Maybe",FMECA!K180)),"Maybe","Not Applicable")))))</f>
        <v>Outside Scope</v>
      </c>
      <c r="F178" s="132" t="s">
        <v>728</v>
      </c>
      <c r="G178" s="132" t="str">
        <f>IF(ISNUMBER(SEARCH("Yes",FMECA!L180)),"Yes",IF(FMECA!L180="No","No",IF(ISNUMBER(SEARCH("No; impactless.",FMECA!L180)),"Impactless","Not Applicable")))</f>
        <v>No</v>
      </c>
      <c r="H178" s="132" t="str">
        <f>IF(ISNUMBER(SEARCH("CM0", FMECA!AC180)), "CM0", IF(ISNUMBER(SEARCH("CM1", FMECA!AC180)), "CM1", IF(ISNUMBER(SEARCH("CM2", FMECA!AC180)), "CM2", IF(ISNUMBER(SEARCH("CM3", FMECA!AC180)), "CM3", "Not Applicable"))))</f>
        <v>Not Applicable</v>
      </c>
      <c r="I178" s="134">
        <f t="shared" si="18"/>
        <v>0</v>
      </c>
      <c r="J178" s="134">
        <f t="shared" si="19"/>
        <v>0</v>
      </c>
      <c r="K178" s="134">
        <f t="shared" si="20"/>
        <v>0</v>
      </c>
      <c r="L178" s="134">
        <f t="shared" si="21"/>
        <v>1.7558337664053421E-7</v>
      </c>
      <c r="M178" s="134">
        <f t="shared" si="22"/>
        <v>0</v>
      </c>
      <c r="N178" s="134">
        <f t="shared" si="23"/>
        <v>0</v>
      </c>
      <c r="O178" s="134">
        <f t="shared" si="24"/>
        <v>0</v>
      </c>
      <c r="P178" s="134">
        <f t="shared" si="25"/>
        <v>0</v>
      </c>
      <c r="Q178" s="134">
        <f t="shared" si="26"/>
        <v>0</v>
      </c>
    </row>
    <row r="179" spans="1:17">
      <c r="A179" s="132" t="str">
        <f>FMECA!A181</f>
        <v>DZ_Sys</v>
      </c>
      <c r="B179" s="133" t="str">
        <f>FMECA!B181</f>
        <v>Decrease of Zener Voltage</v>
      </c>
      <c r="C179" s="133">
        <f>FMECA!E181</f>
        <v>1.7558337664053421E-7</v>
      </c>
      <c r="D179" s="132" t="str">
        <f>FMECA!H181</f>
        <v>Safe</v>
      </c>
      <c r="E179" s="132" t="str">
        <f>IF(ISNUMBER(SEARCH("Yes",FMECA!K181)),"Yes",IF(FMECA!K181="No","No",IF(ISNUMBER(SEARCH("No; impactless.",FMECA!K181)),"Impactless",IF(ISNUMBER(SEARCH("Outside the scope",FMECA!K181)),"Outside Scope",IF(ISNUMBER(SEARCH("Maybe",FMECA!K181)),"Maybe","Not Applicable")))))</f>
        <v>Maybe</v>
      </c>
      <c r="F179" s="132" t="s">
        <v>729</v>
      </c>
      <c r="G179" s="132" t="str">
        <f>IF(ISNUMBER(SEARCH("Yes",FMECA!L181)),"Yes",IF(FMECA!L181="No","No",IF(ISNUMBER(SEARCH("No; impactless.",FMECA!L181)),"Impactless","Not Applicable")))</f>
        <v>No</v>
      </c>
      <c r="H179" s="132" t="str">
        <f>IF(ISNUMBER(SEARCH("CM0", FMECA!AC181)), "CM0", IF(ISNUMBER(SEARCH("CM1", FMECA!AC181)), "CM1", IF(ISNUMBER(SEARCH("CM2", FMECA!AC181)), "CM2", IF(ISNUMBER(SEARCH("CM3", FMECA!AC181)), "CM3", "Not Applicable"))))</f>
        <v>CM2</v>
      </c>
      <c r="I179" s="134">
        <f t="shared" si="18"/>
        <v>0</v>
      </c>
      <c r="J179" s="134">
        <f t="shared" si="19"/>
        <v>0</v>
      </c>
      <c r="K179" s="134">
        <f t="shared" si="20"/>
        <v>0</v>
      </c>
      <c r="L179" s="134">
        <f t="shared" si="21"/>
        <v>0</v>
      </c>
      <c r="M179" s="134">
        <f t="shared" si="22"/>
        <v>1.7558337664053421E-7</v>
      </c>
      <c r="N179" s="134">
        <f t="shared" si="23"/>
        <v>0</v>
      </c>
      <c r="O179" s="134">
        <f t="shared" si="24"/>
        <v>0</v>
      </c>
      <c r="P179" s="134">
        <f t="shared" si="25"/>
        <v>0</v>
      </c>
      <c r="Q179" s="134">
        <f t="shared" si="26"/>
        <v>0</v>
      </c>
    </row>
    <row r="180" spans="1:17">
      <c r="A180" s="132" t="str">
        <f>FMECA!A182</f>
        <v>DZ_Sys</v>
      </c>
      <c r="B180" s="133" t="str">
        <f>FMECA!B182</f>
        <v>Increase of Leakage Current</v>
      </c>
      <c r="C180" s="133">
        <f>FMECA!E182</f>
        <v>1.7558337664053421E-7</v>
      </c>
      <c r="D180" s="132" t="str">
        <f>FMECA!H182</f>
        <v>Safe</v>
      </c>
      <c r="E180" s="132" t="str">
        <f>IF(ISNUMBER(SEARCH("Yes",FMECA!K182)),"Yes",IF(FMECA!K182="No","No",IF(ISNUMBER(SEARCH("No; impactless.",FMECA!K182)),"Impactless",IF(ISNUMBER(SEARCH("Outside the scope",FMECA!K182)),"Outside Scope",IF(ISNUMBER(SEARCH("Maybe",FMECA!K182)),"Maybe","Not Applicable")))))</f>
        <v>Maybe</v>
      </c>
      <c r="F180" s="132" t="s">
        <v>729</v>
      </c>
      <c r="G180" s="132" t="str">
        <f>IF(ISNUMBER(SEARCH("Yes",FMECA!L182)),"Yes",IF(FMECA!L182="No","No",IF(ISNUMBER(SEARCH("No; impactless.",FMECA!L182)),"Impactless","Not Applicable")))</f>
        <v>No</v>
      </c>
      <c r="H180" s="132" t="str">
        <f>IF(ISNUMBER(SEARCH("CM0", FMECA!AC182)), "CM0", IF(ISNUMBER(SEARCH("CM1", FMECA!AC182)), "CM1", IF(ISNUMBER(SEARCH("CM2", FMECA!AC182)), "CM2", IF(ISNUMBER(SEARCH("CM3", FMECA!AC182)), "CM3", "Not Applicable"))))</f>
        <v>CM2</v>
      </c>
      <c r="I180" s="134">
        <f t="shared" si="18"/>
        <v>0</v>
      </c>
      <c r="J180" s="134">
        <f t="shared" si="19"/>
        <v>0</v>
      </c>
      <c r="K180" s="134">
        <f t="shared" si="20"/>
        <v>0</v>
      </c>
      <c r="L180" s="134">
        <f t="shared" si="21"/>
        <v>0</v>
      </c>
      <c r="M180" s="134">
        <f t="shared" si="22"/>
        <v>1.7558337664053421E-7</v>
      </c>
      <c r="N180" s="134">
        <f t="shared" si="23"/>
        <v>0</v>
      </c>
      <c r="O180" s="134">
        <f t="shared" si="24"/>
        <v>0</v>
      </c>
      <c r="P180" s="134">
        <f t="shared" si="25"/>
        <v>0</v>
      </c>
      <c r="Q180" s="134">
        <f t="shared" si="26"/>
        <v>0</v>
      </c>
    </row>
    <row r="181" spans="1:17">
      <c r="A181" s="132" t="str">
        <f>FMECA!A183</f>
        <v>DZ_Sys</v>
      </c>
      <c r="B181" s="133" t="str">
        <f>FMECA!B183</f>
        <v>Change of Differential Resistance</v>
      </c>
      <c r="C181" s="133">
        <f>FMECA!E183</f>
        <v>1.7558337664053421E-7</v>
      </c>
      <c r="D181" s="132" t="str">
        <f>FMECA!H183</f>
        <v>Safe</v>
      </c>
      <c r="E181" s="132" t="str">
        <f>IF(ISNUMBER(SEARCH("Yes",FMECA!K183)),"Yes",IF(FMECA!K183="No","No",IF(ISNUMBER(SEARCH("No; impactless.",FMECA!K183)),"Impactless",IF(ISNUMBER(SEARCH("Outside the scope",FMECA!K183)),"Outside Scope",IF(ISNUMBER(SEARCH("Maybe",FMECA!K183)),"Maybe","Not Applicable")))))</f>
        <v>Outside Scope</v>
      </c>
      <c r="F181" s="132" t="s">
        <v>728</v>
      </c>
      <c r="G181" s="132" t="str">
        <f>IF(ISNUMBER(SEARCH("Yes",FMECA!L183)),"Yes",IF(FMECA!L183="No","No",IF(ISNUMBER(SEARCH("No; impactless.",FMECA!L183)),"Impactless","Not Applicable")))</f>
        <v>No</v>
      </c>
      <c r="H181" s="132" t="str">
        <f>IF(ISNUMBER(SEARCH("CM0", FMECA!AC183)), "CM0", IF(ISNUMBER(SEARCH("CM1", FMECA!AC183)), "CM1", IF(ISNUMBER(SEARCH("CM2", FMECA!AC183)), "CM2", IF(ISNUMBER(SEARCH("CM3", FMECA!AC183)), "CM3", "Not Applicable"))))</f>
        <v>Not Applicable</v>
      </c>
      <c r="I181" s="134">
        <f t="shared" si="18"/>
        <v>0</v>
      </c>
      <c r="J181" s="134">
        <f t="shared" si="19"/>
        <v>0</v>
      </c>
      <c r="K181" s="134">
        <f t="shared" si="20"/>
        <v>0</v>
      </c>
      <c r="L181" s="134">
        <f t="shared" si="21"/>
        <v>1.7558337664053421E-7</v>
      </c>
      <c r="M181" s="134">
        <f t="shared" si="22"/>
        <v>0</v>
      </c>
      <c r="N181" s="134">
        <f t="shared" si="23"/>
        <v>0</v>
      </c>
      <c r="O181" s="134">
        <f t="shared" si="24"/>
        <v>0</v>
      </c>
      <c r="P181" s="134">
        <f t="shared" si="25"/>
        <v>0</v>
      </c>
      <c r="Q181" s="134">
        <f t="shared" si="26"/>
        <v>0</v>
      </c>
    </row>
    <row r="182" spans="1:17">
      <c r="A182" s="132" t="str">
        <f>FMECA!A184</f>
        <v>DZ_Sys</v>
      </c>
      <c r="B182" s="133" t="str">
        <f>FMECA!B184</f>
        <v>Increase of Forward Conducting-State Voltage</v>
      </c>
      <c r="C182" s="133">
        <f>FMECA!E184</f>
        <v>1.7558337664053421E-7</v>
      </c>
      <c r="D182" s="132" t="str">
        <f>FMECA!H184</f>
        <v>Safe</v>
      </c>
      <c r="E182" s="132" t="str">
        <f>IF(ISNUMBER(SEARCH("Yes",FMECA!K184)),"Yes",IF(FMECA!K184="No","No",IF(ISNUMBER(SEARCH("No; impactless.",FMECA!K184)),"Impactless",IF(ISNUMBER(SEARCH("Outside the scope",FMECA!K184)),"Outside Scope",IF(ISNUMBER(SEARCH("Maybe",FMECA!K184)),"Maybe","Not Applicable")))))</f>
        <v>Impactless</v>
      </c>
      <c r="F182" s="132" t="s">
        <v>728</v>
      </c>
      <c r="G182" s="132" t="str">
        <f>IF(ISNUMBER(SEARCH("Yes",FMECA!L184)),"Yes",IF(FMECA!L184="No","No",IF(ISNUMBER(SEARCH("No; impactless.",FMECA!L184)),"Impactless","Not Applicable")))</f>
        <v>Impactless</v>
      </c>
      <c r="H182" s="132" t="str">
        <f>IF(ISNUMBER(SEARCH("CM0", FMECA!AC184)), "CM0", IF(ISNUMBER(SEARCH("CM1", FMECA!AC184)), "CM1", IF(ISNUMBER(SEARCH("CM2", FMECA!AC184)), "CM2", IF(ISNUMBER(SEARCH("CM3", FMECA!AC184)), "CM3", "Not Applicable"))))</f>
        <v>Not Applicable</v>
      </c>
      <c r="I182" s="134">
        <f t="shared" si="18"/>
        <v>0</v>
      </c>
      <c r="J182" s="134">
        <f t="shared" si="19"/>
        <v>0</v>
      </c>
      <c r="K182" s="134">
        <f t="shared" si="20"/>
        <v>0</v>
      </c>
      <c r="L182" s="134">
        <f t="shared" si="21"/>
        <v>0</v>
      </c>
      <c r="M182" s="134">
        <f t="shared" si="22"/>
        <v>0</v>
      </c>
      <c r="N182" s="134">
        <f t="shared" si="23"/>
        <v>0</v>
      </c>
      <c r="O182" s="134">
        <f t="shared" si="24"/>
        <v>0</v>
      </c>
      <c r="P182" s="134">
        <f t="shared" si="25"/>
        <v>0</v>
      </c>
      <c r="Q182" s="134">
        <f t="shared" si="26"/>
        <v>0</v>
      </c>
    </row>
    <row r="183" spans="1:17">
      <c r="A183" s="132" t="str">
        <f>FMECA!A185</f>
        <v>DZ_Sys</v>
      </c>
      <c r="B183" s="133" t="str">
        <f>FMECA!B185</f>
        <v>Decrease of Forward Conducting-State Voltage</v>
      </c>
      <c r="C183" s="133">
        <f>FMECA!E185</f>
        <v>1.7558337664053421E-7</v>
      </c>
      <c r="D183" s="132" t="str">
        <f>FMECA!H185</f>
        <v>Safe</v>
      </c>
      <c r="E183" s="132" t="str">
        <f>IF(ISNUMBER(SEARCH("Yes",FMECA!K185)),"Yes",IF(FMECA!K185="No","No",IF(ISNUMBER(SEARCH("No; impactless.",FMECA!K185)),"Impactless",IF(ISNUMBER(SEARCH("Outside the scope",FMECA!K185)),"Outside Scope",IF(ISNUMBER(SEARCH("Maybe",FMECA!K185)),"Maybe","Not Applicable")))))</f>
        <v>Impactless</v>
      </c>
      <c r="F183" s="132" t="s">
        <v>728</v>
      </c>
      <c r="G183" s="132" t="str">
        <f>IF(ISNUMBER(SEARCH("Yes",FMECA!L185)),"Yes",IF(FMECA!L185="No","No",IF(ISNUMBER(SEARCH("No; impactless.",FMECA!L185)),"Impactless","Not Applicable")))</f>
        <v>Impactless</v>
      </c>
      <c r="H183" s="132" t="str">
        <f>IF(ISNUMBER(SEARCH("CM0", FMECA!AC185)), "CM0", IF(ISNUMBER(SEARCH("CM1", FMECA!AC185)), "CM1", IF(ISNUMBER(SEARCH("CM2", FMECA!AC185)), "CM2", IF(ISNUMBER(SEARCH("CM3", FMECA!AC185)), "CM3", "Not Applicable"))))</f>
        <v>Not Applicable</v>
      </c>
      <c r="I183" s="134">
        <f t="shared" si="18"/>
        <v>0</v>
      </c>
      <c r="J183" s="134">
        <f t="shared" si="19"/>
        <v>0</v>
      </c>
      <c r="K183" s="134">
        <f t="shared" si="20"/>
        <v>0</v>
      </c>
      <c r="L183" s="134">
        <f t="shared" si="21"/>
        <v>0</v>
      </c>
      <c r="M183" s="134">
        <f t="shared" si="22"/>
        <v>0</v>
      </c>
      <c r="N183" s="134">
        <f t="shared" si="23"/>
        <v>0</v>
      </c>
      <c r="O183" s="134">
        <f t="shared" si="24"/>
        <v>0</v>
      </c>
      <c r="P183" s="134">
        <f t="shared" si="25"/>
        <v>0</v>
      </c>
      <c r="Q183" s="134">
        <f t="shared" si="26"/>
        <v>0</v>
      </c>
    </row>
    <row r="184" spans="1:17">
      <c r="A184" s="132" t="str">
        <f>FMECA!A186</f>
        <v>DZ_Sys</v>
      </c>
      <c r="B184" s="133" t="str">
        <f>FMECA!B186</f>
        <v>Increase of Forward Threshold Voltage</v>
      </c>
      <c r="C184" s="133">
        <f>FMECA!E186</f>
        <v>1.7558337664053421E-7</v>
      </c>
      <c r="D184" s="132" t="str">
        <f>FMECA!H186</f>
        <v>Safe</v>
      </c>
      <c r="E184" s="132" t="str">
        <f>IF(ISNUMBER(SEARCH("Yes",FMECA!K186)),"Yes",IF(FMECA!K186="No","No",IF(ISNUMBER(SEARCH("No; impactless.",FMECA!K186)),"Impactless",IF(ISNUMBER(SEARCH("Outside the scope",FMECA!K186)),"Outside Scope",IF(ISNUMBER(SEARCH("Maybe",FMECA!K186)),"Maybe","Not Applicable")))))</f>
        <v>Impactless</v>
      </c>
      <c r="F184" s="132" t="s">
        <v>728</v>
      </c>
      <c r="G184" s="132" t="str">
        <f>IF(ISNUMBER(SEARCH("Yes",FMECA!L186)),"Yes",IF(FMECA!L186="No","No",IF(ISNUMBER(SEARCH("No; impactless.",FMECA!L186)),"Impactless","Not Applicable")))</f>
        <v>Impactless</v>
      </c>
      <c r="H184" s="132" t="str">
        <f>IF(ISNUMBER(SEARCH("CM0", FMECA!AC186)), "CM0", IF(ISNUMBER(SEARCH("CM1", FMECA!AC186)), "CM1", IF(ISNUMBER(SEARCH("CM2", FMECA!AC186)), "CM2", IF(ISNUMBER(SEARCH("CM3", FMECA!AC186)), "CM3", "Not Applicable"))))</f>
        <v>Not Applicable</v>
      </c>
      <c r="I184" s="134">
        <f t="shared" si="18"/>
        <v>0</v>
      </c>
      <c r="J184" s="134">
        <f t="shared" si="19"/>
        <v>0</v>
      </c>
      <c r="K184" s="134">
        <f t="shared" si="20"/>
        <v>0</v>
      </c>
      <c r="L184" s="134">
        <f t="shared" si="21"/>
        <v>0</v>
      </c>
      <c r="M184" s="134">
        <f t="shared" si="22"/>
        <v>0</v>
      </c>
      <c r="N184" s="134">
        <f t="shared" si="23"/>
        <v>0</v>
      </c>
      <c r="O184" s="134">
        <f t="shared" si="24"/>
        <v>0</v>
      </c>
      <c r="P184" s="134">
        <f t="shared" si="25"/>
        <v>0</v>
      </c>
      <c r="Q184" s="134">
        <f t="shared" si="26"/>
        <v>0</v>
      </c>
    </row>
    <row r="185" spans="1:17">
      <c r="A185" s="132" t="str">
        <f>FMECA!A187</f>
        <v>DZ_Sys</v>
      </c>
      <c r="B185" s="133" t="str">
        <f>FMECA!B187</f>
        <v>Decrease of Forward Threshold Voltage</v>
      </c>
      <c r="C185" s="133">
        <f>FMECA!E187</f>
        <v>1.7558337664053421E-7</v>
      </c>
      <c r="D185" s="132" t="str">
        <f>FMECA!H187</f>
        <v>Safe</v>
      </c>
      <c r="E185" s="132" t="str">
        <f>IF(ISNUMBER(SEARCH("Yes",FMECA!K187)),"Yes",IF(FMECA!K187="No","No",IF(ISNUMBER(SEARCH("No; impactless.",FMECA!K187)),"Impactless",IF(ISNUMBER(SEARCH("Outside the scope",FMECA!K187)),"Outside Scope",IF(ISNUMBER(SEARCH("Maybe",FMECA!K187)),"Maybe","Not Applicable")))))</f>
        <v>Impactless</v>
      </c>
      <c r="F185" s="132" t="s">
        <v>728</v>
      </c>
      <c r="G185" s="132" t="str">
        <f>IF(ISNUMBER(SEARCH("Yes",FMECA!L187)),"Yes",IF(FMECA!L187="No","No",IF(ISNUMBER(SEARCH("No; impactless.",FMECA!L187)),"Impactless","Not Applicable")))</f>
        <v>Impactless</v>
      </c>
      <c r="H185" s="132" t="str">
        <f>IF(ISNUMBER(SEARCH("CM0", FMECA!AC187)), "CM0", IF(ISNUMBER(SEARCH("CM1", FMECA!AC187)), "CM1", IF(ISNUMBER(SEARCH("CM2", FMECA!AC187)), "CM2", IF(ISNUMBER(SEARCH("CM3", FMECA!AC187)), "CM3", "Not Applicable"))))</f>
        <v>Not Applicable</v>
      </c>
      <c r="I185" s="134">
        <f t="shared" si="18"/>
        <v>0</v>
      </c>
      <c r="J185" s="134">
        <f t="shared" si="19"/>
        <v>0</v>
      </c>
      <c r="K185" s="134">
        <f t="shared" si="20"/>
        <v>0</v>
      </c>
      <c r="L185" s="134">
        <f t="shared" si="21"/>
        <v>0</v>
      </c>
      <c r="M185" s="134">
        <f t="shared" si="22"/>
        <v>0</v>
      </c>
      <c r="N185" s="134">
        <f t="shared" si="23"/>
        <v>0</v>
      </c>
      <c r="O185" s="134">
        <f t="shared" si="24"/>
        <v>0</v>
      </c>
      <c r="P185" s="134">
        <f t="shared" si="25"/>
        <v>0</v>
      </c>
      <c r="Q185" s="134">
        <f t="shared" si="26"/>
        <v>0</v>
      </c>
    </row>
    <row r="186" spans="1:17">
      <c r="A186" s="132" t="str">
        <f>FMECA!A188</f>
        <v>DZ_Sys</v>
      </c>
      <c r="B186" s="133" t="str">
        <f>FMECA!B188</f>
        <v>Short-Circuit to Conductive Casing</v>
      </c>
      <c r="C186" s="133">
        <f>FMECA!E188</f>
        <v>0</v>
      </c>
      <c r="D186" s="132" t="str">
        <f>FMECA!H188</f>
        <v>Safe</v>
      </c>
      <c r="E186" s="132" t="str">
        <f>IF(ISNUMBER(SEARCH("Yes",FMECA!K188)),"Yes",IF(FMECA!K188="No","No",IF(ISNUMBER(SEARCH("No; impactless.",FMECA!K188)),"Impactless",IF(ISNUMBER(SEARCH("Outside the scope",FMECA!K188)),"Outside Scope",IF(ISNUMBER(SEARCH("Maybe",FMECA!K188)),"Maybe","Not Applicable")))))</f>
        <v>Impactless</v>
      </c>
      <c r="F186" s="132" t="s">
        <v>728</v>
      </c>
      <c r="G186" s="132" t="str">
        <f>IF(ISNUMBER(SEARCH("Yes",FMECA!L188)),"Yes",IF(FMECA!L188="No","No",IF(ISNUMBER(SEARCH("No; impactless.",FMECA!L188)),"Impactless","Not Applicable")))</f>
        <v>Impactless</v>
      </c>
      <c r="H186" s="132" t="str">
        <f>IF(ISNUMBER(SEARCH("CM0", FMECA!AC188)), "CM0", IF(ISNUMBER(SEARCH("CM1", FMECA!AC188)), "CM1", IF(ISNUMBER(SEARCH("CM2", FMECA!AC188)), "CM2", IF(ISNUMBER(SEARCH("CM3", FMECA!AC188)), "CM3", "Not Applicable"))))</f>
        <v>Not Applicable</v>
      </c>
      <c r="I186" s="134">
        <f t="shared" si="18"/>
        <v>0</v>
      </c>
      <c r="J186" s="134">
        <f t="shared" si="19"/>
        <v>0</v>
      </c>
      <c r="K186" s="134">
        <f t="shared" si="20"/>
        <v>0</v>
      </c>
      <c r="L186" s="134">
        <f t="shared" si="21"/>
        <v>0</v>
      </c>
      <c r="M186" s="134">
        <f t="shared" si="22"/>
        <v>0</v>
      </c>
      <c r="N186" s="134">
        <f t="shared" si="23"/>
        <v>0</v>
      </c>
      <c r="O186" s="134">
        <f t="shared" si="24"/>
        <v>0</v>
      </c>
      <c r="P186" s="134">
        <f t="shared" si="25"/>
        <v>0</v>
      </c>
      <c r="Q186" s="134">
        <f t="shared" si="26"/>
        <v>0</v>
      </c>
    </row>
    <row r="187" spans="1:17">
      <c r="A187" s="132" t="str">
        <f>FMECA!A189</f>
        <v>R5_Sys</v>
      </c>
      <c r="B187" s="133" t="str">
        <f>FMECA!B189</f>
        <v>Open</v>
      </c>
      <c r="C187" s="133">
        <f>FMECA!E189</f>
        <v>2.4551082459100113E-9</v>
      </c>
      <c r="D187" s="132" t="str">
        <f>FMECA!H189</f>
        <v>Safe</v>
      </c>
      <c r="E187" s="132" t="str">
        <f>IF(ISNUMBER(SEARCH("Yes",FMECA!K189)),"Yes",IF(FMECA!K189="No","No",IF(ISNUMBER(SEARCH("No; impactless.",FMECA!K189)),"Impactless",IF(ISNUMBER(SEARCH("Outside the scope",FMECA!K189)),"Outside Scope",IF(ISNUMBER(SEARCH("Maybe",FMECA!K189)),"Maybe","Not Applicable")))))</f>
        <v>Yes</v>
      </c>
      <c r="F187" s="132" t="s">
        <v>728</v>
      </c>
      <c r="G187" s="132" t="str">
        <f>IF(ISNUMBER(SEARCH("Yes",FMECA!L189)),"Yes",IF(FMECA!L189="No","No",IF(ISNUMBER(SEARCH("No; impactless.",FMECA!L189)),"Impactless","Not Applicable")))</f>
        <v>No</v>
      </c>
      <c r="H187" s="132" t="str">
        <f>IF(ISNUMBER(SEARCH("CM0", FMECA!AC189)), "CM0", IF(ISNUMBER(SEARCH("CM1", FMECA!AC189)), "CM1", IF(ISNUMBER(SEARCH("CM2", FMECA!AC189)), "CM2", IF(ISNUMBER(SEARCH("CM3", FMECA!AC189)), "CM3", "Not Applicable"))))</f>
        <v>Not Applicable</v>
      </c>
      <c r="I187" s="134">
        <f t="shared" si="18"/>
        <v>2.4551082459100113E-9</v>
      </c>
      <c r="J187" s="134">
        <f t="shared" si="19"/>
        <v>0</v>
      </c>
      <c r="K187" s="134">
        <f t="shared" si="20"/>
        <v>0</v>
      </c>
      <c r="L187" s="134">
        <f t="shared" si="21"/>
        <v>0</v>
      </c>
      <c r="M187" s="134">
        <f t="shared" si="22"/>
        <v>0</v>
      </c>
      <c r="N187" s="134">
        <f t="shared" si="23"/>
        <v>0</v>
      </c>
      <c r="O187" s="134">
        <f t="shared" si="24"/>
        <v>0</v>
      </c>
      <c r="P187" s="134">
        <f t="shared" si="25"/>
        <v>0</v>
      </c>
      <c r="Q187" s="134">
        <f t="shared" si="26"/>
        <v>0</v>
      </c>
    </row>
    <row r="188" spans="1:17">
      <c r="A188" s="132" t="str">
        <f>FMECA!A190</f>
        <v>R5_Sys</v>
      </c>
      <c r="B188" s="133" t="str">
        <f>FMECA!B190</f>
        <v>Short-Circuit</v>
      </c>
      <c r="C188" s="133">
        <f>FMECA!E190</f>
        <v>2.080600208398315E-10</v>
      </c>
      <c r="D188" s="132" t="str">
        <f>FMECA!H190</f>
        <v>Safe</v>
      </c>
      <c r="E188" s="132" t="str">
        <f>IF(ISNUMBER(SEARCH("Yes",FMECA!K190)),"Yes",IF(FMECA!K190="No","No",IF(ISNUMBER(SEARCH("No; impactless.",FMECA!K190)),"Impactless",IF(ISNUMBER(SEARCH("Outside the scope",FMECA!K190)),"Outside Scope",IF(ISNUMBER(SEARCH("Maybe",FMECA!K190)),"Maybe","Not Applicable")))))</f>
        <v>Yes</v>
      </c>
      <c r="F188" s="132" t="s">
        <v>728</v>
      </c>
      <c r="G188" s="132" t="str">
        <f>IF(ISNUMBER(SEARCH("Yes",FMECA!L190)),"Yes",IF(FMECA!L190="No","No",IF(ISNUMBER(SEARCH("No; impactless.",FMECA!L190)),"Impactless","Not Applicable")))</f>
        <v>No</v>
      </c>
      <c r="H188" s="132" t="str">
        <f>IF(ISNUMBER(SEARCH("CM0", FMECA!AC190)), "CM0", IF(ISNUMBER(SEARCH("CM1", FMECA!AC190)), "CM1", IF(ISNUMBER(SEARCH("CM2", FMECA!AC190)), "CM2", IF(ISNUMBER(SEARCH("CM3", FMECA!AC190)), "CM3", "Not Applicable"))))</f>
        <v>Not Applicable</v>
      </c>
      <c r="I188" s="134">
        <f t="shared" si="18"/>
        <v>2.080600208398315E-10</v>
      </c>
      <c r="J188" s="134">
        <f t="shared" si="19"/>
        <v>0</v>
      </c>
      <c r="K188" s="134">
        <f t="shared" si="20"/>
        <v>0</v>
      </c>
      <c r="L188" s="134">
        <f t="shared" si="21"/>
        <v>0</v>
      </c>
      <c r="M188" s="134">
        <f t="shared" si="22"/>
        <v>0</v>
      </c>
      <c r="N188" s="134">
        <f t="shared" si="23"/>
        <v>0</v>
      </c>
      <c r="O188" s="134">
        <f t="shared" si="24"/>
        <v>0</v>
      </c>
      <c r="P188" s="134">
        <f t="shared" si="25"/>
        <v>0</v>
      </c>
      <c r="Q188" s="134">
        <f t="shared" si="26"/>
        <v>0</v>
      </c>
    </row>
    <row r="189" spans="1:17">
      <c r="A189" s="132" t="str">
        <f>FMECA!A191</f>
        <v>R5_Sys</v>
      </c>
      <c r="B189" s="133" t="str">
        <f>FMECA!B191</f>
        <v>Increase of Resistance Value</v>
      </c>
      <c r="C189" s="133">
        <f>FMECA!E191</f>
        <v>7.4901607502339334E-10</v>
      </c>
      <c r="D189" s="132" t="str">
        <f>FMECA!H191</f>
        <v>Safe</v>
      </c>
      <c r="E189" s="132" t="str">
        <f>IF(ISNUMBER(SEARCH("Yes",FMECA!K191)),"Yes",IF(FMECA!K191="No","No",IF(ISNUMBER(SEARCH("No; impactless.",FMECA!K191)),"Impactless",IF(ISNUMBER(SEARCH("Outside the scope",FMECA!K191)),"Outside Scope",IF(ISNUMBER(SEARCH("Maybe",FMECA!K191)),"Maybe","Not Applicable")))))</f>
        <v>Yes</v>
      </c>
      <c r="F189" s="132" t="s">
        <v>728</v>
      </c>
      <c r="G189" s="132" t="str">
        <f>IF(ISNUMBER(SEARCH("Yes",FMECA!L191)),"Yes",IF(FMECA!L191="No","No",IF(ISNUMBER(SEARCH("No; impactless.",FMECA!L191)),"Impactless","Not Applicable")))</f>
        <v>No</v>
      </c>
      <c r="H189" s="132" t="str">
        <f>IF(ISNUMBER(SEARCH("CM0", FMECA!AC191)), "CM0", IF(ISNUMBER(SEARCH("CM1", FMECA!AC191)), "CM1", IF(ISNUMBER(SEARCH("CM2", FMECA!AC191)), "CM2", IF(ISNUMBER(SEARCH("CM3", FMECA!AC191)), "CM3", "Not Applicable"))))</f>
        <v>Not Applicable</v>
      </c>
      <c r="I189" s="134">
        <f t="shared" si="18"/>
        <v>7.4901607502339334E-10</v>
      </c>
      <c r="J189" s="134">
        <f t="shared" si="19"/>
        <v>0</v>
      </c>
      <c r="K189" s="134">
        <f t="shared" si="20"/>
        <v>0</v>
      </c>
      <c r="L189" s="134">
        <f t="shared" si="21"/>
        <v>0</v>
      </c>
      <c r="M189" s="134">
        <f t="shared" si="22"/>
        <v>0</v>
      </c>
      <c r="N189" s="134">
        <f t="shared" si="23"/>
        <v>0</v>
      </c>
      <c r="O189" s="134">
        <f t="shared" si="24"/>
        <v>0</v>
      </c>
      <c r="P189" s="134">
        <f t="shared" si="25"/>
        <v>0</v>
      </c>
      <c r="Q189" s="134">
        <f t="shared" si="26"/>
        <v>0</v>
      </c>
    </row>
    <row r="190" spans="1:17">
      <c r="A190" s="132" t="str">
        <f>FMECA!A192</f>
        <v>R5_Sys</v>
      </c>
      <c r="B190" s="133" t="str">
        <f>FMECA!B192</f>
        <v>Decrease of Resistance Value</v>
      </c>
      <c r="C190" s="133">
        <f>FMECA!E192</f>
        <v>7.4901607502339334E-10</v>
      </c>
      <c r="D190" s="132" t="str">
        <f>FMECA!H192</f>
        <v>Safe</v>
      </c>
      <c r="E190" s="132" t="str">
        <f>IF(ISNUMBER(SEARCH("Yes",FMECA!K192)),"Yes",IF(FMECA!K192="No","No",IF(ISNUMBER(SEARCH("No; impactless.",FMECA!K192)),"Impactless",IF(ISNUMBER(SEARCH("Outside the scope",FMECA!K192)),"Outside Scope",IF(ISNUMBER(SEARCH("Maybe",FMECA!K192)),"Maybe","Not Applicable")))))</f>
        <v>Yes</v>
      </c>
      <c r="F190" s="132" t="s">
        <v>728</v>
      </c>
      <c r="G190" s="132" t="str">
        <f>IF(ISNUMBER(SEARCH("Yes",FMECA!L192)),"Yes",IF(FMECA!L192="No","No",IF(ISNUMBER(SEARCH("No; impactless.",FMECA!L192)),"Impactless","Not Applicable")))</f>
        <v>No</v>
      </c>
      <c r="H190" s="132" t="str">
        <f>IF(ISNUMBER(SEARCH("CM0", FMECA!AC192)), "CM0", IF(ISNUMBER(SEARCH("CM1", FMECA!AC192)), "CM1", IF(ISNUMBER(SEARCH("CM2", FMECA!AC192)), "CM2", IF(ISNUMBER(SEARCH("CM3", FMECA!AC192)), "CM3", "Not Applicable"))))</f>
        <v>Not Applicable</v>
      </c>
      <c r="I190" s="134">
        <f t="shared" si="18"/>
        <v>7.4901607502339334E-10</v>
      </c>
      <c r="J190" s="134">
        <f t="shared" si="19"/>
        <v>0</v>
      </c>
      <c r="K190" s="134">
        <f t="shared" si="20"/>
        <v>0</v>
      </c>
      <c r="L190" s="134">
        <f t="shared" si="21"/>
        <v>0</v>
      </c>
      <c r="M190" s="134">
        <f t="shared" si="22"/>
        <v>0</v>
      </c>
      <c r="N190" s="134">
        <f t="shared" si="23"/>
        <v>0</v>
      </c>
      <c r="O190" s="134">
        <f t="shared" si="24"/>
        <v>0</v>
      </c>
      <c r="P190" s="134">
        <f t="shared" si="25"/>
        <v>0</v>
      </c>
      <c r="Q190" s="134">
        <f t="shared" si="26"/>
        <v>0</v>
      </c>
    </row>
    <row r="191" spans="1:17">
      <c r="A191" s="132" t="str">
        <f>FMECA!A193</f>
        <v>R5_Sys</v>
      </c>
      <c r="B191" s="133" t="str">
        <f>FMECA!B193</f>
        <v>Short-Circuit to Casing</v>
      </c>
      <c r="C191" s="133">
        <f>FMECA!E193</f>
        <v>0</v>
      </c>
      <c r="D191" s="132" t="str">
        <f>FMECA!H193</f>
        <v>Safe</v>
      </c>
      <c r="E191" s="132" t="str">
        <f>IF(ISNUMBER(SEARCH("Yes",FMECA!K193)),"Yes",IF(FMECA!K193="No","No",IF(ISNUMBER(SEARCH("No; impactless.",FMECA!K193)),"Impactless",IF(ISNUMBER(SEARCH("Outside the scope",FMECA!K193)),"Outside Scope",IF(ISNUMBER(SEARCH("Maybe",FMECA!K193)),"Maybe","Not Applicable")))))</f>
        <v>Impactless</v>
      </c>
      <c r="F191" s="132" t="s">
        <v>728</v>
      </c>
      <c r="G191" s="132" t="str">
        <f>IF(ISNUMBER(SEARCH("Yes",FMECA!L193)),"Yes",IF(FMECA!L193="No","No",IF(ISNUMBER(SEARCH("No; impactless.",FMECA!L193)),"Impactless","Not Applicable")))</f>
        <v>Impactless</v>
      </c>
      <c r="H191" s="132" t="str">
        <f>IF(ISNUMBER(SEARCH("CM0", FMECA!AC193)), "CM0", IF(ISNUMBER(SEARCH("CM1", FMECA!AC193)), "CM1", IF(ISNUMBER(SEARCH("CM2", FMECA!AC193)), "CM2", IF(ISNUMBER(SEARCH("CM3", FMECA!AC193)), "CM3", "Not Applicable"))))</f>
        <v>Not Applicable</v>
      </c>
      <c r="I191" s="134">
        <f t="shared" si="18"/>
        <v>0</v>
      </c>
      <c r="J191" s="134">
        <f t="shared" si="19"/>
        <v>0</v>
      </c>
      <c r="K191" s="134">
        <f t="shared" si="20"/>
        <v>0</v>
      </c>
      <c r="L191" s="134">
        <f t="shared" si="21"/>
        <v>0</v>
      </c>
      <c r="M191" s="134">
        <f t="shared" si="22"/>
        <v>0</v>
      </c>
      <c r="N191" s="134">
        <f t="shared" si="23"/>
        <v>0</v>
      </c>
      <c r="O191" s="134">
        <f t="shared" si="24"/>
        <v>0</v>
      </c>
      <c r="P191" s="134">
        <f t="shared" si="25"/>
        <v>0</v>
      </c>
      <c r="Q191" s="134">
        <f t="shared" si="26"/>
        <v>0</v>
      </c>
    </row>
    <row r="192" spans="1:17">
      <c r="A192" s="132" t="str">
        <f>FMECA!A194</f>
        <v>UC_Sys</v>
      </c>
      <c r="B192" s="133" t="str">
        <f>FMECA!B194</f>
        <v>Supply open</v>
      </c>
      <c r="C192" s="133">
        <f>FMECA!E194</f>
        <v>2.1277782984360249E-9</v>
      </c>
      <c r="D192" s="132" t="str">
        <f>FMECA!H194</f>
        <v>Safe</v>
      </c>
      <c r="E192" s="132" t="str">
        <f>IF(ISNUMBER(SEARCH("Yes",FMECA!K194)),"Yes",IF(FMECA!K194="No","No",IF(ISNUMBER(SEARCH("No; impactless.",FMECA!K194)),"Impactless",IF(ISNUMBER(SEARCH("Outside the scope",FMECA!K194)),"Outside Scope",IF(ISNUMBER(SEARCH("Maybe",FMECA!K194)),"Maybe","Not Applicable")))))</f>
        <v>Outside Scope</v>
      </c>
      <c r="F192" s="132" t="s">
        <v>728</v>
      </c>
      <c r="G192" s="132" t="str">
        <f>IF(ISNUMBER(SEARCH("Yes",FMECA!L194)),"Yes",IF(FMECA!L194="No","No",IF(ISNUMBER(SEARCH("No; impactless.",FMECA!L194)),"Impactless","Not Applicable")))</f>
        <v>No</v>
      </c>
      <c r="H192" s="132" t="str">
        <f>IF(ISNUMBER(SEARCH("CM0", FMECA!AC194)), "CM0", IF(ISNUMBER(SEARCH("CM1", FMECA!AC194)), "CM1", IF(ISNUMBER(SEARCH("CM2", FMECA!AC194)), "CM2", IF(ISNUMBER(SEARCH("CM3", FMECA!AC194)), "CM3", "Not Applicable"))))</f>
        <v>Not Applicable</v>
      </c>
      <c r="I192" s="134">
        <f t="shared" si="18"/>
        <v>0</v>
      </c>
      <c r="J192" s="134">
        <f t="shared" si="19"/>
        <v>0</v>
      </c>
      <c r="K192" s="134">
        <f t="shared" si="20"/>
        <v>0</v>
      </c>
      <c r="L192" s="134">
        <f t="shared" si="21"/>
        <v>2.1277782984360249E-9</v>
      </c>
      <c r="M192" s="134">
        <f t="shared" si="22"/>
        <v>0</v>
      </c>
      <c r="N192" s="134">
        <f t="shared" si="23"/>
        <v>0</v>
      </c>
      <c r="O192" s="134">
        <f t="shared" si="24"/>
        <v>0</v>
      </c>
      <c r="P192" s="134">
        <f t="shared" si="25"/>
        <v>0</v>
      </c>
      <c r="Q192" s="134">
        <f t="shared" si="26"/>
        <v>0</v>
      </c>
    </row>
    <row r="193" spans="1:17">
      <c r="A193" s="132" t="str">
        <f>FMECA!A195</f>
        <v>UC_Sys</v>
      </c>
      <c r="B193" s="133" t="str">
        <f>FMECA!B195</f>
        <v>Output 'Dig_Out1' open</v>
      </c>
      <c r="C193" s="133">
        <f>FMECA!E195</f>
        <v>2.1277782984360249E-9</v>
      </c>
      <c r="D193" s="132" t="str">
        <f>FMECA!H195</f>
        <v>Safe</v>
      </c>
      <c r="E193" s="132" t="str">
        <f>IF(ISNUMBER(SEARCH("Yes",FMECA!K195)),"Yes",IF(FMECA!K195="No","No",IF(ISNUMBER(SEARCH("No; impactless.",FMECA!K195)),"Impactless",IF(ISNUMBER(SEARCH("Outside the scope",FMECA!K195)),"Outside Scope",IF(ISNUMBER(SEARCH("Maybe",FMECA!K195)),"Maybe","Not Applicable")))))</f>
        <v>Outside Scope</v>
      </c>
      <c r="F193" s="132" t="s">
        <v>728</v>
      </c>
      <c r="G193" s="132" t="str">
        <f>IF(ISNUMBER(SEARCH("Yes",FMECA!L195)),"Yes",IF(FMECA!L195="No","No",IF(ISNUMBER(SEARCH("No; impactless.",FMECA!L195)),"Impactless","Not Applicable")))</f>
        <v>No</v>
      </c>
      <c r="H193" s="132" t="str">
        <f>IF(ISNUMBER(SEARCH("CM0", FMECA!AC195)), "CM0", IF(ISNUMBER(SEARCH("CM1", FMECA!AC195)), "CM1", IF(ISNUMBER(SEARCH("CM2", FMECA!AC195)), "CM2", IF(ISNUMBER(SEARCH("CM3", FMECA!AC195)), "CM3", "Not Applicable"))))</f>
        <v>Not Applicable</v>
      </c>
      <c r="I193" s="134">
        <f t="shared" si="18"/>
        <v>0</v>
      </c>
      <c r="J193" s="134">
        <f t="shared" si="19"/>
        <v>0</v>
      </c>
      <c r="K193" s="134">
        <f t="shared" si="20"/>
        <v>0</v>
      </c>
      <c r="L193" s="134">
        <f t="shared" si="21"/>
        <v>2.1277782984360249E-9</v>
      </c>
      <c r="M193" s="134">
        <f t="shared" si="22"/>
        <v>0</v>
      </c>
      <c r="N193" s="134">
        <f t="shared" si="23"/>
        <v>0</v>
      </c>
      <c r="O193" s="134">
        <f t="shared" si="24"/>
        <v>0</v>
      </c>
      <c r="P193" s="134">
        <f t="shared" si="25"/>
        <v>0</v>
      </c>
      <c r="Q193" s="134">
        <f t="shared" si="26"/>
        <v>0</v>
      </c>
    </row>
    <row r="194" spans="1:17">
      <c r="A194" s="132" t="str">
        <f>FMECA!A196</f>
        <v>UC_Sys</v>
      </c>
      <c r="B194" s="133" t="str">
        <f>FMECA!B196</f>
        <v>Output 'Dig_Out2' open</v>
      </c>
      <c r="C194" s="133">
        <f>FMECA!E196</f>
        <v>2.1277782984360249E-9</v>
      </c>
      <c r="D194" s="132" t="str">
        <f>FMECA!H196</f>
        <v>Safe</v>
      </c>
      <c r="E194" s="132" t="str">
        <f>IF(ISNUMBER(SEARCH("Yes",FMECA!K196)),"Yes",IF(FMECA!K196="No","No",IF(ISNUMBER(SEARCH("No; impactless.",FMECA!K196)),"Impactless",IF(ISNUMBER(SEARCH("Outside the scope",FMECA!K196)),"Outside Scope",IF(ISNUMBER(SEARCH("Maybe",FMECA!K196)),"Maybe","Not Applicable")))))</f>
        <v>Outside Scope</v>
      </c>
      <c r="F194" s="132" t="s">
        <v>728</v>
      </c>
      <c r="G194" s="132" t="str">
        <f>IF(ISNUMBER(SEARCH("Yes",FMECA!L196)),"Yes",IF(FMECA!L196="No","No",IF(ISNUMBER(SEARCH("No; impactless.",FMECA!L196)),"Impactless","Not Applicable")))</f>
        <v>No</v>
      </c>
      <c r="H194" s="132" t="str">
        <f>IF(ISNUMBER(SEARCH("CM0", FMECA!AC196)), "CM0", IF(ISNUMBER(SEARCH("CM1", FMECA!AC196)), "CM1", IF(ISNUMBER(SEARCH("CM2", FMECA!AC196)), "CM2", IF(ISNUMBER(SEARCH("CM3", FMECA!AC196)), "CM3", "Not Applicable"))))</f>
        <v>Not Applicable</v>
      </c>
      <c r="I194" s="134">
        <f t="shared" si="18"/>
        <v>0</v>
      </c>
      <c r="J194" s="134">
        <f t="shared" si="19"/>
        <v>0</v>
      </c>
      <c r="K194" s="134">
        <f t="shared" si="20"/>
        <v>0</v>
      </c>
      <c r="L194" s="134">
        <f t="shared" si="21"/>
        <v>2.1277782984360249E-9</v>
      </c>
      <c r="M194" s="134">
        <f t="shared" si="22"/>
        <v>0</v>
      </c>
      <c r="N194" s="134">
        <f t="shared" si="23"/>
        <v>0</v>
      </c>
      <c r="O194" s="134">
        <f t="shared" si="24"/>
        <v>0</v>
      </c>
      <c r="P194" s="134">
        <f t="shared" si="25"/>
        <v>0</v>
      </c>
      <c r="Q194" s="134">
        <f t="shared" si="26"/>
        <v>0</v>
      </c>
    </row>
    <row r="195" spans="1:17">
      <c r="A195" s="132" t="str">
        <f>FMECA!A197</f>
        <v>UC_Sys</v>
      </c>
      <c r="B195" s="133" t="str">
        <f>FMECA!B197</f>
        <v>Bidirectional Pin 'SPI' open</v>
      </c>
      <c r="C195" s="133">
        <f>FMECA!E197</f>
        <v>5.3194457460900622E-9</v>
      </c>
      <c r="D195" s="132" t="str">
        <f>FMECA!H197</f>
        <v>Safe</v>
      </c>
      <c r="E195" s="132" t="str">
        <f>IF(ISNUMBER(SEARCH("Yes",FMECA!K197)),"Yes",IF(FMECA!K197="No","No",IF(ISNUMBER(SEARCH("No; impactless.",FMECA!K197)),"Impactless",IF(ISNUMBER(SEARCH("Outside the scope",FMECA!K197)),"Outside Scope",IF(ISNUMBER(SEARCH("Maybe",FMECA!K197)),"Maybe","Not Applicable")))))</f>
        <v>Outside Scope</v>
      </c>
      <c r="F195" s="132" t="s">
        <v>728</v>
      </c>
      <c r="G195" s="132" t="str">
        <f>IF(ISNUMBER(SEARCH("Yes",FMECA!L197)),"Yes",IF(FMECA!L197="No","No",IF(ISNUMBER(SEARCH("No; impactless.",FMECA!L197)),"Impactless","Not Applicable")))</f>
        <v>No</v>
      </c>
      <c r="H195" s="132" t="str">
        <f>IF(ISNUMBER(SEARCH("CM0", FMECA!AC197)), "CM0", IF(ISNUMBER(SEARCH("CM1", FMECA!AC197)), "CM1", IF(ISNUMBER(SEARCH("CM2", FMECA!AC197)), "CM2", IF(ISNUMBER(SEARCH("CM3", FMECA!AC197)), "CM3", "Not Applicable"))))</f>
        <v>Not Applicable</v>
      </c>
      <c r="I195" s="134">
        <f t="shared" ref="I195:I217" si="27">IF(AND(E195 = "Yes", G195 = "No"), C195, 0)</f>
        <v>0</v>
      </c>
      <c r="J195" s="134">
        <f t="shared" ref="J195:J217" si="28">IF(AND(OR(E195 = "No", E195 = "Maybe"), G195 = "Yes"), C195, 0)</f>
        <v>0</v>
      </c>
      <c r="K195" s="134">
        <f t="shared" ref="K195:K217" si="29">IF(AND(E195="Yes",G195="Yes"), C195, 0)</f>
        <v>0</v>
      </c>
      <c r="L195" s="134">
        <f t="shared" ref="L195:L217" si="30">IF(E195="Outside Scope", C195, 0)</f>
        <v>5.3194457460900622E-9</v>
      </c>
      <c r="M195" s="134">
        <f t="shared" ref="M195:M217" si="31">IF(AND(E195 = "Maybe", F195 = "Yes", G195 = "No"), C195, 0)</f>
        <v>0</v>
      </c>
      <c r="N195" s="134">
        <f t="shared" ref="N195:N217" si="32">IF(AND(E195 = "Maybe", F195 = "No", G195 = "No"), C195, 0)</f>
        <v>0</v>
      </c>
      <c r="O195" s="134">
        <f t="shared" ref="O195:O217" si="33">IF(H195 = "CM1", C195, 0)</f>
        <v>0</v>
      </c>
      <c r="P195" s="134">
        <f t="shared" ref="P195:P218" si="34">IF(AND(E195&lt;&gt; "Maybe", H195 = "CM2"), C195, 0)</f>
        <v>0</v>
      </c>
      <c r="Q195" s="134">
        <f t="shared" ref="Q195:Q217" si="35">IF(H195 = "CM3", C195, 0)</f>
        <v>0</v>
      </c>
    </row>
    <row r="196" spans="1:17">
      <c r="A196" s="132" t="str">
        <f>FMECA!A198</f>
        <v>UC_Sys</v>
      </c>
      <c r="B196" s="133" t="str">
        <f>FMECA!B198</f>
        <v>Output 'Dig_Out1' stuck low</v>
      </c>
      <c r="C196" s="133">
        <f>FMECA!E198</f>
        <v>5.3194457460900624E-10</v>
      </c>
      <c r="D196" s="132" t="str">
        <f>FMECA!H198</f>
        <v>Safe</v>
      </c>
      <c r="E196" s="132" t="str">
        <f>IF(ISNUMBER(SEARCH("Yes",FMECA!K198)),"Yes",IF(FMECA!K198="No","No",IF(ISNUMBER(SEARCH("No; impactless.",FMECA!K198)),"Impactless",IF(ISNUMBER(SEARCH("Outside the scope",FMECA!K198)),"Outside Scope",IF(ISNUMBER(SEARCH("Maybe",FMECA!K198)),"Maybe","Not Applicable")))))</f>
        <v>Outside Scope</v>
      </c>
      <c r="F196" s="132" t="s">
        <v>728</v>
      </c>
      <c r="G196" s="132" t="str">
        <f>IF(ISNUMBER(SEARCH("Yes",FMECA!L198)),"Yes",IF(FMECA!L198="No","No",IF(ISNUMBER(SEARCH("No; impactless.",FMECA!L198)),"Impactless","Not Applicable")))</f>
        <v>No</v>
      </c>
      <c r="H196" s="132" t="str">
        <f>IF(ISNUMBER(SEARCH("CM0", FMECA!AC198)), "CM0", IF(ISNUMBER(SEARCH("CM1", FMECA!AC198)), "CM1", IF(ISNUMBER(SEARCH("CM2", FMECA!AC198)), "CM2", IF(ISNUMBER(SEARCH("CM3", FMECA!AC198)), "CM3", "Not Applicable"))))</f>
        <v>Not Applicable</v>
      </c>
      <c r="I196" s="134">
        <f t="shared" si="27"/>
        <v>0</v>
      </c>
      <c r="J196" s="134">
        <f t="shared" si="28"/>
        <v>0</v>
      </c>
      <c r="K196" s="134">
        <f t="shared" si="29"/>
        <v>0</v>
      </c>
      <c r="L196" s="134">
        <f t="shared" si="30"/>
        <v>5.3194457460900624E-10</v>
      </c>
      <c r="M196" s="134">
        <f t="shared" si="31"/>
        <v>0</v>
      </c>
      <c r="N196" s="134">
        <f t="shared" si="32"/>
        <v>0</v>
      </c>
      <c r="O196" s="134">
        <f t="shared" si="33"/>
        <v>0</v>
      </c>
      <c r="P196" s="134">
        <f t="shared" si="34"/>
        <v>0</v>
      </c>
      <c r="Q196" s="134">
        <f t="shared" si="35"/>
        <v>0</v>
      </c>
    </row>
    <row r="197" spans="1:17">
      <c r="A197" s="132" t="str">
        <f>FMECA!A199</f>
        <v>UC_Sys</v>
      </c>
      <c r="B197" s="133" t="str">
        <f>FMECA!B199</f>
        <v>Output 'Dig_Out2' stuck low</v>
      </c>
      <c r="C197" s="133">
        <f>FMECA!E199</f>
        <v>5.3194457460900624E-10</v>
      </c>
      <c r="D197" s="132" t="str">
        <f>FMECA!H199</f>
        <v>Safe</v>
      </c>
      <c r="E197" s="132" t="str">
        <f>IF(ISNUMBER(SEARCH("Yes",FMECA!K199)),"Yes",IF(FMECA!K199="No","No",IF(ISNUMBER(SEARCH("No; impactless.",FMECA!K199)),"Impactless",IF(ISNUMBER(SEARCH("Outside the scope",FMECA!K199)),"Outside Scope",IF(ISNUMBER(SEARCH("Maybe",FMECA!K199)),"Maybe","Not Applicable")))))</f>
        <v>Outside Scope</v>
      </c>
      <c r="F197" s="132" t="s">
        <v>728</v>
      </c>
      <c r="G197" s="132" t="str">
        <f>IF(ISNUMBER(SEARCH("Yes",FMECA!L199)),"Yes",IF(FMECA!L199="No","No",IF(ISNUMBER(SEARCH("No; impactless.",FMECA!L199)),"Impactless","Not Applicable")))</f>
        <v>No</v>
      </c>
      <c r="H197" s="132" t="str">
        <f>IF(ISNUMBER(SEARCH("CM0", FMECA!AC199)), "CM0", IF(ISNUMBER(SEARCH("CM1", FMECA!AC199)), "CM1", IF(ISNUMBER(SEARCH("CM2", FMECA!AC199)), "CM2", IF(ISNUMBER(SEARCH("CM3", FMECA!AC199)), "CM3", "Not Applicable"))))</f>
        <v>Not Applicable</v>
      </c>
      <c r="I197" s="134">
        <f t="shared" si="27"/>
        <v>0</v>
      </c>
      <c r="J197" s="134">
        <f t="shared" si="28"/>
        <v>0</v>
      </c>
      <c r="K197" s="134">
        <f t="shared" si="29"/>
        <v>0</v>
      </c>
      <c r="L197" s="134">
        <f t="shared" si="30"/>
        <v>5.3194457460900624E-10</v>
      </c>
      <c r="M197" s="134">
        <f t="shared" si="31"/>
        <v>0</v>
      </c>
      <c r="N197" s="134">
        <f t="shared" si="32"/>
        <v>0</v>
      </c>
      <c r="O197" s="134">
        <f t="shared" si="33"/>
        <v>0</v>
      </c>
      <c r="P197" s="134">
        <f t="shared" si="34"/>
        <v>0</v>
      </c>
      <c r="Q197" s="134">
        <f t="shared" si="35"/>
        <v>0</v>
      </c>
    </row>
    <row r="198" spans="1:17">
      <c r="A198" s="132" t="str">
        <f>FMECA!A200</f>
        <v>UC_Sys</v>
      </c>
      <c r="B198" s="133" t="str">
        <f>FMECA!B200</f>
        <v>Bidirectional Pin 'SPI' stuck low</v>
      </c>
      <c r="C198" s="133">
        <f>FMECA!E200</f>
        <v>5.3194457460900624E-10</v>
      </c>
      <c r="D198" s="132" t="str">
        <f>FMECA!H200</f>
        <v>Safe</v>
      </c>
      <c r="E198" s="132" t="str">
        <f>IF(ISNUMBER(SEARCH("Yes",FMECA!K200)),"Yes",IF(FMECA!K200="No","No",IF(ISNUMBER(SEARCH("No; impactless.",FMECA!K200)),"Impactless",IF(ISNUMBER(SEARCH("Outside the scope",FMECA!K200)),"Outside Scope",IF(ISNUMBER(SEARCH("Maybe",FMECA!K200)),"Maybe","Not Applicable")))))</f>
        <v>Outside Scope</v>
      </c>
      <c r="F198" s="132" t="s">
        <v>728</v>
      </c>
      <c r="G198" s="132" t="str">
        <f>IF(ISNUMBER(SEARCH("Yes",FMECA!L200)),"Yes",IF(FMECA!L200="No","No",IF(ISNUMBER(SEARCH("No; impactless.",FMECA!L200)),"Impactless","Not Applicable")))</f>
        <v>No</v>
      </c>
      <c r="H198" s="132" t="str">
        <f>IF(ISNUMBER(SEARCH("CM0", FMECA!AC200)), "CM0", IF(ISNUMBER(SEARCH("CM1", FMECA!AC200)), "CM1", IF(ISNUMBER(SEARCH("CM2", FMECA!AC200)), "CM2", IF(ISNUMBER(SEARCH("CM3", FMECA!AC200)), "CM3", "Not Applicable"))))</f>
        <v>Not Applicable</v>
      </c>
      <c r="I198" s="134">
        <f t="shared" si="27"/>
        <v>0</v>
      </c>
      <c r="J198" s="134">
        <f t="shared" si="28"/>
        <v>0</v>
      </c>
      <c r="K198" s="134">
        <f t="shared" si="29"/>
        <v>0</v>
      </c>
      <c r="L198" s="134">
        <f t="shared" si="30"/>
        <v>5.3194457460900624E-10</v>
      </c>
      <c r="M198" s="134">
        <f t="shared" si="31"/>
        <v>0</v>
      </c>
      <c r="N198" s="134">
        <f t="shared" si="32"/>
        <v>0</v>
      </c>
      <c r="O198" s="134">
        <f t="shared" si="33"/>
        <v>0</v>
      </c>
      <c r="P198" s="134">
        <f t="shared" si="34"/>
        <v>0</v>
      </c>
      <c r="Q198" s="134">
        <f t="shared" si="35"/>
        <v>0</v>
      </c>
    </row>
    <row r="199" spans="1:17">
      <c r="A199" s="132" t="str">
        <f>FMECA!A201</f>
        <v>UC_Sys</v>
      </c>
      <c r="B199" s="133" t="str">
        <f>FMECA!B201</f>
        <v>Output 'Dig_Out1' stuck high</v>
      </c>
      <c r="C199" s="133">
        <f>FMECA!E201</f>
        <v>4.7283962187467226E-10</v>
      </c>
      <c r="D199" s="132" t="str">
        <f>FMECA!H201</f>
        <v>Safe</v>
      </c>
      <c r="E199" s="132" t="str">
        <f>IF(ISNUMBER(SEARCH("Yes",FMECA!K201)),"Yes",IF(FMECA!K201="No","No",IF(ISNUMBER(SEARCH("No; impactless.",FMECA!K201)),"Impactless",IF(ISNUMBER(SEARCH("Outside the scope",FMECA!K201)),"Outside Scope",IF(ISNUMBER(SEARCH("Maybe",FMECA!K201)),"Maybe","Not Applicable")))))</f>
        <v>Yes</v>
      </c>
      <c r="F199" s="132" t="s">
        <v>728</v>
      </c>
      <c r="G199" s="132" t="str">
        <f>IF(ISNUMBER(SEARCH("Yes",FMECA!L201)),"Yes",IF(FMECA!L201="No","No",IF(ISNUMBER(SEARCH("No; impactless.",FMECA!L201)),"Impactless","Not Applicable")))</f>
        <v>No</v>
      </c>
      <c r="H199" s="132" t="str">
        <f>IF(ISNUMBER(SEARCH("CM0", FMECA!AC201)), "CM0", IF(ISNUMBER(SEARCH("CM1", FMECA!AC201)), "CM1", IF(ISNUMBER(SEARCH("CM2", FMECA!AC201)), "CM2", IF(ISNUMBER(SEARCH("CM3", FMECA!AC201)), "CM3", "Not Applicable"))))</f>
        <v>Not Applicable</v>
      </c>
      <c r="I199" s="134">
        <f t="shared" si="27"/>
        <v>4.7283962187467226E-10</v>
      </c>
      <c r="J199" s="134">
        <f t="shared" si="28"/>
        <v>0</v>
      </c>
      <c r="K199" s="134">
        <f t="shared" si="29"/>
        <v>0</v>
      </c>
      <c r="L199" s="134">
        <f t="shared" si="30"/>
        <v>0</v>
      </c>
      <c r="M199" s="134">
        <f t="shared" si="31"/>
        <v>0</v>
      </c>
      <c r="N199" s="134">
        <f t="shared" si="32"/>
        <v>0</v>
      </c>
      <c r="O199" s="134">
        <f t="shared" si="33"/>
        <v>0</v>
      </c>
      <c r="P199" s="134">
        <f t="shared" si="34"/>
        <v>0</v>
      </c>
      <c r="Q199" s="134">
        <f t="shared" si="35"/>
        <v>0</v>
      </c>
    </row>
    <row r="200" spans="1:17">
      <c r="A200" s="132" t="str">
        <f>FMECA!A202</f>
        <v>UC_Sys</v>
      </c>
      <c r="B200" s="133" t="str">
        <f>FMECA!B202</f>
        <v>Output 'Dig_Out2' stuck high</v>
      </c>
      <c r="C200" s="133">
        <f>FMECA!E202</f>
        <v>4.7283962187467226E-10</v>
      </c>
      <c r="D200" s="132" t="str">
        <f>FMECA!H202</f>
        <v>Safe</v>
      </c>
      <c r="E200" s="132" t="str">
        <f>IF(ISNUMBER(SEARCH("Yes",FMECA!K202)),"Yes",IF(FMECA!K202="No","No",IF(ISNUMBER(SEARCH("No; impactless.",FMECA!K202)),"Impactless",IF(ISNUMBER(SEARCH("Outside the scope",FMECA!K202)),"Outside Scope",IF(ISNUMBER(SEARCH("Maybe",FMECA!K202)),"Maybe","Not Applicable")))))</f>
        <v>Outside Scope</v>
      </c>
      <c r="F200" s="132" t="s">
        <v>728</v>
      </c>
      <c r="G200" s="132" t="str">
        <f>IF(ISNUMBER(SEARCH("Yes",FMECA!L202)),"Yes",IF(FMECA!L202="No","No",IF(ISNUMBER(SEARCH("No; impactless.",FMECA!L202)),"Impactless","Not Applicable")))</f>
        <v>No</v>
      </c>
      <c r="H200" s="132" t="str">
        <f>IF(ISNUMBER(SEARCH("CM0", FMECA!AC202)), "CM0", IF(ISNUMBER(SEARCH("CM1", FMECA!AC202)), "CM1", IF(ISNUMBER(SEARCH("CM2", FMECA!AC202)), "CM2", IF(ISNUMBER(SEARCH("CM3", FMECA!AC202)), "CM3", "Not Applicable"))))</f>
        <v>Not Applicable</v>
      </c>
      <c r="I200" s="134">
        <f t="shared" si="27"/>
        <v>0</v>
      </c>
      <c r="J200" s="134">
        <f t="shared" si="28"/>
        <v>0</v>
      </c>
      <c r="K200" s="134">
        <f t="shared" si="29"/>
        <v>0</v>
      </c>
      <c r="L200" s="134">
        <f t="shared" si="30"/>
        <v>4.7283962187467226E-10</v>
      </c>
      <c r="M200" s="134">
        <f t="shared" si="31"/>
        <v>0</v>
      </c>
      <c r="N200" s="134">
        <f t="shared" si="32"/>
        <v>0</v>
      </c>
      <c r="O200" s="134">
        <f t="shared" si="33"/>
        <v>0</v>
      </c>
      <c r="P200" s="134">
        <f t="shared" si="34"/>
        <v>0</v>
      </c>
      <c r="Q200" s="134">
        <f t="shared" si="35"/>
        <v>0</v>
      </c>
    </row>
    <row r="201" spans="1:17">
      <c r="A201" s="132" t="str">
        <f>FMECA!A203</f>
        <v>UC_Sys</v>
      </c>
      <c r="B201" s="133" t="str">
        <f>FMECA!B203</f>
        <v>Bidirectional 'SPI' Pin stuck high</v>
      </c>
      <c r="C201" s="133">
        <f>FMECA!E203</f>
        <v>4.7283962187467226E-10</v>
      </c>
      <c r="D201" s="132" t="str">
        <f>FMECA!H203</f>
        <v>Safe</v>
      </c>
      <c r="E201" s="132" t="str">
        <f>IF(ISNUMBER(SEARCH("Yes",FMECA!K203)),"Yes",IF(FMECA!K203="No","No",IF(ISNUMBER(SEARCH("No; impactless.",FMECA!K203)),"Impactless",IF(ISNUMBER(SEARCH("Outside the scope",FMECA!K203)),"Outside Scope",IF(ISNUMBER(SEARCH("Maybe",FMECA!K203)),"Maybe","Not Applicable")))))</f>
        <v>Outside Scope</v>
      </c>
      <c r="F201" s="132" t="s">
        <v>728</v>
      </c>
      <c r="G201" s="132" t="str">
        <f>IF(ISNUMBER(SEARCH("Yes",FMECA!L203)),"Yes",IF(FMECA!L203="No","No",IF(ISNUMBER(SEARCH("No; impactless.",FMECA!L203)),"Impactless","Not Applicable")))</f>
        <v>No</v>
      </c>
      <c r="H201" s="132" t="str">
        <f>IF(ISNUMBER(SEARCH("CM0", FMECA!AC203)), "CM0", IF(ISNUMBER(SEARCH("CM1", FMECA!AC203)), "CM1", IF(ISNUMBER(SEARCH("CM2", FMECA!AC203)), "CM2", IF(ISNUMBER(SEARCH("CM3", FMECA!AC203)), "CM3", "Not Applicable"))))</f>
        <v>Not Applicable</v>
      </c>
      <c r="I201" s="134">
        <f t="shared" si="27"/>
        <v>0</v>
      </c>
      <c r="J201" s="134">
        <f t="shared" si="28"/>
        <v>0</v>
      </c>
      <c r="K201" s="134">
        <f t="shared" si="29"/>
        <v>0</v>
      </c>
      <c r="L201" s="134">
        <f t="shared" si="30"/>
        <v>4.7283962187467226E-10</v>
      </c>
      <c r="M201" s="134">
        <f t="shared" si="31"/>
        <v>0</v>
      </c>
      <c r="N201" s="134">
        <f t="shared" si="32"/>
        <v>0</v>
      </c>
      <c r="O201" s="134">
        <f t="shared" si="33"/>
        <v>0</v>
      </c>
      <c r="P201" s="134">
        <f t="shared" si="34"/>
        <v>0</v>
      </c>
      <c r="Q201" s="134">
        <f t="shared" si="35"/>
        <v>0</v>
      </c>
    </row>
    <row r="202" spans="1:17">
      <c r="A202" s="132" t="str">
        <f>FMECA!A204</f>
        <v>UC_Sys</v>
      </c>
      <c r="B202" s="133" t="str">
        <f>FMECA!B204</f>
        <v>Input open</v>
      </c>
      <c r="C202" s="133">
        <f>FMECA!E204</f>
        <v>3.1916674476540372E-9</v>
      </c>
      <c r="D202" s="132" t="str">
        <f>FMECA!H204</f>
        <v>Safe</v>
      </c>
      <c r="E202" s="132" t="str">
        <f>IF(ISNUMBER(SEARCH("Yes",FMECA!K204)),"Yes",IF(FMECA!K204="No","No",IF(ISNUMBER(SEARCH("No; impactless.",FMECA!K204)),"Impactless",IF(ISNUMBER(SEARCH("Outside the scope",FMECA!K204)),"Outside Scope",IF(ISNUMBER(SEARCH("Maybe",FMECA!K204)),"Maybe","Not Applicable")))))</f>
        <v>Outside Scope</v>
      </c>
      <c r="F202" s="132" t="s">
        <v>728</v>
      </c>
      <c r="G202" s="132" t="str">
        <f>IF(ISNUMBER(SEARCH("Yes",FMECA!L204)),"Yes",IF(FMECA!L204="No","No",IF(ISNUMBER(SEARCH("No; impactless.",FMECA!L204)),"Impactless","Not Applicable")))</f>
        <v>No</v>
      </c>
      <c r="H202" s="132" t="str">
        <f>IF(ISNUMBER(SEARCH("CM0", FMECA!AC204)), "CM0", IF(ISNUMBER(SEARCH("CM1", FMECA!AC204)), "CM1", IF(ISNUMBER(SEARCH("CM2", FMECA!AC204)), "CM2", IF(ISNUMBER(SEARCH("CM3", FMECA!AC204)), "CM3", "Not Applicable"))))</f>
        <v>Not Applicable</v>
      </c>
      <c r="I202" s="134">
        <f t="shared" si="27"/>
        <v>0</v>
      </c>
      <c r="J202" s="134">
        <f t="shared" si="28"/>
        <v>0</v>
      </c>
      <c r="K202" s="134">
        <f t="shared" si="29"/>
        <v>0</v>
      </c>
      <c r="L202" s="134">
        <f t="shared" si="30"/>
        <v>3.1916674476540372E-9</v>
      </c>
      <c r="M202" s="134">
        <f t="shared" si="31"/>
        <v>0</v>
      </c>
      <c r="N202" s="134">
        <f t="shared" si="32"/>
        <v>0</v>
      </c>
      <c r="O202" s="134">
        <f t="shared" si="33"/>
        <v>0</v>
      </c>
      <c r="P202" s="134">
        <f t="shared" si="34"/>
        <v>0</v>
      </c>
      <c r="Q202" s="134">
        <f t="shared" si="35"/>
        <v>0</v>
      </c>
    </row>
    <row r="203" spans="1:17">
      <c r="A203" s="132" t="str">
        <f>FMECA!A205</f>
        <v>Flash_Sys</v>
      </c>
      <c r="B203" s="133" t="str">
        <f>FMECA!B205</f>
        <v>Data bit loss</v>
      </c>
      <c r="C203" s="133">
        <f>FMECA!E205</f>
        <v>6.0288947389916522E-9</v>
      </c>
      <c r="D203" s="132" t="str">
        <f>FMECA!H205</f>
        <v>Safe</v>
      </c>
      <c r="E203" s="132" t="str">
        <f>IF(ISNUMBER(SEARCH("Yes",FMECA!K205)),"Yes",IF(FMECA!K205="No","No",IF(ISNUMBER(SEARCH("No; impactless.",FMECA!K205)),"Impactless",IF(ISNUMBER(SEARCH("Outside the scope",FMECA!K205)),"Outside Scope",IF(ISNUMBER(SEARCH("Maybe",FMECA!K205)),"Maybe","Not Applicable")))))</f>
        <v>Outside Scope</v>
      </c>
      <c r="F203" s="132" t="s">
        <v>728</v>
      </c>
      <c r="G203" s="132" t="str">
        <f>IF(ISNUMBER(SEARCH("Yes",FMECA!L205)),"Yes",IF(FMECA!L205="No","No",IF(ISNUMBER(SEARCH("No; impactless.",FMECA!L205)),"Impactless","Not Applicable")))</f>
        <v>No</v>
      </c>
      <c r="H203" s="132" t="str">
        <f>IF(ISNUMBER(SEARCH("CM0", FMECA!AC205)), "CM0", IF(ISNUMBER(SEARCH("CM1", FMECA!AC205)), "CM1", IF(ISNUMBER(SEARCH("CM2", FMECA!AC205)), "CM2", IF(ISNUMBER(SEARCH("CM3", FMECA!AC205)), "CM3", "Not Applicable"))))</f>
        <v>Not Applicable</v>
      </c>
      <c r="I203" s="134">
        <f t="shared" si="27"/>
        <v>0</v>
      </c>
      <c r="J203" s="134">
        <f t="shared" si="28"/>
        <v>0</v>
      </c>
      <c r="K203" s="134">
        <f t="shared" si="29"/>
        <v>0</v>
      </c>
      <c r="L203" s="134">
        <f t="shared" si="30"/>
        <v>6.0288947389916522E-9</v>
      </c>
      <c r="M203" s="134">
        <f t="shared" si="31"/>
        <v>0</v>
      </c>
      <c r="N203" s="134">
        <f t="shared" si="32"/>
        <v>0</v>
      </c>
      <c r="O203" s="134">
        <f t="shared" si="33"/>
        <v>0</v>
      </c>
      <c r="P203" s="134">
        <f t="shared" si="34"/>
        <v>0</v>
      </c>
      <c r="Q203" s="134">
        <f t="shared" si="35"/>
        <v>0</v>
      </c>
    </row>
    <row r="204" spans="1:17">
      <c r="A204" s="132" t="str">
        <f>FMECA!A206</f>
        <v>Flash_Sys</v>
      </c>
      <c r="B204" s="133" t="str">
        <f>FMECA!B206</f>
        <v>Slow transfer of data</v>
      </c>
      <c r="C204" s="133">
        <f>FMECA!E206</f>
        <v>3.0144473694958261E-9</v>
      </c>
      <c r="D204" s="132" t="str">
        <f>FMECA!H206</f>
        <v>Safe</v>
      </c>
      <c r="E204" s="132" t="str">
        <f>IF(ISNUMBER(SEARCH("Yes",FMECA!K206)),"Yes",IF(FMECA!K206="No","No",IF(ISNUMBER(SEARCH("No; impactless.",FMECA!K206)),"Impactless",IF(ISNUMBER(SEARCH("Outside the scope",FMECA!K206)),"Outside Scope",IF(ISNUMBER(SEARCH("Maybe",FMECA!K206)),"Maybe","Not Applicable")))))</f>
        <v>Outside Scope</v>
      </c>
      <c r="F204" s="132" t="s">
        <v>728</v>
      </c>
      <c r="G204" s="132" t="str">
        <f>IF(ISNUMBER(SEARCH("Yes",FMECA!L206)),"Yes",IF(FMECA!L206="No","No",IF(ISNUMBER(SEARCH("No; impactless.",FMECA!L206)),"Impactless","Not Applicable")))</f>
        <v>No</v>
      </c>
      <c r="H204" s="132" t="str">
        <f>IF(ISNUMBER(SEARCH("CM0", FMECA!AC206)), "CM0", IF(ISNUMBER(SEARCH("CM1", FMECA!AC206)), "CM1", IF(ISNUMBER(SEARCH("CM2", FMECA!AC206)), "CM2", IF(ISNUMBER(SEARCH("CM3", FMECA!AC206)), "CM3", "Not Applicable"))))</f>
        <v>Not Applicable</v>
      </c>
      <c r="I204" s="134">
        <f t="shared" si="27"/>
        <v>0</v>
      </c>
      <c r="J204" s="134">
        <f t="shared" si="28"/>
        <v>0</v>
      </c>
      <c r="K204" s="134">
        <f t="shared" si="29"/>
        <v>0</v>
      </c>
      <c r="L204" s="134">
        <f t="shared" si="30"/>
        <v>3.0144473694958261E-9</v>
      </c>
      <c r="M204" s="134">
        <f t="shared" si="31"/>
        <v>0</v>
      </c>
      <c r="N204" s="134">
        <f t="shared" si="32"/>
        <v>0</v>
      </c>
      <c r="O204" s="134">
        <f t="shared" si="33"/>
        <v>0</v>
      </c>
      <c r="P204" s="134">
        <f t="shared" si="34"/>
        <v>0</v>
      </c>
      <c r="Q204" s="134">
        <f t="shared" si="35"/>
        <v>0</v>
      </c>
    </row>
    <row r="205" spans="1:17">
      <c r="A205" s="132" t="str">
        <f>FMECA!A207</f>
        <v>Flash_Sys</v>
      </c>
      <c r="B205" s="133" t="str">
        <f>FMECA!B207</f>
        <v>Open</v>
      </c>
      <c r="C205" s="133">
        <f>FMECA!E207</f>
        <v>4.0783699704943524E-9</v>
      </c>
      <c r="D205" s="132" t="str">
        <f>FMECA!H207</f>
        <v>Safe</v>
      </c>
      <c r="E205" s="132" t="str">
        <f>IF(ISNUMBER(SEARCH("Yes",FMECA!K207)),"Yes",IF(FMECA!K207="No","No",IF(ISNUMBER(SEARCH("No; impactless.",FMECA!K207)),"Impactless",IF(ISNUMBER(SEARCH("Outside the scope",FMECA!K207)),"Outside Scope",IF(ISNUMBER(SEARCH("Maybe",FMECA!K207)),"Maybe","Not Applicable")))))</f>
        <v>Outside Scope</v>
      </c>
      <c r="F205" s="132" t="s">
        <v>728</v>
      </c>
      <c r="G205" s="132" t="str">
        <f>IF(ISNUMBER(SEARCH("Yes",FMECA!L207)),"Yes",IF(FMECA!L207="No","No",IF(ISNUMBER(SEARCH("No; impactless.",FMECA!L207)),"Impactless","Not Applicable")))</f>
        <v>No</v>
      </c>
      <c r="H205" s="132" t="str">
        <f>IF(ISNUMBER(SEARCH("CM0", FMECA!AC207)), "CM0", IF(ISNUMBER(SEARCH("CM1", FMECA!AC207)), "CM1", IF(ISNUMBER(SEARCH("CM2", FMECA!AC207)), "CM2", IF(ISNUMBER(SEARCH("CM3", FMECA!AC207)), "CM3", "Not Applicable"))))</f>
        <v>Not Applicable</v>
      </c>
      <c r="I205" s="134">
        <f t="shared" si="27"/>
        <v>0</v>
      </c>
      <c r="J205" s="134">
        <f t="shared" si="28"/>
        <v>0</v>
      </c>
      <c r="K205" s="134">
        <f t="shared" si="29"/>
        <v>0</v>
      </c>
      <c r="L205" s="134">
        <f t="shared" si="30"/>
        <v>4.0783699704943524E-9</v>
      </c>
      <c r="M205" s="134">
        <f t="shared" si="31"/>
        <v>0</v>
      </c>
      <c r="N205" s="134">
        <f t="shared" si="32"/>
        <v>0</v>
      </c>
      <c r="O205" s="134">
        <f t="shared" si="33"/>
        <v>0</v>
      </c>
      <c r="P205" s="134">
        <f t="shared" si="34"/>
        <v>0</v>
      </c>
      <c r="Q205" s="134">
        <f t="shared" si="35"/>
        <v>0</v>
      </c>
    </row>
    <row r="206" spans="1:17">
      <c r="A206" s="132" t="str">
        <f>FMECA!A208</f>
        <v>Flash_Sys</v>
      </c>
      <c r="B206" s="133" t="str">
        <f>FMECA!B208</f>
        <v>Short-circuit</v>
      </c>
      <c r="C206" s="133">
        <f>FMECA!E208</f>
        <v>4.6103312709936158E-9</v>
      </c>
      <c r="D206" s="132" t="str">
        <f>FMECA!H208</f>
        <v>Safe</v>
      </c>
      <c r="E206" s="132" t="str">
        <f>IF(ISNUMBER(SEARCH("Yes",FMECA!K208)),"Yes",IF(FMECA!K208="No","No",IF(ISNUMBER(SEARCH("No; impactless.",FMECA!K208)),"Impactless",IF(ISNUMBER(SEARCH("Outside the scope",FMECA!K208)),"Outside Scope",IF(ISNUMBER(SEARCH("Maybe",FMECA!K208)),"Maybe","Not Applicable")))))</f>
        <v>Outside Scope</v>
      </c>
      <c r="F206" s="132" t="s">
        <v>728</v>
      </c>
      <c r="G206" s="132" t="str">
        <f>IF(ISNUMBER(SEARCH("Yes",FMECA!L208)),"Yes",IF(FMECA!L208="No","No",IF(ISNUMBER(SEARCH("No; impactless.",FMECA!L208)),"Impactless","Not Applicable")))</f>
        <v>No</v>
      </c>
      <c r="H206" s="132" t="str">
        <f>IF(ISNUMBER(SEARCH("CM0", FMECA!AC208)), "CM0", IF(ISNUMBER(SEARCH("CM1", FMECA!AC208)), "CM1", IF(ISNUMBER(SEARCH("CM2", FMECA!AC208)), "CM2", IF(ISNUMBER(SEARCH("CM3", FMECA!AC208)), "CM3", "Not Applicable"))))</f>
        <v>Not Applicable</v>
      </c>
      <c r="I206" s="134">
        <f t="shared" si="27"/>
        <v>0</v>
      </c>
      <c r="J206" s="134">
        <f t="shared" si="28"/>
        <v>0</v>
      </c>
      <c r="K206" s="134">
        <f t="shared" si="29"/>
        <v>0</v>
      </c>
      <c r="L206" s="134">
        <f t="shared" si="30"/>
        <v>4.6103312709936158E-9</v>
      </c>
      <c r="M206" s="134">
        <f t="shared" si="31"/>
        <v>0</v>
      </c>
      <c r="N206" s="134">
        <f t="shared" si="32"/>
        <v>0</v>
      </c>
      <c r="O206" s="134">
        <f t="shared" si="33"/>
        <v>0</v>
      </c>
      <c r="P206" s="134">
        <f t="shared" si="34"/>
        <v>0</v>
      </c>
      <c r="Q206" s="134">
        <f t="shared" si="35"/>
        <v>0</v>
      </c>
    </row>
    <row r="207" spans="1:17">
      <c r="A207" s="132" t="str">
        <f>FMECA!A209</f>
        <v>DC_DC_Sys</v>
      </c>
      <c r="B207" s="133" t="str">
        <f>FMECA!B209</f>
        <v>No Output</v>
      </c>
      <c r="C207" s="133">
        <f>FMECA!E209</f>
        <v>4.9192708264389344E-9</v>
      </c>
      <c r="D207" s="132" t="str">
        <f>FMECA!H209</f>
        <v>Safe</v>
      </c>
      <c r="E207" s="132" t="str">
        <f>IF(ISNUMBER(SEARCH("Yes",FMECA!K209)),"Yes",IF(FMECA!K209="No","No",IF(ISNUMBER(SEARCH("No; impactless.",FMECA!K209)),"Impactless",IF(ISNUMBER(SEARCH("Outside the scope",FMECA!K209)),"Outside Scope",IF(ISNUMBER(SEARCH("Maybe",FMECA!K209)),"Maybe","Not Applicable")))))</f>
        <v>Yes</v>
      </c>
      <c r="F207" s="132" t="s">
        <v>728</v>
      </c>
      <c r="G207" s="132" t="str">
        <f>IF(ISNUMBER(SEARCH("Yes",FMECA!L209)),"Yes",IF(FMECA!L209="No","No",IF(ISNUMBER(SEARCH("No; impactless.",FMECA!L209)),"Impactless","Not Applicable")))</f>
        <v>No</v>
      </c>
      <c r="H207" s="132" t="str">
        <f>IF(ISNUMBER(SEARCH("CM0", FMECA!AC209)), "CM0", IF(ISNUMBER(SEARCH("CM1", FMECA!AC209)), "CM1", IF(ISNUMBER(SEARCH("CM2", FMECA!AC209)), "CM2", IF(ISNUMBER(SEARCH("CM3", FMECA!AC209)), "CM3", "Not Applicable"))))</f>
        <v>Not Applicable</v>
      </c>
      <c r="I207" s="134">
        <f t="shared" si="27"/>
        <v>4.9192708264389344E-9</v>
      </c>
      <c r="J207" s="134">
        <f t="shared" si="28"/>
        <v>0</v>
      </c>
      <c r="K207" s="134">
        <f t="shared" si="29"/>
        <v>0</v>
      </c>
      <c r="L207" s="134">
        <f t="shared" si="30"/>
        <v>0</v>
      </c>
      <c r="M207" s="134">
        <f t="shared" si="31"/>
        <v>0</v>
      </c>
      <c r="N207" s="134">
        <f t="shared" si="32"/>
        <v>0</v>
      </c>
      <c r="O207" s="134">
        <f t="shared" si="33"/>
        <v>0</v>
      </c>
      <c r="P207" s="134">
        <f t="shared" si="34"/>
        <v>0</v>
      </c>
      <c r="Q207" s="134">
        <f t="shared" si="35"/>
        <v>0</v>
      </c>
    </row>
    <row r="208" spans="1:17">
      <c r="A208" s="132" t="str">
        <f>FMECA!A210</f>
        <v>DC_DC_Sys</v>
      </c>
      <c r="B208" s="133" t="str">
        <f>FMECA!B210</f>
        <v>Increase in Output Voltage</v>
      </c>
      <c r="C208" s="133">
        <f>FMECA!E210</f>
        <v>5.4896210671854778E-9</v>
      </c>
      <c r="D208" s="132" t="str">
        <f>FMECA!H210</f>
        <v>Unsafe</v>
      </c>
      <c r="E208" s="132" t="str">
        <f>IF(ISNUMBER(SEARCH("Yes",FMECA!K210)),"Yes",IF(FMECA!K210="No","No",IF(ISNUMBER(SEARCH("No; impactless.",FMECA!K210)),"Impactless",IF(ISNUMBER(SEARCH("Outside the scope",FMECA!K210)),"Outside Scope",IF(ISNUMBER(SEARCH("Maybe",FMECA!K210)),"Maybe","Not Applicable")))))</f>
        <v>No</v>
      </c>
      <c r="F208" s="132" t="s">
        <v>728</v>
      </c>
      <c r="G208" s="132" t="str">
        <f>IF(ISNUMBER(SEARCH("Yes",FMECA!L210)),"Yes",IF(FMECA!L210="No","No",IF(ISNUMBER(SEARCH("No; impactless.",FMECA!L210)),"Impactless","Not Applicable")))</f>
        <v>No</v>
      </c>
      <c r="H208" s="132" t="str">
        <f>IF(ISNUMBER(SEARCH("CM0", FMECA!AC210)), "CM0", IF(ISNUMBER(SEARCH("CM1", FMECA!AC210)), "CM1", IF(ISNUMBER(SEARCH("CM2", FMECA!AC210)), "CM2", IF(ISNUMBER(SEARCH("CM3", FMECA!AC210)), "CM3", "Not Applicable"))))</f>
        <v>CM3</v>
      </c>
      <c r="I208" s="134">
        <f t="shared" si="27"/>
        <v>0</v>
      </c>
      <c r="J208" s="134">
        <f t="shared" si="28"/>
        <v>0</v>
      </c>
      <c r="K208" s="134">
        <f t="shared" si="29"/>
        <v>0</v>
      </c>
      <c r="L208" s="134">
        <f t="shared" si="30"/>
        <v>0</v>
      </c>
      <c r="M208" s="134">
        <f t="shared" si="31"/>
        <v>0</v>
      </c>
      <c r="N208" s="134">
        <f t="shared" si="32"/>
        <v>0</v>
      </c>
      <c r="O208" s="134">
        <f t="shared" si="33"/>
        <v>0</v>
      </c>
      <c r="P208" s="134">
        <f t="shared" si="34"/>
        <v>0</v>
      </c>
      <c r="Q208" s="134">
        <f t="shared" si="35"/>
        <v>5.4896210671854778E-9</v>
      </c>
    </row>
    <row r="209" spans="1:17">
      <c r="A209" s="132" t="str">
        <f>FMECA!A211</f>
        <v>DC_DC_Sys</v>
      </c>
      <c r="B209" s="133" t="str">
        <f>FMECA!B211</f>
        <v>Decrease in Output Voltage</v>
      </c>
      <c r="C209" s="133">
        <f>FMECA!E211</f>
        <v>5.4896210671854778E-9</v>
      </c>
      <c r="D209" s="132" t="str">
        <f>FMECA!H211</f>
        <v>Unsafe</v>
      </c>
      <c r="E209" s="132" t="str">
        <f>IF(ISNUMBER(SEARCH("Yes",FMECA!K211)),"Yes",IF(FMECA!K211="No","No",IF(ISNUMBER(SEARCH("No; impactless.",FMECA!K211)),"Impactless",IF(ISNUMBER(SEARCH("Outside the scope",FMECA!K211)),"Outside Scope",IF(ISNUMBER(SEARCH("Maybe",FMECA!K211)),"Maybe","Not Applicable")))))</f>
        <v>No</v>
      </c>
      <c r="F209" s="132" t="s">
        <v>728</v>
      </c>
      <c r="G209" s="132" t="str">
        <f>IF(ISNUMBER(SEARCH("Yes",FMECA!L211)),"Yes",IF(FMECA!L211="No","No",IF(ISNUMBER(SEARCH("No; impactless.",FMECA!L211)),"Impactless","Not Applicable")))</f>
        <v>No</v>
      </c>
      <c r="H209" s="132" t="str">
        <f>IF(ISNUMBER(SEARCH("CM0", FMECA!AC211)), "CM0", IF(ISNUMBER(SEARCH("CM1", FMECA!AC211)), "CM1", IF(ISNUMBER(SEARCH("CM2", FMECA!AC211)), "CM2", IF(ISNUMBER(SEARCH("CM3", FMECA!AC211)), "CM3", "Not Applicable"))))</f>
        <v>CM3</v>
      </c>
      <c r="I209" s="134">
        <f t="shared" si="27"/>
        <v>0</v>
      </c>
      <c r="J209" s="134">
        <f t="shared" si="28"/>
        <v>0</v>
      </c>
      <c r="K209" s="134">
        <f t="shared" si="29"/>
        <v>0</v>
      </c>
      <c r="L209" s="134">
        <f t="shared" si="30"/>
        <v>0</v>
      </c>
      <c r="M209" s="134">
        <f t="shared" si="31"/>
        <v>0</v>
      </c>
      <c r="N209" s="134">
        <f t="shared" si="32"/>
        <v>0</v>
      </c>
      <c r="O209" s="134">
        <f t="shared" si="33"/>
        <v>0</v>
      </c>
      <c r="P209" s="134">
        <f t="shared" si="34"/>
        <v>0</v>
      </c>
      <c r="Q209" s="134">
        <f t="shared" si="35"/>
        <v>5.4896210671854778E-9</v>
      </c>
    </row>
    <row r="210" spans="1:17">
      <c r="A210" s="132" t="str">
        <f>FMECA!A212</f>
        <v>DC_DC_Sys</v>
      </c>
      <c r="B210" s="133" t="str">
        <f>FMECA!B212</f>
        <v>Noisy Output</v>
      </c>
      <c r="C210" s="133">
        <f>FMECA!E212</f>
        <v>5.4896210671854778E-9</v>
      </c>
      <c r="D210" s="132" t="str">
        <f>FMECA!H212</f>
        <v>Unsafe</v>
      </c>
      <c r="E210" s="132" t="str">
        <f>IF(ISNUMBER(SEARCH("Yes",FMECA!K212)),"Yes",IF(FMECA!K212="No","No",IF(ISNUMBER(SEARCH("No; impactless.",FMECA!K212)),"Impactless",IF(ISNUMBER(SEARCH("Outside the scope",FMECA!K212)),"Outside Scope",IF(ISNUMBER(SEARCH("Maybe",FMECA!K212)),"Maybe","Not Applicable")))))</f>
        <v>No</v>
      </c>
      <c r="F210" s="132" t="s">
        <v>728</v>
      </c>
      <c r="G210" s="132" t="str">
        <f>IF(ISNUMBER(SEARCH("Yes",FMECA!L212)),"Yes",IF(FMECA!L212="No","No",IF(ISNUMBER(SEARCH("No; impactless.",FMECA!L212)),"Impactless","Not Applicable")))</f>
        <v>No</v>
      </c>
      <c r="H210" s="132" t="str">
        <f>IF(ISNUMBER(SEARCH("CM0", FMECA!AC212)), "CM0", IF(ISNUMBER(SEARCH("CM1", FMECA!AC212)), "CM1", IF(ISNUMBER(SEARCH("CM2", FMECA!AC212)), "CM2", IF(ISNUMBER(SEARCH("CM3", FMECA!AC212)), "CM3", "Not Applicable"))))</f>
        <v>CM3</v>
      </c>
      <c r="I210" s="134">
        <f t="shared" si="27"/>
        <v>0</v>
      </c>
      <c r="J210" s="134">
        <f t="shared" si="28"/>
        <v>0</v>
      </c>
      <c r="K210" s="134">
        <f t="shared" si="29"/>
        <v>0</v>
      </c>
      <c r="L210" s="134">
        <f t="shared" si="30"/>
        <v>0</v>
      </c>
      <c r="M210" s="134">
        <f t="shared" si="31"/>
        <v>0</v>
      </c>
      <c r="N210" s="134">
        <f t="shared" si="32"/>
        <v>0</v>
      </c>
      <c r="O210" s="134">
        <f t="shared" si="33"/>
        <v>0</v>
      </c>
      <c r="P210" s="134">
        <f t="shared" si="34"/>
        <v>0</v>
      </c>
      <c r="Q210" s="134">
        <f t="shared" si="35"/>
        <v>5.4896210671854778E-9</v>
      </c>
    </row>
    <row r="211" spans="1:17">
      <c r="A211" s="132" t="str">
        <f>FMECA!A213</f>
        <v>C_Sys</v>
      </c>
      <c r="B211" s="133" t="str">
        <f>FMECA!B213</f>
        <v>Open</v>
      </c>
      <c r="C211" s="133">
        <f>FMECA!E213</f>
        <v>8.7026498780866543E-10</v>
      </c>
      <c r="D211" s="132" t="str">
        <f>FMECA!H213</f>
        <v>Safe</v>
      </c>
      <c r="E211" s="132" t="str">
        <f>IF(ISNUMBER(SEARCH("Yes",FMECA!K213)),"Yes",IF(FMECA!K213="No","No",IF(ISNUMBER(SEARCH("No; impactless.",FMECA!K213)),"Impactless",IF(ISNUMBER(SEARCH("Outside the scope",FMECA!K213)),"Outside Scope",IF(ISNUMBER(SEARCH("Maybe",FMECA!K213)),"Maybe","Not Applicable")))))</f>
        <v>Outside Scope</v>
      </c>
      <c r="F211" s="132" t="s">
        <v>728</v>
      </c>
      <c r="G211" s="132" t="str">
        <f>IF(ISNUMBER(SEARCH("Yes",FMECA!L213)),"Yes",IF(FMECA!L213="No","No",IF(ISNUMBER(SEARCH("No; impactless.",FMECA!L213)),"Impactless","Not Applicable")))</f>
        <v>No</v>
      </c>
      <c r="H211" s="132" t="str">
        <f>IF(ISNUMBER(SEARCH("CM0", FMECA!AC213)), "CM0", IF(ISNUMBER(SEARCH("CM1", FMECA!AC213)), "CM1", IF(ISNUMBER(SEARCH("CM2", FMECA!AC213)), "CM2", IF(ISNUMBER(SEARCH("CM3", FMECA!AC213)), "CM3", "Not Applicable"))))</f>
        <v>Not Applicable</v>
      </c>
      <c r="I211" s="134">
        <f t="shared" si="27"/>
        <v>0</v>
      </c>
      <c r="J211" s="134">
        <f t="shared" si="28"/>
        <v>0</v>
      </c>
      <c r="K211" s="134">
        <f t="shared" si="29"/>
        <v>0</v>
      </c>
      <c r="L211" s="134">
        <f t="shared" si="30"/>
        <v>8.7026498780866543E-10</v>
      </c>
      <c r="M211" s="134">
        <f t="shared" si="31"/>
        <v>0</v>
      </c>
      <c r="N211" s="134">
        <f t="shared" si="32"/>
        <v>0</v>
      </c>
      <c r="O211" s="134">
        <f t="shared" si="33"/>
        <v>0</v>
      </c>
      <c r="P211" s="134">
        <f t="shared" si="34"/>
        <v>0</v>
      </c>
      <c r="Q211" s="134">
        <f t="shared" si="35"/>
        <v>0</v>
      </c>
    </row>
    <row r="212" spans="1:17">
      <c r="A212" s="132" t="str">
        <f>FMECA!A214</f>
        <v>C_Sys</v>
      </c>
      <c r="B212" s="133" t="str">
        <f>FMECA!B214</f>
        <v>Short-Circuit</v>
      </c>
      <c r="C212" s="133">
        <f>FMECA!E214</f>
        <v>1.3178298386816936E-9</v>
      </c>
      <c r="D212" s="132" t="str">
        <f>FMECA!H214</f>
        <v>Safe</v>
      </c>
      <c r="E212" s="132" t="str">
        <f>IF(ISNUMBER(SEARCH("Yes",FMECA!K214)),"Yes",IF(FMECA!K214="No","No",IF(ISNUMBER(SEARCH("No; impactless.",FMECA!K214)),"Impactless",IF(ISNUMBER(SEARCH("Outside the scope",FMECA!K214)),"Outside Scope",IF(ISNUMBER(SEARCH("Maybe",FMECA!K214)),"Maybe","Not Applicable")))))</f>
        <v>Yes</v>
      </c>
      <c r="F212" s="132" t="s">
        <v>728</v>
      </c>
      <c r="G212" s="132" t="str">
        <f>IF(ISNUMBER(SEARCH("Yes",FMECA!L214)),"Yes",IF(FMECA!L214="No","No",IF(ISNUMBER(SEARCH("No; impactless.",FMECA!L214)),"Impactless","Not Applicable")))</f>
        <v>No</v>
      </c>
      <c r="H212" s="132" t="str">
        <f>IF(ISNUMBER(SEARCH("CM0", FMECA!AC214)), "CM0", IF(ISNUMBER(SEARCH("CM1", FMECA!AC214)), "CM1", IF(ISNUMBER(SEARCH("CM2", FMECA!AC214)), "CM2", IF(ISNUMBER(SEARCH("CM3", FMECA!AC214)), "CM3", "Not Applicable"))))</f>
        <v>Not Applicable</v>
      </c>
      <c r="I212" s="134">
        <f t="shared" si="27"/>
        <v>1.3178298386816936E-9</v>
      </c>
      <c r="J212" s="134">
        <f t="shared" si="28"/>
        <v>0</v>
      </c>
      <c r="K212" s="134">
        <f t="shared" si="29"/>
        <v>0</v>
      </c>
      <c r="L212" s="134">
        <f t="shared" si="30"/>
        <v>0</v>
      </c>
      <c r="M212" s="134">
        <f t="shared" si="31"/>
        <v>0</v>
      </c>
      <c r="N212" s="134">
        <f t="shared" si="32"/>
        <v>0</v>
      </c>
      <c r="O212" s="134">
        <f t="shared" si="33"/>
        <v>0</v>
      </c>
      <c r="P212" s="134">
        <f t="shared" si="34"/>
        <v>0</v>
      </c>
      <c r="Q212" s="134">
        <f t="shared" si="35"/>
        <v>0</v>
      </c>
    </row>
    <row r="213" spans="1:17">
      <c r="A213" s="132" t="str">
        <f>FMECA!A215</f>
        <v>C_Sys</v>
      </c>
      <c r="B213" s="133" t="str">
        <f>FMECA!B215</f>
        <v>Decrease of Parallel Resistance</v>
      </c>
      <c r="C213" s="133">
        <f>FMECA!E215</f>
        <v>0</v>
      </c>
      <c r="D213" s="132" t="str">
        <f>FMECA!H215</f>
        <v>Safe</v>
      </c>
      <c r="E213" s="132" t="str">
        <f>IF(ISNUMBER(SEARCH("Yes",FMECA!K215)),"Yes",IF(FMECA!K215="No","No",IF(ISNUMBER(SEARCH("No; impactless.",FMECA!K215)),"Impactless",IF(ISNUMBER(SEARCH("Outside the scope",FMECA!K215)),"Outside Scope",IF(ISNUMBER(SEARCH("Maybe",FMECA!K215)),"Maybe","Not Applicable")))))</f>
        <v>Yes</v>
      </c>
      <c r="F213" s="132" t="s">
        <v>728</v>
      </c>
      <c r="G213" s="132" t="str">
        <f>IF(ISNUMBER(SEARCH("Yes",FMECA!L215)),"Yes",IF(FMECA!L215="No","No",IF(ISNUMBER(SEARCH("No; impactless.",FMECA!L215)),"Impactless","Not Applicable")))</f>
        <v>No</v>
      </c>
      <c r="H213" s="132" t="str">
        <f>IF(ISNUMBER(SEARCH("CM0", FMECA!AC215)), "CM0", IF(ISNUMBER(SEARCH("CM1", FMECA!AC215)), "CM1", IF(ISNUMBER(SEARCH("CM2", FMECA!AC215)), "CM2", IF(ISNUMBER(SEARCH("CM3", FMECA!AC215)), "CM3", "Not Applicable"))))</f>
        <v>Not Applicable</v>
      </c>
      <c r="I213" s="134">
        <f t="shared" si="27"/>
        <v>0</v>
      </c>
      <c r="J213" s="134">
        <f t="shared" si="28"/>
        <v>0</v>
      </c>
      <c r="K213" s="134">
        <f t="shared" si="29"/>
        <v>0</v>
      </c>
      <c r="L213" s="134">
        <f t="shared" si="30"/>
        <v>0</v>
      </c>
      <c r="M213" s="134">
        <f t="shared" si="31"/>
        <v>0</v>
      </c>
      <c r="N213" s="134">
        <f t="shared" si="32"/>
        <v>0</v>
      </c>
      <c r="O213" s="134">
        <f t="shared" si="33"/>
        <v>0</v>
      </c>
      <c r="P213" s="134">
        <f t="shared" si="34"/>
        <v>0</v>
      </c>
      <c r="Q213" s="134">
        <f t="shared" si="35"/>
        <v>0</v>
      </c>
    </row>
    <row r="214" spans="1:17">
      <c r="A214" s="132" t="str">
        <f>FMECA!A216</f>
        <v>C_Sys</v>
      </c>
      <c r="B214" s="133" t="str">
        <f>FMECA!B216</f>
        <v>Increased Dissipation Factor</v>
      </c>
      <c r="C214" s="133">
        <f>FMECA!E216</f>
        <v>8.2882379791301472E-11</v>
      </c>
      <c r="D214" s="132" t="str">
        <f>FMECA!H216</f>
        <v>Safe</v>
      </c>
      <c r="E214" s="132" t="str">
        <f>IF(ISNUMBER(SEARCH("Yes",FMECA!K216)),"Yes",IF(FMECA!K216="No","No",IF(ISNUMBER(SEARCH("No; impactless.",FMECA!K216)),"Impactless",IF(ISNUMBER(SEARCH("Outside the scope",FMECA!K216)),"Outside Scope",IF(ISNUMBER(SEARCH("Maybe",FMECA!K216)),"Maybe","Not Applicable")))))</f>
        <v>Outside Scope</v>
      </c>
      <c r="F214" s="132" t="s">
        <v>728</v>
      </c>
      <c r="G214" s="132" t="str">
        <f>IF(ISNUMBER(SEARCH("Yes",FMECA!L216)),"Yes",IF(FMECA!L216="No","No",IF(ISNUMBER(SEARCH("No; impactless.",FMECA!L216)),"Impactless","Not Applicable")))</f>
        <v>No</v>
      </c>
      <c r="H214" s="132" t="str">
        <f>IF(ISNUMBER(SEARCH("CM0", FMECA!AC216)), "CM0", IF(ISNUMBER(SEARCH("CM1", FMECA!AC216)), "CM1", IF(ISNUMBER(SEARCH("CM2", FMECA!AC216)), "CM2", IF(ISNUMBER(SEARCH("CM3", FMECA!AC216)), "CM3", "Not Applicable"))))</f>
        <v>Not Applicable</v>
      </c>
      <c r="I214" s="134">
        <f t="shared" si="27"/>
        <v>0</v>
      </c>
      <c r="J214" s="134">
        <f t="shared" si="28"/>
        <v>0</v>
      </c>
      <c r="K214" s="134">
        <f t="shared" si="29"/>
        <v>0</v>
      </c>
      <c r="L214" s="134">
        <f t="shared" si="30"/>
        <v>8.2882379791301472E-11</v>
      </c>
      <c r="M214" s="134">
        <f t="shared" si="31"/>
        <v>0</v>
      </c>
      <c r="N214" s="134">
        <f t="shared" si="32"/>
        <v>0</v>
      </c>
      <c r="O214" s="134">
        <f t="shared" si="33"/>
        <v>0</v>
      </c>
      <c r="P214" s="134">
        <f t="shared" si="34"/>
        <v>0</v>
      </c>
      <c r="Q214" s="134">
        <f t="shared" si="35"/>
        <v>0</v>
      </c>
    </row>
    <row r="215" spans="1:17">
      <c r="A215" s="132" t="str">
        <f>FMECA!A217</f>
        <v>C_Sys</v>
      </c>
      <c r="B215" s="133" t="str">
        <f>FMECA!B217</f>
        <v>Increase of Capacitance</v>
      </c>
      <c r="C215" s="133">
        <f>FMECA!E217</f>
        <v>0</v>
      </c>
      <c r="D215" s="132" t="str">
        <f>FMECA!H217</f>
        <v>Safe</v>
      </c>
      <c r="E215" s="132" t="str">
        <f>IF(ISNUMBER(SEARCH("Yes",FMECA!K217)),"Yes",IF(FMECA!K217="No","No",IF(ISNUMBER(SEARCH("No; impactless.",FMECA!K217)),"Impactless",IF(ISNUMBER(SEARCH("Outside the scope",FMECA!K217)),"Outside Scope",IF(ISNUMBER(SEARCH("Maybe",FMECA!K217)),"Maybe","Not Applicable")))))</f>
        <v>Yes</v>
      </c>
      <c r="F215" s="132" t="s">
        <v>728</v>
      </c>
      <c r="G215" s="132" t="str">
        <f>IF(ISNUMBER(SEARCH("Yes",FMECA!L217)),"Yes",IF(FMECA!L217="No","No",IF(ISNUMBER(SEARCH("No; impactless.",FMECA!L217)),"Impactless","Not Applicable")))</f>
        <v>No</v>
      </c>
      <c r="H215" s="132" t="str">
        <f>IF(ISNUMBER(SEARCH("CM0", FMECA!AC217)), "CM0", IF(ISNUMBER(SEARCH("CM1", FMECA!AC217)), "CM1", IF(ISNUMBER(SEARCH("CM2", FMECA!AC217)), "CM2", IF(ISNUMBER(SEARCH("CM3", FMECA!AC217)), "CM3", "Not Applicable"))))</f>
        <v>Not Applicable</v>
      </c>
      <c r="I215" s="134">
        <f t="shared" si="27"/>
        <v>0</v>
      </c>
      <c r="J215" s="134">
        <f t="shared" si="28"/>
        <v>0</v>
      </c>
      <c r="K215" s="134">
        <f t="shared" si="29"/>
        <v>0</v>
      </c>
      <c r="L215" s="134">
        <f t="shared" si="30"/>
        <v>0</v>
      </c>
      <c r="M215" s="134">
        <f t="shared" si="31"/>
        <v>0</v>
      </c>
      <c r="N215" s="134">
        <f t="shared" si="32"/>
        <v>0</v>
      </c>
      <c r="O215" s="134">
        <f t="shared" si="33"/>
        <v>0</v>
      </c>
      <c r="P215" s="134">
        <f t="shared" si="34"/>
        <v>0</v>
      </c>
      <c r="Q215" s="134">
        <f t="shared" si="35"/>
        <v>0</v>
      </c>
    </row>
    <row r="216" spans="1:17">
      <c r="A216" s="132" t="str">
        <f>FMECA!A218</f>
        <v>C_Sys</v>
      </c>
      <c r="B216" s="133" t="str">
        <f>FMECA!B218</f>
        <v>Decrease of Capacitance</v>
      </c>
      <c r="C216" s="133">
        <f>FMECA!E218</f>
        <v>1.3261180766608236E-10</v>
      </c>
      <c r="D216" s="132" t="str">
        <f>FMECA!H218</f>
        <v>Safe</v>
      </c>
      <c r="E216" s="132" t="str">
        <f>IF(ISNUMBER(SEARCH("Yes",FMECA!K218)),"Yes",IF(FMECA!K218="No","No",IF(ISNUMBER(SEARCH("No; impactless.",FMECA!K218)),"Impactless",IF(ISNUMBER(SEARCH("Outside the scope",FMECA!K218)),"Outside Scope",IF(ISNUMBER(SEARCH("Maybe",FMECA!K218)),"Maybe","Not Applicable")))))</f>
        <v>Outside Scope</v>
      </c>
      <c r="F216" s="132" t="s">
        <v>728</v>
      </c>
      <c r="G216" s="132" t="str">
        <f>IF(ISNUMBER(SEARCH("Yes",FMECA!L218)),"Yes",IF(FMECA!L218="No","No",IF(ISNUMBER(SEARCH("No; impactless.",FMECA!L218)),"Impactless","Not Applicable")))</f>
        <v>No</v>
      </c>
      <c r="H216" s="132" t="str">
        <f>IF(ISNUMBER(SEARCH("CM0", FMECA!AC218)), "CM0", IF(ISNUMBER(SEARCH("CM1", FMECA!AC218)), "CM1", IF(ISNUMBER(SEARCH("CM2", FMECA!AC218)), "CM2", IF(ISNUMBER(SEARCH("CM3", FMECA!AC218)), "CM3", "Not Applicable"))))</f>
        <v>Not Applicable</v>
      </c>
      <c r="I216" s="134">
        <f t="shared" si="27"/>
        <v>0</v>
      </c>
      <c r="J216" s="134">
        <f t="shared" si="28"/>
        <v>0</v>
      </c>
      <c r="K216" s="134">
        <f t="shared" si="29"/>
        <v>0</v>
      </c>
      <c r="L216" s="134">
        <f t="shared" si="30"/>
        <v>1.3261180766608236E-10</v>
      </c>
      <c r="M216" s="134">
        <f t="shared" si="31"/>
        <v>0</v>
      </c>
      <c r="N216" s="134">
        <f t="shared" si="32"/>
        <v>0</v>
      </c>
      <c r="O216" s="134">
        <f t="shared" si="33"/>
        <v>0</v>
      </c>
      <c r="P216" s="134">
        <f t="shared" si="34"/>
        <v>0</v>
      </c>
      <c r="Q216" s="134">
        <f t="shared" si="35"/>
        <v>0</v>
      </c>
    </row>
    <row r="217" spans="1:17">
      <c r="A217" s="132" t="str">
        <f>FMECA!A219</f>
        <v>C_Sys</v>
      </c>
      <c r="B217" s="133" t="str">
        <f>FMECA!B219</f>
        <v>Increase of Series Resistance</v>
      </c>
      <c r="C217" s="133">
        <f>FMECA!E219</f>
        <v>8.2882379791301472E-11</v>
      </c>
      <c r="D217" s="132" t="str">
        <f>FMECA!H219</f>
        <v>Safe</v>
      </c>
      <c r="E217" s="132" t="str">
        <f>IF(ISNUMBER(SEARCH("Yes",FMECA!K219)),"Yes",IF(FMECA!K219="No","No",IF(ISNUMBER(SEARCH("No; impactless.",FMECA!K219)),"Impactless",IF(ISNUMBER(SEARCH("Outside the scope",FMECA!K219)),"Outside Scope",IF(ISNUMBER(SEARCH("Maybe",FMECA!K219)),"Maybe","Not Applicable")))))</f>
        <v>Outside Scope</v>
      </c>
      <c r="F217" s="132" t="s">
        <v>728</v>
      </c>
      <c r="G217" s="132" t="str">
        <f>IF(ISNUMBER(SEARCH("Yes",FMECA!L219)),"Yes",IF(FMECA!L219="No","No",IF(ISNUMBER(SEARCH("No; impactless.",FMECA!L219)),"Impactless","Not Applicable")))</f>
        <v>No</v>
      </c>
      <c r="H217" s="132" t="str">
        <f>IF(ISNUMBER(SEARCH("CM0", FMECA!AC219)), "CM0", IF(ISNUMBER(SEARCH("CM1", FMECA!AC219)), "CM1", IF(ISNUMBER(SEARCH("CM2", FMECA!AC219)), "CM2", IF(ISNUMBER(SEARCH("CM3", FMECA!AC219)), "CM3", "Not Applicable"))))</f>
        <v>Not Applicable</v>
      </c>
      <c r="I217" s="134">
        <f t="shared" si="27"/>
        <v>0</v>
      </c>
      <c r="J217" s="134">
        <f t="shared" si="28"/>
        <v>0</v>
      </c>
      <c r="K217" s="134">
        <f t="shared" si="29"/>
        <v>0</v>
      </c>
      <c r="L217" s="134">
        <f t="shared" si="30"/>
        <v>8.2882379791301472E-11</v>
      </c>
      <c r="M217" s="134">
        <f t="shared" si="31"/>
        <v>0</v>
      </c>
      <c r="N217" s="134">
        <f t="shared" si="32"/>
        <v>0</v>
      </c>
      <c r="O217" s="134">
        <f t="shared" si="33"/>
        <v>0</v>
      </c>
      <c r="P217" s="134">
        <f t="shared" si="34"/>
        <v>0</v>
      </c>
      <c r="Q217" s="134">
        <f t="shared" si="35"/>
        <v>0</v>
      </c>
    </row>
    <row r="218" spans="1:17">
      <c r="A218" s="132" t="str">
        <f>FMECA!A220</f>
        <v>C_Sys</v>
      </c>
      <c r="B218" s="133" t="str">
        <f>FMECA!B220</f>
        <v>Short-Circuit to Casing</v>
      </c>
      <c r="C218" s="133">
        <f>FMECA!E220</f>
        <v>0</v>
      </c>
      <c r="D218" s="132" t="str">
        <f>FMECA!H220</f>
        <v>Safe</v>
      </c>
      <c r="E218" s="132" t="str">
        <f>IF(ISNUMBER(SEARCH("Yes",FMECA!K220)),"Yes",IF(FMECA!K220="No","No",IF(ISNUMBER(SEARCH("No; impactless.",FMECA!K220)),"Impactless",IF(ISNUMBER(SEARCH("Outside the scope",FMECA!K220)),"Outside Scope",IF(ISNUMBER(SEARCH("Maybe",FMECA!K220)),"Maybe","Not Applicable")))))</f>
        <v>Impactless</v>
      </c>
      <c r="F218" s="132" t="s">
        <v>728</v>
      </c>
      <c r="G218" s="132" t="str">
        <f>IF(ISNUMBER(SEARCH("Yes",FMECA!L220)),"Yes",IF(FMECA!L220="No","No",IF(ISNUMBER(SEARCH("No; impactless.",FMECA!L220)),"Impactless","Not Applicable")))</f>
        <v>Impactless</v>
      </c>
      <c r="H218" s="132" t="str">
        <f>IF(ISNUMBER(SEARCH("CM0", FMECA!AC220)), "CM0", IF(ISNUMBER(SEARCH("CM1", FMECA!AC220)), "CM1", IF(ISNUMBER(SEARCH("CM2", FMECA!AC220)), "CM2", IF(ISNUMBER(SEARCH("CM3", FMECA!AC220)), "CM3", "Not Applicable"))))</f>
        <v>Not Applicable</v>
      </c>
      <c r="I218" s="134">
        <f>IF(AND(E218 = "Yes", G218 = "No"), C218, 0)</f>
        <v>0</v>
      </c>
      <c r="J218" s="134">
        <f>IF(AND(OR(E218 = "No", E218 = "Maybe"), G218 = "Yes"), C218, 0)</f>
        <v>0</v>
      </c>
      <c r="K218" s="134">
        <f>IF(AND(E218="Yes",G218="Yes"), C218, 0)</f>
        <v>0</v>
      </c>
      <c r="L218" s="134">
        <f>IF(E218="Outside Scope", C218, 0)</f>
        <v>0</v>
      </c>
      <c r="M218" s="134">
        <f>IF(AND(E218 = "Maybe", F218 = "Yes", G218 = "No"), C218, 0)</f>
        <v>0</v>
      </c>
      <c r="N218" s="134">
        <f>IF(AND(E218 = "Maybe", F218 = "No", G218 = "No"), C218, 0)</f>
        <v>0</v>
      </c>
      <c r="O218" s="134">
        <f>IF(H218 = "CM1", C218, 0)</f>
        <v>0</v>
      </c>
      <c r="P218" s="134">
        <f t="shared" si="34"/>
        <v>0</v>
      </c>
      <c r="Q218" s="134">
        <f>IF(H218 = "CM3", C218, 0)</f>
        <v>0</v>
      </c>
    </row>
    <row r="219" spans="1:17">
      <c r="A219" s="135" t="s">
        <v>1336</v>
      </c>
      <c r="B219" s="135"/>
      <c r="C219" s="135"/>
      <c r="D219" s="135"/>
      <c r="E219" s="135"/>
      <c r="F219" s="135"/>
      <c r="G219" s="135"/>
      <c r="H219" s="135"/>
      <c r="I219" s="134">
        <f>SUM(I2:I218)</f>
        <v>9.2987498416742832E-7</v>
      </c>
      <c r="J219" s="134">
        <f t="shared" ref="J219:Q219" si="36">SUM(J2:J218)</f>
        <v>1.5922395138108965E-6</v>
      </c>
      <c r="K219" s="134">
        <f t="shared" si="36"/>
        <v>1.3622278237851956E-6</v>
      </c>
      <c r="L219" s="134">
        <f t="shared" si="36"/>
        <v>2.9304791630499394E-6</v>
      </c>
      <c r="M219" s="134">
        <f t="shared" si="36"/>
        <v>3.785141180555196E-7</v>
      </c>
      <c r="N219" s="134">
        <f t="shared" si="36"/>
        <v>1.4980321500467867E-9</v>
      </c>
      <c r="O219" s="134">
        <f t="shared" si="36"/>
        <v>2.9994839003739832E-8</v>
      </c>
      <c r="P219" s="134">
        <f t="shared" si="36"/>
        <v>9.1999999999999997E-9</v>
      </c>
      <c r="Q219" s="134">
        <f t="shared" si="36"/>
        <v>1.6468863201556432E-8</v>
      </c>
    </row>
  </sheetData>
  <autoFilter ref="A1:Q219"/>
  <mergeCells count="1">
    <mergeCell ref="A219:H219"/>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workbookViewId="0">
      <selection activeCell="C2" sqref="C2:C3"/>
    </sheetView>
  </sheetViews>
  <sheetFormatPr defaultRowHeight="15"/>
  <cols>
    <col min="1" max="1" width="29.85546875" customWidth="1"/>
    <col min="2" max="2" width="37.140625" bestFit="1" customWidth="1"/>
    <col min="3" max="3" width="105.5703125" bestFit="1" customWidth="1"/>
    <col min="4" max="4" width="36.42578125" customWidth="1"/>
    <col min="5" max="5" width="76" customWidth="1"/>
  </cols>
  <sheetData>
    <row r="1" spans="1:3">
      <c r="A1" s="1" t="s">
        <v>9</v>
      </c>
      <c r="B1" s="1" t="s">
        <v>0</v>
      </c>
      <c r="C1" s="2" t="s">
        <v>7</v>
      </c>
    </row>
    <row r="2" spans="1:3">
      <c r="A2" s="1" t="s">
        <v>8</v>
      </c>
      <c r="B2" s="1" t="s">
        <v>47</v>
      </c>
      <c r="C2" s="113" t="s">
        <v>48</v>
      </c>
    </row>
    <row r="3" spans="1:3">
      <c r="A3" s="1" t="s">
        <v>2</v>
      </c>
      <c r="B3" s="1">
        <v>2017</v>
      </c>
      <c r="C3" s="113"/>
    </row>
    <row r="4" spans="1:3">
      <c r="A4" s="1" t="s">
        <v>3</v>
      </c>
      <c r="B4" s="1">
        <v>0.47899999999999998</v>
      </c>
      <c r="C4" s="2" t="s">
        <v>10</v>
      </c>
    </row>
    <row r="5" spans="1:3">
      <c r="A5" s="1" t="s">
        <v>1</v>
      </c>
      <c r="B5" s="1">
        <f>EXP(-B4*(B3-1993))</f>
        <v>1.0170695121936509E-5</v>
      </c>
      <c r="C5" s="2" t="s">
        <v>11</v>
      </c>
    </row>
    <row r="6" spans="1:3">
      <c r="A6" s="1" t="s">
        <v>4</v>
      </c>
      <c r="B6" s="1">
        <v>7.9999999999999996E-6</v>
      </c>
      <c r="C6" s="2" t="s">
        <v>10</v>
      </c>
    </row>
    <row r="7" spans="1:3">
      <c r="A7" s="1" t="s">
        <v>6</v>
      </c>
      <c r="B7" s="1">
        <f>24/24</f>
        <v>1</v>
      </c>
      <c r="C7" s="2" t="s">
        <v>50</v>
      </c>
    </row>
    <row r="8" spans="1:3">
      <c r="A8" s="1" t="s">
        <v>13</v>
      </c>
      <c r="B8" s="1">
        <v>0.28000000000000003</v>
      </c>
      <c r="C8" s="2" t="s">
        <v>10</v>
      </c>
    </row>
    <row r="9" spans="1:3">
      <c r="A9" s="1" t="s">
        <v>5</v>
      </c>
      <c r="B9" s="1">
        <f>B7/B8</f>
        <v>3.5714285714285712</v>
      </c>
      <c r="C9" s="2" t="s">
        <v>11</v>
      </c>
    </row>
    <row r="10" spans="1:3">
      <c r="A10" s="1" t="s">
        <v>12</v>
      </c>
      <c r="B10" s="1">
        <v>0.8</v>
      </c>
      <c r="C10" s="2" t="s">
        <v>10</v>
      </c>
    </row>
    <row r="11" spans="1:3">
      <c r="A11" s="1" t="s">
        <v>14</v>
      </c>
      <c r="B11" s="1">
        <v>71</v>
      </c>
      <c r="C11" s="2" t="s">
        <v>51</v>
      </c>
    </row>
    <row r="12" spans="1:3">
      <c r="A12" s="1" t="s">
        <v>15</v>
      </c>
      <c r="B12" s="1">
        <v>20</v>
      </c>
      <c r="C12" s="2" t="s">
        <v>16</v>
      </c>
    </row>
    <row r="13" spans="1:3">
      <c r="A13" s="1" t="s">
        <v>17</v>
      </c>
      <c r="B13" s="1">
        <f>EXP((-B10/0.00008617)*((1/(B11+B12+273))-(1/298)))</f>
        <v>283.96523292387161</v>
      </c>
      <c r="C13" s="2" t="s">
        <v>11</v>
      </c>
    </row>
    <row r="14" spans="1:3">
      <c r="A14" s="1" t="s">
        <v>18</v>
      </c>
      <c r="B14" s="1">
        <v>6.3400000000000001E-4</v>
      </c>
      <c r="C14" s="2" t="s">
        <v>10</v>
      </c>
    </row>
    <row r="15" spans="1:3">
      <c r="A15" s="1" t="s">
        <v>19</v>
      </c>
      <c r="B15" s="1">
        <v>0.72</v>
      </c>
      <c r="C15" s="2" t="s">
        <v>10</v>
      </c>
    </row>
    <row r="16" spans="1:3">
      <c r="A16" s="1" t="s">
        <v>20</v>
      </c>
      <c r="B16" s="1">
        <f>(1-B7)/B15</f>
        <v>0</v>
      </c>
      <c r="C16" s="2" t="s">
        <v>11</v>
      </c>
    </row>
    <row r="17" spans="1:3">
      <c r="A17" s="1" t="s">
        <v>21</v>
      </c>
      <c r="B17" s="1">
        <v>0.9</v>
      </c>
      <c r="C17" s="2" t="s">
        <v>52</v>
      </c>
    </row>
    <row r="18" spans="1:3">
      <c r="A18" s="1" t="s">
        <v>23</v>
      </c>
      <c r="B18" s="1">
        <v>0.3</v>
      </c>
      <c r="C18" s="2" t="s">
        <v>10</v>
      </c>
    </row>
    <row r="19" spans="1:3">
      <c r="A19" s="1" t="s">
        <v>24</v>
      </c>
      <c r="B19" s="1">
        <v>14</v>
      </c>
      <c r="C19" s="2" t="s">
        <v>53</v>
      </c>
    </row>
    <row r="20" spans="1:3">
      <c r="A20" s="1" t="s">
        <v>22</v>
      </c>
      <c r="B20" s="3">
        <f>EXP((-B18/0.00008617)*((1/(B19+273))-(1/298)))*POWER((B17/0.5), 3)</f>
        <v>3.7269311834508061</v>
      </c>
      <c r="C20" s="2" t="s">
        <v>11</v>
      </c>
    </row>
    <row r="21" spans="1:3">
      <c r="A21" s="1" t="s">
        <v>25</v>
      </c>
      <c r="B21" s="1">
        <v>2.5000000000000001E-5</v>
      </c>
      <c r="C21" s="2" t="s">
        <v>10</v>
      </c>
    </row>
    <row r="22" spans="1:3">
      <c r="A22" s="1" t="s">
        <v>26</v>
      </c>
      <c r="B22" s="1">
        <v>365</v>
      </c>
      <c r="C22" s="2" t="s">
        <v>54</v>
      </c>
    </row>
    <row r="23" spans="1:3">
      <c r="A23" s="1" t="s">
        <v>28</v>
      </c>
      <c r="B23" s="3">
        <v>482.46</v>
      </c>
      <c r="C23" s="2" t="s">
        <v>10</v>
      </c>
    </row>
    <row r="24" spans="1:3">
      <c r="A24" s="1" t="s">
        <v>27</v>
      </c>
      <c r="B24" s="3">
        <f>B22/B23</f>
        <v>0.75653940223023675</v>
      </c>
      <c r="C24" s="2" t="s">
        <v>11</v>
      </c>
    </row>
    <row r="25" spans="1:3">
      <c r="A25" s="1" t="s">
        <v>30</v>
      </c>
      <c r="B25" s="3">
        <v>26.5</v>
      </c>
      <c r="C25" s="2" t="s">
        <v>10</v>
      </c>
    </row>
    <row r="26" spans="1:3">
      <c r="A26" s="1" t="s">
        <v>29</v>
      </c>
      <c r="B26" s="3">
        <f>POWER((B11+B12-B19)/B25,4)</f>
        <v>71.2819226102946</v>
      </c>
      <c r="C26" s="2" t="s">
        <v>11</v>
      </c>
    </row>
    <row r="27" spans="1:3">
      <c r="A27" s="1" t="s">
        <v>31</v>
      </c>
      <c r="B27" s="3">
        <v>4.8500000000000001E-3</v>
      </c>
      <c r="C27" s="2" t="s">
        <v>10</v>
      </c>
    </row>
    <row r="28" spans="1:3">
      <c r="A28" s="1" t="s">
        <v>32</v>
      </c>
      <c r="B28" s="3">
        <f>POWER((B11+B12-B19)/44,2.26)</f>
        <v>3.5421421835983335</v>
      </c>
      <c r="C28" s="2" t="s">
        <v>11</v>
      </c>
    </row>
    <row r="29" spans="1:3">
      <c r="A29" s="1" t="s">
        <v>33</v>
      </c>
      <c r="B29" s="3">
        <v>5.5199999999999997E-4</v>
      </c>
      <c r="C29" s="2" t="s">
        <v>10</v>
      </c>
    </row>
    <row r="30" spans="1:3">
      <c r="A30" s="1" t="s">
        <v>34</v>
      </c>
      <c r="B30" s="3">
        <f>(B5*((B6*B9*B13)+(B14*B16*B20)+(B21*B24*B26)))+B27*B28+B29</f>
        <v>1.7731485820300208E-2</v>
      </c>
      <c r="C30" s="2" t="s">
        <v>11</v>
      </c>
    </row>
    <row r="31" spans="1:3">
      <c r="A31" s="1" t="s">
        <v>35</v>
      </c>
      <c r="B31" s="3">
        <f>B30/1000000</f>
        <v>1.7731485820300208E-8</v>
      </c>
      <c r="C31" s="2" t="s">
        <v>36</v>
      </c>
    </row>
    <row r="33" spans="1:5">
      <c r="A33" s="1" t="s">
        <v>61</v>
      </c>
      <c r="B33" s="1" t="s">
        <v>58</v>
      </c>
      <c r="C33" s="1" t="s">
        <v>38</v>
      </c>
      <c r="D33" s="5" t="s">
        <v>59</v>
      </c>
      <c r="E33" s="5" t="s">
        <v>63</v>
      </c>
    </row>
    <row r="34" spans="1:5">
      <c r="A34" s="1" t="s">
        <v>60</v>
      </c>
      <c r="B34" s="1" t="s">
        <v>37</v>
      </c>
      <c r="C34" s="16">
        <v>0.12</v>
      </c>
      <c r="D34" s="5">
        <f>C34*$B$31</f>
        <v>2.1277782984360249E-9</v>
      </c>
      <c r="E34" s="4" t="s">
        <v>64</v>
      </c>
    </row>
    <row r="35" spans="1:5">
      <c r="A35" s="1" t="s">
        <v>66</v>
      </c>
      <c r="B35" s="1" t="s">
        <v>68</v>
      </c>
      <c r="C35" s="16">
        <v>0.12</v>
      </c>
      <c r="D35" s="5">
        <f>C35*$B$31</f>
        <v>2.1277782984360249E-9</v>
      </c>
      <c r="E35" s="4" t="s">
        <v>65</v>
      </c>
    </row>
    <row r="36" spans="1:5">
      <c r="A36" s="1" t="s">
        <v>67</v>
      </c>
      <c r="B36" s="1" t="s">
        <v>69</v>
      </c>
      <c r="C36" s="16">
        <v>0.12</v>
      </c>
      <c r="D36" s="5">
        <f t="shared" ref="D36:D41" si="0">C36*$B$31</f>
        <v>2.1277782984360249E-9</v>
      </c>
      <c r="E36" s="4" t="s">
        <v>65</v>
      </c>
    </row>
    <row r="37" spans="1:5">
      <c r="A37" s="1" t="s">
        <v>354</v>
      </c>
      <c r="B37" s="1" t="s">
        <v>350</v>
      </c>
      <c r="C37" s="16">
        <v>0.24</v>
      </c>
      <c r="D37" s="5">
        <f t="shared" si="0"/>
        <v>4.2555565968720499E-9</v>
      </c>
      <c r="E37" s="4" t="s">
        <v>353</v>
      </c>
    </row>
    <row r="38" spans="1:5">
      <c r="A38" s="1" t="s">
        <v>71</v>
      </c>
      <c r="B38" s="1" t="s">
        <v>75</v>
      </c>
      <c r="C38" s="16">
        <v>0.03</v>
      </c>
      <c r="D38" s="5">
        <f t="shared" si="0"/>
        <v>5.3194457460900624E-10</v>
      </c>
      <c r="E38" s="4" t="s">
        <v>70</v>
      </c>
    </row>
    <row r="39" spans="1:5">
      <c r="A39" s="1" t="s">
        <v>73</v>
      </c>
      <c r="B39" s="1" t="s">
        <v>76</v>
      </c>
      <c r="C39" s="16">
        <v>0.03</v>
      </c>
      <c r="D39" s="5">
        <f>C39*$B$31</f>
        <v>5.3194457460900624E-10</v>
      </c>
      <c r="E39" s="4" t="s">
        <v>70</v>
      </c>
    </row>
    <row r="40" spans="1:5">
      <c r="A40" s="1" t="s">
        <v>355</v>
      </c>
      <c r="B40" s="1" t="s">
        <v>351</v>
      </c>
      <c r="C40" s="16">
        <v>0.03</v>
      </c>
      <c r="D40" s="5">
        <f>C40*$B$31</f>
        <v>5.3194457460900624E-10</v>
      </c>
      <c r="E40" s="4" t="s">
        <v>70</v>
      </c>
    </row>
    <row r="41" spans="1:5">
      <c r="A41" s="1" t="s">
        <v>72</v>
      </c>
      <c r="B41" s="1" t="s">
        <v>77</v>
      </c>
      <c r="C41" s="16">
        <f>0.08/3</f>
        <v>2.6666666666666668E-2</v>
      </c>
      <c r="D41" s="5">
        <f t="shared" si="0"/>
        <v>4.7283962187467226E-10</v>
      </c>
      <c r="E41" s="4" t="s">
        <v>79</v>
      </c>
    </row>
    <row r="42" spans="1:5">
      <c r="A42" s="1" t="s">
        <v>74</v>
      </c>
      <c r="B42" s="1" t="s">
        <v>78</v>
      </c>
      <c r="C42" s="16">
        <f>0.08/3</f>
        <v>2.6666666666666668E-2</v>
      </c>
      <c r="D42" s="5">
        <f>C42*$B$31</f>
        <v>4.7283962187467226E-10</v>
      </c>
      <c r="E42" s="4" t="s">
        <v>79</v>
      </c>
    </row>
    <row r="43" spans="1:5">
      <c r="A43" s="1" t="s">
        <v>356</v>
      </c>
      <c r="B43" s="1" t="s">
        <v>352</v>
      </c>
      <c r="C43" s="16">
        <f>0.08/3</f>
        <v>2.6666666666666668E-2</v>
      </c>
      <c r="D43" s="5">
        <f>C43*$B$31</f>
        <v>4.7283962187467226E-10</v>
      </c>
      <c r="E43" s="4" t="s">
        <v>79</v>
      </c>
    </row>
    <row r="44" spans="1:5">
      <c r="A44" s="1" t="s">
        <v>80</v>
      </c>
      <c r="B44" s="1" t="s">
        <v>81</v>
      </c>
      <c r="C44" s="16">
        <v>0.12</v>
      </c>
      <c r="D44" s="5">
        <f>C44*$B$31</f>
        <v>2.1277782984360249E-9</v>
      </c>
      <c r="E44" s="4" t="s">
        <v>82</v>
      </c>
    </row>
    <row r="45" spans="1:5">
      <c r="A45" s="35" t="s">
        <v>453</v>
      </c>
      <c r="B45" s="35" t="s">
        <v>454</v>
      </c>
      <c r="C45" s="16">
        <v>0.12</v>
      </c>
      <c r="D45" s="5">
        <f>C45*$B$31</f>
        <v>2.1277782984360249E-9</v>
      </c>
      <c r="E45" s="4" t="s">
        <v>82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A34" sqref="A34:A44"/>
    </sheetView>
  </sheetViews>
  <sheetFormatPr defaultRowHeight="15"/>
  <cols>
    <col min="1" max="1" width="29.42578125" bestFit="1" customWidth="1"/>
    <col min="2" max="2" width="37.140625" bestFit="1" customWidth="1"/>
    <col min="3" max="3" width="104.140625" customWidth="1"/>
    <col min="4" max="4" width="34.42578125" customWidth="1"/>
    <col min="5" max="5" width="72.42578125" customWidth="1"/>
  </cols>
  <sheetData>
    <row r="1" spans="1:3">
      <c r="A1" s="1" t="s">
        <v>9</v>
      </c>
      <c r="B1" s="1" t="s">
        <v>0</v>
      </c>
      <c r="C1" s="4" t="s">
        <v>7</v>
      </c>
    </row>
    <row r="2" spans="1:3">
      <c r="A2" s="1" t="s">
        <v>8</v>
      </c>
      <c r="B2" s="1" t="s">
        <v>47</v>
      </c>
      <c r="C2" s="113" t="s">
        <v>48</v>
      </c>
    </row>
    <row r="3" spans="1:3">
      <c r="A3" s="1" t="s">
        <v>2</v>
      </c>
      <c r="B3" s="1">
        <v>2017</v>
      </c>
      <c r="C3" s="113"/>
    </row>
    <row r="4" spans="1:3">
      <c r="A4" s="1" t="s">
        <v>3</v>
      </c>
      <c r="B4" s="1">
        <v>0.47899999999999998</v>
      </c>
      <c r="C4" s="4" t="s">
        <v>10</v>
      </c>
    </row>
    <row r="5" spans="1:3">
      <c r="A5" s="1" t="s">
        <v>1</v>
      </c>
      <c r="B5" s="1">
        <f>EXP(-B4*(B3-1993))</f>
        <v>1.0170695121936509E-5</v>
      </c>
      <c r="C5" s="4" t="s">
        <v>11</v>
      </c>
    </row>
    <row r="6" spans="1:3">
      <c r="A6" s="1" t="s">
        <v>4</v>
      </c>
      <c r="B6" s="1">
        <v>7.9999999999999996E-6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20</v>
      </c>
      <c r="C12" s="4" t="s">
        <v>16</v>
      </c>
    </row>
    <row r="13" spans="1:3">
      <c r="A13" s="1" t="s">
        <v>17</v>
      </c>
      <c r="B13" s="1">
        <f>EXP((-B10/0.00008617)*((1/(B11+B12+273))-(1/298)))</f>
        <v>283.96523292387161</v>
      </c>
      <c r="C13" s="4" t="s">
        <v>11</v>
      </c>
    </row>
    <row r="14" spans="1:3">
      <c r="A14" s="1" t="s">
        <v>18</v>
      </c>
      <c r="B14" s="1">
        <v>6.3400000000000001E-4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ht="30">
      <c r="A19" s="1" t="s">
        <v>24</v>
      </c>
      <c r="B19" s="1">
        <v>14</v>
      </c>
      <c r="C19" s="4" t="s">
        <v>53</v>
      </c>
    </row>
    <row r="20" spans="1:3">
      <c r="A20" s="1" t="s">
        <v>22</v>
      </c>
      <c r="B20" s="3">
        <f>EXP((-B18/0.00008617)*((1/(B19+273))-(1/298)))*POWER((B17/0.5), 3)</f>
        <v>3.7269311834508061</v>
      </c>
      <c r="C20" s="4" t="s">
        <v>11</v>
      </c>
    </row>
    <row r="21" spans="1:3">
      <c r="A21" s="1" t="s">
        <v>25</v>
      </c>
      <c r="B21" s="1">
        <v>2.5000000000000001E-5</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71.2819226102946</v>
      </c>
      <c r="C26" s="4" t="s">
        <v>11</v>
      </c>
    </row>
    <row r="27" spans="1:3">
      <c r="A27" s="1" t="s">
        <v>31</v>
      </c>
      <c r="B27" s="3">
        <v>4.8500000000000001E-3</v>
      </c>
      <c r="C27" s="4" t="s">
        <v>10</v>
      </c>
    </row>
    <row r="28" spans="1:3">
      <c r="A28" s="1" t="s">
        <v>32</v>
      </c>
      <c r="B28" s="3">
        <f>POWER((B11+B12-B19)/44,2.26)</f>
        <v>3.5421421835983335</v>
      </c>
      <c r="C28" s="4" t="s">
        <v>11</v>
      </c>
    </row>
    <row r="29" spans="1:3">
      <c r="A29" s="1" t="s">
        <v>33</v>
      </c>
      <c r="B29" s="3">
        <v>5.5199999999999997E-4</v>
      </c>
      <c r="C29" s="4" t="s">
        <v>10</v>
      </c>
    </row>
    <row r="30" spans="1:3">
      <c r="A30" s="1" t="s">
        <v>34</v>
      </c>
      <c r="B30" s="3">
        <f>(B5*((B6*B9*B13)+(B14*B16*B20)+(B21*B24*B26)))+B27*B28+B29</f>
        <v>1.7731485820300208E-2</v>
      </c>
      <c r="C30" s="4" t="s">
        <v>11</v>
      </c>
    </row>
    <row r="31" spans="1:3">
      <c r="A31" s="1" t="s">
        <v>35</v>
      </c>
      <c r="B31" s="3">
        <f>B30/1000000</f>
        <v>1.7731485820300208E-8</v>
      </c>
      <c r="C31" s="4" t="s">
        <v>36</v>
      </c>
    </row>
    <row r="33" spans="1:5" s="6" customFormat="1">
      <c r="A33" s="1" t="s">
        <v>61</v>
      </c>
      <c r="B33" s="1" t="s">
        <v>58</v>
      </c>
      <c r="C33" s="1" t="s">
        <v>38</v>
      </c>
      <c r="D33" s="5" t="s">
        <v>59</v>
      </c>
      <c r="E33" s="5" t="s">
        <v>63</v>
      </c>
    </row>
    <row r="34" spans="1:5" s="6" customFormat="1">
      <c r="A34" s="1" t="s">
        <v>60</v>
      </c>
      <c r="B34" s="1" t="s">
        <v>37</v>
      </c>
      <c r="C34" s="16">
        <v>0.12</v>
      </c>
      <c r="D34" s="5">
        <f t="shared" ref="D34:D44" si="0">C34*$B$31</f>
        <v>2.1277782984360249E-9</v>
      </c>
      <c r="E34" s="4" t="s">
        <v>64</v>
      </c>
    </row>
    <row r="35" spans="1:5" s="6" customFormat="1">
      <c r="A35" s="1" t="s">
        <v>66</v>
      </c>
      <c r="B35" s="1" t="s">
        <v>68</v>
      </c>
      <c r="C35" s="16">
        <v>0.12</v>
      </c>
      <c r="D35" s="5">
        <f t="shared" si="0"/>
        <v>2.1277782984360249E-9</v>
      </c>
      <c r="E35" s="4" t="s">
        <v>65</v>
      </c>
    </row>
    <row r="36" spans="1:5" s="6" customFormat="1">
      <c r="A36" s="1" t="s">
        <v>67</v>
      </c>
      <c r="B36" s="1" t="s">
        <v>69</v>
      </c>
      <c r="C36" s="16">
        <v>0.12</v>
      </c>
      <c r="D36" s="5">
        <f t="shared" si="0"/>
        <v>2.1277782984360249E-9</v>
      </c>
      <c r="E36" s="4" t="s">
        <v>65</v>
      </c>
    </row>
    <row r="37" spans="1:5" s="6" customFormat="1" ht="30">
      <c r="A37" s="1" t="s">
        <v>354</v>
      </c>
      <c r="B37" s="1" t="s">
        <v>350</v>
      </c>
      <c r="C37" s="16">
        <v>0.3</v>
      </c>
      <c r="D37" s="5">
        <f t="shared" si="0"/>
        <v>5.3194457460900622E-9</v>
      </c>
      <c r="E37" s="4" t="s">
        <v>353</v>
      </c>
    </row>
    <row r="38" spans="1:5" s="6" customFormat="1">
      <c r="A38" s="1" t="s">
        <v>71</v>
      </c>
      <c r="B38" s="1" t="s">
        <v>75</v>
      </c>
      <c r="C38" s="16">
        <v>0.03</v>
      </c>
      <c r="D38" s="5">
        <f t="shared" si="0"/>
        <v>5.3194457460900624E-10</v>
      </c>
      <c r="E38" s="4" t="s">
        <v>70</v>
      </c>
    </row>
    <row r="39" spans="1:5" s="6" customFormat="1">
      <c r="A39" s="1" t="s">
        <v>73</v>
      </c>
      <c r="B39" s="1" t="s">
        <v>76</v>
      </c>
      <c r="C39" s="16">
        <v>0.03</v>
      </c>
      <c r="D39" s="5">
        <f t="shared" si="0"/>
        <v>5.3194457460900624E-10</v>
      </c>
      <c r="E39" s="4" t="s">
        <v>70</v>
      </c>
    </row>
    <row r="40" spans="1:5" s="6" customFormat="1">
      <c r="A40" s="1" t="s">
        <v>355</v>
      </c>
      <c r="B40" s="1" t="s">
        <v>351</v>
      </c>
      <c r="C40" s="16">
        <v>0.03</v>
      </c>
      <c r="D40" s="5">
        <f t="shared" si="0"/>
        <v>5.3194457460900624E-10</v>
      </c>
      <c r="E40" s="4" t="s">
        <v>70</v>
      </c>
    </row>
    <row r="41" spans="1:5" s="6" customFormat="1">
      <c r="A41" s="1" t="s">
        <v>72</v>
      </c>
      <c r="B41" s="1" t="s">
        <v>77</v>
      </c>
      <c r="C41" s="16">
        <f>0.08/3</f>
        <v>2.6666666666666668E-2</v>
      </c>
      <c r="D41" s="5">
        <f t="shared" si="0"/>
        <v>4.7283962187467226E-10</v>
      </c>
      <c r="E41" s="4" t="s">
        <v>79</v>
      </c>
    </row>
    <row r="42" spans="1:5">
      <c r="A42" s="1" t="s">
        <v>74</v>
      </c>
      <c r="B42" s="1" t="s">
        <v>78</v>
      </c>
      <c r="C42" s="16">
        <f>0.08/3</f>
        <v>2.6666666666666668E-2</v>
      </c>
      <c r="D42" s="5">
        <f t="shared" si="0"/>
        <v>4.7283962187467226E-10</v>
      </c>
      <c r="E42" s="4" t="s">
        <v>79</v>
      </c>
    </row>
    <row r="43" spans="1:5">
      <c r="A43" s="1" t="s">
        <v>356</v>
      </c>
      <c r="B43" s="1" t="s">
        <v>352</v>
      </c>
      <c r="C43" s="16">
        <f>0.08/3</f>
        <v>2.6666666666666668E-2</v>
      </c>
      <c r="D43" s="5">
        <f t="shared" si="0"/>
        <v>4.7283962187467226E-10</v>
      </c>
      <c r="E43" s="4" t="s">
        <v>79</v>
      </c>
    </row>
    <row r="44" spans="1:5">
      <c r="A44" s="1" t="s">
        <v>62</v>
      </c>
      <c r="B44" s="1" t="s">
        <v>171</v>
      </c>
      <c r="C44" s="16">
        <v>0.18</v>
      </c>
      <c r="D44" s="5">
        <f t="shared" si="0"/>
        <v>3.1916674476540372E-9</v>
      </c>
      <c r="E44" s="4" t="s">
        <v>82</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C2" sqref="C2:C3"/>
    </sheetView>
  </sheetViews>
  <sheetFormatPr defaultRowHeight="15"/>
  <cols>
    <col min="1" max="1" width="26.5703125" bestFit="1" customWidth="1"/>
    <col min="2" max="2" width="32.140625" bestFit="1" customWidth="1"/>
    <col min="3" max="3" width="105.5703125" bestFit="1" customWidth="1"/>
    <col min="4" max="4" width="31.140625" customWidth="1"/>
    <col min="5" max="5" width="82" customWidth="1"/>
  </cols>
  <sheetData>
    <row r="1" spans="1:3">
      <c r="A1" s="1" t="s">
        <v>9</v>
      </c>
      <c r="B1" s="1" t="s">
        <v>0</v>
      </c>
      <c r="C1" s="4" t="s">
        <v>7</v>
      </c>
    </row>
    <row r="2" spans="1:3">
      <c r="A2" s="1" t="s">
        <v>8</v>
      </c>
      <c r="B2" s="1" t="s">
        <v>49</v>
      </c>
      <c r="C2" s="113" t="s">
        <v>579</v>
      </c>
    </row>
    <row r="3" spans="1:3">
      <c r="A3" s="1" t="s">
        <v>2</v>
      </c>
      <c r="B3" s="1">
        <v>2013</v>
      </c>
      <c r="C3" s="113"/>
    </row>
    <row r="4" spans="1:3">
      <c r="A4" s="1" t="s">
        <v>3</v>
      </c>
      <c r="B4" s="1">
        <v>0.47899999999999998</v>
      </c>
      <c r="C4" s="4" t="s">
        <v>10</v>
      </c>
    </row>
    <row r="5" spans="1:3">
      <c r="A5" s="1" t="s">
        <v>1</v>
      </c>
      <c r="B5" s="1">
        <f>EXP(-B4*(B3-1993))</f>
        <v>6.9096947726288158E-5</v>
      </c>
      <c r="C5" s="4" t="s">
        <v>11</v>
      </c>
    </row>
    <row r="6" spans="1:3">
      <c r="A6" s="1" t="s">
        <v>4</v>
      </c>
      <c r="B6" s="1">
        <v>7.9999999999999996E-6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55</v>
      </c>
    </row>
    <row r="12" spans="1:3">
      <c r="A12" s="1" t="s">
        <v>15</v>
      </c>
      <c r="B12" s="1">
        <v>20</v>
      </c>
      <c r="C12" s="4" t="s">
        <v>16</v>
      </c>
    </row>
    <row r="13" spans="1:3">
      <c r="A13" s="1" t="s">
        <v>17</v>
      </c>
      <c r="B13" s="1">
        <f>EXP((-B10/0.00008617)*((1/(B11+B12+273))-(1/298)))</f>
        <v>283.96523292387161</v>
      </c>
      <c r="C13" s="4" t="s">
        <v>11</v>
      </c>
    </row>
    <row r="14" spans="1:3">
      <c r="A14" s="1" t="s">
        <v>18</v>
      </c>
      <c r="B14" s="1">
        <v>6.3400000000000001E-4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ht="30">
      <c r="A19" s="1" t="s">
        <v>24</v>
      </c>
      <c r="B19" s="1">
        <v>14</v>
      </c>
      <c r="C19" s="4" t="s">
        <v>56</v>
      </c>
    </row>
    <row r="20" spans="1:3">
      <c r="A20" s="1" t="s">
        <v>22</v>
      </c>
      <c r="B20" s="3">
        <f>EXP((-B18/0.00008617)*((1/(B19+273))-(1/298)))*POWER((B17/0.5), 3)</f>
        <v>3.7269311834508061</v>
      </c>
      <c r="C20" s="4" t="s">
        <v>11</v>
      </c>
    </row>
    <row r="21" spans="1:3">
      <c r="A21" s="1" t="s">
        <v>25</v>
      </c>
      <c r="B21" s="1">
        <v>2.5000000000000001E-5</v>
      </c>
      <c r="C21" s="4" t="s">
        <v>10</v>
      </c>
    </row>
    <row r="22" spans="1:3">
      <c r="A22" s="1" t="s">
        <v>26</v>
      </c>
      <c r="B22" s="1">
        <v>365</v>
      </c>
      <c r="C22" s="4" t="s">
        <v>57</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71.2819226102946</v>
      </c>
      <c r="C26" s="4" t="s">
        <v>11</v>
      </c>
    </row>
    <row r="27" spans="1:3">
      <c r="A27" s="1" t="s">
        <v>31</v>
      </c>
      <c r="B27" s="3">
        <v>4.8500000000000001E-3</v>
      </c>
      <c r="C27" s="4" t="s">
        <v>10</v>
      </c>
    </row>
    <row r="28" spans="1:3">
      <c r="A28" s="1" t="s">
        <v>32</v>
      </c>
      <c r="B28" s="3">
        <f>POWER((B11+B12-B19)/44,2.26)</f>
        <v>3.5421421835983335</v>
      </c>
      <c r="C28" s="4" t="s">
        <v>11</v>
      </c>
    </row>
    <row r="29" spans="1:3">
      <c r="A29" s="1" t="s">
        <v>33</v>
      </c>
      <c r="B29" s="3">
        <v>5.5199999999999997E-4</v>
      </c>
      <c r="C29" s="4" t="s">
        <v>10</v>
      </c>
    </row>
    <row r="30" spans="1:3">
      <c r="A30" s="1" t="s">
        <v>34</v>
      </c>
      <c r="B30" s="3">
        <f>(B5*((B6*B9*B13)+(B14*B16*B20)+(B21*B24*B26)))+B27*B28+B29</f>
        <v>1.7732043349975444E-2</v>
      </c>
      <c r="C30" s="4" t="s">
        <v>11</v>
      </c>
    </row>
    <row r="31" spans="1:3">
      <c r="A31" s="1" t="s">
        <v>35</v>
      </c>
      <c r="B31" s="14">
        <f>B30/1000000</f>
        <v>1.7732043349975445E-8</v>
      </c>
      <c r="C31" s="4" t="s">
        <v>36</v>
      </c>
    </row>
    <row r="33" spans="1:5" s="6" customFormat="1">
      <c r="A33" s="1" t="s">
        <v>61</v>
      </c>
      <c r="B33" s="1" t="s">
        <v>58</v>
      </c>
      <c r="C33" s="1" t="s">
        <v>38</v>
      </c>
      <c r="D33" s="5" t="s">
        <v>59</v>
      </c>
      <c r="E33" s="4" t="s">
        <v>63</v>
      </c>
    </row>
    <row r="34" spans="1:5" s="6" customFormat="1">
      <c r="A34" s="1" t="s">
        <v>83</v>
      </c>
      <c r="B34" s="1" t="s">
        <v>39</v>
      </c>
      <c r="C34" s="16">
        <v>0.34</v>
      </c>
      <c r="D34" s="1">
        <f>C34*$B$31</f>
        <v>6.0288947389916522E-9</v>
      </c>
      <c r="E34" s="4" t="s">
        <v>64</v>
      </c>
    </row>
    <row r="35" spans="1:5" s="6" customFormat="1">
      <c r="A35" s="1" t="s">
        <v>84</v>
      </c>
      <c r="B35" s="1" t="s">
        <v>40</v>
      </c>
      <c r="C35" s="16">
        <v>0.17</v>
      </c>
      <c r="D35" s="1">
        <f>C35*$B$31</f>
        <v>3.0144473694958261E-9</v>
      </c>
      <c r="E35" s="4" t="s">
        <v>64</v>
      </c>
    </row>
    <row r="36" spans="1:5">
      <c r="A36" s="1" t="s">
        <v>85</v>
      </c>
      <c r="B36" s="1" t="s">
        <v>41</v>
      </c>
      <c r="C36" s="16">
        <v>0.23</v>
      </c>
      <c r="D36" s="1">
        <f>C36*$B$31</f>
        <v>4.0783699704943524E-9</v>
      </c>
      <c r="E36" s="4" t="s">
        <v>64</v>
      </c>
    </row>
    <row r="37" spans="1:5">
      <c r="A37" s="1" t="s">
        <v>86</v>
      </c>
      <c r="B37" s="1" t="s">
        <v>42</v>
      </c>
      <c r="C37" s="16">
        <v>0.26</v>
      </c>
      <c r="D37" s="1">
        <f>C37*$B$31</f>
        <v>4.6103312709936158E-9</v>
      </c>
      <c r="E37" s="4" t="s">
        <v>64</v>
      </c>
    </row>
  </sheetData>
  <mergeCells count="1">
    <mergeCell ref="C2:C3"/>
  </mergeCells>
  <hyperlinks>
    <hyperlink ref="C2" r:id="rId1"/>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zoomScale="70" zoomScaleNormal="70" workbookViewId="0">
      <selection activeCell="C2" sqref="C2:C3"/>
    </sheetView>
  </sheetViews>
  <sheetFormatPr defaultRowHeight="15"/>
  <cols>
    <col min="1" max="1" width="30.28515625" bestFit="1" customWidth="1"/>
    <col min="2" max="2" width="32.140625" bestFit="1" customWidth="1"/>
    <col min="3" max="3" width="111.140625" bestFit="1" customWidth="1"/>
    <col min="4" max="4" width="36.42578125" customWidth="1"/>
    <col min="5" max="5" width="72.7109375" customWidth="1"/>
  </cols>
  <sheetData>
    <row r="1" spans="1:3">
      <c r="A1" s="1" t="s">
        <v>9</v>
      </c>
      <c r="B1" s="1" t="s">
        <v>0</v>
      </c>
      <c r="C1" s="4" t="s">
        <v>7</v>
      </c>
    </row>
    <row r="2" spans="1:3">
      <c r="A2" s="1" t="s">
        <v>8</v>
      </c>
      <c r="B2" s="1" t="s">
        <v>120</v>
      </c>
      <c r="C2" s="113" t="s">
        <v>119</v>
      </c>
    </row>
    <row r="3" spans="1:3">
      <c r="A3" s="1" t="s">
        <v>2</v>
      </c>
      <c r="B3" s="1">
        <v>2021</v>
      </c>
      <c r="C3" s="113"/>
    </row>
    <row r="4" spans="1:3">
      <c r="A4" s="1" t="s">
        <v>3</v>
      </c>
      <c r="B4" s="1">
        <v>0</v>
      </c>
      <c r="C4" s="4" t="s">
        <v>121</v>
      </c>
    </row>
    <row r="5" spans="1:3">
      <c r="A5" s="1" t="s">
        <v>1</v>
      </c>
      <c r="B5" s="1">
        <f>EXP(-B4*(B3-1993))</f>
        <v>1</v>
      </c>
      <c r="C5" s="4" t="s">
        <v>122</v>
      </c>
    </row>
    <row r="6" spans="1:3">
      <c r="A6" s="7" t="s">
        <v>4</v>
      </c>
      <c r="B6" s="7">
        <v>1.9999999999999999E-7</v>
      </c>
      <c r="C6" s="9" t="s">
        <v>121</v>
      </c>
    </row>
    <row r="7" spans="1:3">
      <c r="A7" s="7" t="s">
        <v>6</v>
      </c>
      <c r="B7" s="7">
        <f>24/24</f>
        <v>1</v>
      </c>
      <c r="C7" s="9" t="s">
        <v>50</v>
      </c>
    </row>
    <row r="8" spans="1:3">
      <c r="A8" s="7" t="s">
        <v>13</v>
      </c>
      <c r="B8" s="7">
        <v>0.23</v>
      </c>
      <c r="C8" s="9" t="s">
        <v>121</v>
      </c>
    </row>
    <row r="9" spans="1:3">
      <c r="A9" s="7" t="s">
        <v>5</v>
      </c>
      <c r="B9" s="7">
        <f>B7/B8</f>
        <v>4.3478260869565215</v>
      </c>
      <c r="C9" s="9" t="s">
        <v>122</v>
      </c>
    </row>
    <row r="10" spans="1:3">
      <c r="A10" s="7" t="s">
        <v>12</v>
      </c>
      <c r="B10" s="7">
        <v>0.2</v>
      </c>
      <c r="C10" s="9" t="s">
        <v>121</v>
      </c>
    </row>
    <row r="11" spans="1:3">
      <c r="A11" s="7" t="s">
        <v>14</v>
      </c>
      <c r="B11" s="7">
        <v>71</v>
      </c>
      <c r="C11" s="9" t="s">
        <v>51</v>
      </c>
    </row>
    <row r="12" spans="1:3">
      <c r="A12" s="7" t="s">
        <v>15</v>
      </c>
      <c r="B12" s="7">
        <v>30</v>
      </c>
      <c r="C12" s="9" t="s">
        <v>123</v>
      </c>
    </row>
    <row r="13" spans="1:3">
      <c r="A13" s="7" t="s">
        <v>17</v>
      </c>
      <c r="B13" s="7">
        <f>EXP((-B10/0.00008617)*((1/(B11+B12+273))-(1/298)))</f>
        <v>4.8681001126894374</v>
      </c>
      <c r="C13" s="9" t="s">
        <v>122</v>
      </c>
    </row>
    <row r="14" spans="1:3">
      <c r="A14" s="7" t="s">
        <v>124</v>
      </c>
      <c r="B14" s="7">
        <v>1</v>
      </c>
      <c r="C14" s="9" t="s">
        <v>126</v>
      </c>
    </row>
    <row r="15" spans="1:3">
      <c r="A15" s="7" t="s">
        <v>125</v>
      </c>
      <c r="B15" s="7">
        <f>POWER(B14/0.29, 0.39)</f>
        <v>1.6205587526833491</v>
      </c>
      <c r="C15" s="9" t="s">
        <v>122</v>
      </c>
    </row>
    <row r="16" spans="1:3">
      <c r="A16" s="7" t="s">
        <v>18</v>
      </c>
      <c r="B16" s="7">
        <v>2.3699999999999999E-7</v>
      </c>
      <c r="C16" s="9" t="s">
        <v>121</v>
      </c>
    </row>
    <row r="17" spans="1:3">
      <c r="A17" s="7" t="s">
        <v>19</v>
      </c>
      <c r="B17" s="7">
        <v>0.77</v>
      </c>
      <c r="C17" s="9" t="s">
        <v>121</v>
      </c>
    </row>
    <row r="18" spans="1:3">
      <c r="A18" s="7" t="s">
        <v>20</v>
      </c>
      <c r="B18" s="7">
        <f>(1-B7)/B17</f>
        <v>0</v>
      </c>
      <c r="C18" s="9" t="s">
        <v>122</v>
      </c>
    </row>
    <row r="19" spans="1:3">
      <c r="A19" s="7" t="s">
        <v>23</v>
      </c>
      <c r="B19" s="7">
        <v>0.2</v>
      </c>
      <c r="C19" s="9" t="s">
        <v>121</v>
      </c>
    </row>
    <row r="20" spans="1:3">
      <c r="A20" s="7" t="s">
        <v>24</v>
      </c>
      <c r="B20" s="7">
        <v>14</v>
      </c>
      <c r="C20" s="9" t="s">
        <v>53</v>
      </c>
    </row>
    <row r="21" spans="1:3">
      <c r="A21" s="7" t="s">
        <v>99</v>
      </c>
      <c r="B21" s="8">
        <f>EXP((-B19/0.00008617)*((1/(B20+273))-(1/298)))</f>
        <v>0.7419179962257213</v>
      </c>
      <c r="C21" s="9" t="s">
        <v>122</v>
      </c>
    </row>
    <row r="22" spans="1:3">
      <c r="A22" s="7" t="s">
        <v>25</v>
      </c>
      <c r="B22" s="10">
        <v>1.4300000000000001E-8</v>
      </c>
      <c r="C22" s="9" t="s">
        <v>121</v>
      </c>
    </row>
    <row r="23" spans="1:3">
      <c r="A23" s="7" t="s">
        <v>26</v>
      </c>
      <c r="B23" s="7">
        <v>365</v>
      </c>
      <c r="C23" s="9" t="s">
        <v>54</v>
      </c>
    </row>
    <row r="24" spans="1:3">
      <c r="A24" s="7" t="s">
        <v>28</v>
      </c>
      <c r="B24" s="8">
        <v>1140.3499999999999</v>
      </c>
      <c r="C24" s="9" t="s">
        <v>121</v>
      </c>
    </row>
    <row r="25" spans="1:3">
      <c r="A25" s="7" t="s">
        <v>27</v>
      </c>
      <c r="B25" s="8">
        <f>B23/B24</f>
        <v>0.32007716929013025</v>
      </c>
      <c r="C25" s="9" t="s">
        <v>122</v>
      </c>
    </row>
    <row r="26" spans="1:3">
      <c r="A26" s="7" t="s">
        <v>30</v>
      </c>
      <c r="B26" s="8">
        <v>86</v>
      </c>
      <c r="C26" s="9" t="s">
        <v>121</v>
      </c>
    </row>
    <row r="27" spans="1:3">
      <c r="A27" s="7" t="s">
        <v>29</v>
      </c>
      <c r="B27" s="8">
        <f>POWER((B11+B12-B20)/B26,2)</f>
        <v>1.0233910221741482</v>
      </c>
      <c r="C27" s="9" t="s">
        <v>122</v>
      </c>
    </row>
    <row r="28" spans="1:3">
      <c r="A28" s="7" t="s">
        <v>31</v>
      </c>
      <c r="B28" s="8">
        <v>8.8999999999999995E-4</v>
      </c>
      <c r="C28" s="9" t="s">
        <v>121</v>
      </c>
    </row>
    <row r="29" spans="1:3">
      <c r="A29" s="7" t="s">
        <v>32</v>
      </c>
      <c r="B29" s="8">
        <f>POWER((B11+B12-B20)/44,2.26)</f>
        <v>4.6677808942627443</v>
      </c>
      <c r="C29" s="9" t="s">
        <v>122</v>
      </c>
    </row>
    <row r="30" spans="1:3">
      <c r="A30" s="7" t="s">
        <v>33</v>
      </c>
      <c r="B30" s="11">
        <v>1.07E-8</v>
      </c>
      <c r="C30" s="9" t="s">
        <v>121</v>
      </c>
    </row>
    <row r="31" spans="1:3">
      <c r="A31" s="7" t="s">
        <v>34</v>
      </c>
      <c r="B31" s="12">
        <f>(B5*((B6*B9*B13*B15)+(B16*B18*B21)+(B22*B25*B27)))+B28*B29+B30</f>
        <v>4.1612004167966296E-3</v>
      </c>
      <c r="C31" s="9" t="s">
        <v>122</v>
      </c>
    </row>
    <row r="32" spans="1:3">
      <c r="A32" s="7" t="s">
        <v>35</v>
      </c>
      <c r="B32" s="15">
        <f>B31/1000000</f>
        <v>4.1612004167966296E-9</v>
      </c>
      <c r="C32" s="9" t="s">
        <v>36</v>
      </c>
    </row>
    <row r="34" spans="1:5">
      <c r="A34" s="1" t="s">
        <v>61</v>
      </c>
      <c r="B34" s="1" t="s">
        <v>58</v>
      </c>
      <c r="C34" s="1" t="s">
        <v>38</v>
      </c>
      <c r="D34" s="5" t="s">
        <v>59</v>
      </c>
      <c r="E34" s="5" t="s">
        <v>63</v>
      </c>
    </row>
    <row r="35" spans="1:5">
      <c r="A35" s="7" t="s">
        <v>85</v>
      </c>
      <c r="B35" s="1" t="s">
        <v>89</v>
      </c>
      <c r="C35" s="16">
        <v>0.59</v>
      </c>
      <c r="D35" s="5">
        <f>C35*$B$32</f>
        <v>2.4551082459100113E-9</v>
      </c>
      <c r="E35" s="4" t="s">
        <v>107</v>
      </c>
    </row>
    <row r="36" spans="1:5">
      <c r="A36" s="7" t="s">
        <v>87</v>
      </c>
      <c r="B36" s="1" t="s">
        <v>129</v>
      </c>
      <c r="C36" s="16">
        <v>0.05</v>
      </c>
      <c r="D36" s="5">
        <f>C36*$B$32</f>
        <v>2.080600208398315E-10</v>
      </c>
      <c r="E36" s="4" t="s">
        <v>107</v>
      </c>
    </row>
    <row r="37" spans="1:5">
      <c r="A37" s="7" t="s">
        <v>127</v>
      </c>
      <c r="B37" s="1" t="s">
        <v>130</v>
      </c>
      <c r="C37" s="16">
        <v>0.18</v>
      </c>
      <c r="D37" s="5">
        <f>C37*$B$32</f>
        <v>7.4901607502339334E-10</v>
      </c>
      <c r="E37" s="4" t="s">
        <v>107</v>
      </c>
    </row>
    <row r="38" spans="1:5">
      <c r="A38" s="7" t="s">
        <v>128</v>
      </c>
      <c r="B38" s="1" t="s">
        <v>131</v>
      </c>
      <c r="C38" s="16">
        <v>0.18</v>
      </c>
      <c r="D38" s="5">
        <f>C38*$B$32</f>
        <v>7.4901607502339334E-10</v>
      </c>
      <c r="E38" s="4" t="s">
        <v>107</v>
      </c>
    </row>
    <row r="39" spans="1:5">
      <c r="A39" s="7" t="s">
        <v>88</v>
      </c>
      <c r="B39" s="1" t="s">
        <v>90</v>
      </c>
      <c r="C39" s="16">
        <v>0</v>
      </c>
      <c r="D39" s="5">
        <f>C39*$B$32</f>
        <v>0</v>
      </c>
      <c r="E39" s="4" t="s">
        <v>238</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zoomScale="60" zoomScaleNormal="60" workbookViewId="0">
      <selection activeCell="C2" sqref="C2:C3"/>
    </sheetView>
  </sheetViews>
  <sheetFormatPr defaultRowHeight="15"/>
  <cols>
    <col min="1" max="1" width="45" bestFit="1" customWidth="1"/>
    <col min="2" max="2" width="62.42578125" bestFit="1" customWidth="1"/>
    <col min="3" max="3" width="105.5703125" customWidth="1"/>
    <col min="4" max="4" width="36.42578125" customWidth="1"/>
    <col min="5" max="5" width="72.7109375" customWidth="1"/>
  </cols>
  <sheetData>
    <row r="1" spans="1:3">
      <c r="A1" s="1" t="s">
        <v>9</v>
      </c>
      <c r="B1" s="1" t="s">
        <v>0</v>
      </c>
      <c r="C1" s="4" t="s">
        <v>7</v>
      </c>
    </row>
    <row r="2" spans="1:3">
      <c r="A2" s="1" t="s">
        <v>8</v>
      </c>
      <c r="B2" s="1" t="s">
        <v>156</v>
      </c>
      <c r="C2" s="113" t="s">
        <v>155</v>
      </c>
    </row>
    <row r="3" spans="1:3">
      <c r="A3" s="1" t="s">
        <v>2</v>
      </c>
      <c r="B3" s="1">
        <v>2010</v>
      </c>
      <c r="C3" s="113"/>
    </row>
    <row r="4" spans="1:3">
      <c r="A4" s="1" t="s">
        <v>3</v>
      </c>
      <c r="B4" s="1">
        <v>8.6999999999999994E-2</v>
      </c>
      <c r="C4" s="4" t="s">
        <v>157</v>
      </c>
    </row>
    <row r="5" spans="1:3">
      <c r="A5" s="1" t="s">
        <v>1</v>
      </c>
      <c r="B5" s="1">
        <f>EXP(-B4*(B3-1993))</f>
        <v>0.22786543992898989</v>
      </c>
      <c r="C5" s="4" t="s">
        <v>158</v>
      </c>
    </row>
    <row r="6" spans="1:3">
      <c r="A6" s="7" t="s">
        <v>4</v>
      </c>
      <c r="B6" s="7">
        <v>3.2244000000000001E-3</v>
      </c>
      <c r="C6" s="9" t="s">
        <v>157</v>
      </c>
    </row>
    <row r="7" spans="1:3">
      <c r="A7" s="7" t="s">
        <v>6</v>
      </c>
      <c r="B7" s="7">
        <v>1</v>
      </c>
      <c r="C7" s="9" t="s">
        <v>50</v>
      </c>
    </row>
    <row r="8" spans="1:3">
      <c r="A8" s="7" t="s">
        <v>13</v>
      </c>
      <c r="B8" s="7">
        <v>0.32</v>
      </c>
      <c r="C8" s="9" t="s">
        <v>157</v>
      </c>
    </row>
    <row r="9" spans="1:3">
      <c r="A9" s="7" t="s">
        <v>5</v>
      </c>
      <c r="B9" s="7">
        <f>B7/B8</f>
        <v>3.125</v>
      </c>
      <c r="C9" s="9" t="s">
        <v>158</v>
      </c>
    </row>
    <row r="10" spans="1:3">
      <c r="A10" s="7" t="s">
        <v>12</v>
      </c>
      <c r="B10" s="7">
        <v>0.6</v>
      </c>
      <c r="C10" s="9" t="s">
        <v>157</v>
      </c>
    </row>
    <row r="11" spans="1:3">
      <c r="A11" s="7" t="s">
        <v>14</v>
      </c>
      <c r="B11" s="7">
        <v>71</v>
      </c>
      <c r="C11" s="9" t="s">
        <v>51</v>
      </c>
    </row>
    <row r="12" spans="1:3">
      <c r="A12" s="7" t="s">
        <v>15</v>
      </c>
      <c r="B12" s="7">
        <v>7</v>
      </c>
      <c r="C12" s="9" t="s">
        <v>159</v>
      </c>
    </row>
    <row r="13" spans="1:3">
      <c r="A13" s="7" t="s">
        <v>17</v>
      </c>
      <c r="B13" s="7">
        <f>EXP((-B10/0.00008617)*((1/(B11+B12+273))-(1/298)))</f>
        <v>34.061064187184122</v>
      </c>
      <c r="C13" s="9" t="s">
        <v>158</v>
      </c>
    </row>
    <row r="14" spans="1:3">
      <c r="A14" s="7" t="s">
        <v>18</v>
      </c>
      <c r="B14" s="7">
        <v>9.5466000000000006E-3</v>
      </c>
      <c r="C14" s="9" t="s">
        <v>157</v>
      </c>
    </row>
    <row r="15" spans="1:3">
      <c r="A15" s="7" t="s">
        <v>19</v>
      </c>
      <c r="B15" s="7">
        <v>0.68</v>
      </c>
      <c r="C15" s="9" t="s">
        <v>157</v>
      </c>
    </row>
    <row r="16" spans="1:3">
      <c r="A16" s="7" t="s">
        <v>20</v>
      </c>
      <c r="B16" s="7">
        <f>(1-B7)/B15</f>
        <v>0</v>
      </c>
      <c r="C16" s="9" t="s">
        <v>158</v>
      </c>
    </row>
    <row r="17" spans="1:5">
      <c r="A17" s="7" t="s">
        <v>23</v>
      </c>
      <c r="B17" s="7">
        <v>0.4</v>
      </c>
      <c r="C17" s="9" t="s">
        <v>157</v>
      </c>
    </row>
    <row r="18" spans="1:5">
      <c r="A18" s="7" t="s">
        <v>24</v>
      </c>
      <c r="B18" s="7">
        <v>14</v>
      </c>
      <c r="C18" s="9" t="s">
        <v>53</v>
      </c>
    </row>
    <row r="19" spans="1:5">
      <c r="A19" s="7" t="s">
        <v>99</v>
      </c>
      <c r="B19" s="8">
        <f>EXP((-B17/0.00008617)*((1/(B18+273))-(1/298)))</f>
        <v>0.55044231312358938</v>
      </c>
      <c r="C19" s="9" t="s">
        <v>158</v>
      </c>
    </row>
    <row r="20" spans="1:5">
      <c r="A20" s="7" t="s">
        <v>25</v>
      </c>
      <c r="B20" s="7">
        <v>9.1600000000000004E-4</v>
      </c>
      <c r="C20" s="9" t="s">
        <v>157</v>
      </c>
    </row>
    <row r="21" spans="1:5">
      <c r="A21" s="7" t="s">
        <v>26</v>
      </c>
      <c r="B21" s="7">
        <v>365</v>
      </c>
      <c r="C21" s="9" t="s">
        <v>54</v>
      </c>
    </row>
    <row r="22" spans="1:5">
      <c r="A22" s="7" t="s">
        <v>28</v>
      </c>
      <c r="B22" s="8">
        <v>388</v>
      </c>
      <c r="C22" s="9" t="s">
        <v>157</v>
      </c>
    </row>
    <row r="23" spans="1:5">
      <c r="A23" s="7" t="s">
        <v>27</v>
      </c>
      <c r="B23" s="8">
        <f>B21/B22</f>
        <v>0.94072164948453607</v>
      </c>
      <c r="C23" s="9" t="s">
        <v>158</v>
      </c>
    </row>
    <row r="24" spans="1:5">
      <c r="A24" s="7" t="s">
        <v>30</v>
      </c>
      <c r="B24" s="8">
        <v>14.27</v>
      </c>
      <c r="C24" s="9" t="s">
        <v>157</v>
      </c>
    </row>
    <row r="25" spans="1:5">
      <c r="A25" s="7" t="s">
        <v>29</v>
      </c>
      <c r="B25" s="8">
        <f>POWER((B11+B12-B18)/B24,2)</f>
        <v>20.114627842553929</v>
      </c>
      <c r="C25" s="9" t="s">
        <v>158</v>
      </c>
    </row>
    <row r="26" spans="1:5">
      <c r="A26" s="7" t="s">
        <v>33</v>
      </c>
      <c r="B26" s="8">
        <v>2.4039E-3</v>
      </c>
      <c r="C26" s="9" t="s">
        <v>157</v>
      </c>
    </row>
    <row r="27" spans="1:5">
      <c r="A27" s="7" t="s">
        <v>34</v>
      </c>
      <c r="B27" s="8">
        <f>(B5*((B6*B9*B13)+(B14*B16*B19)+(B20*B23*B25)))+B26</f>
        <v>8.4558640964896015E-2</v>
      </c>
      <c r="C27" s="9" t="s">
        <v>158</v>
      </c>
    </row>
    <row r="28" spans="1:5">
      <c r="A28" s="1" t="s">
        <v>35</v>
      </c>
      <c r="B28" s="3">
        <f>B27/1000000</f>
        <v>8.4558640964896021E-8</v>
      </c>
      <c r="C28" s="4" t="s">
        <v>36</v>
      </c>
    </row>
    <row r="30" spans="1:5">
      <c r="A30" s="1" t="s">
        <v>61</v>
      </c>
      <c r="B30" s="1" t="s">
        <v>58</v>
      </c>
      <c r="C30" s="1" t="s">
        <v>38</v>
      </c>
      <c r="D30" s="5" t="s">
        <v>59</v>
      </c>
      <c r="E30" s="5" t="s">
        <v>63</v>
      </c>
    </row>
    <row r="31" spans="1:5">
      <c r="A31" s="1" t="s">
        <v>144</v>
      </c>
      <c r="B31" s="1" t="s">
        <v>132</v>
      </c>
      <c r="C31" s="16">
        <v>8.3333329999999997E-2</v>
      </c>
      <c r="D31" s="5">
        <f>C31*$B$28</f>
        <v>7.0465531318791983E-9</v>
      </c>
      <c r="E31" s="4" t="s">
        <v>143</v>
      </c>
    </row>
    <row r="32" spans="1:5">
      <c r="A32" s="1" t="s">
        <v>145</v>
      </c>
      <c r="B32" s="1" t="s">
        <v>133</v>
      </c>
      <c r="C32" s="16">
        <v>8.3333329999999997E-2</v>
      </c>
      <c r="D32" s="5">
        <f t="shared" ref="D32:D41" si="0">C32*$B$28</f>
        <v>7.0465531318791983E-9</v>
      </c>
      <c r="E32" s="4" t="s">
        <v>143</v>
      </c>
    </row>
    <row r="33" spans="1:5">
      <c r="A33" s="1" t="s">
        <v>146</v>
      </c>
      <c r="B33" s="1" t="s">
        <v>142</v>
      </c>
      <c r="C33" s="16">
        <v>8.3333329999999997E-2</v>
      </c>
      <c r="D33" s="5">
        <f t="shared" si="0"/>
        <v>7.0465531318791983E-9</v>
      </c>
      <c r="E33" s="4" t="s">
        <v>143</v>
      </c>
    </row>
    <row r="34" spans="1:5">
      <c r="A34" s="1" t="s">
        <v>147</v>
      </c>
      <c r="B34" s="1" t="s">
        <v>134</v>
      </c>
      <c r="C34" s="16">
        <v>8.3333329999999997E-2</v>
      </c>
      <c r="D34" s="5">
        <f t="shared" si="0"/>
        <v>7.0465531318791983E-9</v>
      </c>
      <c r="E34" s="4" t="s">
        <v>143</v>
      </c>
    </row>
    <row r="35" spans="1:5">
      <c r="A35" s="1" t="s">
        <v>148</v>
      </c>
      <c r="B35" s="1" t="s">
        <v>135</v>
      </c>
      <c r="C35" s="16">
        <v>8.3333329999999997E-2</v>
      </c>
      <c r="D35" s="5">
        <f t="shared" si="0"/>
        <v>7.0465531318791983E-9</v>
      </c>
      <c r="E35" s="4" t="s">
        <v>143</v>
      </c>
    </row>
    <row r="36" spans="1:5">
      <c r="A36" s="1" t="s">
        <v>149</v>
      </c>
      <c r="B36" s="1" t="s">
        <v>136</v>
      </c>
      <c r="C36" s="16">
        <v>8.3333329999999997E-2</v>
      </c>
      <c r="D36" s="5">
        <f t="shared" si="0"/>
        <v>7.0465531318791983E-9</v>
      </c>
      <c r="E36" s="4" t="s">
        <v>143</v>
      </c>
    </row>
    <row r="37" spans="1:5">
      <c r="A37" s="1" t="s">
        <v>150</v>
      </c>
      <c r="B37" s="1" t="s">
        <v>140</v>
      </c>
      <c r="C37" s="16">
        <v>0.125</v>
      </c>
      <c r="D37" s="5">
        <f t="shared" si="0"/>
        <v>1.0569830120612003E-8</v>
      </c>
      <c r="E37" s="4" t="s">
        <v>143</v>
      </c>
    </row>
    <row r="38" spans="1:5">
      <c r="A38" s="1" t="s">
        <v>151</v>
      </c>
      <c r="B38" s="1" t="s">
        <v>141</v>
      </c>
      <c r="C38" s="16">
        <v>0.125</v>
      </c>
      <c r="D38" s="5">
        <f t="shared" si="0"/>
        <v>1.0569830120612003E-8</v>
      </c>
      <c r="E38" s="4" t="s">
        <v>143</v>
      </c>
    </row>
    <row r="39" spans="1:5">
      <c r="A39" s="1" t="s">
        <v>152</v>
      </c>
      <c r="B39" s="1" t="s">
        <v>137</v>
      </c>
      <c r="C39" s="16">
        <v>8.3333329999999997E-2</v>
      </c>
      <c r="D39" s="5">
        <f t="shared" si="0"/>
        <v>7.0465531318791983E-9</v>
      </c>
      <c r="E39" s="4" t="s">
        <v>143</v>
      </c>
    </row>
    <row r="40" spans="1:5">
      <c r="A40" s="1" t="s">
        <v>153</v>
      </c>
      <c r="B40" s="1" t="s">
        <v>138</v>
      </c>
      <c r="C40" s="16">
        <v>8.3333329999999997E-2</v>
      </c>
      <c r="D40" s="5">
        <f t="shared" si="0"/>
        <v>7.0465531318791983E-9</v>
      </c>
      <c r="E40" s="4" t="s">
        <v>143</v>
      </c>
    </row>
    <row r="41" spans="1:5">
      <c r="A41" s="1" t="s">
        <v>154</v>
      </c>
      <c r="B41" s="1" t="s">
        <v>139</v>
      </c>
      <c r="C41" s="16">
        <v>8.3333329999999997E-2</v>
      </c>
      <c r="D41" s="5">
        <f t="shared" si="0"/>
        <v>7.0465531318791983E-9</v>
      </c>
      <c r="E41" s="4" t="s">
        <v>143</v>
      </c>
    </row>
    <row r="42" spans="1:5">
      <c r="B42" s="13"/>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0" workbookViewId="0">
      <selection activeCell="C35" sqref="C35"/>
    </sheetView>
  </sheetViews>
  <sheetFormatPr defaultRowHeight="15"/>
  <cols>
    <col min="1" max="1" width="26.5703125" bestFit="1" customWidth="1"/>
    <col min="2" max="2" width="32.140625" bestFit="1" customWidth="1"/>
    <col min="3" max="3" width="105.5703125" bestFit="1" customWidth="1"/>
    <col min="4" max="4" width="36.42578125" customWidth="1"/>
    <col min="5" max="5" width="72.7109375" customWidth="1"/>
  </cols>
  <sheetData>
    <row r="1" spans="1:3">
      <c r="A1" s="1" t="s">
        <v>9</v>
      </c>
      <c r="B1" s="1" t="s">
        <v>0</v>
      </c>
      <c r="C1" s="4" t="s">
        <v>7</v>
      </c>
    </row>
    <row r="2" spans="1:3">
      <c r="A2" s="1" t="s">
        <v>8</v>
      </c>
      <c r="B2" s="1" t="s">
        <v>160</v>
      </c>
      <c r="C2" s="113" t="s">
        <v>161</v>
      </c>
    </row>
    <row r="3" spans="1:3">
      <c r="A3" s="1" t="s">
        <v>2</v>
      </c>
      <c r="B3" s="1">
        <v>2022</v>
      </c>
      <c r="C3" s="113"/>
    </row>
    <row r="4" spans="1:3">
      <c r="A4" s="1" t="s">
        <v>3</v>
      </c>
      <c r="B4" s="1">
        <v>0.47299999999999998</v>
      </c>
      <c r="C4" s="4" t="s">
        <v>10</v>
      </c>
    </row>
    <row r="5" spans="1:3">
      <c r="A5" s="1" t="s">
        <v>1</v>
      </c>
      <c r="B5" s="1">
        <f>EXP(-B4*(B3-1993))</f>
        <v>1.1035260553215552E-6</v>
      </c>
      <c r="C5" s="4" t="s">
        <v>11</v>
      </c>
    </row>
    <row r="6" spans="1:3">
      <c r="A6" s="1" t="s">
        <v>4</v>
      </c>
      <c r="B6" s="1">
        <v>6.9999999999999999E-6</v>
      </c>
      <c r="C6" s="4" t="s">
        <v>10</v>
      </c>
    </row>
    <row r="7" spans="1:3">
      <c r="A7" s="1" t="s">
        <v>6</v>
      </c>
      <c r="B7" s="1">
        <f>24/24</f>
        <v>1</v>
      </c>
      <c r="C7" s="4" t="s">
        <v>50</v>
      </c>
    </row>
    <row r="8" spans="1:3">
      <c r="A8" s="1" t="s">
        <v>13</v>
      </c>
      <c r="B8" s="1">
        <v>0.28000000000000003</v>
      </c>
      <c r="C8" s="4" t="s">
        <v>10</v>
      </c>
    </row>
    <row r="9" spans="1:3">
      <c r="A9" s="1" t="s">
        <v>5</v>
      </c>
      <c r="B9" s="1">
        <f>B7/B8</f>
        <v>3.5714285714285712</v>
      </c>
      <c r="C9" s="4" t="s">
        <v>11</v>
      </c>
    </row>
    <row r="10" spans="1:3">
      <c r="A10" s="1" t="s">
        <v>12</v>
      </c>
      <c r="B10" s="1">
        <v>0.8</v>
      </c>
      <c r="C10" s="4" t="s">
        <v>10</v>
      </c>
    </row>
    <row r="11" spans="1:3">
      <c r="A11" s="1" t="s">
        <v>14</v>
      </c>
      <c r="B11" s="1">
        <v>71</v>
      </c>
      <c r="C11" s="4" t="s">
        <v>51</v>
      </c>
    </row>
    <row r="12" spans="1:3">
      <c r="A12" s="1" t="s">
        <v>15</v>
      </c>
      <c r="B12" s="1">
        <v>13</v>
      </c>
      <c r="C12" s="4" t="s">
        <v>16</v>
      </c>
    </row>
    <row r="13" spans="1:3">
      <c r="A13" s="1" t="s">
        <v>17</v>
      </c>
      <c r="B13" s="1">
        <f>EXP((-B10/0.00008617)*((1/(B11+B12+273))-(1/298)))</f>
        <v>172.21531086083422</v>
      </c>
      <c r="C13" s="4" t="s">
        <v>11</v>
      </c>
    </row>
    <row r="14" spans="1:3">
      <c r="A14" s="1" t="s">
        <v>18</v>
      </c>
      <c r="B14" s="1">
        <v>3.8499999999999998E-4</v>
      </c>
      <c r="C14" s="4" t="s">
        <v>10</v>
      </c>
    </row>
    <row r="15" spans="1:3">
      <c r="A15" s="1" t="s">
        <v>19</v>
      </c>
      <c r="B15" s="1">
        <v>0.72</v>
      </c>
      <c r="C15" s="4" t="s">
        <v>10</v>
      </c>
    </row>
    <row r="16" spans="1:3">
      <c r="A16" s="1" t="s">
        <v>20</v>
      </c>
      <c r="B16" s="1">
        <f>(1-B7)/B15</f>
        <v>0</v>
      </c>
      <c r="C16" s="4" t="s">
        <v>11</v>
      </c>
    </row>
    <row r="17" spans="1:3">
      <c r="A17" s="1" t="s">
        <v>21</v>
      </c>
      <c r="B17" s="1">
        <v>0.9</v>
      </c>
      <c r="C17" s="4" t="s">
        <v>52</v>
      </c>
    </row>
    <row r="18" spans="1:3">
      <c r="A18" s="1" t="s">
        <v>23</v>
      </c>
      <c r="B18" s="1">
        <v>0.3</v>
      </c>
      <c r="C18" s="4" t="s">
        <v>10</v>
      </c>
    </row>
    <row r="19" spans="1:3">
      <c r="A19" s="1" t="s">
        <v>24</v>
      </c>
      <c r="B19" s="1">
        <v>14</v>
      </c>
      <c r="C19" s="4" t="s">
        <v>53</v>
      </c>
    </row>
    <row r="20" spans="1:3">
      <c r="A20" s="1" t="s">
        <v>22</v>
      </c>
      <c r="B20" s="3">
        <f>EXP((-B18/0.00008617)*((1/(B19+273))-(1/298)))*POWER((B17/0.5), 3)</f>
        <v>3.7269311834508061</v>
      </c>
      <c r="C20" s="4" t="s">
        <v>11</v>
      </c>
    </row>
    <row r="21" spans="1:3">
      <c r="A21" s="1" t="s">
        <v>25</v>
      </c>
      <c r="B21" s="1">
        <v>2.4899999999999998E-4</v>
      </c>
      <c r="C21" s="4" t="s">
        <v>10</v>
      </c>
    </row>
    <row r="22" spans="1:3">
      <c r="A22" s="1" t="s">
        <v>26</v>
      </c>
      <c r="B22" s="1">
        <v>365</v>
      </c>
      <c r="C22" s="4" t="s">
        <v>54</v>
      </c>
    </row>
    <row r="23" spans="1:3">
      <c r="A23" s="1" t="s">
        <v>28</v>
      </c>
      <c r="B23" s="3">
        <v>482.46</v>
      </c>
      <c r="C23" s="4" t="s">
        <v>10</v>
      </c>
    </row>
    <row r="24" spans="1:3">
      <c r="A24" s="1" t="s">
        <v>27</v>
      </c>
      <c r="B24" s="3">
        <f>B22/B23</f>
        <v>0.75653940223023675</v>
      </c>
      <c r="C24" s="4" t="s">
        <v>11</v>
      </c>
    </row>
    <row r="25" spans="1:3">
      <c r="A25" s="1" t="s">
        <v>30</v>
      </c>
      <c r="B25" s="3">
        <v>26.5</v>
      </c>
      <c r="C25" s="4" t="s">
        <v>10</v>
      </c>
    </row>
    <row r="26" spans="1:3">
      <c r="A26" s="1" t="s">
        <v>29</v>
      </c>
      <c r="B26" s="3">
        <f>POWER((B11+B12-B19)/B25,4)</f>
        <v>48.686512267122865</v>
      </c>
      <c r="C26" s="4" t="s">
        <v>11</v>
      </c>
    </row>
    <row r="27" spans="1:3">
      <c r="A27" s="1" t="s">
        <v>31</v>
      </c>
      <c r="B27" s="3">
        <v>4.8500000000000001E-3</v>
      </c>
      <c r="C27" s="4" t="s">
        <v>10</v>
      </c>
    </row>
    <row r="28" spans="1:3">
      <c r="A28" s="1" t="s">
        <v>32</v>
      </c>
      <c r="B28" s="3">
        <f>POWER((B11+B12-B19)/44,2.26)</f>
        <v>2.8557390589126692</v>
      </c>
      <c r="C28" s="4" t="s">
        <v>11</v>
      </c>
    </row>
    <row r="29" spans="1:3">
      <c r="A29" s="1" t="s">
        <v>33</v>
      </c>
      <c r="B29" s="3">
        <v>2.63E-4</v>
      </c>
      <c r="C29" s="4" t="s">
        <v>10</v>
      </c>
    </row>
    <row r="30" spans="1:3">
      <c r="A30" s="1" t="s">
        <v>34</v>
      </c>
      <c r="B30" s="3">
        <f>(B5*((B6*B9*B13)+(B14*B16*B20)+(B21*B24*B26)))+B27*B28+B29</f>
        <v>1.4113349307798921E-2</v>
      </c>
      <c r="C30" s="4" t="s">
        <v>11</v>
      </c>
    </row>
    <row r="31" spans="1:3">
      <c r="A31" s="1" t="s">
        <v>35</v>
      </c>
      <c r="B31" s="3">
        <f>B30/1000000</f>
        <v>1.4113349307798921E-8</v>
      </c>
      <c r="C31" s="4" t="s">
        <v>36</v>
      </c>
    </row>
    <row r="33" spans="1:5">
      <c r="A33" s="1" t="s">
        <v>61</v>
      </c>
      <c r="B33" s="1" t="s">
        <v>58</v>
      </c>
      <c r="C33" s="1" t="s">
        <v>38</v>
      </c>
      <c r="D33" s="5" t="s">
        <v>59</v>
      </c>
      <c r="E33" s="5" t="s">
        <v>63</v>
      </c>
    </row>
    <row r="34" spans="1:5">
      <c r="A34" s="7" t="s">
        <v>580</v>
      </c>
      <c r="B34" s="7" t="s">
        <v>582</v>
      </c>
      <c r="C34" s="16">
        <f>0.12/2</f>
        <v>0.06</v>
      </c>
      <c r="D34" s="5">
        <f t="shared" ref="D34:D41" si="0">C34*$B$31</f>
        <v>8.468009584679352E-10</v>
      </c>
      <c r="E34" s="4" t="s">
        <v>64</v>
      </c>
    </row>
    <row r="35" spans="1:5">
      <c r="A35" s="34" t="s">
        <v>581</v>
      </c>
      <c r="B35" s="34" t="s">
        <v>583</v>
      </c>
      <c r="C35" s="16">
        <f>0.12/2</f>
        <v>0.06</v>
      </c>
      <c r="D35" s="5">
        <f>C35*$B$31</f>
        <v>8.468009584679352E-10</v>
      </c>
      <c r="E35" s="4" t="s">
        <v>64</v>
      </c>
    </row>
    <row r="36" spans="1:5">
      <c r="A36" s="7" t="s">
        <v>166</v>
      </c>
      <c r="B36" s="7" t="s">
        <v>165</v>
      </c>
      <c r="C36" s="16">
        <v>0.36</v>
      </c>
      <c r="D36" s="5">
        <f t="shared" si="0"/>
        <v>5.0808057508076114E-9</v>
      </c>
      <c r="E36" s="4" t="s">
        <v>64</v>
      </c>
    </row>
    <row r="37" spans="1:5">
      <c r="A37" s="7" t="s">
        <v>167</v>
      </c>
      <c r="B37" s="7" t="s">
        <v>169</v>
      </c>
      <c r="C37" s="16">
        <v>0.09</v>
      </c>
      <c r="D37" s="5">
        <f t="shared" si="0"/>
        <v>1.2702014377019029E-9</v>
      </c>
      <c r="E37" s="4" t="s">
        <v>64</v>
      </c>
    </row>
    <row r="38" spans="1:5">
      <c r="A38" s="7" t="s">
        <v>168</v>
      </c>
      <c r="B38" s="7" t="s">
        <v>170</v>
      </c>
      <c r="C38" s="16">
        <v>0.08</v>
      </c>
      <c r="D38" s="5">
        <f t="shared" si="0"/>
        <v>1.1290679446239138E-9</v>
      </c>
      <c r="E38" s="4" t="s">
        <v>64</v>
      </c>
    </row>
    <row r="39" spans="1:5">
      <c r="A39" s="7" t="s">
        <v>172</v>
      </c>
      <c r="B39" s="7" t="s">
        <v>174</v>
      </c>
      <c r="C39" s="16">
        <v>0.12</v>
      </c>
      <c r="D39" s="5">
        <f t="shared" si="0"/>
        <v>1.6936019169358704E-9</v>
      </c>
      <c r="E39" s="4" t="s">
        <v>82</v>
      </c>
    </row>
    <row r="40" spans="1:5">
      <c r="A40" s="7" t="s">
        <v>173</v>
      </c>
      <c r="B40" s="7" t="s">
        <v>175</v>
      </c>
      <c r="C40" s="16">
        <v>0.12</v>
      </c>
      <c r="D40" s="5">
        <f t="shared" si="0"/>
        <v>1.6936019169358704E-9</v>
      </c>
      <c r="E40" s="4" t="s">
        <v>82</v>
      </c>
    </row>
    <row r="41" spans="1:5">
      <c r="A41" s="7" t="s">
        <v>176</v>
      </c>
      <c r="B41" s="7" t="s">
        <v>177</v>
      </c>
      <c r="C41" s="16">
        <v>0.12</v>
      </c>
      <c r="D41" s="5">
        <f t="shared" si="0"/>
        <v>1.6936019169358704E-9</v>
      </c>
      <c r="E41" s="4" t="s">
        <v>82</v>
      </c>
    </row>
    <row r="43" spans="1:5" ht="45">
      <c r="A43" s="34" t="s">
        <v>576</v>
      </c>
      <c r="B43" s="36" t="s">
        <v>578</v>
      </c>
      <c r="C43" s="37" t="s">
        <v>577</v>
      </c>
    </row>
  </sheetData>
  <mergeCells count="1">
    <mergeCell ref="C2:C3"/>
  </mergeCells>
  <hyperlinks>
    <hyperlink ref="C2" r:id="rId1"/>
    <hyperlink ref="C43" r:id="rId2"/>
  </hyperlinks>
  <pageMargins left="0.511811024" right="0.511811024" top="0.78740157499999996" bottom="0.78740157499999996" header="0.31496062000000002" footer="0.31496062000000002"/>
  <pageSetup paperSize="9" orientation="portrait" horizontalDpi="0"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B1" workbookViewId="0">
      <selection activeCell="C2" sqref="C2:C3"/>
    </sheetView>
  </sheetViews>
  <sheetFormatPr defaultRowHeight="15"/>
  <cols>
    <col min="1" max="1" width="59.28515625" bestFit="1" customWidth="1"/>
    <col min="2" max="2" width="60.140625" bestFit="1" customWidth="1"/>
    <col min="3" max="3" width="105.5703125" bestFit="1" customWidth="1"/>
    <col min="4" max="4" width="36.42578125" customWidth="1"/>
    <col min="5" max="5" width="92.7109375" bestFit="1" customWidth="1"/>
  </cols>
  <sheetData>
    <row r="1" spans="1:3">
      <c r="A1" s="1" t="s">
        <v>9</v>
      </c>
      <c r="B1" s="1" t="s">
        <v>0</v>
      </c>
      <c r="C1" s="4" t="s">
        <v>7</v>
      </c>
    </row>
    <row r="2" spans="1:3">
      <c r="A2" s="1" t="s">
        <v>8</v>
      </c>
      <c r="B2" s="1" t="s">
        <v>397</v>
      </c>
      <c r="C2" s="113" t="s">
        <v>398</v>
      </c>
    </row>
    <row r="3" spans="1:3">
      <c r="A3" s="1" t="s">
        <v>2</v>
      </c>
      <c r="B3" s="1">
        <v>2021</v>
      </c>
      <c r="C3" s="113"/>
    </row>
    <row r="4" spans="1:3">
      <c r="A4" s="7" t="s">
        <v>3</v>
      </c>
      <c r="B4" s="7">
        <v>0.39700000000000002</v>
      </c>
      <c r="C4" s="9" t="s">
        <v>162</v>
      </c>
    </row>
    <row r="5" spans="1:3">
      <c r="A5" s="7" t="s">
        <v>1</v>
      </c>
      <c r="B5" s="7">
        <f>EXP(-B4*(B3-1993))</f>
        <v>1.4872450740641583E-5</v>
      </c>
      <c r="C5" s="9" t="s">
        <v>163</v>
      </c>
    </row>
    <row r="6" spans="1:3">
      <c r="A6" s="7" t="s">
        <v>4</v>
      </c>
      <c r="B6" s="7">
        <v>1.95E-4</v>
      </c>
      <c r="C6" s="9" t="s">
        <v>162</v>
      </c>
    </row>
    <row r="7" spans="1:3">
      <c r="A7" s="7" t="s">
        <v>6</v>
      </c>
      <c r="B7" s="7">
        <f>24/24</f>
        <v>1</v>
      </c>
      <c r="C7" s="9" t="s">
        <v>50</v>
      </c>
    </row>
    <row r="8" spans="1:3">
      <c r="A8" s="7" t="s">
        <v>13</v>
      </c>
      <c r="B8" s="7">
        <v>0.23</v>
      </c>
      <c r="C8" s="9" t="s">
        <v>162</v>
      </c>
    </row>
    <row r="9" spans="1:3">
      <c r="A9" s="7" t="s">
        <v>5</v>
      </c>
      <c r="B9" s="7">
        <f>B7/B8</f>
        <v>4.3478260869565215</v>
      </c>
      <c r="C9" s="9" t="s">
        <v>163</v>
      </c>
    </row>
    <row r="10" spans="1:3">
      <c r="A10" s="7" t="s">
        <v>12</v>
      </c>
      <c r="B10" s="7">
        <v>0.2</v>
      </c>
      <c r="C10" s="9" t="s">
        <v>162</v>
      </c>
    </row>
    <row r="11" spans="1:3">
      <c r="A11" s="7" t="s">
        <v>14</v>
      </c>
      <c r="B11" s="7">
        <v>71</v>
      </c>
      <c r="C11" s="9" t="s">
        <v>51</v>
      </c>
    </row>
    <row r="12" spans="1:3">
      <c r="A12" s="7" t="s">
        <v>15</v>
      </c>
      <c r="B12" s="7">
        <v>60</v>
      </c>
      <c r="C12" s="9" t="s">
        <v>164</v>
      </c>
    </row>
    <row r="13" spans="1:3">
      <c r="A13" s="7" t="s">
        <v>17</v>
      </c>
      <c r="B13" s="7">
        <f>EXP((-B10/0.00008617)*((1/(B11+B12+273))-(1/298)))</f>
        <v>7.7178457332731929</v>
      </c>
      <c r="C13" s="9" t="s">
        <v>163</v>
      </c>
    </row>
    <row r="14" spans="1:3">
      <c r="A14" s="7" t="s">
        <v>18</v>
      </c>
      <c r="B14" s="7">
        <v>3.3300000000000002E-4</v>
      </c>
      <c r="C14" s="9" t="s">
        <v>162</v>
      </c>
    </row>
    <row r="15" spans="1:3">
      <c r="A15" s="7" t="s">
        <v>19</v>
      </c>
      <c r="B15" s="7">
        <v>0.77</v>
      </c>
      <c r="C15" s="9" t="s">
        <v>162</v>
      </c>
    </row>
    <row r="16" spans="1:3">
      <c r="A16" s="7" t="s">
        <v>20</v>
      </c>
      <c r="B16" s="7">
        <f>(1-B7)/B15</f>
        <v>0</v>
      </c>
      <c r="C16" s="9" t="s">
        <v>163</v>
      </c>
    </row>
    <row r="17" spans="1:5">
      <c r="A17" s="7" t="s">
        <v>23</v>
      </c>
      <c r="B17" s="7">
        <v>0.3</v>
      </c>
      <c r="C17" s="9" t="s">
        <v>162</v>
      </c>
    </row>
    <row r="18" spans="1:5">
      <c r="A18" s="7" t="s">
        <v>24</v>
      </c>
      <c r="B18" s="7">
        <v>14</v>
      </c>
      <c r="C18" s="9" t="s">
        <v>53</v>
      </c>
    </row>
    <row r="19" spans="1:5">
      <c r="A19" s="7" t="s">
        <v>99</v>
      </c>
      <c r="B19" s="8">
        <f>EXP((-B17/0.00008617)*((1/(B18+273))-(1/298)))</f>
        <v>0.63904855683312856</v>
      </c>
      <c r="C19" s="9" t="s">
        <v>163</v>
      </c>
    </row>
    <row r="20" spans="1:5">
      <c r="A20" s="7" t="s">
        <v>25</v>
      </c>
      <c r="B20" s="7">
        <v>2.5500000000000002E-4</v>
      </c>
      <c r="C20" s="9" t="s">
        <v>162</v>
      </c>
    </row>
    <row r="21" spans="1:5">
      <c r="A21" s="7" t="s">
        <v>26</v>
      </c>
      <c r="B21" s="7">
        <v>365</v>
      </c>
      <c r="C21" s="9" t="s">
        <v>54</v>
      </c>
    </row>
    <row r="22" spans="1:5">
      <c r="A22" s="7" t="s">
        <v>28</v>
      </c>
      <c r="B22" s="8">
        <v>754.38</v>
      </c>
      <c r="C22" s="9" t="s">
        <v>162</v>
      </c>
    </row>
    <row r="23" spans="1:5">
      <c r="A23" s="7" t="s">
        <v>27</v>
      </c>
      <c r="B23" s="8">
        <f>B21/B22</f>
        <v>0.48384103502213738</v>
      </c>
      <c r="C23" s="9" t="s">
        <v>163</v>
      </c>
    </row>
    <row r="24" spans="1:5">
      <c r="A24" s="7" t="s">
        <v>30</v>
      </c>
      <c r="B24" s="8">
        <v>80</v>
      </c>
      <c r="C24" s="9" t="s">
        <v>162</v>
      </c>
    </row>
    <row r="25" spans="1:5">
      <c r="A25" s="7" t="s">
        <v>29</v>
      </c>
      <c r="B25" s="8">
        <f>POWER((B11+B12-B18)/B24,2)</f>
        <v>2.1389062499999998</v>
      </c>
      <c r="C25" s="9" t="s">
        <v>163</v>
      </c>
    </row>
    <row r="26" spans="1:5">
      <c r="A26" s="7" t="s">
        <v>31</v>
      </c>
      <c r="B26" s="8">
        <v>1.5E-3</v>
      </c>
      <c r="C26" s="9" t="s">
        <v>162</v>
      </c>
    </row>
    <row r="27" spans="1:5">
      <c r="A27" s="7" t="s">
        <v>32</v>
      </c>
      <c r="B27" s="8">
        <f>POWER((B11+B12-B18)/44,2.26)</f>
        <v>9.117945640436897</v>
      </c>
      <c r="C27" s="9" t="s">
        <v>163</v>
      </c>
    </row>
    <row r="28" spans="1:5">
      <c r="A28" s="7" t="s">
        <v>33</v>
      </c>
      <c r="B28" s="8">
        <v>1.099E-2</v>
      </c>
      <c r="C28" s="9" t="s">
        <v>162</v>
      </c>
    </row>
    <row r="29" spans="1:5">
      <c r="A29" s="7" t="s">
        <v>34</v>
      </c>
      <c r="B29" s="8">
        <f>(B5*((B6*B9*B13)+(B14*B16*B19)+(B20*B23*B25)))+B26*B27+B28</f>
        <v>2.4667019701711611E-2</v>
      </c>
      <c r="C29" s="9" t="s">
        <v>163</v>
      </c>
    </row>
    <row r="30" spans="1:5">
      <c r="A30" s="1" t="s">
        <v>35</v>
      </c>
      <c r="B30" s="14">
        <f>B29/1000000</f>
        <v>2.4667019701711612E-8</v>
      </c>
      <c r="C30" s="4" t="s">
        <v>36</v>
      </c>
    </row>
    <row r="32" spans="1:5">
      <c r="A32" s="1" t="s">
        <v>61</v>
      </c>
      <c r="B32" s="1" t="s">
        <v>58</v>
      </c>
      <c r="C32" s="1" t="s">
        <v>38</v>
      </c>
      <c r="D32" s="5" t="s">
        <v>59</v>
      </c>
      <c r="E32" s="5" t="s">
        <v>63</v>
      </c>
    </row>
    <row r="33" spans="1:5">
      <c r="A33" s="1" t="s">
        <v>178</v>
      </c>
      <c r="B33" s="1" t="s">
        <v>208</v>
      </c>
      <c r="C33" s="17">
        <f>(0.05+0.135)/7</f>
        <v>2.642857142857143E-2</v>
      </c>
      <c r="D33" s="5">
        <f>C33*$B$30</f>
        <v>6.5191409211666409E-10</v>
      </c>
      <c r="E33" s="4" t="s">
        <v>239</v>
      </c>
    </row>
    <row r="34" spans="1:5">
      <c r="A34" s="1" t="s">
        <v>179</v>
      </c>
      <c r="B34" s="1" t="s">
        <v>209</v>
      </c>
      <c r="C34" s="17">
        <f t="shared" ref="C34:C39" si="0">(0.05+0.135)/7</f>
        <v>2.642857142857143E-2</v>
      </c>
      <c r="D34" s="5">
        <f t="shared" ref="D34:D41" si="1">C34*$B$30</f>
        <v>6.5191409211666409E-10</v>
      </c>
      <c r="E34" s="4" t="s">
        <v>239</v>
      </c>
    </row>
    <row r="35" spans="1:5">
      <c r="A35" s="1" t="s">
        <v>180</v>
      </c>
      <c r="B35" s="1" t="s">
        <v>210</v>
      </c>
      <c r="C35" s="17">
        <f t="shared" si="0"/>
        <v>2.642857142857143E-2</v>
      </c>
      <c r="D35" s="5">
        <f t="shared" si="1"/>
        <v>6.5191409211666409E-10</v>
      </c>
      <c r="E35" s="4" t="s">
        <v>239</v>
      </c>
    </row>
    <row r="36" spans="1:5">
      <c r="A36" s="1" t="s">
        <v>181</v>
      </c>
      <c r="B36" s="1" t="s">
        <v>211</v>
      </c>
      <c r="C36" s="17">
        <f t="shared" si="0"/>
        <v>2.642857142857143E-2</v>
      </c>
      <c r="D36" s="5">
        <f t="shared" si="1"/>
        <v>6.5191409211666409E-10</v>
      </c>
      <c r="E36" s="4" t="s">
        <v>239</v>
      </c>
    </row>
    <row r="37" spans="1:5">
      <c r="A37" s="1" t="s">
        <v>182</v>
      </c>
      <c r="B37" s="1" t="s">
        <v>212</v>
      </c>
      <c r="C37" s="17">
        <f t="shared" si="0"/>
        <v>2.642857142857143E-2</v>
      </c>
      <c r="D37" s="5">
        <f t="shared" si="1"/>
        <v>6.5191409211666409E-10</v>
      </c>
      <c r="E37" s="4" t="s">
        <v>239</v>
      </c>
    </row>
    <row r="38" spans="1:5">
      <c r="A38" s="1" t="s">
        <v>183</v>
      </c>
      <c r="B38" s="1" t="s">
        <v>213</v>
      </c>
      <c r="C38" s="17">
        <f t="shared" si="0"/>
        <v>2.642857142857143E-2</v>
      </c>
      <c r="D38" s="5">
        <f t="shared" si="1"/>
        <v>6.5191409211666409E-10</v>
      </c>
      <c r="E38" s="4" t="s">
        <v>239</v>
      </c>
    </row>
    <row r="39" spans="1:5">
      <c r="A39" s="1" t="s">
        <v>184</v>
      </c>
      <c r="B39" s="1" t="s">
        <v>214</v>
      </c>
      <c r="C39" s="17">
        <f t="shared" si="0"/>
        <v>2.642857142857143E-2</v>
      </c>
      <c r="D39" s="5">
        <f t="shared" si="1"/>
        <v>6.5191409211666409E-10</v>
      </c>
      <c r="E39" s="4" t="s">
        <v>239</v>
      </c>
    </row>
    <row r="40" spans="1:5">
      <c r="A40" s="1" t="s">
        <v>185</v>
      </c>
      <c r="B40" s="1" t="s">
        <v>215</v>
      </c>
      <c r="C40" s="17">
        <f t="shared" ref="C40:C46" si="2">(0.135+0.51)/7</f>
        <v>9.2142857142857151E-2</v>
      </c>
      <c r="D40" s="5">
        <f t="shared" si="1"/>
        <v>2.2728896725148557E-9</v>
      </c>
      <c r="E40" s="4" t="s">
        <v>240</v>
      </c>
    </row>
    <row r="41" spans="1:5">
      <c r="A41" s="1" t="s">
        <v>186</v>
      </c>
      <c r="B41" s="1" t="s">
        <v>216</v>
      </c>
      <c r="C41" s="17">
        <f t="shared" si="2"/>
        <v>9.2142857142857151E-2</v>
      </c>
      <c r="D41" s="5">
        <f t="shared" si="1"/>
        <v>2.2728896725148557E-9</v>
      </c>
      <c r="E41" s="4" t="s">
        <v>240</v>
      </c>
    </row>
    <row r="42" spans="1:5">
      <c r="A42" s="1" t="s">
        <v>187</v>
      </c>
      <c r="B42" s="1" t="s">
        <v>217</v>
      </c>
      <c r="C42" s="17">
        <f t="shared" si="2"/>
        <v>9.2142857142857151E-2</v>
      </c>
      <c r="D42" s="5">
        <f t="shared" ref="D42:D62" si="3">C42*$B$30</f>
        <v>2.2728896725148557E-9</v>
      </c>
      <c r="E42" s="4" t="s">
        <v>240</v>
      </c>
    </row>
    <row r="43" spans="1:5">
      <c r="A43" s="1" t="s">
        <v>188</v>
      </c>
      <c r="B43" s="1" t="s">
        <v>218</v>
      </c>
      <c r="C43" s="17">
        <f t="shared" si="2"/>
        <v>9.2142857142857151E-2</v>
      </c>
      <c r="D43" s="5">
        <f t="shared" si="3"/>
        <v>2.2728896725148557E-9</v>
      </c>
      <c r="E43" s="4" t="s">
        <v>240</v>
      </c>
    </row>
    <row r="44" spans="1:5">
      <c r="A44" s="1" t="s">
        <v>189</v>
      </c>
      <c r="B44" s="1" t="s">
        <v>219</v>
      </c>
      <c r="C44" s="17">
        <f t="shared" si="2"/>
        <v>9.2142857142857151E-2</v>
      </c>
      <c r="D44" s="5">
        <f t="shared" si="3"/>
        <v>2.2728896725148557E-9</v>
      </c>
      <c r="E44" s="4" t="s">
        <v>240</v>
      </c>
    </row>
    <row r="45" spans="1:5">
      <c r="A45" s="1" t="s">
        <v>190</v>
      </c>
      <c r="B45" s="1" t="s">
        <v>220</v>
      </c>
      <c r="C45" s="17">
        <f t="shared" si="2"/>
        <v>9.2142857142857151E-2</v>
      </c>
      <c r="D45" s="5">
        <f t="shared" si="3"/>
        <v>2.2728896725148557E-9</v>
      </c>
      <c r="E45" s="4" t="s">
        <v>240</v>
      </c>
    </row>
    <row r="46" spans="1:5">
      <c r="A46" s="1" t="s">
        <v>191</v>
      </c>
      <c r="B46" s="1" t="s">
        <v>221</v>
      </c>
      <c r="C46" s="17">
        <f t="shared" si="2"/>
        <v>9.2142857142857151E-2</v>
      </c>
      <c r="D46" s="5">
        <f t="shared" si="3"/>
        <v>2.2728896725148557E-9</v>
      </c>
      <c r="E46" s="4" t="s">
        <v>240</v>
      </c>
    </row>
    <row r="47" spans="1:5">
      <c r="A47" s="1" t="s">
        <v>192</v>
      </c>
      <c r="B47" s="1" t="s">
        <v>222</v>
      </c>
      <c r="C47" s="17">
        <v>0</v>
      </c>
      <c r="D47" s="5">
        <f t="shared" si="3"/>
        <v>0</v>
      </c>
      <c r="E47" s="4" t="s">
        <v>238</v>
      </c>
    </row>
    <row r="48" spans="1:5">
      <c r="A48" s="1" t="s">
        <v>193</v>
      </c>
      <c r="B48" s="1" t="s">
        <v>223</v>
      </c>
      <c r="C48" s="17">
        <v>0</v>
      </c>
      <c r="D48" s="5">
        <f t="shared" si="3"/>
        <v>0</v>
      </c>
      <c r="E48" s="4" t="s">
        <v>238</v>
      </c>
    </row>
    <row r="49" spans="1:5">
      <c r="A49" s="1" t="s">
        <v>194</v>
      </c>
      <c r="B49" s="1" t="s">
        <v>224</v>
      </c>
      <c r="C49" s="17">
        <v>0</v>
      </c>
      <c r="D49" s="5">
        <f t="shared" si="3"/>
        <v>0</v>
      </c>
      <c r="E49" s="4" t="s">
        <v>238</v>
      </c>
    </row>
    <row r="50" spans="1:5">
      <c r="A50" s="1" t="s">
        <v>195</v>
      </c>
      <c r="B50" s="1" t="s">
        <v>225</v>
      </c>
      <c r="C50" s="17">
        <f>0.17/13</f>
        <v>1.3076923076923078E-2</v>
      </c>
      <c r="D50" s="5">
        <f t="shared" si="3"/>
        <v>3.2256871917622881E-10</v>
      </c>
      <c r="E50" s="4" t="s">
        <v>241</v>
      </c>
    </row>
    <row r="51" spans="1:5">
      <c r="A51" s="1" t="s">
        <v>196</v>
      </c>
      <c r="B51" s="1" t="s">
        <v>226</v>
      </c>
      <c r="C51" s="17">
        <f t="shared" ref="C51:C62" si="4">0.17/13</f>
        <v>1.3076923076923078E-2</v>
      </c>
      <c r="D51" s="5">
        <f t="shared" si="3"/>
        <v>3.2256871917622881E-10</v>
      </c>
      <c r="E51" s="4" t="s">
        <v>241</v>
      </c>
    </row>
    <row r="52" spans="1:5">
      <c r="A52" s="1" t="s">
        <v>197</v>
      </c>
      <c r="B52" s="1" t="s">
        <v>227</v>
      </c>
      <c r="C52" s="17">
        <f t="shared" si="4"/>
        <v>1.3076923076923078E-2</v>
      </c>
      <c r="D52" s="5">
        <f t="shared" si="3"/>
        <v>3.2256871917622881E-10</v>
      </c>
      <c r="E52" s="4" t="s">
        <v>241</v>
      </c>
    </row>
    <row r="53" spans="1:5">
      <c r="A53" s="1" t="s">
        <v>198</v>
      </c>
      <c r="B53" s="1" t="s">
        <v>228</v>
      </c>
      <c r="C53" s="17">
        <f t="shared" si="4"/>
        <v>1.3076923076923078E-2</v>
      </c>
      <c r="D53" s="5">
        <f t="shared" si="3"/>
        <v>3.2256871917622881E-10</v>
      </c>
      <c r="E53" s="4" t="s">
        <v>241</v>
      </c>
    </row>
    <row r="54" spans="1:5">
      <c r="A54" s="1" t="s">
        <v>199</v>
      </c>
      <c r="B54" s="1" t="s">
        <v>229</v>
      </c>
      <c r="C54" s="17">
        <f t="shared" si="4"/>
        <v>1.3076923076923078E-2</v>
      </c>
      <c r="D54" s="5">
        <f t="shared" si="3"/>
        <v>3.2256871917622881E-10</v>
      </c>
      <c r="E54" s="4" t="s">
        <v>241</v>
      </c>
    </row>
    <row r="55" spans="1:5">
      <c r="A55" s="1" t="s">
        <v>200</v>
      </c>
      <c r="B55" s="1" t="s">
        <v>230</v>
      </c>
      <c r="C55" s="17">
        <f t="shared" si="4"/>
        <v>1.3076923076923078E-2</v>
      </c>
      <c r="D55" s="5">
        <f t="shared" si="3"/>
        <v>3.2256871917622881E-10</v>
      </c>
      <c r="E55" s="4" t="s">
        <v>241</v>
      </c>
    </row>
    <row r="56" spans="1:5">
      <c r="A56" s="1" t="s">
        <v>201</v>
      </c>
      <c r="B56" s="1" t="s">
        <v>231</v>
      </c>
      <c r="C56" s="17">
        <f t="shared" si="4"/>
        <v>1.3076923076923078E-2</v>
      </c>
      <c r="D56" s="5">
        <f t="shared" si="3"/>
        <v>3.2256871917622881E-10</v>
      </c>
      <c r="E56" s="4" t="s">
        <v>241</v>
      </c>
    </row>
    <row r="57" spans="1:5">
      <c r="A57" s="1" t="s">
        <v>202</v>
      </c>
      <c r="B57" s="1" t="s">
        <v>233</v>
      </c>
      <c r="C57" s="17">
        <f t="shared" si="4"/>
        <v>1.3076923076923078E-2</v>
      </c>
      <c r="D57" s="5">
        <f t="shared" si="3"/>
        <v>3.2256871917622881E-10</v>
      </c>
      <c r="E57" s="4" t="s">
        <v>241</v>
      </c>
    </row>
    <row r="58" spans="1:5">
      <c r="A58" s="1" t="s">
        <v>203</v>
      </c>
      <c r="B58" s="1" t="s">
        <v>232</v>
      </c>
      <c r="C58" s="17">
        <f t="shared" si="4"/>
        <v>1.3076923076923078E-2</v>
      </c>
      <c r="D58" s="5">
        <f t="shared" si="3"/>
        <v>3.2256871917622881E-10</v>
      </c>
      <c r="E58" s="4" t="s">
        <v>241</v>
      </c>
    </row>
    <row r="59" spans="1:5">
      <c r="A59" s="1" t="s">
        <v>204</v>
      </c>
      <c r="B59" s="1" t="s">
        <v>234</v>
      </c>
      <c r="C59" s="17">
        <f t="shared" si="4"/>
        <v>1.3076923076923078E-2</v>
      </c>
      <c r="D59" s="5">
        <f t="shared" si="3"/>
        <v>3.2256871917622881E-10</v>
      </c>
      <c r="E59" s="4" t="s">
        <v>241</v>
      </c>
    </row>
    <row r="60" spans="1:5">
      <c r="A60" s="1" t="s">
        <v>205</v>
      </c>
      <c r="B60" s="1" t="s">
        <v>235</v>
      </c>
      <c r="C60" s="17">
        <f t="shared" si="4"/>
        <v>1.3076923076923078E-2</v>
      </c>
      <c r="D60" s="5">
        <f t="shared" si="3"/>
        <v>3.2256871917622881E-10</v>
      </c>
      <c r="E60" s="4" t="s">
        <v>241</v>
      </c>
    </row>
    <row r="61" spans="1:5">
      <c r="A61" s="1" t="s">
        <v>206</v>
      </c>
      <c r="B61" s="1" t="s">
        <v>236</v>
      </c>
      <c r="C61" s="17">
        <f t="shared" si="4"/>
        <v>1.3076923076923078E-2</v>
      </c>
      <c r="D61" s="5">
        <f t="shared" si="3"/>
        <v>3.2256871917622881E-10</v>
      </c>
      <c r="E61" s="4" t="s">
        <v>241</v>
      </c>
    </row>
    <row r="62" spans="1:5">
      <c r="A62" s="1" t="s">
        <v>207</v>
      </c>
      <c r="B62" s="1" t="s">
        <v>237</v>
      </c>
      <c r="C62" s="17">
        <f t="shared" si="4"/>
        <v>1.3076923076923078E-2</v>
      </c>
      <c r="D62" s="5">
        <f t="shared" si="3"/>
        <v>3.2256871917622881E-10</v>
      </c>
      <c r="E62" s="4" t="s">
        <v>241</v>
      </c>
    </row>
  </sheetData>
  <mergeCells count="1">
    <mergeCell ref="C2:C3"/>
  </mergeCells>
  <hyperlinks>
    <hyperlink ref="C2" r:id="rId1"/>
  </hyperlinks>
  <pageMargins left="0.511811024" right="0.511811024" top="0.78740157499999996" bottom="0.78740157499999996" header="0.31496062000000002" footer="0.31496062000000002"/>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25</vt:i4>
      </vt:variant>
    </vt:vector>
  </HeadingPairs>
  <TitlesOfParts>
    <vt:vector size="25" baseType="lpstr">
      <vt:lpstr>Hazard and Risk Analyses</vt:lpstr>
      <vt:lpstr>Safety Requirements - H&amp;R Anal.</vt:lpstr>
      <vt:lpstr>Lambda-UC_Diag</vt:lpstr>
      <vt:lpstr>Lambda-UC_Sys</vt:lpstr>
      <vt:lpstr>Lambda-Flash (All)</vt:lpstr>
      <vt:lpstr>Lambda-Resistor (All)</vt:lpstr>
      <vt:lpstr>Lambda-Optocoupler (All)</vt:lpstr>
      <vt:lpstr>Lambda-OR Gate</vt:lpstr>
      <vt:lpstr>Lambda-MOSFET</vt:lpstr>
      <vt:lpstr>Lambda-Fuse</vt:lpstr>
      <vt:lpstr>Lambda-Relay</vt:lpstr>
      <vt:lpstr>Lambda-Diode</vt:lpstr>
      <vt:lpstr>Lambda-Zener</vt:lpstr>
      <vt:lpstr>Lambda-DC DC Converter (All)</vt:lpstr>
      <vt:lpstr>Lambda-Capacitor</vt:lpstr>
      <vt:lpstr>SPICE Simulation Remarks</vt:lpstr>
      <vt:lpstr>FMECA</vt:lpstr>
      <vt:lpstr>Silhouette Thresholds Scenarios</vt:lpstr>
      <vt:lpstr>Silhouette Calculation - 3a</vt:lpstr>
      <vt:lpstr>Silhouette Calculation - 3b</vt:lpstr>
      <vt:lpstr>Silhouette Calculation - 3c</vt:lpstr>
      <vt:lpstr>Silhouette Calculation - 3d</vt:lpstr>
      <vt:lpstr>Max_Std_Deviation</vt:lpstr>
      <vt:lpstr>Components' Data for CSV Files</vt:lpstr>
      <vt:lpstr>Failure Rates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Vieira da Silva Neto</dc:creator>
  <cp:lastModifiedBy>Arnaldo</cp:lastModifiedBy>
  <dcterms:created xsi:type="dcterms:W3CDTF">2022-11-03T18:45:52Z</dcterms:created>
  <dcterms:modified xsi:type="dcterms:W3CDTF">2023-05-18T22:07:48Z</dcterms:modified>
</cp:coreProperties>
</file>