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beit\School\ACTL\Test Chip Paper\"/>
    </mc:Choice>
  </mc:AlternateContent>
  <bookViews>
    <workbookView xWindow="0" yWindow="0" windowWidth="9348" windowHeight="7260" firstSheet="4" activeTab="7"/>
  </bookViews>
  <sheets>
    <sheet name="ssl" sheetId="6" r:id="rId1"/>
    <sheet name="ip" sheetId="7" r:id="rId2"/>
    <sheet name="wired-and" sheetId="1" r:id="rId3"/>
    <sheet name="wired-or" sheetId="2" r:id="rId4"/>
    <sheet name="dominant" sheetId="3" r:id="rId5"/>
    <sheet name="open-stem" sheetId="4" r:id="rId6"/>
    <sheet name="open-branch" sheetId="5" r:id="rId7"/>
    <sheet name="combined_bridge" sheetId="10" r:id="rId8"/>
    <sheet name="combined_open" sheetId="11" r:id="rId9"/>
    <sheet name="FC Analysis" sheetId="9" r:id="rId10"/>
    <sheet name="Combined DC Analysis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9" l="1"/>
  <c r="L19" i="9"/>
  <c r="L20" i="9"/>
  <c r="L21" i="9"/>
  <c r="L22" i="9"/>
  <c r="L23" i="9"/>
  <c r="L17" i="9"/>
  <c r="K18" i="9" l="1"/>
  <c r="K19" i="9"/>
  <c r="K20" i="9"/>
  <c r="K21" i="9"/>
  <c r="K22" i="9"/>
  <c r="K23" i="9"/>
  <c r="K17" i="9"/>
  <c r="J18" i="9"/>
  <c r="J19" i="9"/>
  <c r="J20" i="9"/>
  <c r="J21" i="9"/>
  <c r="J22" i="9"/>
  <c r="J23" i="9"/>
  <c r="J17" i="9"/>
  <c r="H23" i="9"/>
  <c r="G23" i="9"/>
  <c r="I18" i="9"/>
  <c r="I19" i="9"/>
  <c r="I20" i="9"/>
  <c r="I21" i="9"/>
  <c r="I22" i="9"/>
  <c r="I23" i="9"/>
  <c r="F23" i="9"/>
  <c r="E23" i="9"/>
  <c r="I17" i="9"/>
  <c r="H18" i="9"/>
  <c r="H19" i="9"/>
  <c r="H20" i="9"/>
  <c r="H21" i="9"/>
  <c r="H22" i="9"/>
  <c r="H17" i="9"/>
  <c r="G18" i="9"/>
  <c r="G19" i="9"/>
  <c r="G20" i="9"/>
  <c r="G21" i="9"/>
  <c r="G22" i="9"/>
  <c r="G17" i="9"/>
  <c r="F18" i="9"/>
  <c r="F19" i="9"/>
  <c r="F20" i="9"/>
  <c r="F21" i="9"/>
  <c r="F22" i="9"/>
  <c r="F17" i="9"/>
  <c r="E19" i="9"/>
  <c r="E20" i="9"/>
  <c r="E21" i="9"/>
  <c r="E22" i="9"/>
  <c r="E18" i="9"/>
  <c r="E17" i="9"/>
  <c r="J8" i="9"/>
  <c r="I8" i="9"/>
  <c r="H8" i="9"/>
  <c r="G8" i="9"/>
  <c r="F8" i="9"/>
  <c r="E8" i="9"/>
  <c r="D9" i="5"/>
  <c r="D6" i="3" l="1"/>
  <c r="D3" i="2" l="1"/>
  <c r="J3" i="2" s="1"/>
  <c r="D3" i="1"/>
  <c r="J3" i="1" s="1"/>
  <c r="D3" i="3"/>
  <c r="D2" i="3"/>
  <c r="E3" i="8" s="1"/>
  <c r="D4" i="3"/>
  <c r="D5" i="3"/>
  <c r="L6" i="10"/>
  <c r="L7" i="10"/>
  <c r="L9" i="10"/>
  <c r="D9" i="3"/>
  <c r="D2" i="5"/>
  <c r="D3" i="5"/>
  <c r="D9" i="1"/>
  <c r="D6" i="2"/>
  <c r="D4" i="4"/>
  <c r="D9" i="4"/>
  <c r="D8" i="4"/>
  <c r="J6" i="11"/>
  <c r="J8" i="11"/>
  <c r="H3" i="11"/>
  <c r="H4" i="11"/>
  <c r="H5" i="11"/>
  <c r="H6" i="11"/>
  <c r="H7" i="11"/>
  <c r="H8" i="11"/>
  <c r="H9" i="11"/>
  <c r="H2" i="11"/>
  <c r="G3" i="11"/>
  <c r="G4" i="11"/>
  <c r="G5" i="11"/>
  <c r="G6" i="11"/>
  <c r="F6" i="11" s="1"/>
  <c r="G7" i="11"/>
  <c r="G8" i="11"/>
  <c r="G9" i="11"/>
  <c r="G2" i="11"/>
  <c r="D3" i="11"/>
  <c r="D4" i="11"/>
  <c r="D5" i="11"/>
  <c r="D6" i="11"/>
  <c r="D7" i="11"/>
  <c r="D8" i="11"/>
  <c r="D9" i="11"/>
  <c r="J9" i="11" s="1"/>
  <c r="D2" i="11"/>
  <c r="F5" i="11"/>
  <c r="J4" i="11"/>
  <c r="F4" i="11"/>
  <c r="J3" i="11"/>
  <c r="H3" i="10"/>
  <c r="H4" i="10"/>
  <c r="H5" i="10"/>
  <c r="H6" i="10"/>
  <c r="H7" i="10"/>
  <c r="H8" i="10"/>
  <c r="H9" i="10"/>
  <c r="H2" i="10"/>
  <c r="G3" i="10"/>
  <c r="G4" i="10"/>
  <c r="G5" i="10"/>
  <c r="G6" i="10"/>
  <c r="G7" i="10"/>
  <c r="G8" i="10"/>
  <c r="G9" i="10"/>
  <c r="G2" i="10"/>
  <c r="D3" i="10"/>
  <c r="L3" i="10" s="1"/>
  <c r="D4" i="10"/>
  <c r="L4" i="10" s="1"/>
  <c r="D5" i="10"/>
  <c r="L5" i="10" s="1"/>
  <c r="D6" i="10"/>
  <c r="J6" i="10" s="1"/>
  <c r="D7" i="10"/>
  <c r="J7" i="10" s="1"/>
  <c r="D8" i="10"/>
  <c r="J8" i="10" s="1"/>
  <c r="D9" i="10"/>
  <c r="E5" i="8"/>
  <c r="E6" i="8"/>
  <c r="E7" i="8"/>
  <c r="E8" i="8"/>
  <c r="E9" i="8"/>
  <c r="N3" i="8"/>
  <c r="N4" i="8"/>
  <c r="N5" i="8"/>
  <c r="N6" i="8"/>
  <c r="N7" i="8"/>
  <c r="N8" i="8"/>
  <c r="N9" i="8"/>
  <c r="J9" i="5"/>
  <c r="J8" i="5"/>
  <c r="J7" i="5"/>
  <c r="J6" i="5"/>
  <c r="J5" i="5"/>
  <c r="J4" i="5"/>
  <c r="J3" i="5"/>
  <c r="J2" i="5"/>
  <c r="J9" i="4"/>
  <c r="J8" i="4"/>
  <c r="J7" i="4"/>
  <c r="J6" i="4"/>
  <c r="J5" i="4"/>
  <c r="J4" i="4"/>
  <c r="J3" i="4"/>
  <c r="J2" i="4"/>
  <c r="J9" i="3"/>
  <c r="J8" i="3"/>
  <c r="J7" i="3"/>
  <c r="J6" i="3"/>
  <c r="J5" i="3"/>
  <c r="J4" i="3"/>
  <c r="J3" i="3"/>
  <c r="J2" i="3"/>
  <c r="J9" i="2"/>
  <c r="J8" i="2"/>
  <c r="J7" i="2"/>
  <c r="J6" i="2"/>
  <c r="J5" i="2"/>
  <c r="J4" i="2"/>
  <c r="J2" i="2"/>
  <c r="J9" i="1"/>
  <c r="J8" i="1"/>
  <c r="J7" i="1"/>
  <c r="J6" i="1"/>
  <c r="J5" i="1"/>
  <c r="J4" i="1"/>
  <c r="J2" i="1"/>
  <c r="J9" i="7"/>
  <c r="J8" i="7"/>
  <c r="J7" i="7"/>
  <c r="J6" i="7"/>
  <c r="J5" i="7"/>
  <c r="J4" i="7"/>
  <c r="J3" i="7"/>
  <c r="J2" i="7"/>
  <c r="J3" i="6"/>
  <c r="J4" i="6"/>
  <c r="J5" i="6"/>
  <c r="J6" i="6"/>
  <c r="J7" i="6"/>
  <c r="J8" i="6"/>
  <c r="J9" i="6"/>
  <c r="J2" i="6"/>
  <c r="D2" i="1"/>
  <c r="D7" i="3"/>
  <c r="D7" i="2"/>
  <c r="D3" i="4"/>
  <c r="D2" i="4"/>
  <c r="D7" i="1"/>
  <c r="E4" i="8" l="1"/>
  <c r="D2" i="10"/>
  <c r="J2" i="10" s="1"/>
  <c r="J4" i="10"/>
  <c r="J5" i="10"/>
  <c r="J3" i="10"/>
  <c r="L8" i="10"/>
  <c r="J7" i="11"/>
  <c r="F2" i="11"/>
  <c r="F7" i="11"/>
  <c r="J2" i="11"/>
  <c r="F8" i="11"/>
  <c r="J5" i="11"/>
  <c r="F3" i="11"/>
  <c r="F9" i="11"/>
  <c r="J9" i="10"/>
  <c r="F7" i="10"/>
  <c r="F2" i="10"/>
  <c r="F5" i="10"/>
  <c r="F8" i="10"/>
  <c r="F3" i="10"/>
  <c r="F6" i="10"/>
  <c r="F9" i="10"/>
  <c r="F4" i="10"/>
  <c r="F3" i="3"/>
  <c r="D8" i="5"/>
  <c r="F8" i="5" s="1"/>
  <c r="K8" i="9" s="1"/>
  <c r="D7" i="5"/>
  <c r="F7" i="5" s="1"/>
  <c r="D6" i="5"/>
  <c r="F6" i="5" s="1"/>
  <c r="D5" i="5"/>
  <c r="F5" i="5" s="1"/>
  <c r="D4" i="5"/>
  <c r="F4" i="5"/>
  <c r="F3" i="5"/>
  <c r="D5" i="1"/>
  <c r="F5" i="1" s="1"/>
  <c r="D5" i="2"/>
  <c r="D5" i="4"/>
  <c r="F5" i="4" s="1"/>
  <c r="D9" i="2"/>
  <c r="F6" i="2"/>
  <c r="F7" i="2"/>
  <c r="F7" i="4"/>
  <c r="D7" i="4"/>
  <c r="F3" i="2"/>
  <c r="D4" i="2"/>
  <c r="F9" i="5"/>
  <c r="F2" i="5"/>
  <c r="F9" i="4"/>
  <c r="F8" i="4"/>
  <c r="F6" i="4"/>
  <c r="F4" i="4"/>
  <c r="F3" i="4"/>
  <c r="F2" i="4"/>
  <c r="F9" i="3"/>
  <c r="F8" i="3"/>
  <c r="F7" i="3"/>
  <c r="F6" i="3"/>
  <c r="F5" i="3"/>
  <c r="F4" i="3"/>
  <c r="F2" i="3"/>
  <c r="F9" i="1"/>
  <c r="F8" i="1"/>
  <c r="F7" i="1"/>
  <c r="F6" i="1"/>
  <c r="F4" i="1"/>
  <c r="F3" i="1"/>
  <c r="F2" i="1"/>
  <c r="F9" i="7"/>
  <c r="F8" i="7"/>
  <c r="F7" i="7"/>
  <c r="F6" i="7"/>
  <c r="F5" i="7"/>
  <c r="F4" i="7"/>
  <c r="F3" i="7"/>
  <c r="F2" i="7"/>
  <c r="F9" i="6"/>
  <c r="F8" i="6"/>
  <c r="F7" i="6"/>
  <c r="F6" i="6"/>
  <c r="F5" i="6"/>
  <c r="F4" i="6"/>
  <c r="F3" i="6"/>
  <c r="F2" i="6"/>
  <c r="F4" i="2"/>
  <c r="F5" i="2"/>
  <c r="F8" i="2"/>
  <c r="F9" i="2"/>
  <c r="F2" i="2"/>
  <c r="D6" i="1"/>
  <c r="L2" i="10" l="1"/>
  <c r="D4" i="1"/>
  <c r="L4" i="8"/>
  <c r="L5" i="8"/>
  <c r="L6" i="8"/>
  <c r="L7" i="8"/>
  <c r="L8" i="8"/>
  <c r="L9" i="8"/>
  <c r="L3" i="8"/>
  <c r="K4" i="8"/>
  <c r="K5" i="8"/>
  <c r="K6" i="8"/>
  <c r="K7" i="8"/>
  <c r="K8" i="8"/>
  <c r="K9" i="8"/>
  <c r="K3" i="8"/>
  <c r="J4" i="8"/>
  <c r="J5" i="8"/>
  <c r="J6" i="8"/>
  <c r="J7" i="8"/>
  <c r="J8" i="8"/>
  <c r="J9" i="8"/>
  <c r="J3" i="8"/>
  <c r="I4" i="8"/>
  <c r="I5" i="8"/>
  <c r="I6" i="8"/>
  <c r="I7" i="8"/>
  <c r="I8" i="8"/>
  <c r="I9" i="8"/>
  <c r="I3" i="8"/>
  <c r="H4" i="8"/>
  <c r="H5" i="8"/>
  <c r="H6" i="8"/>
  <c r="H7" i="8"/>
  <c r="H8" i="8"/>
  <c r="H9" i="8"/>
  <c r="H3" i="8"/>
  <c r="G4" i="8"/>
  <c r="G5" i="8"/>
  <c r="G6" i="8"/>
  <c r="G7" i="8"/>
  <c r="G8" i="8"/>
  <c r="G9" i="8"/>
  <c r="G3" i="8"/>
  <c r="F4" i="8"/>
  <c r="F5" i="8"/>
  <c r="F6" i="8"/>
  <c r="F7" i="8"/>
  <c r="F8" i="8"/>
  <c r="F9" i="8"/>
  <c r="F3" i="8"/>
  <c r="K4" i="9"/>
  <c r="K5" i="9"/>
  <c r="K6" i="9"/>
  <c r="K7" i="9"/>
  <c r="K9" i="9"/>
  <c r="K3" i="9"/>
  <c r="J4" i="9"/>
  <c r="J5" i="9"/>
  <c r="J6" i="9"/>
  <c r="J7" i="9"/>
  <c r="J9" i="9"/>
  <c r="J3" i="9"/>
  <c r="I4" i="9"/>
  <c r="I5" i="9"/>
  <c r="I6" i="9"/>
  <c r="I7" i="9"/>
  <c r="I9" i="9"/>
  <c r="I3" i="9"/>
  <c r="H4" i="9"/>
  <c r="H5" i="9"/>
  <c r="H6" i="9"/>
  <c r="H7" i="9"/>
  <c r="H9" i="9"/>
  <c r="H3" i="9"/>
  <c r="G4" i="9"/>
  <c r="G5" i="9"/>
  <c r="G6" i="9"/>
  <c r="G7" i="9"/>
  <c r="G9" i="9"/>
  <c r="G3" i="9"/>
  <c r="F4" i="9"/>
  <c r="F5" i="9"/>
  <c r="F6" i="9"/>
  <c r="F7" i="9"/>
  <c r="F9" i="9"/>
  <c r="F3" i="9"/>
  <c r="E4" i="9"/>
  <c r="E5" i="9"/>
  <c r="E6" i="9"/>
  <c r="E7" i="9"/>
  <c r="E9" i="9"/>
  <c r="E3" i="9"/>
  <c r="D6" i="4"/>
</calcChain>
</file>

<file path=xl/sharedStrings.xml><?xml version="1.0" encoding="utf-8"?>
<sst xmlns="http://schemas.openxmlformats.org/spreadsheetml/2006/main" count="321" uniqueCount="42">
  <si>
    <t>Circuit</t>
  </si>
  <si>
    <t>b17</t>
  </si>
  <si>
    <t>b17_100PI</t>
  </si>
  <si>
    <t>b17_50PI</t>
  </si>
  <si>
    <t>b17_RE_ALL</t>
  </si>
  <si>
    <t>lcv_b17_10k</t>
  </si>
  <si>
    <t>lcv_b17_20k</t>
  </si>
  <si>
    <t>lcv_b17_50k</t>
  </si>
  <si>
    <t>l2b</t>
  </si>
  <si>
    <t># Faults</t>
  </si>
  <si>
    <t>Fault Coverage</t>
  </si>
  <si>
    <t>Test Set Size</t>
  </si>
  <si>
    <t>Fail Log Count</t>
  </si>
  <si>
    <t>Standrad Cell Count</t>
  </si>
  <si>
    <t>I/O Count</t>
  </si>
  <si>
    <t>1452/1512</t>
  </si>
  <si>
    <t>1502/1631</t>
  </si>
  <si>
    <t>1543/1631</t>
  </si>
  <si>
    <t>12079/1631</t>
  </si>
  <si>
    <t>60/60</t>
  </si>
  <si>
    <t>63/63</t>
  </si>
  <si>
    <t>4787/2348</t>
  </si>
  <si>
    <t>Detected Fault Count</t>
  </si>
  <si>
    <t>unused?</t>
  </si>
  <si>
    <t>unobserved?</t>
  </si>
  <si>
    <t>Comments</t>
  </si>
  <si>
    <t>Diagnostic Coverage</t>
  </si>
  <si>
    <t>unobserved+uncontrolled</t>
  </si>
  <si>
    <t>unobserved+uncontrolled+untestable</t>
  </si>
  <si>
    <t>SSL</t>
  </si>
  <si>
    <t>IP</t>
  </si>
  <si>
    <t>Wired-And</t>
  </si>
  <si>
    <t>Dominant</t>
  </si>
  <si>
    <t>Open-Stem</t>
  </si>
  <si>
    <t>Open-Branch</t>
  </si>
  <si>
    <t>Wired-Or</t>
  </si>
  <si>
    <t>Combined DC</t>
  </si>
  <si>
    <t>DC Analysis</t>
  </si>
  <si>
    <t>Unique Fault Signature Count</t>
  </si>
  <si>
    <t>Total Unique Fault Signature Count</t>
  </si>
  <si>
    <t>Total Fault Count</t>
  </si>
  <si>
    <t>Fault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</si>
</sst>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5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1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7" sqref="E17"/>
    </sheetView>
  </sheetViews>
  <sheetFormatPr defaultColWidth="9.109375" defaultRowHeight="15.6" x14ac:dyDescent="0.3"/>
  <cols>
    <col min="1" max="1" width="14.33203125" style="2" customWidth="1"/>
    <col min="2" max="2" width="19.6640625" style="2" customWidth="1"/>
    <col min="3" max="3" width="13.33203125" style="2" customWidth="1"/>
    <col min="4" max="4" width="13.109375" style="2" customWidth="1"/>
    <col min="5" max="5" width="14" style="2" customWidth="1"/>
    <col min="6" max="6" width="14.6640625" style="4" customWidth="1"/>
    <col min="7" max="7" width="21" style="2" customWidth="1"/>
    <col min="8" max="8" width="15.44140625" style="2" customWidth="1"/>
    <col min="9" max="9" width="27.5546875" style="2" customWidth="1"/>
    <col min="10" max="10" width="20" style="8" customWidth="1"/>
    <col min="11" max="11" width="24.6640625" style="5" customWidth="1"/>
    <col min="12" max="16384" width="9.109375" style="2"/>
  </cols>
  <sheetData>
    <row r="1" spans="1:11" x14ac:dyDescent="0.3">
      <c r="A1" s="2" t="s">
        <v>0</v>
      </c>
      <c r="B1" s="2" t="s">
        <v>13</v>
      </c>
      <c r="C1" s="2" t="s">
        <v>14</v>
      </c>
      <c r="D1" s="2" t="s">
        <v>9</v>
      </c>
      <c r="E1" s="2" t="s">
        <v>11</v>
      </c>
      <c r="F1" s="4" t="s">
        <v>10</v>
      </c>
      <c r="G1" s="2" t="s">
        <v>22</v>
      </c>
      <c r="H1" s="2" t="s">
        <v>12</v>
      </c>
      <c r="I1" s="2" t="s">
        <v>38</v>
      </c>
      <c r="J1" s="4" t="s">
        <v>26</v>
      </c>
      <c r="K1" s="5" t="s">
        <v>25</v>
      </c>
    </row>
    <row r="2" spans="1:11" x14ac:dyDescent="0.3">
      <c r="A2" s="2" t="s">
        <v>1</v>
      </c>
      <c r="B2" s="2">
        <v>13139</v>
      </c>
      <c r="C2" s="2" t="s">
        <v>15</v>
      </c>
      <c r="D2" s="2">
        <v>105412</v>
      </c>
      <c r="E2" s="2">
        <v>1335</v>
      </c>
      <c r="F2" s="4">
        <f>G2/D2</f>
        <v>0.99986718779645578</v>
      </c>
      <c r="G2" s="2">
        <v>105398</v>
      </c>
      <c r="H2" s="2">
        <v>105398</v>
      </c>
      <c r="I2" s="2">
        <v>60664</v>
      </c>
      <c r="J2" s="8">
        <f>I2/D2</f>
        <v>0.57549425112890373</v>
      </c>
    </row>
    <row r="3" spans="1:11" x14ac:dyDescent="0.3">
      <c r="A3" s="2" t="s">
        <v>3</v>
      </c>
      <c r="B3" s="2">
        <v>14425</v>
      </c>
      <c r="C3" s="2" t="s">
        <v>16</v>
      </c>
      <c r="D3" s="2">
        <v>113466</v>
      </c>
      <c r="E3" s="2">
        <v>1246</v>
      </c>
      <c r="F3" s="4">
        <f t="shared" ref="F3:F9" si="0">G3/D3</f>
        <v>1</v>
      </c>
      <c r="G3" s="2">
        <v>113466</v>
      </c>
      <c r="H3" s="2">
        <v>113466</v>
      </c>
      <c r="I3" s="2">
        <v>66723</v>
      </c>
      <c r="J3" s="8">
        <f t="shared" ref="J3:J9" si="1">I3/D3</f>
        <v>0.5880439955581408</v>
      </c>
    </row>
    <row r="4" spans="1:11" x14ac:dyDescent="0.3">
      <c r="A4" s="2" t="s">
        <v>2</v>
      </c>
      <c r="B4" s="2">
        <v>14425</v>
      </c>
      <c r="C4" s="2" t="s">
        <v>17</v>
      </c>
      <c r="D4" s="2">
        <v>113548</v>
      </c>
      <c r="E4" s="2">
        <v>1155</v>
      </c>
      <c r="F4" s="4">
        <f t="shared" si="0"/>
        <v>1</v>
      </c>
      <c r="G4" s="2">
        <v>113548</v>
      </c>
      <c r="H4" s="2">
        <v>113548</v>
      </c>
      <c r="I4" s="2">
        <v>66758</v>
      </c>
      <c r="J4" s="8">
        <f t="shared" si="1"/>
        <v>0.58792757248036076</v>
      </c>
    </row>
    <row r="5" spans="1:11" x14ac:dyDescent="0.3">
      <c r="A5" s="2" t="s">
        <v>4</v>
      </c>
      <c r="B5" s="2">
        <v>23718</v>
      </c>
      <c r="C5" s="2" t="s">
        <v>18</v>
      </c>
      <c r="D5" s="2">
        <v>190378</v>
      </c>
      <c r="E5" s="2">
        <v>432</v>
      </c>
      <c r="F5" s="4">
        <f t="shared" si="0"/>
        <v>0.99948523463845618</v>
      </c>
      <c r="G5" s="2">
        <v>190280</v>
      </c>
      <c r="J5" s="8">
        <f t="shared" si="1"/>
        <v>0</v>
      </c>
      <c r="K5" s="5" t="s">
        <v>23</v>
      </c>
    </row>
    <row r="6" spans="1:11" x14ac:dyDescent="0.3">
      <c r="A6" s="2" t="s">
        <v>5</v>
      </c>
      <c r="B6" s="2">
        <v>9519</v>
      </c>
      <c r="C6" s="2" t="s">
        <v>19</v>
      </c>
      <c r="D6" s="2">
        <v>58992</v>
      </c>
      <c r="E6" s="2">
        <v>512</v>
      </c>
      <c r="F6" s="4">
        <f t="shared" si="0"/>
        <v>0.998626932465419</v>
      </c>
      <c r="G6" s="2">
        <v>58911</v>
      </c>
      <c r="H6" s="2">
        <v>58911</v>
      </c>
      <c r="I6" s="2">
        <v>27354</v>
      </c>
      <c r="J6" s="8">
        <f t="shared" si="1"/>
        <v>0.46368999186330351</v>
      </c>
      <c r="K6" s="5" t="s">
        <v>24</v>
      </c>
    </row>
    <row r="7" spans="1:11" x14ac:dyDescent="0.3">
      <c r="A7" s="2" t="s">
        <v>6</v>
      </c>
      <c r="B7" s="2">
        <v>10216</v>
      </c>
      <c r="C7" s="2" t="s">
        <v>20</v>
      </c>
      <c r="D7" s="2">
        <v>64754</v>
      </c>
      <c r="E7" s="2">
        <v>512</v>
      </c>
      <c r="F7" s="4">
        <f t="shared" si="0"/>
        <v>0.99958303734132259</v>
      </c>
      <c r="G7" s="2">
        <v>64727</v>
      </c>
      <c r="H7" s="2">
        <v>64727</v>
      </c>
      <c r="I7" s="2">
        <v>31210</v>
      </c>
      <c r="J7" s="8">
        <f t="shared" si="1"/>
        <v>0.48197794730827437</v>
      </c>
      <c r="K7" s="5" t="s">
        <v>24</v>
      </c>
    </row>
    <row r="8" spans="1:11" x14ac:dyDescent="0.3">
      <c r="A8" s="2" t="s">
        <v>7</v>
      </c>
      <c r="B8" s="2">
        <v>9936</v>
      </c>
      <c r="C8" s="2" t="s">
        <v>19</v>
      </c>
      <c r="D8" s="2">
        <v>65086</v>
      </c>
      <c r="E8" s="2">
        <v>512</v>
      </c>
      <c r="F8" s="4">
        <f t="shared" si="0"/>
        <v>0.99981562855299144</v>
      </c>
      <c r="G8" s="2">
        <v>65074</v>
      </c>
      <c r="H8" s="2">
        <v>65074</v>
      </c>
      <c r="I8" s="2">
        <v>32685</v>
      </c>
      <c r="J8" s="8">
        <f t="shared" si="1"/>
        <v>0.50218172878960143</v>
      </c>
      <c r="K8" s="5" t="s">
        <v>24</v>
      </c>
    </row>
    <row r="9" spans="1:11" x14ac:dyDescent="0.3">
      <c r="A9" s="2" t="s">
        <v>8</v>
      </c>
      <c r="B9" s="2">
        <v>7678</v>
      </c>
      <c r="C9" s="2" t="s">
        <v>21</v>
      </c>
      <c r="D9" s="2">
        <v>69420</v>
      </c>
      <c r="E9" s="2">
        <v>1681</v>
      </c>
      <c r="F9" s="4">
        <f t="shared" si="0"/>
        <v>1</v>
      </c>
      <c r="G9" s="2">
        <v>69420</v>
      </c>
      <c r="H9" s="2">
        <v>69420</v>
      </c>
      <c r="I9" s="2">
        <v>34097</v>
      </c>
      <c r="J9" s="8">
        <f t="shared" si="1"/>
        <v>0.4911696917314895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M12" sqref="M12"/>
    </sheetView>
  </sheetViews>
  <sheetFormatPr defaultRowHeight="15.6" x14ac:dyDescent="0.3"/>
  <cols>
    <col min="1" max="1" width="14.33203125" style="2" customWidth="1"/>
    <col min="2" max="2" width="21.44140625" style="2" customWidth="1"/>
    <col min="3" max="3" width="14.21875" style="2" customWidth="1"/>
    <col min="4" max="4" width="14" style="2" customWidth="1"/>
    <col min="5" max="5" width="14.44140625" style="1" customWidth="1"/>
    <col min="6" max="11" width="15.109375" style="1" customWidth="1"/>
    <col min="12" max="16384" width="8.88671875" style="9"/>
  </cols>
  <sheetData>
    <row r="1" spans="1:11" ht="14.4" customHeight="1" x14ac:dyDescent="0.3">
      <c r="A1" s="17" t="s">
        <v>0</v>
      </c>
      <c r="B1" s="17" t="s">
        <v>13</v>
      </c>
      <c r="C1" s="17" t="s">
        <v>14</v>
      </c>
      <c r="D1" s="17" t="s">
        <v>11</v>
      </c>
      <c r="E1" s="16" t="s">
        <v>10</v>
      </c>
      <c r="F1" s="16"/>
      <c r="G1" s="16"/>
      <c r="H1" s="16"/>
      <c r="I1" s="16"/>
      <c r="J1" s="16"/>
      <c r="K1" s="16"/>
    </row>
    <row r="2" spans="1:11" ht="14.4" customHeight="1" x14ac:dyDescent="0.3">
      <c r="A2" s="17"/>
      <c r="B2" s="17"/>
      <c r="C2" s="17"/>
      <c r="D2" s="17"/>
      <c r="E2" s="7" t="s">
        <v>29</v>
      </c>
      <c r="F2" s="7" t="s">
        <v>30</v>
      </c>
      <c r="G2" s="7" t="s">
        <v>31</v>
      </c>
      <c r="H2" s="7" t="s">
        <v>35</v>
      </c>
      <c r="I2" s="7" t="s">
        <v>32</v>
      </c>
      <c r="J2" s="7" t="s">
        <v>33</v>
      </c>
      <c r="K2" s="7" t="s">
        <v>34</v>
      </c>
    </row>
    <row r="3" spans="1:11" x14ac:dyDescent="0.3">
      <c r="A3" s="2" t="s">
        <v>1</v>
      </c>
      <c r="B3" s="2">
        <v>13139</v>
      </c>
      <c r="C3" s="2" t="s">
        <v>15</v>
      </c>
      <c r="D3" s="2">
        <v>1335</v>
      </c>
      <c r="E3" s="6">
        <f>ssl!F2</f>
        <v>0.99986718779645578</v>
      </c>
      <c r="F3" s="6">
        <f>ip!F2</f>
        <v>0.62235482656889285</v>
      </c>
      <c r="G3" s="6">
        <f>'wired-and'!F2</f>
        <v>0.98047604892135209</v>
      </c>
      <c r="H3" s="6">
        <f>'wired-or'!F2</f>
        <v>0</v>
      </c>
      <c r="I3" s="6">
        <f>dominant!F2</f>
        <v>0</v>
      </c>
      <c r="J3" s="6">
        <f>'open-stem'!F2</f>
        <v>0.90041806593105334</v>
      </c>
      <c r="K3" s="6">
        <f>'open-branch'!F2</f>
        <v>0.86186982987357574</v>
      </c>
    </row>
    <row r="4" spans="1:11" x14ac:dyDescent="0.3">
      <c r="A4" s="2" t="s">
        <v>3</v>
      </c>
      <c r="B4" s="2">
        <v>14425</v>
      </c>
      <c r="C4" s="2" t="s">
        <v>16</v>
      </c>
      <c r="D4" s="2">
        <v>1246</v>
      </c>
      <c r="E4" s="6">
        <f>ssl!F3</f>
        <v>1</v>
      </c>
      <c r="F4" s="6">
        <f>ip!F3</f>
        <v>0.77815255654057613</v>
      </c>
      <c r="G4" s="6">
        <f>'wired-and'!F3</f>
        <v>0</v>
      </c>
      <c r="H4" s="6">
        <f>'wired-or'!F3</f>
        <v>0</v>
      </c>
      <c r="I4" s="6">
        <f>dominant!F3</f>
        <v>0</v>
      </c>
      <c r="J4" s="6">
        <f>'open-stem'!F3</f>
        <v>0.90569473221573427</v>
      </c>
      <c r="K4" s="6">
        <f>'open-branch'!F3</f>
        <v>0.85888077858880774</v>
      </c>
    </row>
    <row r="5" spans="1:11" x14ac:dyDescent="0.3">
      <c r="A5" s="2" t="s">
        <v>2</v>
      </c>
      <c r="B5" s="2">
        <v>14425</v>
      </c>
      <c r="C5" s="2" t="s">
        <v>17</v>
      </c>
      <c r="D5" s="2">
        <v>1155</v>
      </c>
      <c r="E5" s="6">
        <f>ssl!F4</f>
        <v>1</v>
      </c>
      <c r="F5" s="6">
        <f>ip!F4</f>
        <v>0.78007746735892813</v>
      </c>
      <c r="G5" s="6">
        <f>'wired-and'!F4</f>
        <v>0</v>
      </c>
      <c r="H5" s="6">
        <f>'wired-or'!F4</f>
        <v>0</v>
      </c>
      <c r="I5" s="6">
        <f>dominant!F4</f>
        <v>0</v>
      </c>
      <c r="J5" s="6">
        <f>'open-stem'!F4</f>
        <v>0.90336923847695394</v>
      </c>
      <c r="K5" s="6">
        <f>'open-branch'!F4</f>
        <v>0</v>
      </c>
    </row>
    <row r="6" spans="1:11" x14ac:dyDescent="0.3">
      <c r="A6" s="2" t="s">
        <v>5</v>
      </c>
      <c r="B6" s="2">
        <v>9519</v>
      </c>
      <c r="C6" s="2" t="s">
        <v>19</v>
      </c>
      <c r="D6" s="2">
        <v>512</v>
      </c>
      <c r="E6" s="6">
        <f>ssl!F6</f>
        <v>0.998626932465419</v>
      </c>
      <c r="F6" s="6">
        <f>ip!F6</f>
        <v>0.80946679438058744</v>
      </c>
      <c r="G6" s="6">
        <f>'wired-and'!F6</f>
        <v>0.99882346923116272</v>
      </c>
      <c r="H6" s="6">
        <f>'wired-or'!F6</f>
        <v>0.99918154381298274</v>
      </c>
      <c r="I6" s="6">
        <f>dominant!F6</f>
        <v>0.82369942196531787</v>
      </c>
      <c r="J6" s="6">
        <f>'open-stem'!F6</f>
        <v>0.99373629815220799</v>
      </c>
      <c r="K6" s="6">
        <f>'open-branch'!F6</f>
        <v>0.98303597543141275</v>
      </c>
    </row>
    <row r="7" spans="1:11" x14ac:dyDescent="0.3">
      <c r="A7" s="2" t="s">
        <v>6</v>
      </c>
      <c r="B7" s="2">
        <v>10216</v>
      </c>
      <c r="C7" s="2" t="s">
        <v>20</v>
      </c>
      <c r="D7" s="2">
        <v>512</v>
      </c>
      <c r="E7" s="6">
        <f>ssl!F7</f>
        <v>0.99958303734132259</v>
      </c>
      <c r="F7" s="6">
        <f>ip!F7</f>
        <v>0.78593438145593331</v>
      </c>
      <c r="G7" s="6">
        <f>'wired-and'!F7</f>
        <v>0.99915490577199362</v>
      </c>
      <c r="H7" s="6">
        <f>'wired-or'!F7</f>
        <v>0.99940843404039548</v>
      </c>
      <c r="I7" s="6">
        <f>dominant!F7</f>
        <v>0.85149581678357134</v>
      </c>
      <c r="J7" s="6">
        <f>'open-stem'!F7</f>
        <v>0.99387099912442844</v>
      </c>
      <c r="K7" s="6">
        <f>'open-branch'!F7</f>
        <v>0.98434393638170969</v>
      </c>
    </row>
    <row r="8" spans="1:11" x14ac:dyDescent="0.3">
      <c r="A8" s="2" t="s">
        <v>7</v>
      </c>
      <c r="B8" s="2">
        <v>9936</v>
      </c>
      <c r="C8" s="2" t="s">
        <v>19</v>
      </c>
      <c r="D8" s="2">
        <v>512</v>
      </c>
      <c r="E8" s="6">
        <f>ssl!F7</f>
        <v>0.99958303734132259</v>
      </c>
      <c r="F8" s="6">
        <f>ip!F8</f>
        <v>0.73180957974419214</v>
      </c>
      <c r="G8" s="6">
        <f>'wired-and'!F8</f>
        <v>0.67601220752797564</v>
      </c>
      <c r="H8" s="6">
        <f>'wired-or'!F8</f>
        <v>0.67601220752797564</v>
      </c>
      <c r="I8" s="6">
        <f>dominant!F8</f>
        <v>0.6608748728382503</v>
      </c>
      <c r="J8" s="6">
        <f>'open-stem'!F8</f>
        <v>0.99399759903961582</v>
      </c>
      <c r="K8" s="6">
        <f>'open-branch'!F8</f>
        <v>0.98667850799289525</v>
      </c>
    </row>
    <row r="9" spans="1:11" x14ac:dyDescent="0.3">
      <c r="A9" s="2" t="s">
        <v>8</v>
      </c>
      <c r="B9" s="2">
        <v>7678</v>
      </c>
      <c r="C9" s="2" t="s">
        <v>21</v>
      </c>
      <c r="D9" s="2">
        <v>1681</v>
      </c>
      <c r="E9" s="6">
        <f>ssl!F9</f>
        <v>1</v>
      </c>
      <c r="F9" s="6">
        <f>ip!F9</f>
        <v>0.78482341711740378</v>
      </c>
      <c r="G9" s="6">
        <f>'wired-and'!F9</f>
        <v>0.74837371267689112</v>
      </c>
      <c r="H9" s="6">
        <f>'wired-or'!F9</f>
        <v>0.75911684077943242</v>
      </c>
      <c r="I9" s="6">
        <f>dominant!F9</f>
        <v>0.97409053863821593</v>
      </c>
      <c r="J9" s="6">
        <f>'open-stem'!F9</f>
        <v>0.61596470116325708</v>
      </c>
      <c r="K9" s="6">
        <f>'open-branch'!F9</f>
        <v>0.8302658486707567</v>
      </c>
    </row>
    <row r="15" spans="1:11" x14ac:dyDescent="0.3">
      <c r="D15" s="17" t="s">
        <v>0</v>
      </c>
      <c r="E15" s="16" t="s">
        <v>41</v>
      </c>
      <c r="F15" s="16"/>
      <c r="G15" s="16"/>
      <c r="H15" s="16"/>
      <c r="I15" s="16"/>
      <c r="J15" s="16"/>
      <c r="K15" s="16"/>
    </row>
    <row r="16" spans="1:11" x14ac:dyDescent="0.3">
      <c r="D16" s="17"/>
      <c r="E16" s="12" t="s">
        <v>29</v>
      </c>
      <c r="F16" s="12" t="s">
        <v>30</v>
      </c>
      <c r="G16" s="12" t="s">
        <v>31</v>
      </c>
      <c r="H16" s="12" t="s">
        <v>35</v>
      </c>
      <c r="I16" s="12" t="s">
        <v>32</v>
      </c>
      <c r="J16" s="12" t="s">
        <v>33</v>
      </c>
      <c r="K16" s="12" t="s">
        <v>34</v>
      </c>
    </row>
    <row r="17" spans="4:14" x14ac:dyDescent="0.3">
      <c r="D17" s="2" t="s">
        <v>1</v>
      </c>
      <c r="E17" s="13">
        <f>ssl!D2</f>
        <v>105412</v>
      </c>
      <c r="F17" s="13">
        <f>ip!D2</f>
        <v>164734</v>
      </c>
      <c r="G17" s="13">
        <f>'wired-and'!D2</f>
        <v>94192</v>
      </c>
      <c r="H17" s="13">
        <f>'wired-or'!D2</f>
        <v>94192</v>
      </c>
      <c r="I17" s="13">
        <f>dominant!D2</f>
        <v>188384</v>
      </c>
      <c r="J17" s="13">
        <f>'open-stem'!D2</f>
        <v>14591</v>
      </c>
      <c r="K17" s="13">
        <f>'open-branch'!D2</f>
        <v>6407</v>
      </c>
      <c r="L17" s="14">
        <f>SUM(J17:K17)</f>
        <v>20998</v>
      </c>
      <c r="N17" s="14"/>
    </row>
    <row r="18" spans="4:14" x14ac:dyDescent="0.3">
      <c r="D18" s="2" t="s">
        <v>3</v>
      </c>
      <c r="E18" s="13">
        <f>ssl!D3</f>
        <v>113466</v>
      </c>
      <c r="F18" s="13">
        <f>ip!D3</f>
        <v>169878</v>
      </c>
      <c r="G18" s="13">
        <f>'wired-and'!D3</f>
        <v>82769</v>
      </c>
      <c r="H18" s="13">
        <f>'wired-or'!D3</f>
        <v>82769</v>
      </c>
      <c r="I18" s="13">
        <f>dominant!D3</f>
        <v>165538</v>
      </c>
      <c r="J18" s="13">
        <f>'open-stem'!D3</f>
        <v>15927</v>
      </c>
      <c r="K18" s="13">
        <f>'open-branch'!D3</f>
        <v>6576</v>
      </c>
      <c r="L18" s="14">
        <f t="shared" ref="L18:L23" si="0">SUM(J18:K18)</f>
        <v>22503</v>
      </c>
      <c r="N18" s="14"/>
    </row>
    <row r="19" spans="4:14" x14ac:dyDescent="0.3">
      <c r="D19" s="2" t="s">
        <v>2</v>
      </c>
      <c r="E19" s="13">
        <f>ssl!D4</f>
        <v>113548</v>
      </c>
      <c r="F19" s="13">
        <f>ip!D4</f>
        <v>169878</v>
      </c>
      <c r="G19" s="13">
        <f>'wired-and'!D4</f>
        <v>85239</v>
      </c>
      <c r="H19" s="13">
        <f>'wired-or'!D4</f>
        <v>85239</v>
      </c>
      <c r="I19" s="13">
        <f>dominant!D4</f>
        <v>170478</v>
      </c>
      <c r="J19" s="13">
        <f>'open-stem'!D4</f>
        <v>15968</v>
      </c>
      <c r="K19" s="13">
        <f>'open-branch'!D4</f>
        <v>6596</v>
      </c>
      <c r="L19" s="14">
        <f t="shared" si="0"/>
        <v>22564</v>
      </c>
      <c r="N19" s="14"/>
    </row>
    <row r="20" spans="4:14" x14ac:dyDescent="0.3">
      <c r="D20" s="2" t="s">
        <v>5</v>
      </c>
      <c r="E20" s="13">
        <f>ssl!D6</f>
        <v>58992</v>
      </c>
      <c r="F20" s="13">
        <f>ip!D6</f>
        <v>50112</v>
      </c>
      <c r="G20" s="13">
        <f>'wired-and'!D6</f>
        <v>19549</v>
      </c>
      <c r="H20" s="13">
        <f>'wired-or'!D6</f>
        <v>19549</v>
      </c>
      <c r="I20" s="13">
        <f>dominant!D6</f>
        <v>39098</v>
      </c>
      <c r="J20" s="13">
        <f>'open-stem'!D6</f>
        <v>9579</v>
      </c>
      <c r="K20" s="13">
        <f>'open-branch'!D6</f>
        <v>3419</v>
      </c>
      <c r="L20" s="14">
        <f t="shared" si="0"/>
        <v>12998</v>
      </c>
      <c r="N20" s="14"/>
    </row>
    <row r="21" spans="4:14" x14ac:dyDescent="0.3">
      <c r="D21" s="2" t="s">
        <v>6</v>
      </c>
      <c r="E21" s="13">
        <f>ssl!D7</f>
        <v>64754</v>
      </c>
      <c r="F21" s="13">
        <f>ip!D7</f>
        <v>57118</v>
      </c>
      <c r="G21" s="13">
        <f>'wired-and'!D7</f>
        <v>23666</v>
      </c>
      <c r="H21" s="13">
        <f>'wired-or'!D7</f>
        <v>23666</v>
      </c>
      <c r="I21" s="13">
        <f>dominant!D7</f>
        <v>47332</v>
      </c>
      <c r="J21" s="13">
        <f>'open-stem'!D7</f>
        <v>10279</v>
      </c>
      <c r="K21" s="13">
        <f>'open-branch'!D7</f>
        <v>4024</v>
      </c>
      <c r="L21" s="14">
        <f t="shared" si="0"/>
        <v>14303</v>
      </c>
      <c r="N21" s="14"/>
    </row>
    <row r="22" spans="4:14" x14ac:dyDescent="0.3">
      <c r="D22" s="2" t="s">
        <v>7</v>
      </c>
      <c r="E22" s="13">
        <f>ssl!D8</f>
        <v>65086</v>
      </c>
      <c r="F22" s="13">
        <f>ip!D8</f>
        <v>61296</v>
      </c>
      <c r="G22" s="13">
        <f>'wired-and'!D8</f>
        <v>24575</v>
      </c>
      <c r="H22" s="13">
        <f>'wired-or'!D8</f>
        <v>24575</v>
      </c>
      <c r="I22" s="13">
        <f>dominant!D8</f>
        <v>49150</v>
      </c>
      <c r="J22" s="13">
        <f>'open-stem'!D8</f>
        <v>9996</v>
      </c>
      <c r="K22" s="13">
        <f>'open-branch'!D8</f>
        <v>4504</v>
      </c>
      <c r="L22" s="14">
        <f t="shared" si="0"/>
        <v>14500</v>
      </c>
      <c r="N22" s="14"/>
    </row>
    <row r="23" spans="4:14" x14ac:dyDescent="0.3">
      <c r="D23" s="2" t="s">
        <v>8</v>
      </c>
      <c r="E23" s="13">
        <f>ssl!D9</f>
        <v>69420</v>
      </c>
      <c r="F23" s="13">
        <f>ip!D9</f>
        <v>62860</v>
      </c>
      <c r="G23" s="13">
        <f>'wired-and'!D9</f>
        <v>67485</v>
      </c>
      <c r="H23" s="13">
        <f>'wired-or'!D9</f>
        <v>67485</v>
      </c>
      <c r="I23" s="13">
        <f>dominant!D9</f>
        <v>134970</v>
      </c>
      <c r="J23" s="13">
        <f>'open-stem'!D9</f>
        <v>12465</v>
      </c>
      <c r="K23" s="13">
        <f>'open-branch'!D9</f>
        <v>1467</v>
      </c>
      <c r="L23" s="14">
        <f t="shared" si="0"/>
        <v>13932</v>
      </c>
      <c r="N23" s="14"/>
    </row>
  </sheetData>
  <mergeCells count="7">
    <mergeCell ref="E15:K15"/>
    <mergeCell ref="D15:D16"/>
    <mergeCell ref="A1:A2"/>
    <mergeCell ref="B1:B2"/>
    <mergeCell ref="C1:C2"/>
    <mergeCell ref="D1:D2"/>
    <mergeCell ref="E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I1" workbookViewId="0">
      <selection activeCell="M17" sqref="M17"/>
    </sheetView>
  </sheetViews>
  <sheetFormatPr defaultColWidth="9.109375" defaultRowHeight="15.6" x14ac:dyDescent="0.3"/>
  <cols>
    <col min="1" max="1" width="14.33203125" style="3" customWidth="1"/>
    <col min="2" max="2" width="21.44140625" style="2" customWidth="1"/>
    <col min="3" max="3" width="13.77734375" style="2" customWidth="1"/>
    <col min="4" max="5" width="14" style="2" customWidth="1"/>
    <col min="6" max="6" width="14.44140625" style="1" customWidth="1"/>
    <col min="7" max="12" width="15.109375" style="1" customWidth="1"/>
    <col min="13" max="13" width="15.109375" style="11" customWidth="1"/>
    <col min="14" max="14" width="15.109375" style="1" customWidth="1"/>
    <col min="15" max="15" width="22" style="1" customWidth="1"/>
    <col min="16" max="16384" width="9.109375" style="1"/>
  </cols>
  <sheetData>
    <row r="1" spans="1:14" ht="15.75" customHeight="1" x14ac:dyDescent="0.3">
      <c r="A1" s="17" t="s">
        <v>0</v>
      </c>
      <c r="B1" s="17" t="s">
        <v>13</v>
      </c>
      <c r="C1" s="17" t="s">
        <v>14</v>
      </c>
      <c r="D1" s="17" t="s">
        <v>11</v>
      </c>
      <c r="E1" s="18" t="s">
        <v>40</v>
      </c>
      <c r="F1" s="16" t="s">
        <v>37</v>
      </c>
      <c r="G1" s="16"/>
      <c r="H1" s="16"/>
      <c r="I1" s="16"/>
      <c r="J1" s="16"/>
      <c r="K1" s="16"/>
      <c r="L1" s="16"/>
      <c r="M1" s="16"/>
      <c r="N1" s="16"/>
    </row>
    <row r="2" spans="1:14" ht="39.6" customHeight="1" x14ac:dyDescent="0.3">
      <c r="A2" s="17"/>
      <c r="B2" s="17"/>
      <c r="C2" s="17"/>
      <c r="D2" s="17"/>
      <c r="E2" s="18"/>
      <c r="F2" s="7" t="s">
        <v>29</v>
      </c>
      <c r="G2" s="7" t="s">
        <v>30</v>
      </c>
      <c r="H2" s="7" t="s">
        <v>31</v>
      </c>
      <c r="I2" s="7" t="s">
        <v>35</v>
      </c>
      <c r="J2" s="7" t="s">
        <v>32</v>
      </c>
      <c r="K2" s="7" t="s">
        <v>33</v>
      </c>
      <c r="L2" s="7" t="s">
        <v>34</v>
      </c>
      <c r="M2" s="10" t="s">
        <v>39</v>
      </c>
      <c r="N2" s="7" t="s">
        <v>36</v>
      </c>
    </row>
    <row r="3" spans="1:14" x14ac:dyDescent="0.3">
      <c r="A3" s="2" t="s">
        <v>1</v>
      </c>
      <c r="B3" s="2">
        <v>13139</v>
      </c>
      <c r="C3" s="2" t="s">
        <v>15</v>
      </c>
      <c r="D3" s="2">
        <v>1335</v>
      </c>
      <c r="E3" s="15">
        <f>ssl!D2+ip!D2+'wired-and'!D2+'wired-or'!D2+dominant!D2+'open-stem'!D2+'open-branch'!D2</f>
        <v>667912</v>
      </c>
      <c r="F3" s="6">
        <f>ssl!J2</f>
        <v>0.57549425112890373</v>
      </c>
      <c r="G3" s="6">
        <f>ip!J2</f>
        <v>0.60550341763084725</v>
      </c>
      <c r="H3" s="6">
        <f>'wired-and'!J2</f>
        <v>0.84381900798369291</v>
      </c>
      <c r="I3" s="6">
        <f>'wired-or'!J2</f>
        <v>0</v>
      </c>
      <c r="J3" s="6">
        <f>dominant!J2</f>
        <v>0</v>
      </c>
      <c r="K3" s="6">
        <f>'open-stem'!J2</f>
        <v>0.81810705229250913</v>
      </c>
      <c r="L3" s="6">
        <f>'open-branch'!J2</f>
        <v>0.86030903699079131</v>
      </c>
      <c r="N3" s="6">
        <f>M3/(ssl!D2+ip!D2+'wired-and'!D2+'wired-or'!D2+dominant!D2+'open-stem'!D2+'open-branch'!D2)</f>
        <v>0</v>
      </c>
    </row>
    <row r="4" spans="1:14" x14ac:dyDescent="0.3">
      <c r="A4" s="2" t="s">
        <v>3</v>
      </c>
      <c r="B4" s="2">
        <v>14425</v>
      </c>
      <c r="C4" s="2" t="s">
        <v>16</v>
      </c>
      <c r="D4" s="2">
        <v>1246</v>
      </c>
      <c r="E4" s="15">
        <f>ssl!D3+ip!D3+'wired-and'!D3+'wired-or'!D3+dominant!D3+'open-stem'!D3+'open-branch'!D3</f>
        <v>636923</v>
      </c>
      <c r="F4" s="6">
        <f>ssl!J3</f>
        <v>0.5880439955581408</v>
      </c>
      <c r="G4" s="6">
        <f>ip!J3</f>
        <v>0.76794523128362713</v>
      </c>
      <c r="H4" s="6">
        <f>'wired-and'!J3</f>
        <v>0</v>
      </c>
      <c r="I4" s="6">
        <f>'wired-or'!J3</f>
        <v>0</v>
      </c>
      <c r="J4" s="6">
        <f>dominant!J3</f>
        <v>0</v>
      </c>
      <c r="K4" s="6">
        <f>'open-stem'!J3</f>
        <v>0.83587618509449357</v>
      </c>
      <c r="L4" s="6">
        <f>'open-branch'!J3</f>
        <v>0.85781630170316303</v>
      </c>
      <c r="N4" s="6">
        <f>M4/(ssl!D3+ip!D3+'wired-and'!D3+'wired-or'!D3+dominant!D3+'open-stem'!D3+'open-branch'!D3)</f>
        <v>0</v>
      </c>
    </row>
    <row r="5" spans="1:14" x14ac:dyDescent="0.3">
      <c r="A5" s="2" t="s">
        <v>2</v>
      </c>
      <c r="B5" s="2">
        <v>14425</v>
      </c>
      <c r="C5" s="2" t="s">
        <v>17</v>
      </c>
      <c r="D5" s="2">
        <v>1155</v>
      </c>
      <c r="E5" s="15">
        <f>ssl!D4+ip!D4+'wired-and'!D4+'wired-or'!D4+dominant!D4+'open-stem'!D4+'open-branch'!D4</f>
        <v>646946</v>
      </c>
      <c r="F5" s="6">
        <f>ssl!J4</f>
        <v>0.58792757248036076</v>
      </c>
      <c r="G5" s="6">
        <f>ip!J4</f>
        <v>0.7697936165954391</v>
      </c>
      <c r="H5" s="6">
        <f>'wired-and'!J4</f>
        <v>0</v>
      </c>
      <c r="I5" s="6">
        <f>'wired-or'!J4</f>
        <v>0</v>
      </c>
      <c r="J5" s="6">
        <f>dominant!J4</f>
        <v>0</v>
      </c>
      <c r="K5" s="6">
        <f>'open-stem'!J4</f>
        <v>0.83372995991983967</v>
      </c>
      <c r="L5" s="6">
        <f>'open-branch'!J4</f>
        <v>0</v>
      </c>
      <c r="N5" s="6">
        <f>M5/(ssl!D4+ip!D4+'wired-and'!D4+'wired-or'!D4+dominant!D4+'open-stem'!D4+'open-branch'!D4)</f>
        <v>0</v>
      </c>
    </row>
    <row r="6" spans="1:14" x14ac:dyDescent="0.3">
      <c r="A6" s="2" t="s">
        <v>5</v>
      </c>
      <c r="B6" s="2">
        <v>9519</v>
      </c>
      <c r="C6" s="2" t="s">
        <v>19</v>
      </c>
      <c r="D6" s="2">
        <v>512</v>
      </c>
      <c r="E6" s="15">
        <f>ssl!D6+ip!D6+'wired-and'!D6+'wired-or'!D6+dominant!D6+'open-stem'!D6+'open-branch'!D6</f>
        <v>200298</v>
      </c>
      <c r="F6" s="6">
        <f>ssl!J6</f>
        <v>0.46368999186330351</v>
      </c>
      <c r="G6" s="6">
        <f>ip!J6</f>
        <v>0.68578384418901661</v>
      </c>
      <c r="H6" s="6">
        <f>'wired-and'!J6</f>
        <v>0.934267737480178</v>
      </c>
      <c r="I6" s="6">
        <f>'wired-or'!J6</f>
        <v>0.93887155353215002</v>
      </c>
      <c r="J6" s="6">
        <f>dominant!J6</f>
        <v>0.69908946749194334</v>
      </c>
      <c r="K6" s="6">
        <f>'open-stem'!J6</f>
        <v>0.82920972961687023</v>
      </c>
      <c r="L6" s="6">
        <f>'open-branch'!J6</f>
        <v>0.97952617724480839</v>
      </c>
      <c r="M6" s="11">
        <v>97441</v>
      </c>
      <c r="N6" s="6">
        <f>M6/(ssl!D6+ip!D6+'wired-and'!D6+'wired-or'!D6+dominant!D6+'open-stem'!D6+'open-branch'!D6)</f>
        <v>0.48648014458456901</v>
      </c>
    </row>
    <row r="7" spans="1:14" x14ac:dyDescent="0.3">
      <c r="A7" s="2" t="s">
        <v>6</v>
      </c>
      <c r="B7" s="2">
        <v>10216</v>
      </c>
      <c r="C7" s="2" t="s">
        <v>20</v>
      </c>
      <c r="D7" s="2">
        <v>512</v>
      </c>
      <c r="E7" s="15">
        <f>ssl!D7+ip!D7+'wired-and'!D7+'wired-or'!D7+dominant!D7+'open-stem'!D7+'open-branch'!D7</f>
        <v>230839</v>
      </c>
      <c r="F7" s="6">
        <f>ssl!J7</f>
        <v>0.48197794730827437</v>
      </c>
      <c r="G7" s="6">
        <f>ip!J7</f>
        <v>0.6752512342869148</v>
      </c>
      <c r="H7" s="6">
        <f>'wired-and'!J7</f>
        <v>0.92233584044620975</v>
      </c>
      <c r="I7" s="6">
        <f>'wired-or'!J7</f>
        <v>0.94168849826755685</v>
      </c>
      <c r="J7" s="6">
        <f>dominant!J7</f>
        <v>0.73654187441899777</v>
      </c>
      <c r="K7" s="6">
        <f>'open-stem'!J7</f>
        <v>0.84327269189609888</v>
      </c>
      <c r="L7" s="6">
        <f>'open-branch'!J7</f>
        <v>0.97664015904572565</v>
      </c>
      <c r="M7" s="11">
        <v>115858</v>
      </c>
      <c r="N7" s="6">
        <f>M7/(ssl!D7+ip!D7+'wired-and'!D7+'wired-or'!D7+dominant!D7+'open-stem'!D7+'open-branch'!D7)</f>
        <v>0.50189959235657755</v>
      </c>
    </row>
    <row r="8" spans="1:14" x14ac:dyDescent="0.3">
      <c r="A8" s="2" t="s">
        <v>7</v>
      </c>
      <c r="B8" s="2">
        <v>9936</v>
      </c>
      <c r="C8" s="2" t="s">
        <v>19</v>
      </c>
      <c r="D8" s="2">
        <v>512</v>
      </c>
      <c r="E8" s="15">
        <f>ssl!D8+ip!D8+'wired-and'!D8+'wired-or'!D8+dominant!D8+'open-stem'!D8+'open-branch'!D8</f>
        <v>239182</v>
      </c>
      <c r="F8" s="6">
        <f>ssl!J8</f>
        <v>0.50218172878960143</v>
      </c>
      <c r="G8" s="6">
        <f>ip!J8</f>
        <v>0.65069498825371963</v>
      </c>
      <c r="H8" s="6">
        <f>'wired-and'!J8</f>
        <v>0.6450864699898271</v>
      </c>
      <c r="I8" s="6">
        <f>'wired-or'!J8</f>
        <v>0.65106815869786372</v>
      </c>
      <c r="J8" s="6">
        <f>dominant!J8</f>
        <v>0.50209562563580878</v>
      </c>
      <c r="K8" s="6">
        <f>'open-stem'!J8</f>
        <v>0.89055622248899557</v>
      </c>
      <c r="L8" s="6">
        <f>'open-branch'!J8</f>
        <v>0.98667850799289525</v>
      </c>
      <c r="M8" s="11">
        <v>97055</v>
      </c>
      <c r="N8" s="6">
        <f>M8/(ssl!D8+ip!D8+'wired-and'!D8+'wired-or'!D8+dominant!D8+'open-stem'!D8+'open-branch'!D8)</f>
        <v>0.40577886295791488</v>
      </c>
    </row>
    <row r="9" spans="1:14" x14ac:dyDescent="0.3">
      <c r="A9" s="2" t="s">
        <v>8</v>
      </c>
      <c r="B9" s="2">
        <v>7678</v>
      </c>
      <c r="C9" s="2" t="s">
        <v>21</v>
      </c>
      <c r="D9" s="2">
        <v>1681</v>
      </c>
      <c r="E9" s="15">
        <f>ssl!D9+ip!D9+'wired-and'!D9+'wired-or'!D9+dominant!D9+'open-stem'!D9+'open-branch'!D9</f>
        <v>416152</v>
      </c>
      <c r="F9" s="6">
        <f>ssl!J9</f>
        <v>0.4911696917314895</v>
      </c>
      <c r="G9" s="6">
        <f>ip!J9</f>
        <v>0.73184855233853008</v>
      </c>
      <c r="H9" s="6">
        <f>'wired-and'!J9</f>
        <v>0.40816477735793139</v>
      </c>
      <c r="I9" s="6">
        <f>'wired-or'!J9</f>
        <v>0.43577091205453061</v>
      </c>
      <c r="J9" s="6">
        <f>dominant!J9</f>
        <v>0.95587167518707861</v>
      </c>
      <c r="K9" s="6">
        <f>'open-stem'!J9</f>
        <v>0.5695948656237465</v>
      </c>
      <c r="L9" s="6">
        <f>'open-branch'!J9</f>
        <v>0.82958418541240631</v>
      </c>
      <c r="M9" s="11">
        <v>241749</v>
      </c>
      <c r="N9" s="6">
        <f>M9/(ssl!D9+ip!D9+'wired-and'!D9+'wired-or'!D9+dominant!D9+'open-stem'!D9+'open-branch'!D9)</f>
        <v>0.58091514638881947</v>
      </c>
    </row>
  </sheetData>
  <mergeCells count="6">
    <mergeCell ref="F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C1" workbookViewId="0">
      <selection activeCell="I28" sqref="I28"/>
    </sheetView>
  </sheetViews>
  <sheetFormatPr defaultColWidth="9.109375" defaultRowHeight="15.6" x14ac:dyDescent="0.3"/>
  <cols>
    <col min="1" max="1" width="14.33203125" style="2" customWidth="1"/>
    <col min="2" max="2" width="19.6640625" style="2" customWidth="1"/>
    <col min="3" max="3" width="13.33203125" style="2" customWidth="1"/>
    <col min="4" max="4" width="13.109375" style="2" customWidth="1"/>
    <col min="5" max="5" width="14" style="2" customWidth="1"/>
    <col min="6" max="6" width="14.6640625" style="4" customWidth="1"/>
    <col min="7" max="7" width="21" style="2" customWidth="1"/>
    <col min="8" max="8" width="15.44140625" style="2" customWidth="1"/>
    <col min="9" max="9" width="27.5546875" style="2" customWidth="1"/>
    <col min="10" max="10" width="20" style="8" customWidth="1"/>
    <col min="11" max="11" width="32.88671875" style="5" customWidth="1"/>
    <col min="12" max="16384" width="9.109375" style="2"/>
  </cols>
  <sheetData>
    <row r="1" spans="1:11" x14ac:dyDescent="0.3">
      <c r="A1" s="2" t="s">
        <v>0</v>
      </c>
      <c r="B1" s="2" t="s">
        <v>13</v>
      </c>
      <c r="C1" s="2" t="s">
        <v>14</v>
      </c>
      <c r="D1" s="2" t="s">
        <v>9</v>
      </c>
      <c r="E1" s="2" t="s">
        <v>11</v>
      </c>
      <c r="F1" s="4" t="s">
        <v>10</v>
      </c>
      <c r="G1" s="2" t="s">
        <v>22</v>
      </c>
      <c r="H1" s="2" t="s">
        <v>12</v>
      </c>
      <c r="I1" s="2" t="s">
        <v>38</v>
      </c>
      <c r="J1" s="4" t="s">
        <v>26</v>
      </c>
      <c r="K1" s="5" t="s">
        <v>25</v>
      </c>
    </row>
    <row r="2" spans="1:11" x14ac:dyDescent="0.3">
      <c r="A2" s="2" t="s">
        <v>1</v>
      </c>
      <c r="B2" s="2">
        <v>13139</v>
      </c>
      <c r="C2" s="2" t="s">
        <v>15</v>
      </c>
      <c r="D2" s="2">
        <v>164734</v>
      </c>
      <c r="E2" s="2">
        <v>1335</v>
      </c>
      <c r="F2" s="4">
        <f>G2/D2</f>
        <v>0.62235482656889285</v>
      </c>
      <c r="G2" s="2">
        <v>102523</v>
      </c>
      <c r="H2" s="2">
        <v>102524</v>
      </c>
      <c r="I2" s="2">
        <v>99747</v>
      </c>
      <c r="J2" s="8">
        <f>I2/D2</f>
        <v>0.60550341763084725</v>
      </c>
    </row>
    <row r="3" spans="1:11" x14ac:dyDescent="0.3">
      <c r="A3" s="2" t="s">
        <v>3</v>
      </c>
      <c r="B3" s="2">
        <v>14425</v>
      </c>
      <c r="C3" s="2" t="s">
        <v>16</v>
      </c>
      <c r="D3" s="2">
        <v>169878</v>
      </c>
      <c r="E3" s="2">
        <v>1246</v>
      </c>
      <c r="F3" s="4">
        <f t="shared" ref="F3:F9" si="0">G3/D3</f>
        <v>0.77815255654057613</v>
      </c>
      <c r="G3" s="2">
        <v>132191</v>
      </c>
      <c r="H3" s="2">
        <v>132191</v>
      </c>
      <c r="I3" s="2">
        <v>130457</v>
      </c>
      <c r="J3" s="8">
        <f t="shared" ref="J3:J9" si="1">I3/D3</f>
        <v>0.76794523128362713</v>
      </c>
    </row>
    <row r="4" spans="1:11" x14ac:dyDescent="0.3">
      <c r="A4" s="2" t="s">
        <v>2</v>
      </c>
      <c r="B4" s="2">
        <v>14425</v>
      </c>
      <c r="C4" s="2" t="s">
        <v>17</v>
      </c>
      <c r="D4" s="2">
        <v>169878</v>
      </c>
      <c r="E4" s="2">
        <v>1155</v>
      </c>
      <c r="F4" s="4">
        <f t="shared" si="0"/>
        <v>0.78007746735892813</v>
      </c>
      <c r="G4" s="2">
        <v>132518</v>
      </c>
      <c r="H4" s="2">
        <v>132518</v>
      </c>
      <c r="I4" s="2">
        <v>130771</v>
      </c>
      <c r="J4" s="8">
        <f t="shared" si="1"/>
        <v>0.7697936165954391</v>
      </c>
    </row>
    <row r="5" spans="1:11" x14ac:dyDescent="0.3">
      <c r="A5" s="2" t="s">
        <v>4</v>
      </c>
      <c r="B5" s="2">
        <v>23718</v>
      </c>
      <c r="C5" s="2" t="s">
        <v>18</v>
      </c>
      <c r="D5" s="2">
        <v>207050</v>
      </c>
      <c r="E5" s="2">
        <v>432</v>
      </c>
      <c r="F5" s="4">
        <f t="shared" si="0"/>
        <v>0.99908717701038396</v>
      </c>
      <c r="G5" s="2">
        <v>206861</v>
      </c>
      <c r="J5" s="8">
        <f t="shared" si="1"/>
        <v>0</v>
      </c>
    </row>
    <row r="6" spans="1:11" x14ac:dyDescent="0.3">
      <c r="A6" s="2" t="s">
        <v>5</v>
      </c>
      <c r="B6" s="2">
        <v>9519</v>
      </c>
      <c r="C6" s="2" t="s">
        <v>19</v>
      </c>
      <c r="D6" s="2">
        <v>50112</v>
      </c>
      <c r="E6" s="2">
        <v>512</v>
      </c>
      <c r="F6" s="4">
        <f t="shared" si="0"/>
        <v>0.80946679438058744</v>
      </c>
      <c r="G6" s="2">
        <v>40564</v>
      </c>
      <c r="H6" s="2">
        <v>40564</v>
      </c>
      <c r="I6" s="2">
        <v>34366</v>
      </c>
      <c r="J6" s="8">
        <f t="shared" si="1"/>
        <v>0.68578384418901661</v>
      </c>
      <c r="K6" s="5" t="s">
        <v>28</v>
      </c>
    </row>
    <row r="7" spans="1:11" x14ac:dyDescent="0.3">
      <c r="A7" s="2" t="s">
        <v>6</v>
      </c>
      <c r="B7" s="2">
        <v>10216</v>
      </c>
      <c r="C7" s="2" t="s">
        <v>20</v>
      </c>
      <c r="D7" s="2">
        <v>57118</v>
      </c>
      <c r="E7" s="2">
        <v>512</v>
      </c>
      <c r="F7" s="4">
        <f t="shared" si="0"/>
        <v>0.78593438145593331</v>
      </c>
      <c r="G7" s="2">
        <v>44891</v>
      </c>
      <c r="H7" s="2">
        <v>44891</v>
      </c>
      <c r="I7" s="2">
        <v>38569</v>
      </c>
      <c r="J7" s="8">
        <f t="shared" si="1"/>
        <v>0.6752512342869148</v>
      </c>
      <c r="K7" s="5" t="s">
        <v>28</v>
      </c>
    </row>
    <row r="8" spans="1:11" x14ac:dyDescent="0.3">
      <c r="A8" s="2" t="s">
        <v>7</v>
      </c>
      <c r="B8" s="2">
        <v>9936</v>
      </c>
      <c r="C8" s="2" t="s">
        <v>19</v>
      </c>
      <c r="D8" s="2">
        <v>61296</v>
      </c>
      <c r="E8" s="2">
        <v>512</v>
      </c>
      <c r="F8" s="4">
        <f t="shared" si="0"/>
        <v>0.73180957974419214</v>
      </c>
      <c r="G8" s="2">
        <v>44857</v>
      </c>
      <c r="H8" s="2">
        <v>44857</v>
      </c>
      <c r="I8" s="2">
        <v>39885</v>
      </c>
      <c r="J8" s="8">
        <f t="shared" si="1"/>
        <v>0.65069498825371963</v>
      </c>
      <c r="K8" s="5" t="s">
        <v>27</v>
      </c>
    </row>
    <row r="9" spans="1:11" x14ac:dyDescent="0.3">
      <c r="A9" s="2" t="s">
        <v>8</v>
      </c>
      <c r="B9" s="2">
        <v>7678</v>
      </c>
      <c r="C9" s="2" t="s">
        <v>21</v>
      </c>
      <c r="D9" s="2">
        <v>62860</v>
      </c>
      <c r="E9" s="2">
        <v>1681</v>
      </c>
      <c r="F9" s="4">
        <f t="shared" si="0"/>
        <v>0.78482341711740378</v>
      </c>
      <c r="G9" s="2">
        <v>49334</v>
      </c>
      <c r="H9" s="2">
        <v>49334</v>
      </c>
      <c r="I9" s="2">
        <v>46004</v>
      </c>
      <c r="J9" s="8">
        <f t="shared" si="1"/>
        <v>0.73184855233853008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16" sqref="G16"/>
    </sheetView>
  </sheetViews>
  <sheetFormatPr defaultColWidth="9.109375" defaultRowHeight="15.6" x14ac:dyDescent="0.3"/>
  <cols>
    <col min="1" max="1" width="14.33203125" style="2" customWidth="1"/>
    <col min="2" max="2" width="19.6640625" style="2" customWidth="1"/>
    <col min="3" max="3" width="13.33203125" style="2" customWidth="1"/>
    <col min="4" max="4" width="13.109375" style="2" customWidth="1"/>
    <col min="5" max="5" width="14" style="2" customWidth="1"/>
    <col min="6" max="6" width="14.6640625" style="4" customWidth="1"/>
    <col min="7" max="7" width="21" style="2" customWidth="1"/>
    <col min="8" max="8" width="15.44140625" style="2" customWidth="1"/>
    <col min="9" max="9" width="27.5546875" style="2" customWidth="1"/>
    <col min="10" max="10" width="20" style="8" customWidth="1"/>
    <col min="11" max="11" width="24.6640625" style="5" customWidth="1"/>
    <col min="12" max="16384" width="9.109375" style="2"/>
  </cols>
  <sheetData>
    <row r="1" spans="1:11" x14ac:dyDescent="0.3">
      <c r="A1" s="2" t="s">
        <v>0</v>
      </c>
      <c r="B1" s="2" t="s">
        <v>13</v>
      </c>
      <c r="C1" s="2" t="s">
        <v>14</v>
      </c>
      <c r="D1" s="2" t="s">
        <v>9</v>
      </c>
      <c r="E1" s="2" t="s">
        <v>11</v>
      </c>
      <c r="F1" s="4" t="s">
        <v>10</v>
      </c>
      <c r="G1" s="2" t="s">
        <v>22</v>
      </c>
      <c r="H1" s="2" t="s">
        <v>12</v>
      </c>
      <c r="I1" s="2" t="s">
        <v>38</v>
      </c>
      <c r="J1" s="4" t="s">
        <v>26</v>
      </c>
      <c r="K1" s="5" t="s">
        <v>25</v>
      </c>
    </row>
    <row r="2" spans="1:11" x14ac:dyDescent="0.3">
      <c r="A2" s="2" t="s">
        <v>1</v>
      </c>
      <c r="B2" s="2">
        <v>13139</v>
      </c>
      <c r="C2" s="2" t="s">
        <v>15</v>
      </c>
      <c r="D2" s="2">
        <f>188384/2</f>
        <v>94192</v>
      </c>
      <c r="E2" s="2">
        <v>1335</v>
      </c>
      <c r="F2" s="4">
        <f>G2/D2</f>
        <v>0.98047604892135209</v>
      </c>
      <c r="G2" s="2">
        <v>92353</v>
      </c>
      <c r="H2" s="2">
        <v>92353</v>
      </c>
      <c r="I2" s="2">
        <v>79481</v>
      </c>
      <c r="J2" s="8">
        <f>I2/D2</f>
        <v>0.84381900798369291</v>
      </c>
    </row>
    <row r="3" spans="1:11" x14ac:dyDescent="0.3">
      <c r="A3" s="2" t="s">
        <v>3</v>
      </c>
      <c r="B3" s="2">
        <v>14425</v>
      </c>
      <c r="C3" s="2" t="s">
        <v>16</v>
      </c>
      <c r="D3" s="2">
        <f>165538/2</f>
        <v>82769</v>
      </c>
      <c r="E3" s="2">
        <v>1246</v>
      </c>
      <c r="F3" s="4">
        <f t="shared" ref="F3:F9" si="0">G3/D3</f>
        <v>0</v>
      </c>
      <c r="J3" s="8">
        <f t="shared" ref="J3:J9" si="1">I3/D3</f>
        <v>0</v>
      </c>
    </row>
    <row r="4" spans="1:11" x14ac:dyDescent="0.3">
      <c r="A4" s="2" t="s">
        <v>2</v>
      </c>
      <c r="B4" s="2">
        <v>14425</v>
      </c>
      <c r="C4" s="2" t="s">
        <v>17</v>
      </c>
      <c r="D4" s="2">
        <f>170478/2</f>
        <v>85239</v>
      </c>
      <c r="E4" s="2">
        <v>1155</v>
      </c>
      <c r="F4" s="4">
        <f t="shared" si="0"/>
        <v>0</v>
      </c>
      <c r="J4" s="8">
        <f t="shared" si="1"/>
        <v>0</v>
      </c>
    </row>
    <row r="5" spans="1:11" x14ac:dyDescent="0.3">
      <c r="A5" s="2" t="s">
        <v>4</v>
      </c>
      <c r="B5" s="2">
        <v>23718</v>
      </c>
      <c r="C5" s="2" t="s">
        <v>18</v>
      </c>
      <c r="D5" s="2">
        <f>503364/2</f>
        <v>251682</v>
      </c>
      <c r="E5" s="2">
        <v>432</v>
      </c>
      <c r="F5" s="4">
        <f t="shared" si="0"/>
        <v>0</v>
      </c>
      <c r="J5" s="8">
        <f t="shared" si="1"/>
        <v>0</v>
      </c>
    </row>
    <row r="6" spans="1:11" x14ac:dyDescent="0.3">
      <c r="A6" s="2" t="s">
        <v>5</v>
      </c>
      <c r="B6" s="2">
        <v>9519</v>
      </c>
      <c r="C6" s="2" t="s">
        <v>19</v>
      </c>
      <c r="D6" s="2">
        <f>39098/2</f>
        <v>19549</v>
      </c>
      <c r="E6" s="2">
        <v>512</v>
      </c>
      <c r="F6" s="4">
        <f t="shared" si="0"/>
        <v>0.99882346923116272</v>
      </c>
      <c r="G6" s="2">
        <v>19526</v>
      </c>
      <c r="H6" s="2">
        <v>19526</v>
      </c>
      <c r="I6" s="2">
        <v>18264</v>
      </c>
      <c r="J6" s="8">
        <f t="shared" si="1"/>
        <v>0.934267737480178</v>
      </c>
    </row>
    <row r="7" spans="1:11" x14ac:dyDescent="0.3">
      <c r="A7" s="2" t="s">
        <v>6</v>
      </c>
      <c r="B7" s="2">
        <v>10216</v>
      </c>
      <c r="C7" s="2" t="s">
        <v>20</v>
      </c>
      <c r="D7" s="2">
        <f>47332/2</f>
        <v>23666</v>
      </c>
      <c r="E7" s="2">
        <v>512</v>
      </c>
      <c r="F7" s="4">
        <f t="shared" si="0"/>
        <v>0.99915490577199362</v>
      </c>
      <c r="G7" s="2">
        <v>23646</v>
      </c>
      <c r="H7" s="2">
        <v>23646</v>
      </c>
      <c r="I7" s="2">
        <v>21828</v>
      </c>
      <c r="J7" s="8">
        <f t="shared" si="1"/>
        <v>0.92233584044620975</v>
      </c>
    </row>
    <row r="8" spans="1:11" x14ac:dyDescent="0.3">
      <c r="A8" s="2" t="s">
        <v>7</v>
      </c>
      <c r="B8" s="2">
        <v>9936</v>
      </c>
      <c r="C8" s="2" t="s">
        <v>19</v>
      </c>
      <c r="D8" s="2">
        <v>24575</v>
      </c>
      <c r="E8" s="2">
        <v>512</v>
      </c>
      <c r="F8" s="4">
        <f t="shared" si="0"/>
        <v>0.67601220752797564</v>
      </c>
      <c r="G8" s="2">
        <v>16613</v>
      </c>
      <c r="H8" s="2">
        <v>16613</v>
      </c>
      <c r="I8" s="2">
        <v>15853</v>
      </c>
      <c r="J8" s="8">
        <f t="shared" si="1"/>
        <v>0.6450864699898271</v>
      </c>
    </row>
    <row r="9" spans="1:11" x14ac:dyDescent="0.3">
      <c r="A9" s="2" t="s">
        <v>8</v>
      </c>
      <c r="B9" s="2">
        <v>7678</v>
      </c>
      <c r="C9" s="2" t="s">
        <v>21</v>
      </c>
      <c r="D9" s="2">
        <f>134970/2</f>
        <v>67485</v>
      </c>
      <c r="E9" s="2">
        <v>1681</v>
      </c>
      <c r="F9" s="4">
        <f t="shared" si="0"/>
        <v>0.74837371267689112</v>
      </c>
      <c r="G9" s="2">
        <v>50504</v>
      </c>
      <c r="H9" s="2">
        <v>50504</v>
      </c>
      <c r="I9" s="2">
        <v>27545</v>
      </c>
      <c r="J9" s="8">
        <f t="shared" si="1"/>
        <v>0.40816477735793139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22" sqref="E22"/>
    </sheetView>
  </sheetViews>
  <sheetFormatPr defaultColWidth="9.109375" defaultRowHeight="15.6" x14ac:dyDescent="0.3"/>
  <cols>
    <col min="1" max="1" width="14.33203125" style="2" customWidth="1"/>
    <col min="2" max="2" width="19.6640625" style="2" customWidth="1"/>
    <col min="3" max="3" width="13.33203125" style="2" customWidth="1"/>
    <col min="4" max="4" width="13.109375" style="2" customWidth="1"/>
    <col min="5" max="5" width="14" style="2" customWidth="1"/>
    <col min="6" max="6" width="14.6640625" style="4" customWidth="1"/>
    <col min="7" max="7" width="21" style="2" customWidth="1"/>
    <col min="8" max="8" width="15.44140625" style="2" customWidth="1"/>
    <col min="9" max="9" width="27.5546875" style="2" customWidth="1"/>
    <col min="10" max="10" width="20" style="8" customWidth="1"/>
    <col min="11" max="11" width="24.6640625" style="5" customWidth="1"/>
    <col min="12" max="16384" width="9.109375" style="2"/>
  </cols>
  <sheetData>
    <row r="1" spans="1:11" x14ac:dyDescent="0.3">
      <c r="A1" s="2" t="s">
        <v>0</v>
      </c>
      <c r="B1" s="2" t="s">
        <v>13</v>
      </c>
      <c r="C1" s="2" t="s">
        <v>14</v>
      </c>
      <c r="D1" s="2" t="s">
        <v>9</v>
      </c>
      <c r="E1" s="2" t="s">
        <v>11</v>
      </c>
      <c r="F1" s="4" t="s">
        <v>10</v>
      </c>
      <c r="G1" s="2" t="s">
        <v>22</v>
      </c>
      <c r="H1" s="2" t="s">
        <v>12</v>
      </c>
      <c r="I1" s="2" t="s">
        <v>38</v>
      </c>
      <c r="J1" s="4" t="s">
        <v>26</v>
      </c>
      <c r="K1" s="5" t="s">
        <v>25</v>
      </c>
    </row>
    <row r="2" spans="1:11" x14ac:dyDescent="0.3">
      <c r="A2" s="2" t="s">
        <v>1</v>
      </c>
      <c r="B2" s="2">
        <v>13139</v>
      </c>
      <c r="C2" s="2" t="s">
        <v>15</v>
      </c>
      <c r="D2" s="2">
        <v>94192</v>
      </c>
      <c r="E2" s="2">
        <v>1335</v>
      </c>
      <c r="F2" s="4">
        <f>G2/D2</f>
        <v>0</v>
      </c>
      <c r="J2" s="8">
        <f>I2/D2</f>
        <v>0</v>
      </c>
    </row>
    <row r="3" spans="1:11" x14ac:dyDescent="0.3">
      <c r="A3" s="2" t="s">
        <v>3</v>
      </c>
      <c r="B3" s="2">
        <v>14425</v>
      </c>
      <c r="C3" s="2" t="s">
        <v>16</v>
      </c>
      <c r="D3" s="2">
        <f>165538/2</f>
        <v>82769</v>
      </c>
      <c r="E3" s="2">
        <v>1246</v>
      </c>
      <c r="F3" s="4">
        <f t="shared" ref="F3:F9" si="0">G3/D3</f>
        <v>0</v>
      </c>
      <c r="J3" s="8">
        <f t="shared" ref="J3:J9" si="1">I3/D3</f>
        <v>0</v>
      </c>
    </row>
    <row r="4" spans="1:11" x14ac:dyDescent="0.3">
      <c r="A4" s="2" t="s">
        <v>2</v>
      </c>
      <c r="B4" s="2">
        <v>14425</v>
      </c>
      <c r="C4" s="2" t="s">
        <v>17</v>
      </c>
      <c r="D4" s="2">
        <f>170478/2</f>
        <v>85239</v>
      </c>
      <c r="E4" s="2">
        <v>1155</v>
      </c>
      <c r="F4" s="4">
        <f t="shared" si="0"/>
        <v>0</v>
      </c>
      <c r="J4" s="8">
        <f t="shared" si="1"/>
        <v>0</v>
      </c>
    </row>
    <row r="5" spans="1:11" x14ac:dyDescent="0.3">
      <c r="A5" s="2" t="s">
        <v>4</v>
      </c>
      <c r="B5" s="2">
        <v>23718</v>
      </c>
      <c r="C5" s="2" t="s">
        <v>18</v>
      </c>
      <c r="D5" s="2">
        <f>503364/2</f>
        <v>251682</v>
      </c>
      <c r="E5" s="2">
        <v>432</v>
      </c>
      <c r="F5" s="4">
        <f t="shared" si="0"/>
        <v>0</v>
      </c>
      <c r="J5" s="8">
        <f t="shared" si="1"/>
        <v>0</v>
      </c>
    </row>
    <row r="6" spans="1:11" x14ac:dyDescent="0.3">
      <c r="A6" s="2" t="s">
        <v>5</v>
      </c>
      <c r="B6" s="2">
        <v>9519</v>
      </c>
      <c r="C6" s="2" t="s">
        <v>19</v>
      </c>
      <c r="D6" s="2">
        <f>39098/2</f>
        <v>19549</v>
      </c>
      <c r="E6" s="2">
        <v>512</v>
      </c>
      <c r="F6" s="4">
        <f t="shared" si="0"/>
        <v>0.99918154381298274</v>
      </c>
      <c r="G6" s="2">
        <v>19533</v>
      </c>
      <c r="H6" s="2">
        <v>19533</v>
      </c>
      <c r="I6" s="2">
        <v>18354</v>
      </c>
      <c r="J6" s="8">
        <f t="shared" si="1"/>
        <v>0.93887155353215002</v>
      </c>
    </row>
    <row r="7" spans="1:11" x14ac:dyDescent="0.3">
      <c r="A7" s="2" t="s">
        <v>6</v>
      </c>
      <c r="B7" s="2">
        <v>10216</v>
      </c>
      <c r="C7" s="2" t="s">
        <v>20</v>
      </c>
      <c r="D7" s="2">
        <f>47332/2</f>
        <v>23666</v>
      </c>
      <c r="E7" s="2">
        <v>512</v>
      </c>
      <c r="F7" s="4">
        <f t="shared" si="0"/>
        <v>0.99940843404039548</v>
      </c>
      <c r="G7" s="2">
        <v>23652</v>
      </c>
      <c r="H7" s="2">
        <v>23652</v>
      </c>
      <c r="I7" s="2">
        <v>22286</v>
      </c>
      <c r="J7" s="8">
        <f t="shared" si="1"/>
        <v>0.94168849826755685</v>
      </c>
    </row>
    <row r="8" spans="1:11" x14ac:dyDescent="0.3">
      <c r="A8" s="2" t="s">
        <v>7</v>
      </c>
      <c r="B8" s="2">
        <v>9936</v>
      </c>
      <c r="C8" s="2" t="s">
        <v>19</v>
      </c>
      <c r="D8" s="2">
        <v>24575</v>
      </c>
      <c r="E8" s="2">
        <v>512</v>
      </c>
      <c r="F8" s="4">
        <f t="shared" si="0"/>
        <v>0.67601220752797564</v>
      </c>
      <c r="G8" s="2">
        <v>16613</v>
      </c>
      <c r="H8" s="2">
        <v>16613</v>
      </c>
      <c r="I8" s="2">
        <v>16000</v>
      </c>
      <c r="J8" s="8">
        <f t="shared" si="1"/>
        <v>0.65106815869786372</v>
      </c>
    </row>
    <row r="9" spans="1:11" x14ac:dyDescent="0.3">
      <c r="A9" s="2" t="s">
        <v>8</v>
      </c>
      <c r="B9" s="2">
        <v>7678</v>
      </c>
      <c r="C9" s="2" t="s">
        <v>21</v>
      </c>
      <c r="D9" s="2">
        <f>134970/2</f>
        <v>67485</v>
      </c>
      <c r="E9" s="2">
        <v>1681</v>
      </c>
      <c r="F9" s="4">
        <f t="shared" si="0"/>
        <v>0.75911684077943242</v>
      </c>
      <c r="G9" s="2">
        <v>51229</v>
      </c>
      <c r="H9" s="2">
        <v>51229</v>
      </c>
      <c r="I9" s="2">
        <v>29408</v>
      </c>
      <c r="J9" s="8">
        <f t="shared" si="1"/>
        <v>0.43577091205453061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16" sqref="I16"/>
    </sheetView>
  </sheetViews>
  <sheetFormatPr defaultColWidth="9.109375" defaultRowHeight="15.6" x14ac:dyDescent="0.3"/>
  <cols>
    <col min="1" max="1" width="14.33203125" style="2" customWidth="1"/>
    <col min="2" max="2" width="19.6640625" style="2" customWidth="1"/>
    <col min="3" max="3" width="13.33203125" style="2" customWidth="1"/>
    <col min="4" max="4" width="13.109375" style="2" customWidth="1"/>
    <col min="5" max="5" width="14" style="2" customWidth="1"/>
    <col min="6" max="6" width="14.6640625" style="4" customWidth="1"/>
    <col min="7" max="7" width="21" style="2" customWidth="1"/>
    <col min="8" max="8" width="15.44140625" style="2" customWidth="1"/>
    <col min="9" max="9" width="27.5546875" style="2" customWidth="1"/>
    <col min="10" max="10" width="20" style="8" customWidth="1"/>
    <col min="11" max="11" width="24.6640625" style="5" customWidth="1"/>
    <col min="12" max="16384" width="9.109375" style="2"/>
  </cols>
  <sheetData>
    <row r="1" spans="1:11" x14ac:dyDescent="0.3">
      <c r="A1" s="2" t="s">
        <v>0</v>
      </c>
      <c r="B1" s="2" t="s">
        <v>13</v>
      </c>
      <c r="C1" s="2" t="s">
        <v>14</v>
      </c>
      <c r="D1" s="2" t="s">
        <v>9</v>
      </c>
      <c r="E1" s="2" t="s">
        <v>11</v>
      </c>
      <c r="F1" s="4" t="s">
        <v>10</v>
      </c>
      <c r="G1" s="2" t="s">
        <v>22</v>
      </c>
      <c r="H1" s="2" t="s">
        <v>12</v>
      </c>
      <c r="I1" s="2" t="s">
        <v>38</v>
      </c>
      <c r="J1" s="4" t="s">
        <v>26</v>
      </c>
      <c r="K1" s="5" t="s">
        <v>25</v>
      </c>
    </row>
    <row r="2" spans="1:11" x14ac:dyDescent="0.3">
      <c r="A2" s="2" t="s">
        <v>1</v>
      </c>
      <c r="B2" s="2">
        <v>13139</v>
      </c>
      <c r="C2" s="2" t="s">
        <v>15</v>
      </c>
      <c r="D2" s="2">
        <f>376768/2</f>
        <v>188384</v>
      </c>
      <c r="E2" s="2">
        <v>1335</v>
      </c>
      <c r="F2" s="4">
        <f>G2/D2</f>
        <v>0</v>
      </c>
      <c r="J2" s="8">
        <f>I2/D2</f>
        <v>0</v>
      </c>
    </row>
    <row r="3" spans="1:11" x14ac:dyDescent="0.3">
      <c r="A3" s="2" t="s">
        <v>3</v>
      </c>
      <c r="B3" s="2">
        <v>14425</v>
      </c>
      <c r="C3" s="2" t="s">
        <v>16</v>
      </c>
      <c r="D3" s="2">
        <f>331076/2</f>
        <v>165538</v>
      </c>
      <c r="E3" s="2">
        <v>1246</v>
      </c>
      <c r="F3" s="4">
        <f t="shared" ref="F3:F9" si="0">G3/D3</f>
        <v>0</v>
      </c>
      <c r="J3" s="8">
        <f t="shared" ref="J3:J9" si="1">I3/D3</f>
        <v>0</v>
      </c>
    </row>
    <row r="4" spans="1:11" x14ac:dyDescent="0.3">
      <c r="A4" s="2" t="s">
        <v>2</v>
      </c>
      <c r="B4" s="2">
        <v>14425</v>
      </c>
      <c r="C4" s="2" t="s">
        <v>17</v>
      </c>
      <c r="D4" s="2">
        <f>340956/2</f>
        <v>170478</v>
      </c>
      <c r="E4" s="2">
        <v>1155</v>
      </c>
      <c r="F4" s="4">
        <f t="shared" si="0"/>
        <v>0</v>
      </c>
      <c r="J4" s="8">
        <f t="shared" si="1"/>
        <v>0</v>
      </c>
    </row>
    <row r="5" spans="1:11" x14ac:dyDescent="0.3">
      <c r="A5" s="2" t="s">
        <v>4</v>
      </c>
      <c r="B5" s="2">
        <v>23718</v>
      </c>
      <c r="C5" s="2" t="s">
        <v>18</v>
      </c>
      <c r="D5" s="2">
        <f>1006728/2</f>
        <v>503364</v>
      </c>
      <c r="E5" s="2">
        <v>432</v>
      </c>
      <c r="F5" s="4">
        <f t="shared" si="0"/>
        <v>0</v>
      </c>
      <c r="J5" s="8">
        <f t="shared" si="1"/>
        <v>0</v>
      </c>
    </row>
    <row r="6" spans="1:11" x14ac:dyDescent="0.3">
      <c r="A6" s="2" t="s">
        <v>5</v>
      </c>
      <c r="B6" s="2">
        <v>9519</v>
      </c>
      <c r="C6" s="2" t="s">
        <v>19</v>
      </c>
      <c r="D6" s="2">
        <f>78196/2</f>
        <v>39098</v>
      </c>
      <c r="E6" s="2">
        <v>512</v>
      </c>
      <c r="F6" s="4">
        <f t="shared" si="0"/>
        <v>0.82369942196531787</v>
      </c>
      <c r="G6" s="2">
        <v>32205</v>
      </c>
      <c r="H6" s="2">
        <v>32205</v>
      </c>
      <c r="I6" s="2">
        <v>27333</v>
      </c>
      <c r="J6" s="8">
        <f t="shared" si="1"/>
        <v>0.69908946749194334</v>
      </c>
    </row>
    <row r="7" spans="1:11" x14ac:dyDescent="0.3">
      <c r="A7" s="2" t="s">
        <v>6</v>
      </c>
      <c r="B7" s="2">
        <v>10216</v>
      </c>
      <c r="C7" s="2" t="s">
        <v>20</v>
      </c>
      <c r="D7" s="2">
        <f>94664/2</f>
        <v>47332</v>
      </c>
      <c r="E7" s="2">
        <v>512</v>
      </c>
      <c r="F7" s="4">
        <f t="shared" si="0"/>
        <v>0.85149581678357134</v>
      </c>
      <c r="G7" s="2">
        <v>40303</v>
      </c>
      <c r="H7" s="2">
        <v>40303</v>
      </c>
      <c r="I7" s="2">
        <v>34862</v>
      </c>
      <c r="J7" s="8">
        <f t="shared" si="1"/>
        <v>0.73654187441899777</v>
      </c>
    </row>
    <row r="8" spans="1:11" x14ac:dyDescent="0.3">
      <c r="A8" s="2" t="s">
        <v>7</v>
      </c>
      <c r="B8" s="2">
        <v>9936</v>
      </c>
      <c r="C8" s="2" t="s">
        <v>19</v>
      </c>
      <c r="D8" s="2">
        <v>49150</v>
      </c>
      <c r="E8" s="2">
        <v>512</v>
      </c>
      <c r="F8" s="4">
        <f t="shared" si="0"/>
        <v>0.6608748728382503</v>
      </c>
      <c r="G8" s="2">
        <v>32482</v>
      </c>
      <c r="H8" s="2">
        <v>32482</v>
      </c>
      <c r="I8" s="2">
        <v>24678</v>
      </c>
      <c r="J8" s="8">
        <f t="shared" si="1"/>
        <v>0.50209562563580878</v>
      </c>
    </row>
    <row r="9" spans="1:11" x14ac:dyDescent="0.3">
      <c r="A9" s="2" t="s">
        <v>8</v>
      </c>
      <c r="B9" s="2">
        <v>7678</v>
      </c>
      <c r="C9" s="2" t="s">
        <v>21</v>
      </c>
      <c r="D9" s="2">
        <f>269940/2</f>
        <v>134970</v>
      </c>
      <c r="E9" s="2">
        <v>1681</v>
      </c>
      <c r="F9" s="4">
        <f t="shared" si="0"/>
        <v>0.97409053863821593</v>
      </c>
      <c r="G9" s="2">
        <v>131473</v>
      </c>
      <c r="H9" s="2">
        <v>131473</v>
      </c>
      <c r="I9" s="2">
        <v>129014</v>
      </c>
      <c r="J9" s="8">
        <f t="shared" si="1"/>
        <v>0.95587167518707861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19" sqref="I19:I20"/>
    </sheetView>
  </sheetViews>
  <sheetFormatPr defaultColWidth="9.109375" defaultRowHeight="15.6" x14ac:dyDescent="0.3"/>
  <cols>
    <col min="1" max="1" width="14.33203125" style="2" customWidth="1"/>
    <col min="2" max="2" width="19.6640625" style="2" customWidth="1"/>
    <col min="3" max="3" width="13.33203125" style="2" customWidth="1"/>
    <col min="4" max="4" width="13.109375" style="2" customWidth="1"/>
    <col min="5" max="5" width="14" style="2" customWidth="1"/>
    <col min="6" max="6" width="14.6640625" style="4" customWidth="1"/>
    <col min="7" max="7" width="21" style="2" customWidth="1"/>
    <col min="8" max="8" width="15.44140625" style="2" customWidth="1"/>
    <col min="9" max="9" width="27.5546875" style="2" customWidth="1"/>
    <col min="10" max="10" width="20" style="8" customWidth="1"/>
    <col min="11" max="11" width="24.6640625" style="5" customWidth="1"/>
    <col min="12" max="16384" width="9.109375" style="2"/>
  </cols>
  <sheetData>
    <row r="1" spans="1:11" x14ac:dyDescent="0.3">
      <c r="A1" s="2" t="s">
        <v>0</v>
      </c>
      <c r="B1" s="2" t="s">
        <v>13</v>
      </c>
      <c r="C1" s="2" t="s">
        <v>14</v>
      </c>
      <c r="D1" s="2" t="s">
        <v>9</v>
      </c>
      <c r="E1" s="2" t="s">
        <v>11</v>
      </c>
      <c r="F1" s="4" t="s">
        <v>10</v>
      </c>
      <c r="G1" s="2" t="s">
        <v>22</v>
      </c>
      <c r="H1" s="2" t="s">
        <v>12</v>
      </c>
      <c r="I1" s="2" t="s">
        <v>38</v>
      </c>
      <c r="J1" s="4" t="s">
        <v>26</v>
      </c>
      <c r="K1" s="5" t="s">
        <v>25</v>
      </c>
    </row>
    <row r="2" spans="1:11" x14ac:dyDescent="0.3">
      <c r="A2" s="2" t="s">
        <v>1</v>
      </c>
      <c r="B2" s="2">
        <v>13139</v>
      </c>
      <c r="C2" s="2" t="s">
        <v>15</v>
      </c>
      <c r="D2" s="2">
        <f>29182/2</f>
        <v>14591</v>
      </c>
      <c r="E2" s="2">
        <v>1335</v>
      </c>
      <c r="F2" s="4">
        <f>G2/D2</f>
        <v>0.90041806593105334</v>
      </c>
      <c r="G2" s="2">
        <v>13138</v>
      </c>
      <c r="H2" s="2">
        <v>13138</v>
      </c>
      <c r="I2" s="2">
        <v>11937</v>
      </c>
      <c r="J2" s="8">
        <f>I2/D2</f>
        <v>0.81810705229250913</v>
      </c>
    </row>
    <row r="3" spans="1:11" x14ac:dyDescent="0.3">
      <c r="A3" s="2" t="s">
        <v>3</v>
      </c>
      <c r="B3" s="2">
        <v>14425</v>
      </c>
      <c r="C3" s="2" t="s">
        <v>16</v>
      </c>
      <c r="D3" s="2">
        <f>31854/2</f>
        <v>15927</v>
      </c>
      <c r="E3" s="2">
        <v>1246</v>
      </c>
      <c r="F3" s="4">
        <f t="shared" ref="F3:F9" si="0">G3/D3</f>
        <v>0.90569473221573427</v>
      </c>
      <c r="G3" s="2">
        <v>14425</v>
      </c>
      <c r="H3" s="2">
        <v>14425</v>
      </c>
      <c r="I3" s="2">
        <v>13313</v>
      </c>
      <c r="J3" s="8">
        <f t="shared" ref="J3:J9" si="1">I3/D3</f>
        <v>0.83587618509449357</v>
      </c>
    </row>
    <row r="4" spans="1:11" x14ac:dyDescent="0.3">
      <c r="A4" s="2" t="s">
        <v>2</v>
      </c>
      <c r="B4" s="2">
        <v>14425</v>
      </c>
      <c r="C4" s="2" t="s">
        <v>17</v>
      </c>
      <c r="D4" s="2">
        <f>31936/2</f>
        <v>15968</v>
      </c>
      <c r="E4" s="2">
        <v>1155</v>
      </c>
      <c r="F4" s="4">
        <f t="shared" si="0"/>
        <v>0.90336923847695394</v>
      </c>
      <c r="G4" s="2">
        <v>14425</v>
      </c>
      <c r="H4" s="2">
        <v>14425</v>
      </c>
      <c r="I4" s="2">
        <v>13313</v>
      </c>
      <c r="J4" s="8">
        <f t="shared" si="1"/>
        <v>0.83372995991983967</v>
      </c>
    </row>
    <row r="5" spans="1:11" x14ac:dyDescent="0.3">
      <c r="A5" s="2" t="s">
        <v>4</v>
      </c>
      <c r="B5" s="2">
        <v>23718</v>
      </c>
      <c r="C5" s="2" t="s">
        <v>18</v>
      </c>
      <c r="D5" s="2">
        <f>71496/2</f>
        <v>35748</v>
      </c>
      <c r="E5" s="2">
        <v>432</v>
      </c>
      <c r="F5" s="4">
        <f t="shared" si="0"/>
        <v>0</v>
      </c>
      <c r="J5" s="8">
        <f t="shared" si="1"/>
        <v>0</v>
      </c>
    </row>
    <row r="6" spans="1:11" x14ac:dyDescent="0.3">
      <c r="A6" s="2" t="s">
        <v>5</v>
      </c>
      <c r="B6" s="2">
        <v>9519</v>
      </c>
      <c r="C6" s="2" t="s">
        <v>19</v>
      </c>
      <c r="D6" s="2">
        <f>19158/2</f>
        <v>9579</v>
      </c>
      <c r="E6" s="2">
        <v>512</v>
      </c>
      <c r="F6" s="4">
        <f t="shared" si="0"/>
        <v>0.99373629815220799</v>
      </c>
      <c r="G6" s="2">
        <v>9519</v>
      </c>
      <c r="H6" s="2">
        <v>9519</v>
      </c>
      <c r="I6" s="2">
        <v>7943</v>
      </c>
      <c r="J6" s="8">
        <f t="shared" si="1"/>
        <v>0.82920972961687023</v>
      </c>
    </row>
    <row r="7" spans="1:11" x14ac:dyDescent="0.3">
      <c r="A7" s="2" t="s">
        <v>6</v>
      </c>
      <c r="B7" s="2">
        <v>10216</v>
      </c>
      <c r="C7" s="2" t="s">
        <v>20</v>
      </c>
      <c r="D7" s="2">
        <f>20558/2</f>
        <v>10279</v>
      </c>
      <c r="E7" s="2">
        <v>512</v>
      </c>
      <c r="F7" s="4">
        <f t="shared" si="0"/>
        <v>0.99387099912442844</v>
      </c>
      <c r="G7" s="2">
        <v>10216</v>
      </c>
      <c r="H7" s="2">
        <v>10216</v>
      </c>
      <c r="I7" s="2">
        <v>8668</v>
      </c>
      <c r="J7" s="8">
        <f t="shared" si="1"/>
        <v>0.84327269189609888</v>
      </c>
    </row>
    <row r="8" spans="1:11" x14ac:dyDescent="0.3">
      <c r="A8" s="2" t="s">
        <v>7</v>
      </c>
      <c r="B8" s="2">
        <v>9936</v>
      </c>
      <c r="C8" s="2" t="s">
        <v>19</v>
      </c>
      <c r="D8" s="2">
        <f>19992/2</f>
        <v>9996</v>
      </c>
      <c r="E8" s="2">
        <v>512</v>
      </c>
      <c r="F8" s="4">
        <f t="shared" si="0"/>
        <v>0.99399759903961582</v>
      </c>
      <c r="G8" s="2">
        <v>9936</v>
      </c>
      <c r="H8" s="2">
        <v>9936</v>
      </c>
      <c r="I8" s="2">
        <v>8902</v>
      </c>
      <c r="J8" s="8">
        <f t="shared" si="1"/>
        <v>0.89055622248899557</v>
      </c>
    </row>
    <row r="9" spans="1:11" x14ac:dyDescent="0.3">
      <c r="A9" s="2" t="s">
        <v>8</v>
      </c>
      <c r="B9" s="2">
        <v>7678</v>
      </c>
      <c r="C9" s="2" t="s">
        <v>21</v>
      </c>
      <c r="D9" s="2">
        <f>24930/2</f>
        <v>12465</v>
      </c>
      <c r="E9" s="2">
        <v>1681</v>
      </c>
      <c r="F9" s="4">
        <f t="shared" si="0"/>
        <v>0.61596470116325708</v>
      </c>
      <c r="G9" s="2">
        <v>7678</v>
      </c>
      <c r="H9" s="2">
        <v>7678</v>
      </c>
      <c r="I9" s="2">
        <v>7100</v>
      </c>
      <c r="J9" s="8">
        <f t="shared" si="1"/>
        <v>0.5695948656237465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C1" workbookViewId="0">
      <selection activeCell="I19" sqref="I19"/>
    </sheetView>
  </sheetViews>
  <sheetFormatPr defaultColWidth="9.109375" defaultRowHeight="15.6" x14ac:dyDescent="0.3"/>
  <cols>
    <col min="1" max="1" width="14.33203125" style="2" customWidth="1"/>
    <col min="2" max="2" width="19.6640625" style="2" customWidth="1"/>
    <col min="3" max="3" width="13.33203125" style="2" customWidth="1"/>
    <col min="4" max="4" width="13.109375" style="2" customWidth="1"/>
    <col min="5" max="5" width="14" style="2" customWidth="1"/>
    <col min="6" max="6" width="14.6640625" style="4" customWidth="1"/>
    <col min="7" max="7" width="21" style="2" customWidth="1"/>
    <col min="8" max="8" width="15.44140625" style="2" customWidth="1"/>
    <col min="9" max="9" width="27.5546875" style="2" customWidth="1"/>
    <col min="10" max="10" width="20" style="8" customWidth="1"/>
    <col min="11" max="11" width="24.6640625" style="5" customWidth="1"/>
    <col min="12" max="16384" width="9.109375" style="2"/>
  </cols>
  <sheetData>
    <row r="1" spans="1:11" x14ac:dyDescent="0.3">
      <c r="A1" s="2" t="s">
        <v>0</v>
      </c>
      <c r="B1" s="2" t="s">
        <v>13</v>
      </c>
      <c r="C1" s="2" t="s">
        <v>14</v>
      </c>
      <c r="D1" s="2" t="s">
        <v>9</v>
      </c>
      <c r="E1" s="2" t="s">
        <v>11</v>
      </c>
      <c r="F1" s="4" t="s">
        <v>10</v>
      </c>
      <c r="G1" s="2" t="s">
        <v>22</v>
      </c>
      <c r="H1" s="2" t="s">
        <v>12</v>
      </c>
      <c r="I1" s="2" t="s">
        <v>38</v>
      </c>
      <c r="J1" s="4" t="s">
        <v>26</v>
      </c>
      <c r="K1" s="5" t="s">
        <v>25</v>
      </c>
    </row>
    <row r="2" spans="1:11" x14ac:dyDescent="0.3">
      <c r="A2" s="2" t="s">
        <v>1</v>
      </c>
      <c r="B2" s="2">
        <v>13139</v>
      </c>
      <c r="C2" s="2" t="s">
        <v>15</v>
      </c>
      <c r="D2" s="2">
        <f>6407</f>
        <v>6407</v>
      </c>
      <c r="E2" s="2">
        <v>1335</v>
      </c>
      <c r="F2" s="4">
        <f>G2/D2</f>
        <v>0.86186982987357574</v>
      </c>
      <c r="G2" s="2">
        <v>5522</v>
      </c>
      <c r="H2" s="2">
        <v>5522</v>
      </c>
      <c r="I2" s="2">
        <v>5512</v>
      </c>
      <c r="J2" s="8">
        <f>I2/D2</f>
        <v>0.86030903699079131</v>
      </c>
    </row>
    <row r="3" spans="1:11" x14ac:dyDescent="0.3">
      <c r="A3" s="2" t="s">
        <v>3</v>
      </c>
      <c r="B3" s="2">
        <v>14425</v>
      </c>
      <c r="C3" s="2" t="s">
        <v>16</v>
      </c>
      <c r="D3" s="2">
        <f>13152/2</f>
        <v>6576</v>
      </c>
      <c r="E3" s="2">
        <v>1246</v>
      </c>
      <c r="F3" s="4">
        <f t="shared" ref="F3:F9" si="0">G3/D3</f>
        <v>0.85888077858880774</v>
      </c>
      <c r="G3" s="2">
        <v>5648</v>
      </c>
      <c r="H3" s="2">
        <v>5648</v>
      </c>
      <c r="I3" s="2">
        <v>5641</v>
      </c>
      <c r="J3" s="8">
        <f t="shared" ref="J3:J9" si="1">I3/D3</f>
        <v>0.85781630170316303</v>
      </c>
    </row>
    <row r="4" spans="1:11" x14ac:dyDescent="0.3">
      <c r="A4" s="2" t="s">
        <v>2</v>
      </c>
      <c r="B4" s="2">
        <v>14425</v>
      </c>
      <c r="C4" s="2" t="s">
        <v>17</v>
      </c>
      <c r="D4" s="2">
        <f>13192/2</f>
        <v>6596</v>
      </c>
      <c r="E4" s="2">
        <v>1155</v>
      </c>
      <c r="F4" s="4">
        <f t="shared" si="0"/>
        <v>0</v>
      </c>
      <c r="J4" s="8">
        <f t="shared" si="1"/>
        <v>0</v>
      </c>
    </row>
    <row r="5" spans="1:11" x14ac:dyDescent="0.3">
      <c r="A5" s="2" t="s">
        <v>4</v>
      </c>
      <c r="B5" s="2">
        <v>23718</v>
      </c>
      <c r="C5" s="2" t="s">
        <v>18</v>
      </c>
      <c r="D5" s="2">
        <f>13048/2</f>
        <v>6524</v>
      </c>
      <c r="E5" s="2">
        <v>432</v>
      </c>
      <c r="F5" s="4">
        <f t="shared" si="0"/>
        <v>0</v>
      </c>
      <c r="J5" s="8">
        <f t="shared" si="1"/>
        <v>0</v>
      </c>
    </row>
    <row r="6" spans="1:11" x14ac:dyDescent="0.3">
      <c r="A6" s="2" t="s">
        <v>5</v>
      </c>
      <c r="B6" s="2">
        <v>9519</v>
      </c>
      <c r="C6" s="2" t="s">
        <v>19</v>
      </c>
      <c r="D6" s="2">
        <f>6838/2</f>
        <v>3419</v>
      </c>
      <c r="E6" s="2">
        <v>512</v>
      </c>
      <c r="F6" s="4">
        <f t="shared" si="0"/>
        <v>0.98303597543141275</v>
      </c>
      <c r="G6" s="2">
        <v>3361</v>
      </c>
      <c r="H6" s="2">
        <v>3361</v>
      </c>
      <c r="I6" s="2">
        <v>3349</v>
      </c>
      <c r="J6" s="8">
        <f t="shared" si="1"/>
        <v>0.97952617724480839</v>
      </c>
    </row>
    <row r="7" spans="1:11" x14ac:dyDescent="0.3">
      <c r="A7" s="2" t="s">
        <v>6</v>
      </c>
      <c r="B7" s="2">
        <v>10216</v>
      </c>
      <c r="C7" s="2" t="s">
        <v>20</v>
      </c>
      <c r="D7" s="2">
        <f>8048/2</f>
        <v>4024</v>
      </c>
      <c r="E7" s="2">
        <v>512</v>
      </c>
      <c r="F7" s="4">
        <f t="shared" si="0"/>
        <v>0.98434393638170969</v>
      </c>
      <c r="G7" s="2">
        <v>3961</v>
      </c>
      <c r="H7" s="2">
        <v>3961</v>
      </c>
      <c r="I7" s="2">
        <v>3930</v>
      </c>
      <c r="J7" s="8">
        <f t="shared" si="1"/>
        <v>0.97664015904572565</v>
      </c>
    </row>
    <row r="8" spans="1:11" x14ac:dyDescent="0.3">
      <c r="A8" s="2" t="s">
        <v>7</v>
      </c>
      <c r="B8" s="2">
        <v>9936</v>
      </c>
      <c r="C8" s="2" t="s">
        <v>19</v>
      </c>
      <c r="D8" s="2">
        <f>9008/2</f>
        <v>4504</v>
      </c>
      <c r="E8" s="2">
        <v>512</v>
      </c>
      <c r="F8" s="4">
        <f t="shared" si="0"/>
        <v>0.98667850799289525</v>
      </c>
      <c r="G8" s="2">
        <v>4444</v>
      </c>
      <c r="H8" s="2">
        <v>4444</v>
      </c>
      <c r="I8" s="2">
        <v>4444</v>
      </c>
      <c r="J8" s="8">
        <f t="shared" si="1"/>
        <v>0.98667850799289525</v>
      </c>
    </row>
    <row r="9" spans="1:11" x14ac:dyDescent="0.3">
      <c r="A9" s="2" t="s">
        <v>8</v>
      </c>
      <c r="B9" s="2">
        <v>7678</v>
      </c>
      <c r="C9" s="2" t="s">
        <v>21</v>
      </c>
      <c r="D9" s="2">
        <f>2934/2</f>
        <v>1467</v>
      </c>
      <c r="E9" s="2">
        <v>1681</v>
      </c>
      <c r="F9" s="4">
        <f t="shared" si="0"/>
        <v>0.8302658486707567</v>
      </c>
      <c r="G9" s="2">
        <v>1218</v>
      </c>
      <c r="H9" s="2">
        <v>1218</v>
      </c>
      <c r="I9" s="2">
        <v>1217</v>
      </c>
      <c r="J9" s="8">
        <f t="shared" si="1"/>
        <v>0.82958418541240631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J15" sqref="J15"/>
    </sheetView>
  </sheetViews>
  <sheetFormatPr defaultColWidth="9.109375" defaultRowHeight="15.6" x14ac:dyDescent="0.3"/>
  <cols>
    <col min="1" max="1" width="14.33203125" style="2" customWidth="1"/>
    <col min="2" max="2" width="19.6640625" style="2" customWidth="1"/>
    <col min="3" max="3" width="13.33203125" style="2" customWidth="1"/>
    <col min="4" max="4" width="13.109375" style="2" customWidth="1"/>
    <col min="5" max="5" width="14" style="2" customWidth="1"/>
    <col min="6" max="6" width="14.6640625" style="4" customWidth="1"/>
    <col min="7" max="7" width="21" style="2" customWidth="1"/>
    <col min="8" max="8" width="15.44140625" style="2" customWidth="1"/>
    <col min="9" max="9" width="27.5546875" style="2" customWidth="1"/>
    <col min="10" max="10" width="20" style="8" customWidth="1"/>
    <col min="11" max="11" width="24.6640625" style="5" customWidth="1"/>
    <col min="12" max="16384" width="9.109375" style="2"/>
  </cols>
  <sheetData>
    <row r="1" spans="1:12" x14ac:dyDescent="0.3">
      <c r="A1" s="2" t="s">
        <v>0</v>
      </c>
      <c r="B1" s="2" t="s">
        <v>13</v>
      </c>
      <c r="C1" s="2" t="s">
        <v>14</v>
      </c>
      <c r="D1" s="2" t="s">
        <v>9</v>
      </c>
      <c r="E1" s="2" t="s">
        <v>11</v>
      </c>
      <c r="F1" s="4" t="s">
        <v>10</v>
      </c>
      <c r="G1" s="2" t="s">
        <v>22</v>
      </c>
      <c r="H1" s="2" t="s">
        <v>12</v>
      </c>
      <c r="I1" s="2" t="s">
        <v>38</v>
      </c>
      <c r="J1" s="4" t="s">
        <v>26</v>
      </c>
      <c r="K1" s="5" t="s">
        <v>25</v>
      </c>
    </row>
    <row r="2" spans="1:12" x14ac:dyDescent="0.3">
      <c r="A2" s="2" t="s">
        <v>1</v>
      </c>
      <c r="B2" s="2">
        <v>13139</v>
      </c>
      <c r="C2" s="2" t="s">
        <v>15</v>
      </c>
      <c r="D2" s="2">
        <f>'wired-and'!D2+'wired-or'!D2+dominant!D2</f>
        <v>376768</v>
      </c>
      <c r="E2" s="2">
        <v>1335</v>
      </c>
      <c r="F2" s="4">
        <f>G2/D2</f>
        <v>0.24511901223033802</v>
      </c>
      <c r="G2" s="2">
        <f>'wired-and'!G2+'wired-or'!G2+dominant!G2</f>
        <v>92353</v>
      </c>
      <c r="H2" s="2">
        <f>'wired-and'!H2+'wired-or'!H2+dominant!H2</f>
        <v>92353</v>
      </c>
      <c r="J2" s="8">
        <f>I2/D2</f>
        <v>0</v>
      </c>
      <c r="L2" s="2">
        <f>D2/4</f>
        <v>94192</v>
      </c>
    </row>
    <row r="3" spans="1:12" x14ac:dyDescent="0.3">
      <c r="A3" s="2" t="s">
        <v>3</v>
      </c>
      <c r="B3" s="2">
        <v>14425</v>
      </c>
      <c r="C3" s="2" t="s">
        <v>16</v>
      </c>
      <c r="D3" s="2">
        <f>'wired-and'!D3+'wired-or'!D3+dominant!D3</f>
        <v>331076</v>
      </c>
      <c r="E3" s="2">
        <v>1246</v>
      </c>
      <c r="F3" s="4">
        <f t="shared" ref="F3:F9" si="0">G3/D3</f>
        <v>0</v>
      </c>
      <c r="G3" s="2">
        <f>'wired-and'!G3+'wired-or'!G3+dominant!G3</f>
        <v>0</v>
      </c>
      <c r="H3" s="2">
        <f>'wired-and'!H3+'wired-or'!H3+dominant!H3</f>
        <v>0</v>
      </c>
      <c r="J3" s="8">
        <f t="shared" ref="J3:J9" si="1">I3/D3</f>
        <v>0</v>
      </c>
      <c r="L3" s="2">
        <f t="shared" ref="L3:L9" si="2">D3/4</f>
        <v>82769</v>
      </c>
    </row>
    <row r="4" spans="1:12" x14ac:dyDescent="0.3">
      <c r="A4" s="2" t="s">
        <v>2</v>
      </c>
      <c r="B4" s="2">
        <v>14425</v>
      </c>
      <c r="C4" s="2" t="s">
        <v>17</v>
      </c>
      <c r="D4" s="2">
        <f>'wired-and'!D4+'wired-or'!D4+dominant!D4</f>
        <v>340956</v>
      </c>
      <c r="E4" s="2">
        <v>1155</v>
      </c>
      <c r="F4" s="4">
        <f t="shared" si="0"/>
        <v>0</v>
      </c>
      <c r="G4" s="2">
        <f>'wired-and'!G4+'wired-or'!G4+dominant!G4</f>
        <v>0</v>
      </c>
      <c r="H4" s="2">
        <f>'wired-and'!H4+'wired-or'!H4+dominant!H4</f>
        <v>0</v>
      </c>
      <c r="J4" s="8">
        <f t="shared" si="1"/>
        <v>0</v>
      </c>
      <c r="L4" s="2">
        <f t="shared" si="2"/>
        <v>85239</v>
      </c>
    </row>
    <row r="5" spans="1:12" x14ac:dyDescent="0.3">
      <c r="A5" s="2" t="s">
        <v>4</v>
      </c>
      <c r="B5" s="2">
        <v>23718</v>
      </c>
      <c r="C5" s="2" t="s">
        <v>18</v>
      </c>
      <c r="D5" s="2">
        <f>'wired-and'!D5+'wired-or'!D5+dominant!D5</f>
        <v>1006728</v>
      </c>
      <c r="E5" s="2">
        <v>432</v>
      </c>
      <c r="F5" s="4">
        <f t="shared" si="0"/>
        <v>0</v>
      </c>
      <c r="G5" s="2">
        <f>'wired-and'!G5+'wired-or'!G5+dominant!G5</f>
        <v>0</v>
      </c>
      <c r="H5" s="2">
        <f>'wired-and'!H5+'wired-or'!H5+dominant!H5</f>
        <v>0</v>
      </c>
      <c r="J5" s="8">
        <f t="shared" si="1"/>
        <v>0</v>
      </c>
      <c r="L5" s="2">
        <f t="shared" si="2"/>
        <v>251682</v>
      </c>
    </row>
    <row r="6" spans="1:12" x14ac:dyDescent="0.3">
      <c r="A6" s="2" t="s">
        <v>5</v>
      </c>
      <c r="B6" s="2">
        <v>9519</v>
      </c>
      <c r="C6" s="2" t="s">
        <v>19</v>
      </c>
      <c r="D6" s="2">
        <f>'wired-and'!D6+'wired-or'!D6+dominant!D6</f>
        <v>78196</v>
      </c>
      <c r="E6" s="2">
        <v>512</v>
      </c>
      <c r="F6" s="4">
        <f t="shared" si="0"/>
        <v>0.91135096424369533</v>
      </c>
      <c r="G6" s="2">
        <f>'wired-and'!G6+'wired-or'!G6+dominant!G6</f>
        <v>71264</v>
      </c>
      <c r="H6" s="2">
        <f>'wired-and'!H6+'wired-or'!H6+dominant!H6</f>
        <v>71264</v>
      </c>
      <c r="I6" s="2">
        <v>62392</v>
      </c>
      <c r="J6" s="8">
        <f t="shared" si="1"/>
        <v>0.79789247531843066</v>
      </c>
      <c r="L6" s="2">
        <f t="shared" si="2"/>
        <v>19549</v>
      </c>
    </row>
    <row r="7" spans="1:12" x14ac:dyDescent="0.3">
      <c r="A7" s="2" t="s">
        <v>6</v>
      </c>
      <c r="B7" s="2">
        <v>10216</v>
      </c>
      <c r="C7" s="2" t="s">
        <v>20</v>
      </c>
      <c r="D7" s="2">
        <f>'wired-and'!D7+'wired-or'!D7+dominant!D7</f>
        <v>94664</v>
      </c>
      <c r="E7" s="2">
        <v>512</v>
      </c>
      <c r="F7" s="4">
        <f t="shared" si="0"/>
        <v>0.92538874334488297</v>
      </c>
      <c r="G7" s="2">
        <f>'wired-and'!G7+'wired-or'!G7+dominant!G7</f>
        <v>87601</v>
      </c>
      <c r="H7" s="2">
        <f>'wired-and'!H7+'wired-or'!H7+dominant!H7</f>
        <v>87601</v>
      </c>
      <c r="I7" s="2">
        <v>76766</v>
      </c>
      <c r="J7" s="8">
        <f t="shared" si="1"/>
        <v>0.8109312938392631</v>
      </c>
      <c r="L7" s="2">
        <f t="shared" si="2"/>
        <v>23666</v>
      </c>
    </row>
    <row r="8" spans="1:12" x14ac:dyDescent="0.3">
      <c r="A8" s="2" t="s">
        <v>7</v>
      </c>
      <c r="B8" s="2">
        <v>9936</v>
      </c>
      <c r="C8" s="2" t="s">
        <v>19</v>
      </c>
      <c r="D8" s="2">
        <f>'wired-and'!D8+'wired-or'!D8+dominant!D8</f>
        <v>98300</v>
      </c>
      <c r="E8" s="2">
        <v>512</v>
      </c>
      <c r="F8" s="4">
        <f t="shared" si="0"/>
        <v>0.66844354018311292</v>
      </c>
      <c r="G8" s="2">
        <f>'wired-and'!G8+'wired-or'!G8+dominant!G8</f>
        <v>65708</v>
      </c>
      <c r="H8" s="2">
        <f>'wired-and'!H8+'wired-or'!H8+dominant!H8</f>
        <v>65708</v>
      </c>
      <c r="I8" s="2">
        <v>55243</v>
      </c>
      <c r="J8" s="8">
        <f t="shared" si="1"/>
        <v>0.56198372329603252</v>
      </c>
      <c r="L8" s="2">
        <f t="shared" si="2"/>
        <v>24575</v>
      </c>
    </row>
    <row r="9" spans="1:12" x14ac:dyDescent="0.3">
      <c r="A9" s="2" t="s">
        <v>8</v>
      </c>
      <c r="B9" s="2">
        <v>7678</v>
      </c>
      <c r="C9" s="2" t="s">
        <v>21</v>
      </c>
      <c r="D9" s="2">
        <f>'wired-and'!D9+'wired-or'!D9+dominant!D9</f>
        <v>269940</v>
      </c>
      <c r="E9" s="2">
        <v>1681</v>
      </c>
      <c r="F9" s="4">
        <f t="shared" si="0"/>
        <v>0.86391790768318888</v>
      </c>
      <c r="G9" s="2">
        <f>'wired-and'!G9+'wired-or'!G9+dominant!G9</f>
        <v>233206</v>
      </c>
      <c r="H9" s="2">
        <f>'wired-and'!H9+'wired-or'!H9+dominant!H9</f>
        <v>233206</v>
      </c>
      <c r="I9" s="2">
        <v>183460</v>
      </c>
      <c r="J9" s="8">
        <f t="shared" si="1"/>
        <v>0.67963251092835442</v>
      </c>
      <c r="L9" s="2">
        <f t="shared" si="2"/>
        <v>67485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23" sqref="H23"/>
    </sheetView>
  </sheetViews>
  <sheetFormatPr defaultColWidth="9.109375" defaultRowHeight="15.6" x14ac:dyDescent="0.3"/>
  <cols>
    <col min="1" max="1" width="14.33203125" style="2" customWidth="1"/>
    <col min="2" max="2" width="19.6640625" style="2" customWidth="1"/>
    <col min="3" max="3" width="13.33203125" style="2" customWidth="1"/>
    <col min="4" max="4" width="13.109375" style="2" customWidth="1"/>
    <col min="5" max="5" width="14" style="2" customWidth="1"/>
    <col min="6" max="6" width="14.6640625" style="4" customWidth="1"/>
    <col min="7" max="7" width="21" style="2" customWidth="1"/>
    <col min="8" max="8" width="15.44140625" style="2" customWidth="1"/>
    <col min="9" max="9" width="27.5546875" style="2" customWidth="1"/>
    <col min="10" max="10" width="20" style="8" customWidth="1"/>
    <col min="11" max="11" width="24.6640625" style="5" customWidth="1"/>
    <col min="12" max="16384" width="9.109375" style="2"/>
  </cols>
  <sheetData>
    <row r="1" spans="1:11" x14ac:dyDescent="0.3">
      <c r="A1" s="2" t="s">
        <v>0</v>
      </c>
      <c r="B1" s="2" t="s">
        <v>13</v>
      </c>
      <c r="C1" s="2" t="s">
        <v>14</v>
      </c>
      <c r="D1" s="2" t="s">
        <v>9</v>
      </c>
      <c r="E1" s="2" t="s">
        <v>11</v>
      </c>
      <c r="F1" s="4" t="s">
        <v>10</v>
      </c>
      <c r="G1" s="2" t="s">
        <v>22</v>
      </c>
      <c r="H1" s="2" t="s">
        <v>12</v>
      </c>
      <c r="I1" s="2" t="s">
        <v>38</v>
      </c>
      <c r="J1" s="4" t="s">
        <v>26</v>
      </c>
      <c r="K1" s="5" t="s">
        <v>25</v>
      </c>
    </row>
    <row r="2" spans="1:11" x14ac:dyDescent="0.3">
      <c r="A2" s="2" t="s">
        <v>1</v>
      </c>
      <c r="B2" s="2">
        <v>13139</v>
      </c>
      <c r="C2" s="2" t="s">
        <v>15</v>
      </c>
      <c r="D2" s="2">
        <f>'open-stem'!D2+'open-branch'!D2</f>
        <v>20998</v>
      </c>
      <c r="E2" s="2">
        <v>1335</v>
      </c>
      <c r="F2" s="4">
        <f>G2/D2</f>
        <v>0.88865606248214113</v>
      </c>
      <c r="G2" s="2">
        <f>'open-stem'!G2+'open-branch'!G2</f>
        <v>18660</v>
      </c>
      <c r="H2" s="2">
        <f>'open-stem'!H2+'open-branch'!G2</f>
        <v>18660</v>
      </c>
      <c r="I2" s="2">
        <v>11937</v>
      </c>
      <c r="J2" s="8">
        <f>I2/D2</f>
        <v>0.56848271263929895</v>
      </c>
    </row>
    <row r="3" spans="1:11" x14ac:dyDescent="0.3">
      <c r="A3" s="2" t="s">
        <v>3</v>
      </c>
      <c r="B3" s="2">
        <v>14425</v>
      </c>
      <c r="C3" s="2" t="s">
        <v>16</v>
      </c>
      <c r="D3" s="2">
        <f>'open-stem'!D3+'open-branch'!D3</f>
        <v>22503</v>
      </c>
      <c r="E3" s="2">
        <v>1246</v>
      </c>
      <c r="F3" s="4">
        <f t="shared" ref="F3:F9" si="0">G3/D3</f>
        <v>0.89201439808025595</v>
      </c>
      <c r="G3" s="2">
        <f>'open-stem'!G3+'open-branch'!G3</f>
        <v>20073</v>
      </c>
      <c r="H3" s="2">
        <f>'open-stem'!H3+'open-branch'!G3</f>
        <v>20073</v>
      </c>
      <c r="I3" s="2">
        <v>13313</v>
      </c>
      <c r="J3" s="8">
        <f t="shared" ref="J3:J9" si="1">I3/D3</f>
        <v>0.59161000755454829</v>
      </c>
    </row>
    <row r="4" spans="1:11" x14ac:dyDescent="0.3">
      <c r="A4" s="2" t="s">
        <v>2</v>
      </c>
      <c r="B4" s="2">
        <v>14425</v>
      </c>
      <c r="C4" s="2" t="s">
        <v>17</v>
      </c>
      <c r="D4" s="2">
        <f>'open-stem'!D4+'open-branch'!D4</f>
        <v>22564</v>
      </c>
      <c r="E4" s="2">
        <v>1155</v>
      </c>
      <c r="F4" s="4">
        <f t="shared" si="0"/>
        <v>0.63929267860308459</v>
      </c>
      <c r="G4" s="2">
        <f>'open-stem'!G4+'open-branch'!G4</f>
        <v>14425</v>
      </c>
      <c r="H4" s="2">
        <f>'open-stem'!H4+'open-branch'!G4</f>
        <v>14425</v>
      </c>
      <c r="J4" s="8">
        <f t="shared" si="1"/>
        <v>0</v>
      </c>
    </row>
    <row r="5" spans="1:11" x14ac:dyDescent="0.3">
      <c r="A5" s="2" t="s">
        <v>4</v>
      </c>
      <c r="B5" s="2">
        <v>23718</v>
      </c>
      <c r="C5" s="2" t="s">
        <v>18</v>
      </c>
      <c r="D5" s="2">
        <f>'open-stem'!D5+'open-branch'!D5</f>
        <v>42272</v>
      </c>
      <c r="E5" s="2">
        <v>432</v>
      </c>
      <c r="F5" s="4">
        <f t="shared" si="0"/>
        <v>0</v>
      </c>
      <c r="G5" s="2">
        <f>'open-stem'!G5+'open-branch'!G5</f>
        <v>0</v>
      </c>
      <c r="H5" s="2">
        <f>'open-stem'!H5+'open-branch'!G5</f>
        <v>0</v>
      </c>
      <c r="J5" s="8">
        <f t="shared" si="1"/>
        <v>0</v>
      </c>
    </row>
    <row r="6" spans="1:11" x14ac:dyDescent="0.3">
      <c r="A6" s="2" t="s">
        <v>5</v>
      </c>
      <c r="B6" s="2">
        <v>9519</v>
      </c>
      <c r="C6" s="2" t="s">
        <v>19</v>
      </c>
      <c r="D6" s="2">
        <f>'open-stem'!D6+'open-branch'!D6</f>
        <v>12998</v>
      </c>
      <c r="E6" s="2">
        <v>512</v>
      </c>
      <c r="F6" s="4">
        <f t="shared" si="0"/>
        <v>0.99092168025850136</v>
      </c>
      <c r="G6" s="2">
        <f>'open-stem'!G6+'open-branch'!G6</f>
        <v>12880</v>
      </c>
      <c r="H6" s="2">
        <f>'open-stem'!H6+'open-branch'!G6</f>
        <v>12880</v>
      </c>
      <c r="I6" s="2">
        <v>7943</v>
      </c>
      <c r="J6" s="8">
        <f t="shared" si="1"/>
        <v>0.61109401446376366</v>
      </c>
    </row>
    <row r="7" spans="1:11" x14ac:dyDescent="0.3">
      <c r="A7" s="2" t="s">
        <v>6</v>
      </c>
      <c r="B7" s="2">
        <v>10216</v>
      </c>
      <c r="C7" s="2" t="s">
        <v>20</v>
      </c>
      <c r="D7" s="2">
        <f>'open-stem'!D7+'open-branch'!D7</f>
        <v>14303</v>
      </c>
      <c r="E7" s="2">
        <v>512</v>
      </c>
      <c r="F7" s="4">
        <f t="shared" si="0"/>
        <v>0.99119065930224426</v>
      </c>
      <c r="G7" s="2">
        <f>'open-stem'!G7+'open-branch'!G7</f>
        <v>14177</v>
      </c>
      <c r="H7" s="2">
        <f>'open-stem'!H7+'open-branch'!G7</f>
        <v>14177</v>
      </c>
      <c r="I7" s="2">
        <v>8668</v>
      </c>
      <c r="J7" s="8">
        <f t="shared" si="1"/>
        <v>0.6060267076837027</v>
      </c>
    </row>
    <row r="8" spans="1:11" x14ac:dyDescent="0.3">
      <c r="A8" s="2" t="s">
        <v>7</v>
      </c>
      <c r="B8" s="2">
        <v>9936</v>
      </c>
      <c r="C8" s="2" t="s">
        <v>19</v>
      </c>
      <c r="D8" s="2">
        <f>'open-stem'!D8+'open-branch'!D8</f>
        <v>14500</v>
      </c>
      <c r="E8" s="2">
        <v>512</v>
      </c>
      <c r="F8" s="4">
        <f t="shared" si="0"/>
        <v>0.99172413793103453</v>
      </c>
      <c r="G8" s="2">
        <f>'open-stem'!G8+'open-branch'!G8</f>
        <v>14380</v>
      </c>
      <c r="H8" s="2">
        <f>'open-stem'!H8+'open-branch'!G8</f>
        <v>14380</v>
      </c>
      <c r="I8" s="2">
        <v>8902</v>
      </c>
      <c r="J8" s="8">
        <f t="shared" si="1"/>
        <v>0.61393103448275865</v>
      </c>
    </row>
    <row r="9" spans="1:11" x14ac:dyDescent="0.3">
      <c r="A9" s="2" t="s">
        <v>8</v>
      </c>
      <c r="B9" s="2">
        <v>7678</v>
      </c>
      <c r="C9" s="2" t="s">
        <v>21</v>
      </c>
      <c r="D9" s="2">
        <f>'open-stem'!D9+'open-branch'!D9</f>
        <v>13932</v>
      </c>
      <c r="E9" s="2">
        <v>1681</v>
      </c>
      <c r="F9" s="4">
        <f t="shared" si="0"/>
        <v>0.63853000287108819</v>
      </c>
      <c r="G9" s="2">
        <f>'open-stem'!G9+'open-branch'!G9</f>
        <v>8896</v>
      </c>
      <c r="H9" s="2">
        <f>'open-stem'!H9+'open-branch'!G9</f>
        <v>8896</v>
      </c>
      <c r="I9" s="2">
        <v>7100</v>
      </c>
      <c r="J9" s="8">
        <f t="shared" si="1"/>
        <v>0.50961814527705995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ssl</vt:lpstr>
      <vt:lpstr>ip</vt:lpstr>
      <vt:lpstr>wired-and</vt:lpstr>
      <vt:lpstr>wired-or</vt:lpstr>
      <vt:lpstr>dominant</vt:lpstr>
      <vt:lpstr>open-stem</vt:lpstr>
      <vt:lpstr>open-branch</vt:lpstr>
      <vt:lpstr>combined_bridge</vt:lpstr>
      <vt:lpstr>combined_open</vt:lpstr>
      <vt:lpstr>FC Analysis</vt:lpstr>
      <vt:lpstr>Combined DC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Antonivs</dc:creator>
  <cp:lastModifiedBy>Antonivs</cp:lastModifiedBy>
  <dcterms:created xsi:type="dcterms:W3CDTF">2018-01-16T22:58:10Z</dcterms:created>
  <dcterms:modified xsi:type="dcterms:W3CDTF">2018-01-30T22:25:51Z</dcterms:modified>
</cp:coreProperties>
</file>