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ate1904="1" showInkAnnotation="0" autoCompressPictures="0"/>
  <mc:AlternateContent xmlns:mc="http://schemas.openxmlformats.org/markup-compatibility/2006">
    <mc:Choice Requires="x15">
      <x15ac:absPath xmlns:x15ac="http://schemas.microsoft.com/office/spreadsheetml/2010/11/ac" url="D:\1_disty work D322\@ TA2022\1_Pengukuran KKSS_D32\@IKAMI\"/>
    </mc:Choice>
  </mc:AlternateContent>
  <xr:revisionPtr revIDLastSave="0" documentId="13_ncr:1_{46CEAD4F-6D7F-4847-A57E-7B17A3023732}" xr6:coauthVersionLast="47" xr6:coauthVersionMax="47" xr10:uidLastSave="{00000000-0000-0000-0000-000000000000}"/>
  <bookViews>
    <workbookView xWindow="-108" yWindow="-108" windowWidth="23256" windowHeight="12576" tabRatio="945" activeTab="1" xr2:uid="{00000000-000D-0000-FFFF-FFFF00000000}"/>
  </bookViews>
  <sheets>
    <sheet name="Pengantar" sheetId="1" r:id="rId1"/>
    <sheet name="Identitas Responden" sheetId="2" r:id="rId2"/>
    <sheet name="I Kategori SE" sheetId="3" r:id="rId3"/>
    <sheet name="II Tata Kelola" sheetId="4" r:id="rId4"/>
    <sheet name="III Risiko" sheetId="5" r:id="rId5"/>
    <sheet name="IV Kerangka Kerja" sheetId="6" r:id="rId6"/>
    <sheet name="V Pengelolaan Aset" sheetId="7" r:id="rId7"/>
    <sheet name="VI Teknologi" sheetId="8" r:id="rId8"/>
    <sheet name="VII Suplemen" sheetId="12" r:id="rId9"/>
    <sheet name="Dashboard" sheetId="9" r:id="rId10"/>
    <sheet name="Referensi" sheetId="10" state="hidden" r:id="rId11"/>
    <sheet name="Catatan Perubahan" sheetId="11" r:id="rId12"/>
  </sheets>
  <definedNames>
    <definedName name="KategoriSE">Referensi!$D$11:$E$13</definedName>
    <definedName name="PeranTIK">Referensi!$B$11:$B$15</definedName>
    <definedName name="_xlnm.Print_Area" localSheetId="9">Dashboard!$A$1:$AK$39</definedName>
    <definedName name="_xlnm.Print_Area" localSheetId="2">'I Kategori SE'!$A$1:$D$15</definedName>
    <definedName name="_xlnm.Print_Area" localSheetId="1">'Identitas Responden'!$A$1:$D$21</definedName>
    <definedName name="_xlnm.Print_Area" localSheetId="3">'II Tata Kelola'!$A$1:$E$27</definedName>
    <definedName name="_xlnm.Print_Area" localSheetId="4">'III Risiko'!$A$1:$E$21</definedName>
    <definedName name="_xlnm.Print_Area" localSheetId="5">'IV Kerangka Kerja'!$A$1:$E$35</definedName>
    <definedName name="_xlnm.Print_Area" localSheetId="6">'V Pengelolaan Aset'!$A$1:$E$45</definedName>
    <definedName name="_xlnm.Print_Area" localSheetId="7">'VI Teknologi'!$A$1:$E$31</definedName>
    <definedName name="Skor">Referensi!$C$4:$C$7</definedName>
    <definedName name="SkorAkhir">Referensi!$E$4:$G$7</definedName>
    <definedName name="SkorPeranTIK">Referensi!$D$11:$E$13</definedName>
    <definedName name="StatusPenerapan">Referensi!$B$4:$B$7</definedName>
    <definedName name="StatusPenerapanHasil">Referensi!$D$4:$D$7</definedName>
    <definedName name="TingkatKematangan">Referensi!$E$3:$G$3</definedName>
    <definedName name="TingkatKematangan2">Referensi!$B$19:$B$27</definedName>
    <definedName name="TKM">Referensi!$C$19:$C$27</definedName>
    <definedName name="Z_58EB2181_60CA_D84F_9BE3_6D30A91A6F68_.wvu.PrintArea" localSheetId="9" hidden="1">Dashboard!$A$1:$AK$39</definedName>
    <definedName name="Z_58EB2181_60CA_D84F_9BE3_6D30A91A6F68_.wvu.PrintArea" localSheetId="2" hidden="1">'I Kategori SE'!$A$1:$D$15</definedName>
    <definedName name="Z_58EB2181_60CA_D84F_9BE3_6D30A91A6F68_.wvu.PrintArea" localSheetId="1" hidden="1">'Identitas Responden'!$A$1:$D$21</definedName>
    <definedName name="Z_58EB2181_60CA_D84F_9BE3_6D30A91A6F68_.wvu.PrintArea" localSheetId="3" hidden="1">'II Tata Kelola'!$A$1:$E$27</definedName>
    <definedName name="Z_58EB2181_60CA_D84F_9BE3_6D30A91A6F68_.wvu.PrintArea" localSheetId="4" hidden="1">'III Risiko'!$A$1:$E$21</definedName>
    <definedName name="Z_58EB2181_60CA_D84F_9BE3_6D30A91A6F68_.wvu.PrintArea" localSheetId="5" hidden="1">'IV Kerangka Kerja'!$A$1:$E$35</definedName>
    <definedName name="Z_58EB2181_60CA_D84F_9BE3_6D30A91A6F68_.wvu.PrintArea" localSheetId="6" hidden="1">'V Pengelolaan Aset'!$A$1:$E$45</definedName>
    <definedName name="Z_58EB2181_60CA_D84F_9BE3_6D30A91A6F68_.wvu.PrintArea" localSheetId="7" hidden="1">'VI Teknologi'!$A$1:$E$31</definedName>
    <definedName name="Z_E2B8E4FB_7E5E_E744_9E59_F9CB9CC15E64_.wvu.PrintArea" localSheetId="9" hidden="1">Dashboard!$A$1:$AK$39</definedName>
    <definedName name="Z_E2B8E4FB_7E5E_E744_9E59_F9CB9CC15E64_.wvu.PrintArea" localSheetId="2" hidden="1">'I Kategori SE'!$A$1:$D$15</definedName>
    <definedName name="Z_E2B8E4FB_7E5E_E744_9E59_F9CB9CC15E64_.wvu.PrintArea" localSheetId="1" hidden="1">'Identitas Responden'!$A$1:$D$21</definedName>
    <definedName name="Z_E2B8E4FB_7E5E_E744_9E59_F9CB9CC15E64_.wvu.PrintArea" localSheetId="3" hidden="1">'II Tata Kelola'!$A$1:$E$27</definedName>
    <definedName name="Z_E2B8E4FB_7E5E_E744_9E59_F9CB9CC15E64_.wvu.PrintArea" localSheetId="4" hidden="1">'III Risiko'!$A$1:$E$21</definedName>
    <definedName name="Z_E2B8E4FB_7E5E_E744_9E59_F9CB9CC15E64_.wvu.PrintArea" localSheetId="5" hidden="1">'IV Kerangka Kerja'!$A$1:$E$35</definedName>
    <definedName name="Z_E2B8E4FB_7E5E_E744_9E59_F9CB9CC15E64_.wvu.PrintArea" localSheetId="6" hidden="1">'V Pengelolaan Aset'!$A$1:$E$45</definedName>
    <definedName name="Z_E2B8E4FB_7E5E_E744_9E59_F9CB9CC15E64_.wvu.PrintArea" localSheetId="7" hidden="1">'VI Teknologi'!$A$1:$E$31</definedName>
  </definedNames>
  <calcPr calcId="181029"/>
  <customWorkbookViews>
    <customWorkbookView name="Jester Harlequin - Personal View" guid="{58EB2181-60CA-D84F-9BE3-6D30A91A6F68}" mergeInterval="0" personalView="1" yWindow="54" windowWidth="1280" windowHeight="682" tabRatio="945" activeSheetId="13" showStatusbar="0"/>
    <customWorkbookView name="Haryatno Sabarman - Personal View" guid="{E2B8E4FB-7E5E-E744-9E59-F9CB9CC15E64}" mergeInterval="0" personalView="1" yWindow="71" windowWidth="1280" windowHeight="703" tabRatio="945" activeSheetId="3" showStatusbar="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4" l="1"/>
  <c r="F16" i="4"/>
  <c r="F17" i="4"/>
  <c r="F18" i="4"/>
  <c r="E40" i="4" s="1"/>
  <c r="F19" i="4"/>
  <c r="F10" i="4"/>
  <c r="F11" i="4"/>
  <c r="F12" i="4"/>
  <c r="F13" i="4"/>
  <c r="F20" i="4"/>
  <c r="F5" i="4"/>
  <c r="F6" i="4"/>
  <c r="F7" i="4"/>
  <c r="F8" i="4"/>
  <c r="F9" i="4"/>
  <c r="F14" i="4"/>
  <c r="E29" i="4"/>
  <c r="E32" i="4" s="1"/>
  <c r="E30" i="4"/>
  <c r="F5" i="5"/>
  <c r="F6" i="5"/>
  <c r="F7" i="5"/>
  <c r="F8" i="5"/>
  <c r="F9" i="5"/>
  <c r="F10" i="5"/>
  <c r="F11" i="5"/>
  <c r="F12" i="5"/>
  <c r="F13" i="5"/>
  <c r="F14" i="5"/>
  <c r="F15" i="5"/>
  <c r="F16" i="5"/>
  <c r="F17" i="5"/>
  <c r="F18" i="5"/>
  <c r="E23" i="5"/>
  <c r="E26" i="5" s="1"/>
  <c r="E24" i="5"/>
  <c r="F5" i="6"/>
  <c r="F6" i="6"/>
  <c r="F7" i="6"/>
  <c r="F8" i="6"/>
  <c r="F9" i="6"/>
  <c r="F10" i="6"/>
  <c r="F11" i="6"/>
  <c r="F14" i="6"/>
  <c r="F15" i="6"/>
  <c r="F16" i="6"/>
  <c r="F25" i="6"/>
  <c r="F26" i="6"/>
  <c r="F27" i="6"/>
  <c r="F28" i="6"/>
  <c r="F29" i="6"/>
  <c r="F30" i="6"/>
  <c r="F31" i="6"/>
  <c r="F12" i="6"/>
  <c r="F13" i="6"/>
  <c r="F17" i="6"/>
  <c r="F18" i="6"/>
  <c r="F19" i="6"/>
  <c r="E37" i="6"/>
  <c r="E40" i="6" s="1"/>
  <c r="E38" i="6"/>
  <c r="AP15" i="9" s="1"/>
  <c r="F5" i="7"/>
  <c r="F6" i="7"/>
  <c r="F7" i="7"/>
  <c r="F8" i="7"/>
  <c r="F9" i="7"/>
  <c r="F10" i="7"/>
  <c r="F11" i="7"/>
  <c r="F13" i="7"/>
  <c r="F14" i="7"/>
  <c r="F15" i="7"/>
  <c r="F16" i="7"/>
  <c r="F17" i="7"/>
  <c r="F18" i="7"/>
  <c r="F19" i="7"/>
  <c r="F20" i="7"/>
  <c r="F21" i="7"/>
  <c r="F22" i="7"/>
  <c r="F23" i="7"/>
  <c r="F26" i="7"/>
  <c r="F25" i="7"/>
  <c r="F28" i="7"/>
  <c r="F34" i="7"/>
  <c r="E51" i="7" s="1"/>
  <c r="F35" i="7"/>
  <c r="F36" i="7"/>
  <c r="F37" i="7"/>
  <c r="F38" i="7"/>
  <c r="F39" i="7"/>
  <c r="F40" i="7"/>
  <c r="F41" i="7"/>
  <c r="F42" i="7"/>
  <c r="F43" i="7"/>
  <c r="F24" i="7"/>
  <c r="F27" i="7"/>
  <c r="E47" i="7"/>
  <c r="AQ14" i="9" s="1"/>
  <c r="E48" i="7"/>
  <c r="AQ15" i="9" s="1"/>
  <c r="F29" i="7"/>
  <c r="F5" i="8"/>
  <c r="F6" i="8"/>
  <c r="F7" i="8"/>
  <c r="F8" i="8"/>
  <c r="F9" i="8"/>
  <c r="F10" i="8"/>
  <c r="F11" i="8"/>
  <c r="F12" i="8"/>
  <c r="F13" i="8"/>
  <c r="F14" i="8"/>
  <c r="F15" i="8"/>
  <c r="F18" i="8"/>
  <c r="F19" i="8"/>
  <c r="F22" i="8"/>
  <c r="F23" i="8"/>
  <c r="F24" i="8"/>
  <c r="F26" i="8"/>
  <c r="F16" i="8"/>
  <c r="F17" i="8"/>
  <c r="F20" i="8"/>
  <c r="F21" i="8"/>
  <c r="F25" i="8"/>
  <c r="F27" i="8"/>
  <c r="F28" i="8"/>
  <c r="E33" i="8"/>
  <c r="E34" i="8"/>
  <c r="F29" i="8"/>
  <c r="F51" i="12"/>
  <c r="F52" i="12"/>
  <c r="F53" i="12"/>
  <c r="F54" i="12"/>
  <c r="F55" i="12"/>
  <c r="F56" i="12"/>
  <c r="F57" i="12"/>
  <c r="F58" i="12"/>
  <c r="F59" i="12"/>
  <c r="F60" i="12"/>
  <c r="F61" i="12"/>
  <c r="F62" i="12"/>
  <c r="F63" i="12"/>
  <c r="F64" i="12"/>
  <c r="F65" i="12"/>
  <c r="F66" i="12"/>
  <c r="F40" i="12"/>
  <c r="F41" i="12"/>
  <c r="F42" i="12"/>
  <c r="F43" i="12"/>
  <c r="F44" i="12"/>
  <c r="F45" i="12"/>
  <c r="F46" i="12"/>
  <c r="F47" i="12"/>
  <c r="F48" i="12"/>
  <c r="F49" i="12"/>
  <c r="F9" i="12"/>
  <c r="F10" i="12"/>
  <c r="F19" i="12"/>
  <c r="F6" i="12"/>
  <c r="F7" i="12"/>
  <c r="F8" i="12"/>
  <c r="F11" i="12"/>
  <c r="F12" i="12"/>
  <c r="F14" i="12"/>
  <c r="F15" i="12"/>
  <c r="F16" i="12"/>
  <c r="F18" i="12"/>
  <c r="F20" i="12"/>
  <c r="F21" i="12"/>
  <c r="F22" i="12"/>
  <c r="F23" i="12"/>
  <c r="F24" i="12"/>
  <c r="F25" i="12"/>
  <c r="F27" i="12"/>
  <c r="F28" i="12"/>
  <c r="F30" i="12"/>
  <c r="F31" i="12"/>
  <c r="F33" i="12"/>
  <c r="F34" i="12"/>
  <c r="F36" i="12"/>
  <c r="F37" i="12"/>
  <c r="F38" i="12"/>
  <c r="F39" i="4"/>
  <c r="F44" i="4"/>
  <c r="E38" i="4"/>
  <c r="E37" i="4"/>
  <c r="F33" i="5"/>
  <c r="F38" i="5"/>
  <c r="F43" i="5"/>
  <c r="E32" i="5"/>
  <c r="E31" i="5"/>
  <c r="F47" i="6"/>
  <c r="F52" i="6"/>
  <c r="F57" i="6"/>
  <c r="E46" i="6"/>
  <c r="E45" i="6"/>
  <c r="F57" i="7"/>
  <c r="E56" i="7"/>
  <c r="E55" i="7"/>
  <c r="F43" i="8"/>
  <c r="F48" i="8"/>
  <c r="E42" i="8"/>
  <c r="E41" i="8"/>
  <c r="E5" i="3"/>
  <c r="E6" i="3"/>
  <c r="E7" i="3"/>
  <c r="E8" i="3"/>
  <c r="E9" i="3"/>
  <c r="E10" i="3"/>
  <c r="E11" i="3"/>
  <c r="E12" i="3"/>
  <c r="E13" i="3"/>
  <c r="E14" i="3"/>
  <c r="H54" i="7"/>
  <c r="AN14" i="9"/>
  <c r="AN19" i="9" s="1"/>
  <c r="AO14" i="9"/>
  <c r="AO19" i="9" s="1"/>
  <c r="AN15" i="9"/>
  <c r="AO15" i="9"/>
  <c r="AR15" i="9"/>
  <c r="E49" i="7"/>
  <c r="AQ16" i="9" s="1"/>
  <c r="E31" i="4"/>
  <c r="AN16" i="9" s="1"/>
  <c r="E25" i="5"/>
  <c r="AO16" i="9"/>
  <c r="E39" i="6"/>
  <c r="AP16" i="9" s="1"/>
  <c r="E35" i="8"/>
  <c r="AR16" i="9" s="1"/>
  <c r="E47" i="8"/>
  <c r="E46" i="8"/>
  <c r="H44" i="8"/>
  <c r="F62" i="7"/>
  <c r="E61" i="7"/>
  <c r="E60" i="7"/>
  <c r="E51" i="6"/>
  <c r="E50" i="6"/>
  <c r="H58" i="7"/>
  <c r="H48" i="6"/>
  <c r="H44" i="6"/>
  <c r="H40" i="8"/>
  <c r="E41" i="5"/>
  <c r="H30" i="5"/>
  <c r="H36" i="4"/>
  <c r="E42" i="5"/>
  <c r="H34" i="5"/>
  <c r="H40" i="4"/>
  <c r="E51" i="8"/>
  <c r="E43" i="4"/>
  <c r="E61" i="6"/>
  <c r="E60" i="6"/>
  <c r="E46" i="5"/>
  <c r="E37" i="5"/>
  <c r="E36" i="5"/>
  <c r="E42" i="4"/>
  <c r="E47" i="5"/>
  <c r="E47" i="4"/>
  <c r="F53" i="8"/>
  <c r="E52" i="8"/>
  <c r="E56" i="6"/>
  <c r="E55" i="6"/>
  <c r="E48" i="4"/>
  <c r="B18" i="9"/>
  <c r="B17" i="9"/>
  <c r="B16" i="9"/>
  <c r="B11" i="9"/>
  <c r="B4" i="9"/>
  <c r="AO20" i="9" l="1"/>
  <c r="AN20" i="9"/>
  <c r="AO21" i="9"/>
  <c r="AP14" i="9"/>
  <c r="E36" i="8"/>
  <c r="AO17" i="9"/>
  <c r="AO34" i="9"/>
  <c r="AT15" i="9"/>
  <c r="AU15" i="9" s="1"/>
  <c r="AS15" i="9"/>
  <c r="F50" i="12"/>
  <c r="P20" i="9" s="1"/>
  <c r="F4" i="12"/>
  <c r="P18" i="9" s="1"/>
  <c r="F39" i="12"/>
  <c r="P19" i="9" s="1"/>
  <c r="E44" i="8"/>
  <c r="E40" i="8"/>
  <c r="E45" i="8" s="1"/>
  <c r="E37" i="8"/>
  <c r="E38" i="8" s="1"/>
  <c r="F30" i="8" s="1"/>
  <c r="E49" i="8" s="1"/>
  <c r="E54" i="7"/>
  <c r="E57" i="7" s="1"/>
  <c r="AQ44" i="9" s="1"/>
  <c r="E44" i="6"/>
  <c r="E47" i="6" s="1"/>
  <c r="AP44" i="9" s="1"/>
  <c r="E41" i="6"/>
  <c r="E42" i="6" s="1"/>
  <c r="F23" i="6" s="1"/>
  <c r="E39" i="5"/>
  <c r="E34" i="5"/>
  <c r="E33" i="4"/>
  <c r="E34" i="4" s="1"/>
  <c r="E36" i="4"/>
  <c r="E41" i="4" s="1"/>
  <c r="E46" i="4" s="1"/>
  <c r="D15" i="3"/>
  <c r="AO36" i="9" s="1"/>
  <c r="AP17" i="9"/>
  <c r="AQ17" i="9"/>
  <c r="AQ34" i="9"/>
  <c r="AQ19" i="9"/>
  <c r="AQ20" i="9" s="1"/>
  <c r="AQ21" i="9" s="1"/>
  <c r="AN21" i="9"/>
  <c r="AS16" i="9"/>
  <c r="AN17" i="9"/>
  <c r="AT16" i="9"/>
  <c r="AU16" i="9" s="1"/>
  <c r="E49" i="6"/>
  <c r="AN34" i="9"/>
  <c r="E50" i="7"/>
  <c r="E30" i="5"/>
  <c r="E27" i="5"/>
  <c r="E28" i="5" s="1"/>
  <c r="AR14" i="9"/>
  <c r="AS14" i="9" s="1"/>
  <c r="AS17" i="9" s="1"/>
  <c r="AP34" i="9" l="1"/>
  <c r="AP19" i="9"/>
  <c r="AP20" i="9" s="1"/>
  <c r="AP21" i="9" s="1"/>
  <c r="E43" i="8"/>
  <c r="AR44" i="9" s="1"/>
  <c r="E31" i="8"/>
  <c r="P17" i="9" s="1"/>
  <c r="E59" i="7"/>
  <c r="AQ46" i="9" s="1"/>
  <c r="E52" i="7"/>
  <c r="F44" i="7" s="1"/>
  <c r="F22" i="6"/>
  <c r="F21" i="6"/>
  <c r="F20" i="6"/>
  <c r="F34" i="6"/>
  <c r="F33" i="6"/>
  <c r="F32" i="6"/>
  <c r="E44" i="4"/>
  <c r="AN47" i="9" s="1"/>
  <c r="AN46" i="9"/>
  <c r="E39" i="4"/>
  <c r="AN44" i="9" s="1"/>
  <c r="P3" i="9"/>
  <c r="D17" i="3"/>
  <c r="E33" i="5"/>
  <c r="AO44" i="9" s="1"/>
  <c r="E35" i="5"/>
  <c r="F24" i="4"/>
  <c r="F25" i="4"/>
  <c r="F26" i="4"/>
  <c r="F21" i="4"/>
  <c r="F22" i="4"/>
  <c r="F23" i="4"/>
  <c r="AR46" i="9"/>
  <c r="E50" i="8"/>
  <c r="E48" i="8"/>
  <c r="AR47" i="9" s="1"/>
  <c r="AN49" i="9"/>
  <c r="AO39" i="9"/>
  <c r="AO38" i="9"/>
  <c r="AJ3" i="9"/>
  <c r="AO37" i="9"/>
  <c r="AR17" i="9"/>
  <c r="AR19" i="9"/>
  <c r="AR20" i="9" s="1"/>
  <c r="AR21" i="9" s="1"/>
  <c r="AR34" i="9"/>
  <c r="AP46" i="9"/>
  <c r="F19" i="5"/>
  <c r="F20" i="5"/>
  <c r="AT14" i="9"/>
  <c r="F32" i="7" l="1"/>
  <c r="AR22" i="9"/>
  <c r="F30" i="7"/>
  <c r="F31" i="7"/>
  <c r="E53" i="6"/>
  <c r="E58" i="6"/>
  <c r="E35" i="6"/>
  <c r="E48" i="6"/>
  <c r="AT17" i="9"/>
  <c r="AU14" i="9"/>
  <c r="E27" i="4"/>
  <c r="E45" i="4"/>
  <c r="E49" i="4" s="1"/>
  <c r="AN50" i="9" s="1"/>
  <c r="AN54" i="9" s="1"/>
  <c r="AN62" i="9" s="1"/>
  <c r="E40" i="5"/>
  <c r="E38" i="5"/>
  <c r="AO47" i="9" s="1"/>
  <c r="AO46" i="9"/>
  <c r="E53" i="8"/>
  <c r="AR50" i="9" s="1"/>
  <c r="AR49" i="9"/>
  <c r="E44" i="5"/>
  <c r="E21" i="5"/>
  <c r="AN55" i="9" l="1"/>
  <c r="AR54" i="9"/>
  <c r="AR62" i="9" s="1"/>
  <c r="E58" i="7"/>
  <c r="E62" i="7" s="1"/>
  <c r="AQ47" i="9" s="1"/>
  <c r="AQ54" i="9" s="1"/>
  <c r="AQ62" i="9" s="1"/>
  <c r="E45" i="7"/>
  <c r="P16" i="9" s="1"/>
  <c r="E54" i="6"/>
  <c r="E59" i="6" s="1"/>
  <c r="AP52" i="9" s="1"/>
  <c r="E52" i="6"/>
  <c r="AP47" i="9" s="1"/>
  <c r="P15" i="9"/>
  <c r="AP22" i="9"/>
  <c r="AG13" i="9"/>
  <c r="AG17" i="9"/>
  <c r="AR55" i="9"/>
  <c r="P13" i="9"/>
  <c r="AN22" i="9"/>
  <c r="P14" i="9"/>
  <c r="AO22" i="9"/>
  <c r="E45" i="5"/>
  <c r="AO49" i="9"/>
  <c r="E43" i="5"/>
  <c r="AO50" i="9" s="1"/>
  <c r="AQ55" i="9" l="1"/>
  <c r="E57" i="6"/>
  <c r="AP50" i="9" s="1"/>
  <c r="AG16" i="9"/>
  <c r="AQ22" i="9"/>
  <c r="AS22" i="9" s="1"/>
  <c r="E62" i="6"/>
  <c r="AP53" i="9" s="1"/>
  <c r="AP49" i="9"/>
  <c r="AJ9" i="9"/>
  <c r="E48" i="5"/>
  <c r="AO53" i="9" s="1"/>
  <c r="AO52" i="9"/>
  <c r="AP35" i="9" l="1"/>
  <c r="AP36" i="9" s="1"/>
  <c r="F5" i="9" s="1"/>
  <c r="AP54" i="9"/>
  <c r="AP62" i="9" s="1"/>
  <c r="AO54" i="9"/>
  <c r="AO62" i="9" s="1"/>
  <c r="AG15" i="9" l="1"/>
  <c r="AO55" i="9"/>
  <c r="AP55" i="9"/>
  <c r="AG14" i="9"/>
  <c r="AS56" i="9" l="1"/>
  <c r="AT56" i="9"/>
  <c r="AT55" i="9"/>
  <c r="AJ16" i="9" s="1"/>
  <c r="AS55" i="9"/>
  <c r="AJ14" i="9" s="1"/>
</calcChain>
</file>

<file path=xl/sharedStrings.xml><?xml version="1.0" encoding="utf-8"?>
<sst xmlns="http://schemas.openxmlformats.org/spreadsheetml/2006/main" count="1164" uniqueCount="630">
  <si>
    <t xml:space="preserve">Mengenai Indeks KAMI
</t>
    <phoneticPr fontId="6" type="noConversion"/>
  </si>
  <si>
    <t xml:space="preserve">Petunjuk Penggunaan Alat Evaluasi Indeks Keamanan Informasi (Indeks KAMI)
</t>
    <phoneticPr fontId="6" type="noConversion"/>
  </si>
  <si>
    <t>Bagian ini mengevaluasi kesiapan penerapan pengelolaan risiko keamanan informasi sebagai dasar penerapan strategi keamanan informasi.</t>
    <phoneticPr fontId="6" type="noConversion"/>
  </si>
  <si>
    <t>Status</t>
    <phoneticPr fontId="6" type="noConversion"/>
  </si>
  <si>
    <t>Bagian ini mengevaluasi kelengkapan dan kesiapan kerangka kerja (kebijakan &amp; prosedur) pengelolaan keamanan informasi dan strategi penerapannya.</t>
    <phoneticPr fontId="6" type="noConversion"/>
  </si>
  <si>
    <t>Bagian ini mengevaluasi kelengkapan pengamanan aset informasi, termasuk keseluruhan siklus penggunaan aset tersebut.</t>
    <phoneticPr fontId="6" type="noConversion"/>
  </si>
  <si>
    <t>Bagian ini mengevaluasi kelengkapan, konsistensi dan efektifitas penggunaan teknologi dalam pengamanan aset informasi.</t>
    <phoneticPr fontId="6" type="noConversion"/>
  </si>
  <si>
    <t>Jabatan</t>
    <phoneticPr fontId="6" type="noConversion"/>
  </si>
  <si>
    <t>Alamat</t>
    <phoneticPr fontId="6" type="noConversion"/>
  </si>
  <si>
    <t>Nomor Telpon</t>
    <phoneticPr fontId="6" type="noConversion"/>
  </si>
  <si>
    <t>Email</t>
    <phoneticPr fontId="6" type="noConversion"/>
  </si>
  <si>
    <t>Total Nilai Evaluasi Teknologi dan Keamanan Informasi</t>
    <phoneticPr fontId="6" type="noConversion"/>
  </si>
  <si>
    <t>Teknologi dan Keamanan Informasi</t>
    <phoneticPr fontId="6" type="noConversion"/>
  </si>
  <si>
    <t>Indeks KAMI (Keamanan Informasi)</t>
    <phoneticPr fontId="6" type="noConversion"/>
  </si>
  <si>
    <t>Responden:</t>
    <phoneticPr fontId="6" type="noConversion"/>
  </si>
  <si>
    <t>Pengelolaan Risiko</t>
    <phoneticPr fontId="6" type="noConversion"/>
  </si>
  <si>
    <t>Aspek Teknologi</t>
    <phoneticPr fontId="6" type="noConversion"/>
  </si>
  <si>
    <t>Total Pertanyaan</t>
    <phoneticPr fontId="6" type="noConversion"/>
  </si>
  <si>
    <t>Agregat Skor</t>
    <phoneticPr fontId="6" type="noConversion"/>
  </si>
  <si>
    <t>Responden</t>
    <phoneticPr fontId="6" type="noConversion"/>
  </si>
  <si>
    <t>Apakah infrastruktur komputasi terlindungi dari dampak lingkungan atau api dan berada dalam kondisi dengan suhu dan kelembaban yang sesuai dengan prasyarat pabrikannya?</t>
    <phoneticPr fontId="6" type="noConversion"/>
  </si>
  <si>
    <t>Apakah tersedia proses untuk memeriksa (inspeksi) dan merawat: perangkat komputer, fasilitas pendukungnya dan kelayakan keamanan lokasi kerja untuk menempatkan aset informasi penting?</t>
    <phoneticPr fontId="6" type="noConversion"/>
  </si>
  <si>
    <t>Tata Kelola</t>
    <phoneticPr fontId="6" type="noConversion"/>
  </si>
  <si>
    <t>Pengelolaan Risiko</t>
    <phoneticPr fontId="6" type="noConversion"/>
  </si>
  <si>
    <t>Kerangka Kerja Keamanan Informasi</t>
    <phoneticPr fontId="6" type="noConversion"/>
  </si>
  <si>
    <t>Pengelolaan Aset</t>
    <phoneticPr fontId="6" type="noConversion"/>
  </si>
  <si>
    <t>Total Nilai Evaluasi Pengelolaan Risiko Keamanan Informasi</t>
    <phoneticPr fontId="6" type="noConversion"/>
  </si>
  <si>
    <t>Total Nilai Evaluasi Tata Kelola</t>
    <phoneticPr fontId="6" type="noConversion"/>
  </si>
  <si>
    <r>
      <t xml:space="preserve">Apakah semua sistem dan aplikasi secara otomatis mendukung dan menerapkan penggantian </t>
    </r>
    <r>
      <rPr>
        <i/>
        <sz val="11"/>
        <color indexed="8"/>
        <rFont val="Arial"/>
        <family val="2"/>
      </rPr>
      <t>password</t>
    </r>
    <r>
      <rPr>
        <sz val="11"/>
        <color indexed="8"/>
        <rFont val="Arial"/>
        <family val="2"/>
      </rPr>
      <t xml:space="preserve"> secara otomatis, termasuk menon-aktifkan </t>
    </r>
    <r>
      <rPr>
        <i/>
        <sz val="11"/>
        <color indexed="8"/>
        <rFont val="Arial"/>
        <family val="2"/>
      </rPr>
      <t>password</t>
    </r>
    <r>
      <rPr>
        <sz val="11"/>
        <color indexed="8"/>
        <rFont val="Arial"/>
        <family val="2"/>
      </rPr>
      <t xml:space="preserve">, mengatur kompleksitas/panjangnya dan penggunaan kembali </t>
    </r>
    <r>
      <rPr>
        <i/>
        <sz val="11"/>
        <color indexed="8"/>
        <rFont val="Arial"/>
        <family val="2"/>
      </rPr>
      <t xml:space="preserve">password </t>
    </r>
    <r>
      <rPr>
        <sz val="11"/>
        <color indexed="8"/>
        <rFont val="Arial"/>
        <family val="2"/>
      </rPr>
      <t xml:space="preserve">lama? </t>
    </r>
    <phoneticPr fontId="6" type="noConversion"/>
  </si>
  <si>
    <t xml:space="preserve">Apakah akses yang digunakan untuk mengelola sistem (administrasi sistem) menggunakan bentuk pengamanan khusus yang berlapis? </t>
    <phoneticPr fontId="6" type="noConversion"/>
  </si>
  <si>
    <t>Tingkat Ketergantungan</t>
    <phoneticPr fontId="6" type="noConversion"/>
  </si>
  <si>
    <t>Hasil Evaluasi</t>
    <phoneticPr fontId="6" type="noConversion"/>
  </si>
  <si>
    <t>Rendah</t>
    <phoneticPr fontId="6" type="noConversion"/>
  </si>
  <si>
    <t>Apakah tersedia mekanisme pengamanan dalam pengiriman aset informasi (perangkat dan dokumen) yang melibatkan pihak ketiga?</t>
    <phoneticPr fontId="6" type="noConversion"/>
  </si>
  <si>
    <r>
      <t>[Penilaian]</t>
    </r>
    <r>
      <rPr>
        <sz val="11"/>
        <color indexed="8"/>
        <rFont val="Arial"/>
        <family val="2"/>
      </rPr>
      <t xml:space="preserve"> Tidak Dilakukan; Dalam Perencanaan; Dalam Penerapan atau Diterapkan Sebagian; Diterapkan Secara Menyeluruh </t>
    </r>
    <phoneticPr fontId="6" type="noConversion"/>
  </si>
  <si>
    <t>Apakah semua log dianalisa secara berkala untuk memastikan akurasi, validitas dan kelengkapan isinya (untuk kepentingan jejak audit dan forensik)?</t>
    <phoneticPr fontId="6" type="noConversion"/>
  </si>
  <si>
    <t>Apakah tersedia proses pengelolaan konfigurasi yang diterapkan secara konsisten?</t>
    <phoneticPr fontId="6" type="noConversion"/>
  </si>
  <si>
    <t>Ketetapan terkait pertukaran data dengan pihak eksternal dan pengamanannya</t>
    <phoneticPr fontId="6" type="noConversion"/>
  </si>
  <si>
    <t>Proses pelaporan insiden keamanan informasi kepada pihak eksternal ataupun pihak yang berwajib.</t>
    <phoneticPr fontId="6" type="noConversion"/>
  </si>
  <si>
    <t>Bagian VI: Teknologi dan Keamanan Informasi</t>
    <phoneticPr fontId="6" type="noConversion"/>
  </si>
  <si>
    <t>Pengamanan Teknologi</t>
    <phoneticPr fontId="6" type="noConversion"/>
  </si>
  <si>
    <t>(Kode Area) Nomor Telpon</t>
    <phoneticPr fontId="6" type="noConversion"/>
  </si>
  <si>
    <t>user@departemen_responden.go.id</t>
  </si>
  <si>
    <t>Total Skor</t>
    <phoneticPr fontId="6" type="noConversion"/>
  </si>
  <si>
    <r>
      <t xml:space="preserve">Apakah sistem operasi untuk setiap perangkat </t>
    </r>
    <r>
      <rPr>
        <i/>
        <sz val="11"/>
        <color indexed="8"/>
        <rFont val="Arial"/>
        <family val="2"/>
      </rPr>
      <t>desktop</t>
    </r>
    <r>
      <rPr>
        <sz val="11"/>
        <color indexed="8"/>
        <rFont val="Arial"/>
        <family val="2"/>
      </rPr>
      <t xml:space="preserve"> dan </t>
    </r>
    <r>
      <rPr>
        <i/>
        <sz val="11"/>
        <color indexed="8"/>
        <rFont val="Arial"/>
        <family val="2"/>
      </rPr>
      <t>server</t>
    </r>
    <r>
      <rPr>
        <sz val="11"/>
        <color indexed="8"/>
        <rFont val="Arial"/>
        <family val="2"/>
      </rPr>
      <t xml:space="preserve"> dimutakhirkan dengan versi terkini? </t>
    </r>
    <phoneticPr fontId="6" type="noConversion"/>
  </si>
  <si>
    <r>
      <t xml:space="preserve">Apakah setiap </t>
    </r>
    <r>
      <rPr>
        <i/>
        <sz val="11"/>
        <color indexed="8"/>
        <rFont val="Arial"/>
        <family val="2"/>
      </rPr>
      <t>desktop</t>
    </r>
    <r>
      <rPr>
        <sz val="11"/>
        <color indexed="8"/>
        <rFont val="Arial"/>
        <family val="2"/>
      </rPr>
      <t xml:space="preserve"> dan </t>
    </r>
    <r>
      <rPr>
        <i/>
        <sz val="11"/>
        <color indexed="8"/>
        <rFont val="Arial"/>
        <family val="2"/>
      </rPr>
      <t>server</t>
    </r>
    <r>
      <rPr>
        <sz val="11"/>
        <color indexed="8"/>
        <rFont val="Arial"/>
        <family val="2"/>
      </rPr>
      <t xml:space="preserve"> dilindungi dari penyerangan virus (</t>
    </r>
    <r>
      <rPr>
        <i/>
        <sz val="11"/>
        <color indexed="8"/>
        <rFont val="Arial"/>
        <family val="2"/>
      </rPr>
      <t>malware</t>
    </r>
    <r>
      <rPr>
        <sz val="11"/>
        <color indexed="8"/>
        <rFont val="Arial"/>
        <family val="2"/>
      </rPr>
      <t>)?</t>
    </r>
    <phoneticPr fontId="6" type="noConversion"/>
  </si>
  <si>
    <r>
      <t>Apakah perencanaan pemulihan bencana terhadap layanan TIK (</t>
    </r>
    <r>
      <rPr>
        <i/>
        <sz val="11"/>
        <color indexed="8"/>
        <rFont val="Arial"/>
        <family val="2"/>
      </rPr>
      <t>disaster recovery plan</t>
    </r>
    <r>
      <rPr>
        <sz val="11"/>
        <color indexed="8"/>
        <rFont val="Arial"/>
        <family val="2"/>
      </rPr>
      <t>) sudah mendefinisikan komposisi, peran, wewenang dan tanggungjawab tim yang ditunjuk?</t>
    </r>
    <phoneticPr fontId="6" type="noConversion"/>
  </si>
  <si>
    <t>Apakah infrastruktur komputasi yang terpasang terlindungi dari gangguan pasokan listrik atau dampak dari petir?</t>
    <phoneticPr fontId="6" type="noConversion"/>
  </si>
  <si>
    <t>Apakah seluruh kebijakan dan prosedur keamanan informasi dievaluasi kelayakannya secara berkala?</t>
    <phoneticPr fontId="6" type="noConversion"/>
  </si>
  <si>
    <t>Pengelolaan Aset Informasi</t>
    <phoneticPr fontId="6" type="noConversion"/>
  </si>
  <si>
    <t>Total Nilai Evaluasi Pengelolaan Aset</t>
    <phoneticPr fontId="6" type="noConversion"/>
  </si>
  <si>
    <t>Total Nilai Evaluasi Kerangka Kerja</t>
    <phoneticPr fontId="6" type="noConversion"/>
  </si>
  <si>
    <r>
      <t xml:space="preserve">Apakah sistem dan aplikasi yang digunakan sudah menerapkan pembatasan waktu akses termasuk otomatisasi proses </t>
    </r>
    <r>
      <rPr>
        <i/>
        <sz val="11"/>
        <color indexed="8"/>
        <rFont val="Arial"/>
        <family val="2"/>
      </rPr>
      <t>timeouts</t>
    </r>
    <r>
      <rPr>
        <sz val="11"/>
        <color indexed="8"/>
        <rFont val="Arial"/>
        <family val="2"/>
      </rPr>
      <t xml:space="preserve">, </t>
    </r>
    <r>
      <rPr>
        <i/>
        <sz val="11"/>
        <color indexed="8"/>
        <rFont val="Arial"/>
        <family val="2"/>
      </rPr>
      <t>lockout</t>
    </r>
    <r>
      <rPr>
        <sz val="11"/>
        <color indexed="8"/>
        <rFont val="Arial"/>
        <family val="2"/>
      </rPr>
      <t xml:space="preserve"> setelah kegagalan </t>
    </r>
    <r>
      <rPr>
        <i/>
        <sz val="11"/>
        <color indexed="8"/>
        <rFont val="Arial"/>
        <family val="2"/>
      </rPr>
      <t>login</t>
    </r>
    <r>
      <rPr>
        <sz val="11"/>
        <color indexed="8"/>
        <rFont val="Arial"/>
        <family val="2"/>
      </rPr>
      <t xml:space="preserve">,dan penarikan akses? </t>
    </r>
    <phoneticPr fontId="6" type="noConversion"/>
  </si>
  <si>
    <t xml:space="preserve">Apakah setiap perubahan dalam sistem informasi secara otomatis terekam di dalam log? </t>
    <phoneticPr fontId="6" type="noConversion"/>
  </si>
  <si>
    <t>Apakah upaya akses oleh yang tidak berhak secara otomatis terekam di dalam log?</t>
    <phoneticPr fontId="6" type="noConversion"/>
  </si>
  <si>
    <t>Apakah tersedia proses untuk merilis suatu aset baru ke dalam lingkungan operasional dan memutakhirkan inventaris aset informasi?</t>
    <phoneticPr fontId="6" type="noConversion"/>
  </si>
  <si>
    <t>Proses penyidikan/investigasi untuk menyelesaikan insiden terkait kegagalan keamanan informasi</t>
    <phoneticPr fontId="6" type="noConversion"/>
  </si>
  <si>
    <t>Apakah tersedia peraturan untuk mengamankan lokasi kerja penting (ruang server, ruang arsip) dari risiko perangkat atau bahan yang dapat membahayakan aset informasi (termasuk fasilitas pengolah informasi) yang ada di dalamnya? (misal larangan penggunaan telpon genggam di dalam ruang server, menggunakan kamera dll)</t>
    <phoneticPr fontId="6" type="noConversion"/>
  </si>
  <si>
    <t>Apakah tersedia daftar rekaman pelaksanaan keamanan informasi dan bentuk pengamanan yang sesuai dengan klasifikasinya?</t>
    <phoneticPr fontId="6" type="noConversion"/>
  </si>
  <si>
    <t>Bagian IV: Kerangka Kerja Pengelolaan Keamanan Informasi</t>
    <phoneticPr fontId="6" type="noConversion"/>
  </si>
  <si>
    <t>Bagian V: Pengelolaan Aset Informasi</t>
    <phoneticPr fontId="6" type="noConversion"/>
  </si>
  <si>
    <t>Apakah hasil audit internal dilaporkan kepada pimpinan organisasi untuk menetapkan langkah perbaikan atau program peningkatan kinerja keamanan informasi?</t>
    <phoneticPr fontId="6" type="noConversion"/>
  </si>
  <si>
    <t>Apakah konsekwensi dari pelanggaran kebijakan keamanan informasi sudah didefinisikan, dikomunikasikan dan ditegakkan?</t>
    <phoneticPr fontId="6" type="noConversion"/>
  </si>
  <si>
    <t>Ketetapan terkait waktu penyimpanan untuk klasifikasi data yang ada dan syarat penghancuran data</t>
    <phoneticPr fontId="6" type="noConversion"/>
  </si>
  <si>
    <t>Apakah tersedia proses untuk mengelola alokasi kunci masuk (fisik dan elektronik) ke fasilitas fisik?</t>
    <phoneticPr fontId="6" type="noConversion"/>
  </si>
  <si>
    <t xml:space="preserve">Apakah organisasi anda mempunyai strategi penerapan keamanan informasi sesuai hasil analisa risiko yang penerapannya dilakukan sebagai bagian dari rencana kerja organisasi? </t>
    <phoneticPr fontId="6" type="noConversion"/>
  </si>
  <si>
    <t>Apakah status penyelesaian langkah mitigasi risiko dipantau secara berkala, untuk memastikan penyelesaian atau kemajuan kerjanya?</t>
    <phoneticPr fontId="6" type="noConversion"/>
  </si>
  <si>
    <t>Apakah organisasi anda sudah menerapkan proses untuk mengevaluasi risiko terkait rencana pembelian (atau implementasi) sistem baru dan menanggulangi permasalahan yang muncul?</t>
    <phoneticPr fontId="6" type="noConversion"/>
  </si>
  <si>
    <t xml:space="preserve">Tata tertib penggunaan komputer, email, internet dan intranet </t>
    <phoneticPr fontId="6" type="noConversion"/>
  </si>
  <si>
    <t>Persyaratan dan prosedur pengelolaan/pemberian akses, otentikasi dan otorisasi untuk menggunakan aset informasi</t>
    <phoneticPr fontId="6" type="noConversion"/>
  </si>
  <si>
    <t>Ketentuan pengamanan fisik yang disesuaikan dengan definisi zona dan klasifikasi aset yang ada di dalamnya</t>
    <phoneticPr fontId="6" type="noConversion"/>
  </si>
  <si>
    <t>Proses pengecekan latar belakang SDM</t>
    <phoneticPr fontId="6" type="noConversion"/>
  </si>
  <si>
    <t>Prosedur penghancuran data/aset yang sudah tidak diperlukan</t>
    <phoneticPr fontId="6" type="noConversion"/>
  </si>
  <si>
    <t>Pengamanan Fisik</t>
    <phoneticPr fontId="6" type="noConversion"/>
  </si>
  <si>
    <t>Bagian III: Pengelolaan Risiko Keamanan Informasi</t>
    <phoneticPr fontId="6" type="noConversion"/>
  </si>
  <si>
    <t>6.10</t>
  </si>
  <si>
    <t>6.11</t>
  </si>
  <si>
    <t>6.12</t>
  </si>
  <si>
    <t>6.13</t>
  </si>
  <si>
    <t>6.14</t>
  </si>
  <si>
    <t>6.15</t>
  </si>
  <si>
    <t>Penyusunan dan Pengelolaan Kebijakan &amp; Prosedur Keamanan Informasi</t>
  </si>
  <si>
    <t>Apakah organisasi anda mempunyai rencana dan program peningkatan keamanan informasi untuk jangka menengah/panjang (1-3-5 tahun) yang direalisasikan secara konsisten?</t>
    <phoneticPr fontId="6" type="noConversion"/>
  </si>
  <si>
    <r>
      <t>Apabila penerapan suatu sistem mengakibatkan timbulnya risiko baru atau terjadinya ketidakpatuhan terhadap kebijakan yang ada, apakah ada proses untuk menanggulangi hal ini, termasuk penerapan pengamanan baru (</t>
    </r>
    <r>
      <rPr>
        <i/>
        <sz val="11"/>
        <color indexed="8"/>
        <rFont val="Arial"/>
        <family val="2"/>
      </rPr>
      <t>compensating control</t>
    </r>
    <r>
      <rPr>
        <sz val="11"/>
        <color indexed="8"/>
        <rFont val="Arial"/>
        <family val="2"/>
      </rPr>
      <t>) dan jadwal penyelesaiannya?</t>
    </r>
    <phoneticPr fontId="6" type="noConversion"/>
  </si>
  <si>
    <t xml:space="preserve">Apakah strategi penerapan keamanan informasi direalisasikan sebagai bagian dari pelaksanaan program kerja organisasi anda? </t>
    <phoneticPr fontId="6" type="noConversion"/>
  </si>
  <si>
    <t>4.20</t>
    <phoneticPr fontId="6" type="noConversion"/>
  </si>
  <si>
    <t xml:space="preserve">Apakah penanggungjawab pelaksanaan pengamanan informasi diberikan alokasi sumber daya yang sesuai untuk mengelola dan menjamin kepatuhan program keamanan informasi? </t>
    <phoneticPr fontId="6" type="noConversion"/>
  </si>
  <si>
    <t>Status</t>
    <phoneticPr fontId="6" type="noConversion"/>
  </si>
  <si>
    <t>Diterapkan Secara Menyeluruh</t>
    <phoneticPr fontId="6" type="noConversion"/>
  </si>
  <si>
    <t>Status Penerapan</t>
    <phoneticPr fontId="6" type="noConversion"/>
  </si>
  <si>
    <t>Skor</t>
    <phoneticPr fontId="6" type="noConversion"/>
  </si>
  <si>
    <t xml:space="preserve">Status Penerapan 1 </t>
    <phoneticPr fontId="6" type="noConversion"/>
  </si>
  <si>
    <t>Penetapan Skor</t>
    <phoneticPr fontId="6" type="noConversion"/>
  </si>
  <si>
    <t>#</t>
    <phoneticPr fontId="6" type="noConversion"/>
  </si>
  <si>
    <t>Apakah kerangka kerja pengelolaan risiko secara berkala dikaji untuk memastikan/meningkatkan efektifitasnya?</t>
    <phoneticPr fontId="6" type="noConversion"/>
  </si>
  <si>
    <t>Skor</t>
    <phoneticPr fontId="6" type="noConversion"/>
  </si>
  <si>
    <t>Kajian Risiko Keamanan Informasi</t>
    <phoneticPr fontId="6" type="noConversion"/>
  </si>
  <si>
    <t>Pengelolaan Strategi dan Program Keamanan Informasi</t>
    <phoneticPr fontId="6" type="noConversion"/>
  </si>
  <si>
    <t>Apakah organisasi anda memiliki dan melaksanakan program audit internal yang dilakukan oleh pihak independen dengan cakupan keseluruhan aset informasi, kebijakan dan prosedur keamanan yang ada (atau sesuai dengan standar yang berlaku)?</t>
    <phoneticPr fontId="6" type="noConversion"/>
  </si>
  <si>
    <t>Apakah hasil audit internal tersebut dikaji/dievaluasi untuk mengidentifikasi langkah pembenahan dan pencegahan, ataupun inisiatif peningkatan kinerja keamanan informasi?</t>
    <phoneticPr fontId="6" type="noConversion"/>
  </si>
  <si>
    <t xml:space="preserve">Apakah organisasi anda mempunyai strategi penggunaan teknologi keamanan informasi yang penerapan dan pemutakhirannya disesuaikan dengan kebutuhan dan perubahan profil risiko? </t>
    <phoneticPr fontId="6" type="noConversion"/>
  </si>
  <si>
    <t>Kerangka Kerja</t>
    <phoneticPr fontId="6" type="noConversion"/>
  </si>
  <si>
    <t>Pengelolaan Aset</t>
    <phoneticPr fontId="6" type="noConversion"/>
  </si>
  <si>
    <t>Tata Kelola</t>
    <phoneticPr fontId="6" type="noConversion"/>
  </si>
  <si>
    <t xml:space="preserve">Apakah layanan TIK (sistem komputer) yang menggunakan internet sudah dilindungi dengan lebih dari 1 lapis pengamanan? </t>
    <phoneticPr fontId="6" type="noConversion"/>
  </si>
  <si>
    <t xml:space="preserve">Apakah ancaman dan kelemahan yang terkait dengan aset informasi, terutama untuk setiap aset utama sudah teridentifikasi? </t>
    <phoneticPr fontId="6" type="noConversion"/>
  </si>
  <si>
    <t>Dalam Penerapan / Diterapkan Sebagian</t>
    <phoneticPr fontId="6" type="noConversion"/>
  </si>
  <si>
    <t>6.16</t>
  </si>
  <si>
    <t>6.17</t>
  </si>
  <si>
    <t>6.18</t>
  </si>
  <si>
    <t>6.19</t>
  </si>
  <si>
    <t>6.20</t>
  </si>
  <si>
    <t>6.21</t>
  </si>
  <si>
    <t>6.22</t>
  </si>
  <si>
    <t>6.23</t>
  </si>
  <si>
    <t>6.24</t>
  </si>
  <si>
    <t>Apakah pengelolaan risiko menjadi bagian dari kriteria proses penilaian obyektif kinerja efektifitas pengamanan?</t>
    <phoneticPr fontId="6" type="noConversion"/>
  </si>
  <si>
    <t>#</t>
    <phoneticPr fontId="6" type="noConversion"/>
  </si>
  <si>
    <t>Alamat 1
Alamat 2
Kota Kode Pos</t>
    <phoneticPr fontId="6" type="noConversion"/>
  </si>
  <si>
    <t>Indeks Keamanan Informasi (Indeks KAMI)</t>
    <phoneticPr fontId="6" type="noConversion"/>
  </si>
  <si>
    <t>Tanggal Pengisian</t>
    <phoneticPr fontId="6" type="noConversion"/>
  </si>
  <si>
    <t>Tinggi</t>
    <phoneticPr fontId="6" type="noConversion"/>
  </si>
  <si>
    <t xml:space="preserve">Apakah pejabat/petugas pelaksana pengamanan informasi mempunyai wewenang yang sesuai untuk menerapkan dan menjamin kepatuhan program keamanan informasi? </t>
    <phoneticPr fontId="6" type="noConversion"/>
  </si>
  <si>
    <t>Skor</t>
    <phoneticPr fontId="6" type="noConversion"/>
  </si>
  <si>
    <t>Tk Ketergatungan TIK</t>
    <phoneticPr fontId="6" type="noConversion"/>
  </si>
  <si>
    <t>Klasifikasi</t>
    <phoneticPr fontId="6" type="noConversion"/>
  </si>
  <si>
    <t>Tidak Layak</t>
    <phoneticPr fontId="6" type="noConversion"/>
  </si>
  <si>
    <t>:</t>
    <phoneticPr fontId="6" type="noConversion"/>
  </si>
  <si>
    <t xml:space="preserve">Apakah peran pelaksana pengamanan informasi yang mencakup semua keperluan dipetakan dengan lengkap, termasuk kebutuhan audit internal dan persyaratan segregasi kewenangan?  </t>
    <phoneticPr fontId="6" type="noConversion"/>
  </si>
  <si>
    <t>Bagian II: Tata Kelola Keamanan Informasi</t>
    <phoneticPr fontId="6" type="noConversion"/>
  </si>
  <si>
    <t>Tidak Dilakukan</t>
    <phoneticPr fontId="6" type="noConversion"/>
  </si>
  <si>
    <t>Dalam Perencanaan</t>
    <phoneticPr fontId="6" type="noConversion"/>
  </si>
  <si>
    <t>II</t>
  </si>
  <si>
    <t>III</t>
  </si>
  <si>
    <t>V</t>
  </si>
  <si>
    <t>IV</t>
  </si>
  <si>
    <t>Apakah profil risiko berikut bentuk mitigasinya secara berkala dikaji ulang untuk memastikan akurasi dan validitasnya, termasuk merevisi profil terebut apabila ada perubahan kondisi yang signifikan atau keperluan penerapan bentuk pengamanan baru?</t>
  </si>
  <si>
    <t xml:space="preserve">Apakah dampak kerugian yang terkait dengan hilangnya/terganggunya fungsi aset utama sudah ditetapkan sesuai dengan definisi yang ada?  </t>
  </si>
  <si>
    <t>Skor Tingkat Kematangan II</t>
  </si>
  <si>
    <t>Skor Tingkat Kematangan III</t>
  </si>
  <si>
    <t>Skor Tingkat Kematangan IV</t>
  </si>
  <si>
    <t>Tingkat Kematangan</t>
  </si>
  <si>
    <t xml:space="preserve">Apabila ada keperluan untuk merevisi kebijakan dan prosedur yang berlaku, apakah ada analisa untuk menilai  aspek finansial (dampak biaya dan keperluan anggaran) ataupun perubahan terhadap infrastruktur dan pengelolaan perubahannya, sebagai prasyarat untuk menerapkannya? </t>
  </si>
  <si>
    <t>Deskripsi Ruang Lingkup</t>
  </si>
  <si>
    <t>I</t>
  </si>
  <si>
    <t>Skor Tingkat Kematangan V</t>
  </si>
  <si>
    <r>
      <t>Apakah tanggungjawab untuk memutuskan, merancang, melaksanakan dan mengelola langkah kelangsungan layanan TIK (</t>
    </r>
    <r>
      <rPr>
        <i/>
        <sz val="11"/>
        <color indexed="8"/>
        <rFont val="Arial"/>
        <family val="2"/>
      </rPr>
      <t>business continuity</t>
    </r>
    <r>
      <rPr>
        <sz val="11"/>
        <color indexed="8"/>
        <rFont val="Arial"/>
        <family val="2"/>
      </rPr>
      <t xml:space="preserve"> dan </t>
    </r>
    <r>
      <rPr>
        <i/>
        <sz val="11"/>
        <color indexed="8"/>
        <rFont val="Arial"/>
        <family val="2"/>
      </rPr>
      <t>disaster recovery plans</t>
    </r>
    <r>
      <rPr>
        <sz val="11"/>
        <color indexed="8"/>
        <rFont val="Arial"/>
        <family val="2"/>
      </rPr>
      <t xml:space="preserve">) sudah didefinisikan dan dialokasikan? </t>
    </r>
  </si>
  <si>
    <t>Tingkat II</t>
  </si>
  <si>
    <t>Kategori Kontrol</t>
  </si>
  <si>
    <t>Tingkat III</t>
  </si>
  <si>
    <t>Tingkat IV</t>
  </si>
  <si>
    <t>Tingkat V</t>
  </si>
  <si>
    <t>Ambang Batas Valid</t>
  </si>
  <si>
    <t>Skor Minimum Tingkat Kematangan II</t>
  </si>
  <si>
    <t>Skor Pencapaian Tingkat Kematangan II</t>
  </si>
  <si>
    <t>Status</t>
  </si>
  <si>
    <t>Skor Minimum Tingkat Kematangan III</t>
  </si>
  <si>
    <t>Skor Pencapaian Tingkat Kematangan III</t>
  </si>
  <si>
    <t>Validitas Tingkat Kematangan III</t>
  </si>
  <si>
    <t>Validitas Tingkat Kematangan IV</t>
  </si>
  <si>
    <t>Skor Minimum Tingkat Kematangan IV</t>
  </si>
  <si>
    <t>Skor Pencapaian Tingkat Kematangan IV</t>
  </si>
  <si>
    <t>3(2)</t>
  </si>
  <si>
    <t>6(3)</t>
  </si>
  <si>
    <t>2(2)</t>
  </si>
  <si>
    <t>2(3)</t>
  </si>
  <si>
    <t>Validitas Tingkat Kematangan V</t>
  </si>
  <si>
    <t>Skor Minimum Tingkat Kematangan V</t>
  </si>
  <si>
    <t>Skor Pencapaian Tingkat Kematangan V</t>
  </si>
  <si>
    <t>3(3)</t>
  </si>
  <si>
    <t>4.K1.2+x.K1.1</t>
  </si>
  <si>
    <t>x.K1.2+x.K2.4</t>
  </si>
  <si>
    <t>2.K3.6+x.K3.3</t>
  </si>
  <si>
    <t>x.K3.9</t>
  </si>
  <si>
    <t>HH/BB/TTTT</t>
  </si>
  <si>
    <t>1(3)</t>
  </si>
  <si>
    <t>Validitas</t>
  </si>
  <si>
    <t>Status Akhir</t>
  </si>
  <si>
    <t>I+</t>
  </si>
  <si>
    <t>II+</t>
  </si>
  <si>
    <t>III+</t>
  </si>
  <si>
    <t>IV+</t>
  </si>
  <si>
    <t>TKM</t>
  </si>
  <si>
    <t>Tk Kematangan II</t>
  </si>
  <si>
    <t>Merah</t>
  </si>
  <si>
    <t>Kuning</t>
  </si>
  <si>
    <r>
      <t>Alat evaluasi ini kemudian bisa digunakan secara berkala untuk mendapatkan gambaran perubahan kondisi keamanan informasi sebagai hasil dari program kerja yang dijalankan, sekaligus sebagai sarana untuk menyampaikan peningkatan kesiapan kepada pihak yang terkait (</t>
    </r>
    <r>
      <rPr>
        <i/>
        <sz val="11"/>
        <rFont val="Arial"/>
        <family val="2"/>
      </rPr>
      <t>stakeholders</t>
    </r>
    <r>
      <rPr>
        <sz val="11"/>
        <rFont val="Arial"/>
        <family val="2"/>
      </rPr>
      <t xml:space="preserve">).
</t>
    </r>
  </si>
  <si>
    <t xml:space="preserve">(Catatan: untuk keseluruhan area pengamanan, pengisian pertanyaan dengan label "3" hanya dapat memberikan hasil apabila semua pertanyaan terkait dengan label "1" dan "2" sudah diisi dengan status minimal "Diterapkan Sebagian")
</t>
  </si>
  <si>
    <t>Indeks KAMI sebaiknya digunakan 2X dalam setahun sebagai alat untuk melakukan tinjauan ulang kesiapan keamanan informasi sekaligus untuk mengukur keberhasilan inisiatif perbaikan yang diterapkan, dengan pencapaian tingkat kelengkapan atau kematangan tertentu.</t>
  </si>
  <si>
    <t>Kedua pengelompokan ini dapat dipetakan (lihat gambar di bawah) untuk memberikan dua sudut pandang yang berbeda: tingkat kelengkapan pengamanan dan tingkat kematangan pengamanan. Instansi responden dapat menggunakan metrik ini sebagai target program keamanan informasi.</t>
  </si>
  <si>
    <t>&gt;80% Ambang Batas Tk Kematangan</t>
  </si>
  <si>
    <t>Jumlah pertanyaan Tahap 1</t>
  </si>
  <si>
    <t>Jumlah pertanyaan Tahap 2</t>
  </si>
  <si>
    <t>Jumlah pertanyaan Tahap 3</t>
  </si>
  <si>
    <t>Batas Skor Min untuk Skor Tahap Penerapan 3</t>
  </si>
  <si>
    <t>Total Skor Tahap Penerapan 1 &amp; 2</t>
  </si>
  <si>
    <t>Status Peniliaian Tahap Penerapan 3</t>
  </si>
  <si>
    <t>x.K1.3+2.K2.4+x.K2.6+2.K3.6</t>
  </si>
  <si>
    <t>x.K1.3+2.K2.2+x.K2.4+1.K3.3+x.K3.6</t>
  </si>
  <si>
    <t>x.K1.3+2.K2.4+x.K2.6+x.K3.6</t>
  </si>
  <si>
    <t>&gt;x.K1.3+1.K2.4+x.K2.6+1.K3.6+x.K3.9</t>
  </si>
  <si>
    <t>s/d</t>
  </si>
  <si>
    <t>1.K3.2+1.K3.6+x.K3.3</t>
  </si>
  <si>
    <t>No</t>
  </si>
  <si>
    <t>Kesalahan definisi rumus (penggunaan acuan sel) pada Tab "VI Teknologi" sel E48 untuk menentukan pencapaian TK IV. Rumus asalnya: IF(AND(E44="Yes",E43&gt;=F46),"Yes","No") rumus yang benar =IF(AND(E43="Yes",E42&gt;=F46),"Yes","No")</t>
  </si>
  <si>
    <t>Versi</t>
  </si>
  <si>
    <t>Tanggal</t>
  </si>
  <si>
    <t>Keterangan perubahan</t>
  </si>
  <si>
    <t>Rilis pertama</t>
  </si>
  <si>
    <t>Penggunaan analisa Tingkat Kematangan</t>
  </si>
  <si>
    <t>Kesalahan definisi rumus penentuan Tingkat Kematangan</t>
  </si>
  <si>
    <t>5.10</t>
  </si>
  <si>
    <t>5.11</t>
  </si>
  <si>
    <t>5.12</t>
  </si>
  <si>
    <t>Apakah tersedia proses pengelolaan perubahan terhadap sistem, proses bisnis dan proses teknologi informasi (termasuk perubahan konfigurasi) yang diterapkan secara konsisten?</t>
  </si>
  <si>
    <t>Apakah tersedia mekanisme untuk mengelola dokumen kebijakan dan prosedur keamanan informasi, termasuk penggunaan daftar induk, distribusi, penarikan dari peredaran dan penyimpanannya?</t>
  </si>
  <si>
    <t>5.20</t>
  </si>
  <si>
    <t>Apakah tersedia proses untuk mengidentifikasi kondisi yang membahayakan keamanan infomasi dan menetapkannya sebagai insiden keamanan informasi untuk ditindak lanjuti sesuai prosedur yang diberlakukan?</t>
  </si>
  <si>
    <t>Apakah organisasi anda sudah membahas aspek keamanan informasi dalam manajemen proyek yang terkait dengan ruang lingkup?</t>
  </si>
  <si>
    <t>Apakah tersedia definisi klasifikasi aset informasi yang sesuai dengan peraturan perundangan yang berlaku?</t>
  </si>
  <si>
    <t>Peraturan penggunaan data pribadi yang mensyaratkan pemberian ijin tertulis oleh pemilik data pribadi</t>
  </si>
  <si>
    <t>Apakah sudah diterapkan pengamanan fasilitas fisik (lokasi kerja) yang sesuai dengan kepentingan/klasifikasi aset informasi, secara berlapis dan dapat mencegah upaya akses oleh pihak yang tidak berwenang?</t>
  </si>
  <si>
    <t>Apakah konstruksi ruang penyimpanan perangkat pengolah informasi penting menggunakan rancangan dan material yang dapat menanggulangi risiko kebakaran dan dilengkapi dengan fasilitas pendukung (deteksi kebakaran/asap, pemadam api, pengatur suhu dan kelembaban) yang sesuai?</t>
  </si>
  <si>
    <t>2.10</t>
  </si>
  <si>
    <t>2.11</t>
  </si>
  <si>
    <t>2.12</t>
  </si>
  <si>
    <t>2.13</t>
  </si>
  <si>
    <t>2.14</t>
  </si>
  <si>
    <t>2.15</t>
  </si>
  <si>
    <t>2.16</t>
  </si>
  <si>
    <t>2.17</t>
  </si>
  <si>
    <t>2.18</t>
  </si>
  <si>
    <t>2.19</t>
  </si>
  <si>
    <t>2.20</t>
  </si>
  <si>
    <t>2.21</t>
  </si>
  <si>
    <t>2.22</t>
  </si>
  <si>
    <t>3.16</t>
  </si>
  <si>
    <t>4.17</t>
  </si>
  <si>
    <t>4.18</t>
  </si>
  <si>
    <t>4.19</t>
  </si>
  <si>
    <t>4.25</t>
  </si>
  <si>
    <t>5.13</t>
  </si>
  <si>
    <t>5.14</t>
  </si>
  <si>
    <t>5.15</t>
  </si>
  <si>
    <t>5.16</t>
  </si>
  <si>
    <t>5.17</t>
  </si>
  <si>
    <t>5.18</t>
  </si>
  <si>
    <t>5.19</t>
  </si>
  <si>
    <t>5.21</t>
  </si>
  <si>
    <t>5.22</t>
  </si>
  <si>
    <t>5.23</t>
  </si>
  <si>
    <t>5.24</t>
  </si>
  <si>
    <t>5.25</t>
  </si>
  <si>
    <t>5.26</t>
  </si>
  <si>
    <t>5.27</t>
  </si>
  <si>
    <t>5.28</t>
  </si>
  <si>
    <t>5.29</t>
  </si>
  <si>
    <t>5.30</t>
  </si>
  <si>
    <t>5.31</t>
  </si>
  <si>
    <t>5.32</t>
  </si>
  <si>
    <t>5.33</t>
  </si>
  <si>
    <t>5.34</t>
  </si>
  <si>
    <t>5.35</t>
  </si>
  <si>
    <t>5.36</t>
  </si>
  <si>
    <t>5.37</t>
  </si>
  <si>
    <t>5.38</t>
  </si>
  <si>
    <t>6.25</t>
  </si>
  <si>
    <t>6.26</t>
  </si>
  <si>
    <t>8(1),5(2)</t>
  </si>
  <si>
    <t>4.K1.2+4.K1.1</t>
  </si>
  <si>
    <t>8.K1.2+5.K2.4</t>
  </si>
  <si>
    <t>10(1)</t>
  </si>
  <si>
    <t>14(1)</t>
  </si>
  <si>
    <t>Tinggi</t>
  </si>
  <si>
    <t>Strategis</t>
  </si>
  <si>
    <t>Batas Bawah</t>
  </si>
  <si>
    <t>Batas Atas</t>
  </si>
  <si>
    <t>A</t>
  </si>
  <si>
    <t>B</t>
  </si>
  <si>
    <t>C</t>
  </si>
  <si>
    <t>Data pribadi yang dikelola Sistem Elektronik
[A] Data pribadi yang memiliki hubungan dengan Data Pribadi lainnya 
[B] Data pribadi yang bersifat individu dan/atau data pribadi yang terkait dengan kepemilikan badan usaha
[C] Tidak ada data pribadi</t>
  </si>
  <si>
    <t>KategoriSE</t>
  </si>
  <si>
    <t>Bagian I: Kategori Sistem Elektronik</t>
  </si>
  <si>
    <t>Bagian ini mengevaluasi tingkat atau kategori sistem elektronik yang digunakan</t>
  </si>
  <si>
    <t>Skor penetapan Kategori Sistem Elektronik</t>
  </si>
  <si>
    <t>8(1),3(2)</t>
  </si>
  <si>
    <t>4(1),6(2),3(3)</t>
  </si>
  <si>
    <t>5(2),4(3)</t>
  </si>
  <si>
    <t>11(2)</t>
  </si>
  <si>
    <t>Tingkat Kelengkapan Penerapan Standar ISO27001 sesuai Kategori SE</t>
  </si>
  <si>
    <t>Kategori SE</t>
  </si>
  <si>
    <t>Skor Kategori SE</t>
  </si>
  <si>
    <r>
      <t xml:space="preserve">Pengelompokan kedua dilakukan berdasarkan tingkat </t>
    </r>
    <r>
      <rPr>
        <b/>
        <sz val="10"/>
        <rFont val="Verdana"/>
        <family val="2"/>
      </rPr>
      <t>kematangan</t>
    </r>
    <r>
      <rPr>
        <sz val="10"/>
        <rFont val="Verdana"/>
        <family val="2"/>
      </rPr>
      <t xml:space="preserve"> penerapan pengamanan dengan kategorisasi yang mengacu kepada tingkatan kematangan yang digunakan oleh keangka kerja COBIT atau CMMI. Tingkat kematangan ini nantinya akan digunakan sebagai alat untuk melaporkan pemetaan dan pemeringkatan kesiapan keamanan informasi di Kementerian/Lembaga. 
Untuk keperluan Indeks KAMI, tingkat kematangan tersebut didefinisikan sebagai:
- Tingkat I - Kondisi Awal
- Tingkat II - Penerapan Kerangka Kerja Dasar
- Tingkat III - Terdefinisi dan Konsisten
- Tingkat IV - Terkelola dan Terukur
- Tingkat V - Optimal
Untuk membantu memberikan uraian yang lebih detil, tingkatan ini ditambah dengan tingkatan antara - I+, II+, III+, dan IV+, sehingga total terdapat 9 tingkatan kematangan. Sebagai awal, semua responden akan diberikan kategori kematangan Tingkat I.  Sebagai padanan terhadap standar ISO/IEC 2700:2013, tingkat kematangan yang diharapkan untuk ambang batas minimum kesiapan sertifikasi adalah Tingkat III+.</t>
    </r>
  </si>
  <si>
    <t>Nilai investasi sistem elektronik yang terpasang
[A] Lebih dari Rp.30 Miliar 
[B] Lebih dari Rp.3 Miliar s/d Rp.30 Miliar 
[C] Kurang dari Rp.3 Miliar</t>
  </si>
  <si>
    <t>Total anggaran operasional tahunan yang dialokasikan untuk pengelolaan Sistem Elektronik
[A] Lebih dari Rp.10 Miliar
[B] Lebih dari Rp.1 Miliar s/d Rp.10 Miliar 
[C] Kurang dari Rp.1 Miliar</t>
  </si>
  <si>
    <t>Memiliki kewajiban kepatuhan terhadap Peraturan atau Standar tertentu
[A] Peraturan atau Standar nasional dan internasional 
[B] Peraturan atau Standar nasional 
[C] Tidak ada Peraturan khusus</t>
  </si>
  <si>
    <t>Jumlah pengguna Sistem Elektronik
[A] Lebih dari 5.000 pengguna 
[B] 1.000 sampai dengan 5.000 pengguna 
[C] Kurang dari 1.000 pengguna</t>
  </si>
  <si>
    <t>Tingkat klasifikasi/kekritisan Data yang ada dalam Sistem Elektronik, relatif terhadap ancaman upaya penyerangan atau penerobosan keamanan informasi
[A] Sangat Rahasia
[B] Rahasia dan/ atau Terbatas 
[C] Biasa</t>
  </si>
  <si>
    <r>
      <t>[Kategori Sistem Elektronik]</t>
    </r>
    <r>
      <rPr>
        <sz val="11"/>
        <color indexed="8"/>
        <rFont val="Arial"/>
        <family val="2"/>
      </rPr>
      <t xml:space="preserve"> Rendah; Tinggi; Strategis </t>
    </r>
  </si>
  <si>
    <t xml:space="preserve">Apakah jaringan, sistem dan aplikasi yang digunakan secara rutin dipindai untuk mengidentifikasi kemungkinan adanya celah kelemahan atau perubahan/keutuhan konfigurasi? </t>
  </si>
  <si>
    <t>Apakah tersedia konfigurasi standar untuk keamanan sistem bagi keseluruhan aset jaringan, sistem dan aplikasi, yang dimutakhirkan sesuai perkembangan (standar industri yang berlaku) dan kebutuhan?</t>
  </si>
  <si>
    <t xml:space="preserve">Apakah keseluruhan infrastruktur jaringan, sistem dan aplikasi dirancang untuk memastikan ketersediaan (rancangan redundan) sesuai kebutuhan/persyaratan yang ada? </t>
  </si>
  <si>
    <t xml:space="preserve">Apakah keseluruhan infrastruktur jaringan, sistem dan aplikasi dimonitor untuk memastikan ketersediaan kapasitas yang cukup untuk kebutuhan yang ada? </t>
  </si>
  <si>
    <t>Apakah keseluruhan jaringan, sistem dan aplikasi sudah menggunakan mekanisme sinkronisasi waktu yang akurat, sesuai dengan standar yang ada?</t>
  </si>
  <si>
    <t>Indeks Keamanan Informasi 
(Indeks KAMI)</t>
  </si>
  <si>
    <t xml:space="preserve">Apakah tanggungjawab pengelolaan keamanan informasi mencakup koordinasi dengan pihak pengelola/pengguna aset informasi internal dan eksternal maupun pihak lain yang berkepentingan, untuk mengidentifikasikan persyaratan/kebutuhan pengamanan (misal: pertukaran informasi atau kerjasama yang melibatkan informasi penting) dan menyelesaikan permasalahan yang ada? </t>
  </si>
  <si>
    <t>Apakah pengelola keamanan informasi secara proaktif berkoordinasi dengan satker terkait (SDM, Legal/Hukum, Umum, Keuangan dll) dan pihak eksternal yang berkepentingan (misal: regulator, aparat keamanan) untuk menerapkan dan menjamin kepatuhan pengamanan informasi terkait proses kerja yang melibatkan berbagai pihak?</t>
  </si>
  <si>
    <t xml:space="preserve">Apakah langkah mitigasi risiko disusun sesuai tingkat prioritas dengan target penyelesaiannya dan penanggungjawabnya, dengan memastikan efektifitas penggunaan sumber daya yang dapat menurunkan tingkat risiko ke ambang batas yang bisa diterima dengan meminimalisir dampak terhadap operasional layanan TIK?  </t>
  </si>
  <si>
    <t>Apakah penyelesaian langkah mitigasi yang sudah diterapkan dievaluasi, melalui proses yang obyektif/terukur untuk memastikan konsistensi dan efektifitasnya?</t>
  </si>
  <si>
    <t>Apakah kebijakan keamanan informasi sudah ditetapkan secara formal, dipublikasikan kepada semua staf/karyawan termasuk pihak terkait dan dengan mudah diakses oleh pihak yang membutuhkannya?</t>
  </si>
  <si>
    <t xml:space="preserve">Apakah tersedia proses (mencakup pelaksana, mekanisme, jadwal, materi, dan sasarannya) untuk mengkomunikasikan kebijakan keamanan informasi (dan perubahannya) kepada semua pihak terkait, termasuk pihak ketiga? </t>
  </si>
  <si>
    <t xml:space="preserve">Apakah aspek keamanan informasi yang mencakup pelaporan insiden, menjaga kerahasiaan, HAKI, tata tertib penggunaan dan pengamanan aset maupun layanan TIK tercantum dalam kontrak dengan pihak ketiga? </t>
  </si>
  <si>
    <r>
      <t xml:space="preserve">Apakah organisasi anda sudah menerapkan proses pengembangan sistem yang aman </t>
    </r>
    <r>
      <rPr>
        <i/>
        <sz val="11"/>
        <color indexed="8"/>
        <rFont val="Arial"/>
        <family val="2"/>
      </rPr>
      <t>(Secure SDLC)</t>
    </r>
    <r>
      <rPr>
        <sz val="11"/>
        <color indexed="8"/>
        <rFont val="Arial"/>
        <family val="2"/>
      </rPr>
      <t xml:space="preserve"> dengan menggunakan prinsip atau metode sesuai standar platform teknologi yang digunakan?</t>
    </r>
  </si>
  <si>
    <t>Apakah organisasi anda secara periodik menguji dan mengevaluasi tingkat/status kepatuhan program keamanan informasi yang ada (mencakup pengecualian atau kondisi ketidakpatuhan lainnya) untuk memastikan bahwa keseluruhan inisiatif tersebut, termasuk langkah pembenahan yang diperlukan, telah diterapkan secara efektif?</t>
  </si>
  <si>
    <r>
      <t>Pengelolaan identitas elektronik dan proses otentikasi (</t>
    </r>
    <r>
      <rPr>
        <i/>
        <sz val="11"/>
        <color indexed="8"/>
        <rFont val="Arial"/>
        <family val="2"/>
      </rPr>
      <t>username</t>
    </r>
    <r>
      <rPr>
        <sz val="11"/>
        <color indexed="8"/>
        <rFont val="Arial"/>
        <family val="2"/>
      </rPr>
      <t xml:space="preserve"> &amp; </t>
    </r>
    <r>
      <rPr>
        <i/>
        <sz val="11"/>
        <color indexed="8"/>
        <rFont val="Arial"/>
        <family val="2"/>
      </rPr>
      <t>password</t>
    </r>
    <r>
      <rPr>
        <sz val="11"/>
        <color indexed="8"/>
        <rFont val="Arial"/>
        <family val="2"/>
      </rPr>
      <t>) termasuk kebijakan terhadap pelanggarannya</t>
    </r>
  </si>
  <si>
    <r>
      <t xml:space="preserve">Prosedur untuk </t>
    </r>
    <r>
      <rPr>
        <i/>
        <sz val="11"/>
        <color indexed="8"/>
        <rFont val="Arial"/>
        <family val="2"/>
      </rPr>
      <t>user</t>
    </r>
    <r>
      <rPr>
        <sz val="11"/>
        <color indexed="8"/>
        <rFont val="Arial"/>
        <family val="2"/>
      </rPr>
      <t xml:space="preserve"> yang mutasi/keluar atau tenaga kontrak/</t>
    </r>
    <r>
      <rPr>
        <i/>
        <sz val="11"/>
        <color indexed="8"/>
        <rFont val="Arial"/>
        <family val="2"/>
      </rPr>
      <t>outsource</t>
    </r>
    <r>
      <rPr>
        <sz val="11"/>
        <color indexed="8"/>
        <rFont val="Arial"/>
        <family val="2"/>
      </rPr>
      <t xml:space="preserve"> yang habis masa kerjanya.</t>
    </r>
  </si>
  <si>
    <r>
      <t>Apakah tersedia daftar data/informasi yang harus di-</t>
    </r>
    <r>
      <rPr>
        <i/>
        <sz val="11"/>
        <color indexed="8"/>
        <rFont val="Arial"/>
        <family val="2"/>
      </rPr>
      <t>backup</t>
    </r>
    <r>
      <rPr>
        <sz val="11"/>
        <color indexed="8"/>
        <rFont val="Arial"/>
        <family val="2"/>
      </rPr>
      <t xml:space="preserve"> dan laporan analisa kepatuhan terhadap prosedur </t>
    </r>
    <r>
      <rPr>
        <i/>
        <sz val="11"/>
        <color indexed="8"/>
        <rFont val="Arial"/>
        <family val="2"/>
      </rPr>
      <t>backup-</t>
    </r>
    <r>
      <rPr>
        <sz val="11"/>
        <color indexed="8"/>
        <rFont val="Arial"/>
        <family val="2"/>
      </rPr>
      <t>nya?</t>
    </r>
  </si>
  <si>
    <t>Apakah adanya laporan penyerangan virus/malware yang gagal/sukses ditindaklanjuti dan diselesaikan?</t>
  </si>
  <si>
    <r>
      <t xml:space="preserve">Apakah ada rekaman dan hasil analisa (jejak audit - </t>
    </r>
    <r>
      <rPr>
        <i/>
        <sz val="11"/>
        <color indexed="8"/>
        <rFont val="Arial"/>
        <family val="2"/>
      </rPr>
      <t>audit trail</t>
    </r>
    <r>
      <rPr>
        <sz val="11"/>
        <color indexed="8"/>
        <rFont val="Arial"/>
        <family val="2"/>
      </rPr>
      <t>) yang mengkonfirmasi bahwa antivirus/antimalware telah dimutakhirkan secara rutin dan sistematis?</t>
    </r>
  </si>
  <si>
    <t>3.0</t>
  </si>
  <si>
    <t>Penyesuaian dengan perubahan kontrol di ISO/IEC 27001:2013 dan penggunaan Kategori Sistem Elektronikyang didefinisikan oleh RPM SMPI</t>
  </si>
  <si>
    <t>Ilustrasi di bawah menunjukkan label pengelompokan kematangan (kolom di sebelah kanan nomor urut) dan kelengkapan (kolom di sebelah kiri pertanyaan).</t>
  </si>
  <si>
    <t>Tk Kematangan:</t>
  </si>
  <si>
    <t>Baik</t>
  </si>
  <si>
    <t>Hijau Muda</t>
  </si>
  <si>
    <t>20(1),6(2)</t>
  </si>
  <si>
    <t>Hasil Evaluasi Akhir:</t>
  </si>
  <si>
    <t>Pemisahan kategori Cukup/Baik - menjadi 2 kategori terpisah</t>
  </si>
  <si>
    <t xml:space="preserve">Dengan membaca diagram ini, pimpinan instansi dapat melihat kebutuhan pembenahan yang diperlukan dan korelasi antara berbagai area penerapan keamanan informasi. Adapun korelasi antara Kategori Sistem Elektronik dengan Status Kesiapan didefinisikan melalui tabel berikut:
</t>
  </si>
  <si>
    <r>
      <t xml:space="preserve">Bentuk evaluasi yang diterapkan dalam indeks KAMI dirancang untuk dapat digunakan oleh suatu organisasi dari berbagai tingkatan, ukuran, maupun tingkat kepentingan penggunaan TIK dalam mendukung terlaksananya proses yang ada. Data yang digunakan dalam evaluasi ini nantinya akan memberikan </t>
    </r>
    <r>
      <rPr>
        <i/>
        <sz val="11"/>
        <rFont val="Arial"/>
        <family val="2"/>
      </rPr>
      <t>snapshot</t>
    </r>
    <r>
      <rPr>
        <sz val="11"/>
        <rFont val="Arial"/>
        <family val="2"/>
      </rPr>
      <t xml:space="preserve"> indeks kesiapan - dari aspek kelengkapan maupun kematangan - kerangka kerja keamanan informasi yang diterapkan dan dapat digunakan sebagai pembanding dalam rangka menyusun langkah perbaikan dan penetapan prioritasnya. 
</t>
    </r>
  </si>
  <si>
    <t>Khusus untuk Instansi Pemerintah, penggunaan dan publikasi hasil evaluasi Indeks KAMI merupakan bentuk tanggungjawab penggunaan dana publik sekaligus menjadi sarana untuk meningkatkan kesadaran mengenai kebutuhan keamanan informasi. Pertukaran informasi dan diskusi dengan Instansi pemerintah lainnya sebagai bagian dari penggunaan alat evaluasi Indeks KAMI ini juga menciptakan alur komunikasi antar pengelola keamanan informasi di sektor pemerintah sehingga semua pihak dapat mengambil manfaat dari lesson learned yang sudah dilalui.</t>
  </si>
  <si>
    <t>Pengisi Lembar Evaluasi</t>
  </si>
  <si>
    <t>Jabatan Struktural/Fungsional</t>
  </si>
  <si>
    <t>Apakah tersedia daftar inventaris aset informasi dan aset yang berhubungan dengan proses teknologi informasi secara lengkap, akurat dan terpelihara ? (termasuk kepemilikan aset )</t>
  </si>
  <si>
    <t>Apakah kondisi terkait denda / penalti karena ketidakpatuhan pihak ketiga terhadap persyaratan dan / atau tingkat layanan telah didokumentasikan, dikomunikasikan, dipahami dan diterapkan?</t>
  </si>
  <si>
    <t>Apakah risiko yang menyertai perubahan tersebut dikaji, didokumentasikan dan ditetapkan rencana mitigasi barunya?</t>
  </si>
  <si>
    <t>Penanganan Aset</t>
  </si>
  <si>
    <t>Bagian VII: Suplemen</t>
  </si>
  <si>
    <r>
      <t>[Penilaian]</t>
    </r>
    <r>
      <rPr>
        <sz val="11"/>
        <color indexed="8"/>
        <rFont val="Arial"/>
        <family val="2"/>
      </rPr>
      <t xml:space="preserve"> Tidak Dilakukan; Dalam Perencanaan; Dalam Penerapan atau Diterapkan Sebagian; Diterapkan Secara Menyeluruh </t>
    </r>
  </si>
  <si>
    <t>Apakah tersedia laporan berkala tentang pencapaian sasaran tingkat layanan (SLA) dan aspek keamanan yang disyaratkan dalam perjanjian komersil (kontrak)?</t>
  </si>
  <si>
    <r>
      <t>Pengamanan Layanan Infrastruktur Awan (</t>
    </r>
    <r>
      <rPr>
        <b/>
        <i/>
        <sz val="11"/>
        <color theme="0"/>
        <rFont val="Arial"/>
        <family val="2"/>
      </rPr>
      <t>Cloud Service</t>
    </r>
    <r>
      <rPr>
        <b/>
        <sz val="11"/>
        <color theme="0"/>
        <rFont val="Arial"/>
        <family val="2"/>
      </rPr>
      <t>)</t>
    </r>
  </si>
  <si>
    <t>Perlindungan Data Pribadi</t>
  </si>
  <si>
    <t>Nama Staf atau Pejabat</t>
  </si>
  <si>
    <t>Isi dengan deskripsi ruang lingkup struktur organisasi (Departemen, Bagian atau Satuan Kerja) dan infrastruktur TIK</t>
  </si>
  <si>
    <t>7.1.1.1</t>
  </si>
  <si>
    <t>7.1.1.2</t>
  </si>
  <si>
    <t>7.1.1.3</t>
  </si>
  <si>
    <t>7.1.1.4</t>
  </si>
  <si>
    <t>7.2.1</t>
  </si>
  <si>
    <t>7.2.2</t>
  </si>
  <si>
    <t>7.2.3</t>
  </si>
  <si>
    <t>7.2.4</t>
  </si>
  <si>
    <t>7.2.5</t>
  </si>
  <si>
    <t>7.2.6</t>
  </si>
  <si>
    <t>7.2.7</t>
  </si>
  <si>
    <t>7.2.8</t>
  </si>
  <si>
    <t>7.2.9</t>
  </si>
  <si>
    <t>7.2.10</t>
  </si>
  <si>
    <t>7.1.1.5</t>
  </si>
  <si>
    <t>7.1.1.6</t>
  </si>
  <si>
    <t>7.1.1.7</t>
  </si>
  <si>
    <t>7.1.1</t>
  </si>
  <si>
    <t>Pengamanan Keterlibatan Pihak Ketiga</t>
  </si>
  <si>
    <t xml:space="preserve">Menggunakan teknik kriptografi khusus untuk keamanan informasi dalam Sistem Elektronik
[A] Teknik kriptografi khusus yang disertifikasi oleh Negara  
[B] Teknik kriptografi sesuai standar industri, tersedia secara publik atau dikembangkan sendiri
[C] Tidak ada penggunaan teknik kriptografi </t>
  </si>
  <si>
    <t xml:space="preserve">Dampak dari kegagalan Sistem Elektronik
[A] Tidak tersedianya layanan publik berskala nasional atau membahayakan pertahanan keamanan negara 
[B] Tidak tersedianya layanan publik dalam 1 propinsi atau lebih 
[C] Tidak tersedianya layanan publik dalam 1 kabupaten/kota atau lebih </t>
  </si>
  <si>
    <t>7.1.2</t>
  </si>
  <si>
    <t>7.1.2.1</t>
  </si>
  <si>
    <t>7.1.2.2</t>
  </si>
  <si>
    <t>7.1.2.3</t>
  </si>
  <si>
    <t>7.1.3</t>
  </si>
  <si>
    <t>7.1.3.1</t>
  </si>
  <si>
    <t>7.1.3.2</t>
  </si>
  <si>
    <t>7.1.3.3</t>
  </si>
  <si>
    <t>7.1.3.4</t>
  </si>
  <si>
    <t>7.1.3.5</t>
  </si>
  <si>
    <t>7.1.3.6</t>
  </si>
  <si>
    <t>7.1.3.7</t>
  </si>
  <si>
    <t>7.1.3.8</t>
  </si>
  <si>
    <t>7.1.4</t>
  </si>
  <si>
    <t>7.1.4.1</t>
  </si>
  <si>
    <t>7.1.4.2</t>
  </si>
  <si>
    <t>7.1.5</t>
  </si>
  <si>
    <t>7.1.5.1</t>
  </si>
  <si>
    <t>7.1.5.2</t>
  </si>
  <si>
    <t>7.3.1</t>
  </si>
  <si>
    <t>7.3.2</t>
  </si>
  <si>
    <t>7.3.3</t>
  </si>
  <si>
    <t>7.3.4</t>
  </si>
  <si>
    <t>7.3.5</t>
  </si>
  <si>
    <t>7.3.6</t>
  </si>
  <si>
    <t>7.3.7</t>
  </si>
  <si>
    <t>7.3.8</t>
  </si>
  <si>
    <t>7.3.9</t>
  </si>
  <si>
    <t>7.3.10</t>
  </si>
  <si>
    <t>7.3.11</t>
  </si>
  <si>
    <t>7.3.12</t>
  </si>
  <si>
    <t>7.3.13</t>
  </si>
  <si>
    <t>7.3.14</t>
  </si>
  <si>
    <t>7.3.15</t>
  </si>
  <si>
    <t>Skor</t>
  </si>
  <si>
    <t>:</t>
  </si>
  <si>
    <t>Pengamanan Layanan Infrastruktur Awan</t>
  </si>
  <si>
    <t>7.1.6</t>
  </si>
  <si>
    <t>7.1.6.1</t>
  </si>
  <si>
    <t>7.1.6.2</t>
  </si>
  <si>
    <t>7.1.7</t>
  </si>
  <si>
    <t>7.1.7.1</t>
  </si>
  <si>
    <t>7.1.7.2</t>
  </si>
  <si>
    <t>7.1.7.3</t>
  </si>
  <si>
    <t>7.3.16</t>
  </si>
  <si>
    <t>Apakah mekanisme perlindungan data pribadi sudah diterapkan sesuai keperluan mitigasi risiko dan peraturan perundangan yang berlaku?</t>
  </si>
  <si>
    <t>Bagian ini mengevaluasi kesiapan bentuk tata kelola keamanan informasi beserta instansi/perusahaan/fungsi, tugas dan tanggung jawab pengelola keamanan informasi.</t>
  </si>
  <si>
    <t xml:space="preserve">Apakah pimpinan instansi/perusahaan anda secara prinsip dan resmi bertanggungjawab terhadap pelaksanaan program keamanan informasi (misal yang tercantum dalam ITSP), termasuk penetapan kebijakan terkait? </t>
  </si>
  <si>
    <t xml:space="preserve">Apakah instansi/perusahaan anda memiliki fungsi atau bagian yang secara spesifik mempunyai tugas dan tanggungjawab mengelola keamanan informasi dan menjaga kepatuhannya? </t>
  </si>
  <si>
    <t>Apakah instansi/perusahaan anda sudah mendefinisikan persyaratan/standar kompetensi dan keahlian pelaksana pengelolaan keamanan informasi?</t>
  </si>
  <si>
    <t xml:space="preserve">Apakah semua pelaksana pengamanan informasi di instansi/perusahaan anda memiliki kompetensi dan keahlian yang memadai sesuai persyaratan/standar yang berlaku? </t>
  </si>
  <si>
    <t>Apakah instansi/perusahaan anda sudah menerapkan program sosialisasi dan peningkatan pemahaman untuk keamanan informasi, termasuk kepentingan kepatuhannya bagi semua pihak yang terkait?</t>
  </si>
  <si>
    <t xml:space="preserve">Apakah instansi/perusahaan anda menerapkan program peningkatan kompetensi dan keahlian untuk pejabat dan petugas pelaksana pengelolaan keamanan informasi? </t>
  </si>
  <si>
    <t>Apakah instansi/perusahaan anda sudah mengintegrasikan keperluan/persyaratan keamanan informasi dalam proses kerja yang ada?</t>
  </si>
  <si>
    <t>Apakah instansi/perusahaan anda sudah mengidentifikasikan data pribadi yang digunakan dalam proses kerja dan menerapkan pengamanan sesuai dengan peraturan perundangan yang berlaku?</t>
  </si>
  <si>
    <t>Apakah penanggungjawab pengelolaan keamanan informasi melaporkan kondisi, kinerja/efektifitas dan kepatuhan program keamanan informasi kepada pimpinan instansi/perusahaan secara rutin dan resmi?</t>
  </si>
  <si>
    <t>Apakah pimpinan satuan kerja di instansi/perusahaan anda menerapkan program khusus untuk mematuhi tujuan dan sasaran kepatuhan pengamanan informasi, khususnya yang mencakup aset informasi yang menjadi tanggungjawabnya?</t>
  </si>
  <si>
    <t>Apakah instansi/perusahaan anda sudah mendefinisikan metrik, paramater dan proses pengukuran kinerja pengelolaan keamanan informasi yang mencakup mekanisme, waktu pengukuran, pelaksananya, pemantauannya dan eskalasi pelaporannya?</t>
  </si>
  <si>
    <t>Apakah instansi/perusahaan anda sudah menerapkan program penilaian kinerja pengelolaan keamanan informasi bagi individu (pejabat &amp; petugas) pelaksananya?</t>
  </si>
  <si>
    <t>Apakah instansi/perusahaan anda sudah menerapkan target dan sasaran pengelolaan keamanan informasi untuk berbagai area yang relevan, mengevaluasi pencapaiannya secara rutin, menerapkan langkah perbaikan untuk mencapai sasaran yang ada, termasuk pelaporan statusnya kepada pimpinan instansi/perusahaan?</t>
  </si>
  <si>
    <t>Apakah instansi/perusahaan anda sudah mengidentifikasi legislasi, perangkat hukum dan standar lainnya terkait keamanan informasi yang harus dipatuhi dan menganalisa tingkat kepatuhannya?</t>
  </si>
  <si>
    <t>Apakah instansi/perusahaan anda sudah mendefinisikan kebijakan dan langkah penanggulangan insiden keamanan informasi yang menyangkut pelanggaran hukum (pidana dan perdata)?</t>
  </si>
  <si>
    <t xml:space="preserve">Apakah instansi/perusahaan anda mempunyai program kerja pengelolaan risiko keamanan informasi yang terdokumentasi dan secara resmi digunakan? </t>
  </si>
  <si>
    <t>Apakah instansi/perusahaan anda sudah menetapkan penanggung jawab manajemen risiko dan eskalasi pelaporan status pengelolaan risiko keamanan informasi sampai ke tingkat pimpinan?</t>
  </si>
  <si>
    <t>Apakah instansi/perusahaan anda mempunyai kerangka kerja pengelolaan risiko keamanan informasi yang terdokumentasi dan secara resmi digunakan?</t>
  </si>
  <si>
    <t>Apakah kerangka kerja pengelolaan risiko ini mencakup definisi dan hubungan tingkat klasifikasi aset informasi, tingkat ancaman, kemungkinan terjadinya ancaman tersebut dan dampak kerugian terhadap instansi/perusahaan anda?</t>
  </si>
  <si>
    <t>Apakah instansi/perusahaan anda sudah menetapkan ambang batas tingkat risiko yang dapat diterima?</t>
  </si>
  <si>
    <t xml:space="preserve">Apakah instansi/perusahaan anda sudah menjalankan inisiatif analisa/kajian risiko keamanan informasi secara terstruktur terhadap aset informasi yang ada (untuk nantinya digunakan dalam mengidentifikasi langkah mitigasi atau penanggulangan yang menjadi bagian dari program pengelolaan keamanan informasi)? </t>
  </si>
  <si>
    <t xml:space="preserve">Apakah instansi/perusahaan anda sudah menyusun langkah mitigasi dan penanggulangan risiko yang ada? </t>
  </si>
  <si>
    <t xml:space="preserve">Apakah keseluruhan kebijakan dan prosedur keamanan informasi yang ada merefleksikan kebutuhan mitigasi dari hasil kajian risiko keamanan informasi, maupun sasaran/obyetif tertentu yang ditetapkan oleh pimpinan instansi/perusahaan? </t>
  </si>
  <si>
    <t>Apakah tersedia proses yang mengevaluasi dan mengklasifikasi aset informasi sesuai tingkat kepentingan aset bagi instansi/perusahaan dan keperluan pengamanannya?</t>
  </si>
  <si>
    <t>Apakah instansi/perusahaan anda memiliki dan menerapkan kontrol keamanan di bawah ini, sebagai kelanjutan dari proses penerapan mitigasi risiko?</t>
  </si>
  <si>
    <t>Definisi tanggungjawab pengamanan informasi secara individual untuk semua personil di instansi/perusahaan anda</t>
  </si>
  <si>
    <t>Tata tertib pengamanan dan penggunaan aset instansi/perusahaan terkait HAKI</t>
  </si>
  <si>
    <t>Peraturan terkait instalasi piranti lunak di aset TI milik instansi/perusahaan</t>
  </si>
  <si>
    <t>Apakah tersedia peraturan pengamanan perangkat komputasi milik instansi/perusahaan anda apabila digunakan di luar lokasi kerja resmi (kantor)?</t>
  </si>
  <si>
    <t>Apakah tersedia proses untuk mengamankan lokasi kerja dari keberadaan/kehadiran pihak ketiga yang bekerja untuk kepentingan instansi/perusahaan anda?</t>
  </si>
  <si>
    <t>Apakah jaringan komunikasi disegmentasi sesuai dengan kepentingannya (pembagian instansi/perusahaan, kebutuhan aplikasi, jalur akses khusus, dll)?</t>
  </si>
  <si>
    <t>Apakah instansi/perusahaan anda secara rutin menganalisa kepatuhan penerapan konfigurasi standar yang ada?</t>
  </si>
  <si>
    <t xml:space="preserve">Apakah instansi/perusahaan anda menerapkan enkripsi untuk melindungi aset informasi penting sesuai kebijakan pengelolaan yang ada? </t>
  </si>
  <si>
    <t>Apakah instansi/perusahaan anda mempunyai standar dalam menggunakan enkripsi?</t>
  </si>
  <si>
    <t>Apakah instansi/perusahaan anda menerapkan pengamanan untuk mengelola kunci enkripsi (termasuk sertifikat elektronik) yang digunakan, termasuk siklus penggunaannya?</t>
  </si>
  <si>
    <t xml:space="preserve">Apakah instansi/perusahaan anda menerapkan pengamanan untuk mendeteksi dan mencegah penggunaan akses jaringan (termasuk jaringan nirkabel) yang tidak resmi? </t>
  </si>
  <si>
    <t>Apakah instansi/perusahaan anda menerapkan bentuk pengamanan khusus untuk melindungi akses dari luar instansi/perusahaan?</t>
  </si>
  <si>
    <t>Apakah instansi/perusahaan anda melibatkan pihak independen untuk mengkaji kehandalan keamanan informasi secara rutin?</t>
  </si>
  <si>
    <t>Apakah instansi/perusahaan sudah memetakan alur pemrosesan data di internal dan pertukaran data dengan pihak eksternal, termasuk kapan dan dimana data pribadi tersebut diperoleh?</t>
  </si>
  <si>
    <t>Apakah proses terkait penyimpanan, pengolahan dan pertukaran data pribadi di instansi/perusahaan sudah didokumentasikan?</t>
  </si>
  <si>
    <t xml:space="preserve">Apakah instansi/perusahaan sudah menganalisa dampak terkait terungkapnya data pribadi yang disimpan, diolah dan dipertukarkan secara ilegal atau karena insiden lain? </t>
  </si>
  <si>
    <t>Apakah kajian risiko keamanan pada instansi/perusahaan sudah memasukkan aspek Perlindungan Data Pribadi?</t>
  </si>
  <si>
    <t>Apakah instansi/perusahaan sudah mendapatkan persetujuan dari pemilik data pribadi saat mengambil data tersebut, termasuk penjelasan hak pemilik data, apa saja yang akan diberlakukan pada data pribadi tersebut dan menyimpan catatan persetujuan tersebut ?</t>
  </si>
  <si>
    <t>Apakah instansi/perusahaan sudah memiliki proses untuk melaporkan insiden terkait terungkapnya data pribadi?</t>
  </si>
  <si>
    <t xml:space="preserve">Apakah instansi/perusahaan sudah menerapkan proses yang menjamin hak pemilik data pribadi untuk mengakses data tersebut? </t>
  </si>
  <si>
    <t xml:space="preserve">Apakah instansi/perusahaan sudah menerapkan proses yang terkait dapat memastikan data pribadi  tersebut akurat dan termutakhirkan?  </t>
  </si>
  <si>
    <t>Apakah instansi/perusahaan sudah menerapkan proses terkait pengungkapan data pribadi atas permintaan resmi aparat penegak hukum?</t>
  </si>
  <si>
    <t>Pemenuhan Kerangka Kerja Dasar</t>
  </si>
  <si>
    <t>Cukup Baik</t>
  </si>
  <si>
    <t>Suplemen</t>
  </si>
  <si>
    <t>Potensi kerugian atau dampak negatif dari insiden ditembusnya keamanan informasi Sistem Elektronik (sabotase, terorisme)
[A] Menimbulkan korban jiwa 
[B] Terbatas pada kerugian finansial 
[C] Mengakibatkan gangguan operasional sementara (tidak membahayakan dan mengakibatkan kerugian finansial)</t>
  </si>
  <si>
    <t xml:space="preserve">Perkembangan teknologi yang pesat dan pola bisnis yang dinamis menyebabkan munculnya risiko keamanan informasi baru. Keterlibatan pihak ketiga dalam rantai pasok (supply chain) layanan suatu instansi/perusahaan menimbulkan risiko terkait keberadaan/keterlibatan pihak eksternal tersebut. Layanan berbasis infrastruktur awan (Cloud) memberikan peluang efisiensi dan peningkatan kinerja yang sangat signifikan bagi instansi/perusahaan, akan tetapi risiko terkait data yang berada pada pengendalian pihak ketiha (penyelenggara layanan) perlu dimitgasi. Sedangkan disahkannya peraturan terkait perlindungan data pribadi oleh banyak negara memerlukan kerangka kerja yang secara spesifik membahas bagaimana data pribadi yang ada/digunakan dalam instansi/perusahaan diamankan sesuai dengan persyaratan hukum.   
</t>
  </si>
  <si>
    <t xml:space="preserve">Untuk menilai kesiapan instansi/perusahaan dalam mengelola risiko di 3 (tiga) area baru ini, pada revisi 4.0 disediakan modul suplemen yang membahas aspek kesiapan pengamanan untuk ketiga aspek tersebut.
Penggunaan modul suplemen untuk evaluasi kesiapan Pengamanan Keterlibatan Pihak Ketiga, Pengamanan Layanan Infrastrukutur Awan dan Perlindungan Data Pribadi digunakan sesuai konteks atau cakupan yang ada. Responden hanya perlu menjawab area evaluasi yang berlaku.
</t>
  </si>
  <si>
    <t xml:space="preserve">Butir-butir evaluasi kesiapan pengamanan yang disusun untuk setiap area merupakan persyaratan dasar yang bagi instansi/perusahaan yang terpapar risiko terkait ketiga area tersebut.
</t>
  </si>
  <si>
    <t>Pengelolaan Sub-Kontraktor/Alih Daya pada Pihak Ketiga</t>
  </si>
  <si>
    <t>Apakah pihak ketiga sudah menerapkan pengendalian risikonya dalam perjanjian dengan mereka atau dokumen sejenis?</t>
  </si>
  <si>
    <t>Pengamanan Keterlibatan Pihak Ketiga Penyedia Layanan</t>
  </si>
  <si>
    <t>Apakah instansi/perusahaan mengidentifikasi risiko keamanan informasi yang ada terkait dengan kerjasama dengan pihak ketiga atau karyawan kontrak?</t>
  </si>
  <si>
    <t>Apakah instansi/perusahaan mengkomunikasikan dan mengklarifikasi risiko keamanan informasi yang ada pada pihak ketiga kepada mereka?</t>
  </si>
  <si>
    <t>Apakah instansi/perusahaan mengklarifikasi persyaratan mitigasi risiko instansi/perusahaan dan ekspektasi mitigasi risiko yang harus dipatuhi oleh pihak ketiga?</t>
  </si>
  <si>
    <t>Apakah rencana mitigasi terhadap risiko yang diidentifikasi tersebut disetujui oleh manajemen pihak ketiga atau karyawan kontrak?</t>
  </si>
  <si>
    <t>Manajemen Risiko dan Pengelolaan Keamanan pihak ketiga</t>
  </si>
  <si>
    <t>Apakah instansi/perusahaan telah menerapkan kebijakan keamanan informasi bagi pihak ketiga secara memadai, mencakup persyaratan pengendalian akses, penghancuran informasi,  manajemen risiko penyediaan layanan pihak ketiga, dan NDA bagi karyawan pihak ketiga?</t>
  </si>
  <si>
    <t>Apakah peran dan tanggung jawab pemantauan, evaluasi dan/atau audit aspek keamanan informasi pihak ketiga telah ditetapkan dan/atau ditugaskan dalam unit organisasi tertentu?</t>
  </si>
  <si>
    <t>Apakah instansi/perusahaan telah menetapkan rencana dan melakukan audit terhadap pemenuhan persyaratan keamanan informasi oleh pihak ketiga?</t>
  </si>
  <si>
    <t>Apakah hasil audit tersebut ditindaklanjuti oleh pihak ketiga dengan melaporkan rencana perbaikan yang terukur dan bukti-bukti penerapan rencana tersebut?</t>
  </si>
  <si>
    <t>Apakah instansi/perusahaan mengelola perubahan yang terjadi dalam hubungan dengan pihak ketiga yang menyangkut antara lain?
- Perubahan layanan pihak ketiga;
- Perubahan kebijakan, prosedur, dan/atau 
- Kontrol risiko pihak ketiga?</t>
  </si>
  <si>
    <t>Apakah pihak ketiga memiliki prosedur formal untuk menangani data selama dalam siklus hidupnya mulai dari pembuatan, pendaftaran, perubahan, dan penghapusan / penghancuran aset?</t>
  </si>
  <si>
    <t>Apakah pihak ketiga memiliki bukti-bukti penerapan yang memadai dalam menangani insiden keamanan informasi?</t>
  </si>
  <si>
    <t>Apakah pihak ketiga memiliki kebijakan, prosedur atau rencana terdokumentasi untuk mengatasi kelangsungan layanan pihak ketiga dalam keadaan darurat/bencana?</t>
  </si>
  <si>
    <t>Apakah pihak ketiga memiliki organisasi atau tim khusus yang ditugaskan untuk mengelola proses kelangsungan layanannya?</t>
  </si>
  <si>
    <t>Pengelolaan Layanan dan Keamanan Pihak Ketiga</t>
  </si>
  <si>
    <t>Pengelolaan Perubahan Layanan dan Kebijakan Pihak Ketiga</t>
  </si>
  <si>
    <t>Rencana Kelangsungan Layanan Pihak Ketiga</t>
  </si>
  <si>
    <t xml:space="preserve">Indeks KAMI adalah alat evaluasi untuk menganalisa tingkat kesiapan pengamanan informasi di suatu organisasi. Alat evaluasi ini tidak ditujukan untuk menganalisa kelayakan atau efektifitas bentuk pengamanan yang ada, melainkan sebagai perangkat untuk memberikan gambaran kondisi kesiapan (kelengkapan dan kematangan) kerangka kerja keamanan informasi kepada pimpinan Instansi/Perusahaan. Evaluasi dilakukan terhadap berbagai area yang menjadi target penerapan keamanan informasi dengan ruang lingkup pembahasan yang juga memenuhi semua aspek keamanan yang didefinisikan oleh standar ISO/IEC 27001:2013.
</t>
  </si>
  <si>
    <t>Identitas Instansi atau Perusahaan</t>
  </si>
  <si>
    <r>
      <t>1</t>
    </r>
    <r>
      <rPr>
        <sz val="11"/>
        <color indexed="8"/>
        <rFont val="Arial"/>
        <family val="2"/>
      </rPr>
      <t>.1</t>
    </r>
  </si>
  <si>
    <r>
      <t xml:space="preserve">Karakteristik </t>
    </r>
    <r>
      <rPr>
        <b/>
        <sz val="11"/>
        <rFont val="Arial"/>
        <family val="2"/>
      </rPr>
      <t>Instansi/Perusahaan</t>
    </r>
  </si>
  <si>
    <t>2.1</t>
  </si>
  <si>
    <t xml:space="preserve">Fungsi/Organisasi Keamanan Informasi </t>
  </si>
  <si>
    <r>
      <t xml:space="preserve">Apakah instansi/perusahaan anda sudah mendefinisikan kepemilikan dan pihak pengelola </t>
    </r>
    <r>
      <rPr>
        <i/>
        <sz val="11"/>
        <rFont val="Arial"/>
        <family val="2"/>
      </rPr>
      <t>(custodian)</t>
    </r>
    <r>
      <rPr>
        <sz val="11"/>
        <color indexed="8"/>
        <rFont val="Arial"/>
        <family val="2"/>
      </rPr>
      <t xml:space="preserve"> aset informasi yang ada, termasuk aset utama/penting dan proses kerja utama yang menggunakan aset tersebut?</t>
    </r>
  </si>
  <si>
    <r>
      <t xml:space="preserve">Apakah kebijakan dan prosedur maupun dokumen lainnya yang diperlukan terkait keamanan informasi sudah disusun dan dituliskan dengan jelas, dengan mencantumkan peran dan </t>
    </r>
    <r>
      <rPr>
        <sz val="11"/>
        <rFont val="Arial"/>
        <family val="2"/>
      </rPr>
      <t>tanggung jawab</t>
    </r>
    <r>
      <rPr>
        <sz val="11"/>
        <color indexed="8"/>
        <rFont val="Arial"/>
        <family val="2"/>
      </rPr>
      <t xml:space="preserve"> pihak-pihak yang diberikan wewenang untuk menerapkannya?</t>
    </r>
  </si>
  <si>
    <t xml:space="preserve">Apakah tersedia prosedur resmi untuk mengelola suatu pengecualian terhadap penerapan keamanan informasi, termasuk proses untuk menindak lanjuti konsekwensi dari kondisi ini? </t>
  </si>
  <si>
    <r>
      <t xml:space="preserve">Apakah organisasi anda sudah menerapkan kebijakan dan prosedur operasional untuk mengelola implementasi </t>
    </r>
    <r>
      <rPr>
        <i/>
        <sz val="11"/>
        <rFont val="Arial"/>
        <family val="2"/>
      </rPr>
      <t xml:space="preserve">security patch, </t>
    </r>
    <r>
      <rPr>
        <sz val="11"/>
        <rFont val="Arial"/>
        <family val="2"/>
      </rPr>
      <t>alokasi</t>
    </r>
    <r>
      <rPr>
        <i/>
        <sz val="11"/>
        <rFont val="Arial"/>
        <family val="2"/>
      </rPr>
      <t xml:space="preserve"> </t>
    </r>
    <r>
      <rPr>
        <sz val="11"/>
        <rFont val="Arial"/>
        <family val="2"/>
      </rPr>
      <t xml:space="preserve">tanggung jawab untuk memonitor adanya rilis </t>
    </r>
    <r>
      <rPr>
        <i/>
        <sz val="11"/>
        <rFont val="Arial"/>
        <family val="2"/>
      </rPr>
      <t xml:space="preserve">security patch </t>
    </r>
    <r>
      <rPr>
        <sz val="11"/>
        <rFont val="Arial"/>
        <family val="2"/>
      </rPr>
      <t>baru, memastikan pemasangannya dan melaporkannya?</t>
    </r>
  </si>
  <si>
    <r>
      <t>Apakah tersedia kerangka kerja pengelolaan perencanaan kelangsungan layanan TIK (</t>
    </r>
    <r>
      <rPr>
        <i/>
        <sz val="11"/>
        <rFont val="Arial"/>
        <family val="2"/>
      </rPr>
      <t>business continuity planning</t>
    </r>
    <r>
      <rPr>
        <sz val="11"/>
        <rFont val="Arial"/>
        <family val="2"/>
      </rPr>
      <t>) yang mendefinisikan persyaratan/konsiderans keamanan informasi, termasuk penjadwalan uji cobanya?</t>
    </r>
  </si>
  <si>
    <r>
      <t>Apakah uji coba perencanaan pemulihan bencana terhadap layanan TIK (</t>
    </r>
    <r>
      <rPr>
        <i/>
        <sz val="11"/>
        <rFont val="Arial"/>
        <family val="2"/>
      </rPr>
      <t>disaster recovery plan</t>
    </r>
    <r>
      <rPr>
        <sz val="11"/>
        <rFont val="Arial"/>
        <family val="2"/>
      </rPr>
      <t>) sudah dilakukan sesuai jadwal?</t>
    </r>
  </si>
  <si>
    <r>
      <t xml:space="preserve">Apakah hasil dari perencanaan pemulihan bencana terhadap layanan TIK </t>
    </r>
    <r>
      <rPr>
        <i/>
        <sz val="11"/>
        <rFont val="Arial"/>
        <family val="2"/>
      </rPr>
      <t>(disaster recovery plan</t>
    </r>
    <r>
      <rPr>
        <sz val="11"/>
        <rFont val="Arial"/>
        <family val="2"/>
      </rPr>
      <t>) dievaluasi untuk menerapkan langkah perbaikan atau pembenahan yang diperlukan - misal, apabila hasil uji coba menunjukkan bahwa proses pemulihan tidak bisa (gagal) memenuhi persyaratan yang ada?</t>
    </r>
  </si>
  <si>
    <t>Apakah audit internal tersebut mengevaluasi tingkat kepatuhan, konsistensi dan efektivitas penerapan keamanan informasi?</t>
  </si>
  <si>
    <t>Apakah tersedia definisi tingkatan akses yang berbeda dari setiap klasifikasi aset informasi dan matriks yang merekam alokasi akses tersebut</t>
  </si>
  <si>
    <r>
      <t xml:space="preserve">Prosedur </t>
    </r>
    <r>
      <rPr>
        <i/>
        <sz val="11"/>
        <rFont val="Arial"/>
        <family val="2"/>
      </rPr>
      <t>back-up</t>
    </r>
    <r>
      <rPr>
        <sz val="11"/>
        <rFont val="Arial"/>
        <family val="2"/>
      </rPr>
      <t xml:space="preserve"> dan uji coba pengembalian data (</t>
    </r>
    <r>
      <rPr>
        <i/>
        <sz val="11"/>
        <rFont val="Arial"/>
        <family val="2"/>
      </rPr>
      <t>restore</t>
    </r>
    <r>
      <rPr>
        <sz val="11"/>
        <rFont val="Arial"/>
        <family val="2"/>
      </rPr>
      <t xml:space="preserve">) secara berkala </t>
    </r>
  </si>
  <si>
    <r>
      <t>Prosedur kajian penggunaan akses (</t>
    </r>
    <r>
      <rPr>
        <i/>
        <sz val="11"/>
        <rFont val="Arial"/>
        <family val="2"/>
      </rPr>
      <t>user access review</t>
    </r>
    <r>
      <rPr>
        <sz val="11"/>
        <rFont val="Arial"/>
        <family val="2"/>
      </rPr>
      <t xml:space="preserve">) dan hak aksesnya </t>
    </r>
    <r>
      <rPr>
        <i/>
        <sz val="11"/>
        <rFont val="Arial"/>
        <family val="2"/>
      </rPr>
      <t>(user access rights</t>
    </r>
    <r>
      <rPr>
        <sz val="11"/>
        <rFont val="Arial"/>
        <family val="2"/>
      </rPr>
      <t>) berikut langkah pembenahan apabila terjadi ketidaksesuaian (</t>
    </r>
    <r>
      <rPr>
        <i/>
        <sz val="11"/>
        <rFont val="Arial"/>
        <family val="2"/>
      </rPr>
      <t>non-conformity</t>
    </r>
    <r>
      <rPr>
        <sz val="11"/>
        <rFont val="Arial"/>
        <family val="2"/>
      </rPr>
      <t>) terhadap kebijakan yang berlaku</t>
    </r>
  </si>
  <si>
    <r>
      <t>Apakah tersedia prosedur penggunaan perangkat pengolah informasi milik pihak ketiga (termasuk perangkat milik pribadi dan mitra kerja/</t>
    </r>
    <r>
      <rPr>
        <i/>
        <sz val="11"/>
        <rFont val="Arial"/>
        <family val="2"/>
      </rPr>
      <t>vendor</t>
    </r>
    <r>
      <rPr>
        <sz val="11"/>
        <color indexed="8"/>
        <rFont val="Arial"/>
        <family val="2"/>
      </rPr>
      <t>) dengan memastikan aspek HAKI dan pengamanan akses yang digunakan?</t>
    </r>
  </si>
  <si>
    <t>Apakah tersedia proses untuk memindahkan aset TIK (piranti lunak, perangkat keras, data/informasi dll) dari lokasi yang sudah ditetapkan (termasuk pemutakhiran lokasinya dalam daftar inventaris)?</t>
  </si>
  <si>
    <t>Apakah setiap aplikasi yang ada memiliki spesifikasi dan fungsi keamanan yang diverifikasi/validasi pada saat proses pengembangan dan uji coba?</t>
  </si>
  <si>
    <t>Apakah instansi/perusahaan ada menerapkan lingkungan pengembangan dan uji coba yang sudah diamankan sesuai dengan standar platform teknologi yang ada dan digunakan untuk seluruh siklus hidup sistem yng dibangun?</t>
  </si>
  <si>
    <r>
      <t>Apakah instansi/perusahaan sudah menunjuk pejabat-pejabat (</t>
    </r>
    <r>
      <rPr>
        <i/>
        <sz val="11"/>
        <rFont val="Arial"/>
        <family val="2"/>
      </rPr>
      <t>Data Protection Officer, Data Controller, Data Processor</t>
    </r>
    <r>
      <rPr>
        <sz val="11"/>
        <rFont val="Arial"/>
        <family val="2"/>
      </rPr>
      <t>) yang bertanggung-jawab dan berwenang dalam penerapan kebijakan dan proses Perlindungan Data Pribadi?</t>
    </r>
  </si>
  <si>
    <t xml:space="preserve">Apakah instansi/perusahaan sudah mendokumentasikan jenis dan bentuk (dokumen kertas/elektronik) data pribadi yang disimpan, diolah dan dipertukarkan dengan pihak eksternal? </t>
  </si>
  <si>
    <t>4.0 Draft</t>
  </si>
  <si>
    <t>Bagian ini mengevaluasi kelengkapan, konsistensi dan efektivitas penggunaan teknologi dalam pengamanan aset informasi.</t>
  </si>
  <si>
    <t>Apakah pihak ketiga melakukan pemantauan dan evaluasi terhadap kepatuhan alih daya, subkontraktor atau penyedia teknologi/infrastruktur terhadap persyaratan keamanan yang ditetapkan?</t>
  </si>
  <si>
    <r>
      <t>Apakah ada rapat</t>
    </r>
    <r>
      <rPr>
        <sz val="11"/>
        <rFont val="Arial"/>
        <family val="2"/>
      </rPr>
      <t xml:space="preserve"> secara berkala untuk memantau dan mengevaluasi pencapaian sasaran tingkat layanan (SLA) dan aspek keamanan?</t>
    </r>
  </si>
  <si>
    <t>Pengelolaan Insiden oleh Pihak Ketiga</t>
  </si>
  <si>
    <t>Apakah pihak ketiga memiliki prosedur untuk pelaporan, pemantauan, penanganan, dan analisis insiden keamanan informasi?</t>
  </si>
  <si>
    <r>
      <t xml:space="preserve">Apakah instansi/perusahaan sudah menetapkan data apa saja yang akan disimpan/diolah/dipertukarkan melalui layanan berbasis </t>
    </r>
    <r>
      <rPr>
        <i/>
        <sz val="11"/>
        <rFont val="Arial"/>
        <family val="2"/>
      </rPr>
      <t>cloud</t>
    </r>
    <r>
      <rPr>
        <sz val="11"/>
        <rFont val="Arial"/>
        <family val="2"/>
      </rPr>
      <t>?</t>
    </r>
  </si>
  <si>
    <r>
      <t xml:space="preserve">Apakah instansi/perusahaan sudah menerapkan langkah pengamanan data pribadi yang disimpan/diolah/dipertukarkan melalui layanan </t>
    </r>
    <r>
      <rPr>
        <i/>
        <sz val="11"/>
        <rFont val="Arial"/>
        <family val="2"/>
      </rPr>
      <t>cloud</t>
    </r>
    <r>
      <rPr>
        <sz val="11"/>
        <rFont val="Arial"/>
        <family val="2"/>
      </rPr>
      <t>?</t>
    </r>
  </si>
  <si>
    <r>
      <t xml:space="preserve">Apakah instansi/perusahaan sudah mengevaluasi penyelenggara layanan </t>
    </r>
    <r>
      <rPr>
        <i/>
        <sz val="11"/>
        <rFont val="Arial"/>
        <family val="2"/>
      </rPr>
      <t>cloud</t>
    </r>
    <r>
      <rPr>
        <sz val="11"/>
        <rFont val="Arial"/>
        <family val="2"/>
      </rPr>
      <t xml:space="preserve"> terkait reputasi penyelenggaranya? </t>
    </r>
  </si>
  <si>
    <r>
      <t xml:space="preserve">Apakah instansi/perusahaan sudah menetapkan standar keamanan teknis penggunaan layanan </t>
    </r>
    <r>
      <rPr>
        <i/>
        <sz val="11"/>
        <rFont val="Arial"/>
        <family val="2"/>
      </rPr>
      <t>cloud,</t>
    </r>
    <r>
      <rPr>
        <sz val="11"/>
        <rFont val="Arial"/>
        <family val="2"/>
      </rPr>
      <t xml:space="preserve"> termasuk aspek penggunaannya oleh pengguna di internal instansi/perusahaan?</t>
    </r>
  </si>
  <si>
    <r>
      <t xml:space="preserve">Apakah instansi/perusahaan sudah memiliki kebijakan, strategi dan proses untuk mengganti layanan </t>
    </r>
    <r>
      <rPr>
        <i/>
        <sz val="11"/>
        <rFont val="Arial"/>
        <family val="2"/>
      </rPr>
      <t>cloud</t>
    </r>
    <r>
      <rPr>
        <sz val="11"/>
        <rFont val="Arial"/>
        <family val="2"/>
      </rPr>
      <t xml:space="preserve"> atau menyediakan fasilitas pengganti apabila terjadi gangguan sementara pada layanan tersebut?</t>
    </r>
  </si>
  <si>
    <r>
      <t xml:space="preserve">Apakah instansi/perusahaan sudah memiliki proses pelaporan insiden terkait layanan </t>
    </r>
    <r>
      <rPr>
        <i/>
        <sz val="11"/>
        <rFont val="Arial"/>
        <family val="2"/>
      </rPr>
      <t>cloud</t>
    </r>
    <r>
      <rPr>
        <sz val="11"/>
        <rFont val="Arial"/>
        <family val="2"/>
      </rPr>
      <t>?</t>
    </r>
  </si>
  <si>
    <r>
      <t xml:space="preserve">Apakah instansi/perusahaan sudah memiliki proses untuk menghentikan layanan </t>
    </r>
    <r>
      <rPr>
        <i/>
        <sz val="11"/>
        <rFont val="Arial"/>
        <family val="2"/>
      </rPr>
      <t>cloud,</t>
    </r>
    <r>
      <rPr>
        <sz val="11"/>
        <rFont val="Arial"/>
        <family val="2"/>
      </rPr>
      <t xml:space="preserve"> termasuk proses pengamanan data yang ada (memindahkan dan menghapus data)?</t>
    </r>
  </si>
  <si>
    <r>
      <t xml:space="preserve">Pertanyaan yang ada belum tentu dapat dijawab semuanya, akan tetapi yang harus diperhatikan adalah jawaban yang diberikan harus merefleksikan kondisi penerapan keamanan informasi SESUNGGUHNYA. Alat evaluasi ini hanya akan memberikan nilai tambah bagi semua pihak apabila pengisiannya menggunakan azas keterbukaan dan kejujuran.
Sebelum mulai menjawab pertanyaan terkait kesiapan pengamanan informasi, responden diminta untuk mendefinisikan Kategori Sistem Elektronik di Instansinya. Definisi ini bisa dijabarkan untuk tingkat Satuan Kerja baik di tingkat Kementerian/Lembaga, ataupun untuk satuan kerja yang lebih kecil, sampai ke Unit Eselon III. Responden juga diminta untuk mendeskripsikan infrastruktur TIK yang ada dalam satuan kerjanya secara singkat. Tujuan dari proses ini adalah untuk mengelompokkan Sistem Elektronik yang digunakan instansi ke "tingkat" tertentu: Rendah, Tinggi dan Strategis. Dengan pengelompokan ini nantinya bisa dilakukan pemetaan terhadap instansi yang mempunyai karakteristik Sistem Elektornik yang sama.
Pertanyaan dikelompokkan untuk 2 keperluan. Pertama, pertanyaan dikategorikan berdasarkan tingkat kesiapan penerapan pengamanan sesuai dengan </t>
    </r>
    <r>
      <rPr>
        <b/>
        <sz val="11"/>
        <rFont val="Arial"/>
        <family val="2"/>
      </rPr>
      <t>kelengkapan</t>
    </r>
    <r>
      <rPr>
        <sz val="11"/>
        <rFont val="Arial"/>
        <family val="2"/>
      </rPr>
      <t xml:space="preserve"> kontrol yang diminta oleh standar ISO/IEC 27001:2013. Dalam pengelompokan ini responden diminta untuk memberi tanggapan mulai dari area yang terkait dengan bentuk kerangka kerja dasar keamanan informasi (pertanyaan diberi label "1"), efektifitas dan konsistensi penerapannya (label "2"), sampai dengan kemampuan untuk selalu meningkatkan kinerja keamanan informasi (label "3"). Tingkat terakhir ini sesuai dengan kesiapan minimum yang diprasyaratkan oleh proses sertifikasi standar ISO/IEC 27001:2013. 
Setiap jawaban diberikan skor yang nantinya dikonsolidasi untuk menghasilkan angka indeks sekaligus digunakan untuk menampilkan hasil evaluasi dalam </t>
    </r>
    <r>
      <rPr>
        <i/>
        <sz val="11"/>
        <rFont val="Arial"/>
        <family val="2"/>
      </rPr>
      <t>dashboard</t>
    </r>
    <r>
      <rPr>
        <sz val="11"/>
        <rFont val="Arial"/>
        <family val="2"/>
      </rPr>
      <t xml:space="preserve"> di akhir proses ini.Skor yang diberikan untuk jawaban pertanyaan sesuai tingkat kematangannya mengacu kepada:</t>
    </r>
  </si>
  <si>
    <t>Hasil penilaian evaluasi kesiapan Pengamanan Keterlibatan Pihak Ketiga, Pengamanan Layanan Infrastrukutur Awan dan Perlindungan Data Pribadi disampaikan dalam bentuk persentase (%) dengan obyektif/sasaran pencapaian maksimal.</t>
  </si>
  <si>
    <t>Apakah pihak ketiga sudah mengidentifikasi risiko terkait alih daya, subkontraktor atau penyedia teknologi/infrastruktur yang digunakan dalam layanannya?</t>
  </si>
  <si>
    <t>Apakah kebijakan, prosedur atau rencana kelangsungan layanan tersebut telah diujicoba, didokumentasikan hasilnya dan dievaluasi efektivitasnya?</t>
  </si>
  <si>
    <t>Apakah hasil pemantauan dan evaluasi terhadap laporan atau pembahasan dalam rapat berkala tersebut didokumentasikan, dikomunikasikan dan ditindaklanjuti oleh pihak ketiga serta dilaporkan kemajuannya kepada instansi/perusahaan?</t>
  </si>
  <si>
    <t>Revisi istilah/kata pada Kategori SE - "Teknik kriptografi khusus yang disertifikasi oleh Negara"
Revisi istilah "Instansi" menjadi "Perusahaan/Instansi"
Revisi Status "Perlu Perbaikan" --&gt; "Pemenuhan Kerangka Kerja Dasar"
Revisi Kondisi "Proses Penerapan" --&gt; "Penerapan Operasional"
Penambahan Area Evaluasi - Pihak Ketiga, Layanan Cloud dan Perlindungan Data Pribadi
Perubahan tata letak (layout) Dashboard 
Revisi: Fetri Miftach, Haryatno Sabarman</t>
  </si>
  <si>
    <t>Apakah per untuk penghancuran (disposal) data secara aman telah disepakati bersama pihak ketiga (pihak ketiga)?</t>
  </si>
  <si>
    <t>Apakah instansi/perusahaan telah menetapkan proses, prosedur atau rencana terdokumentasi untuk mengelola dan memantau layanan dan aspek keamanan informasi (termasuk pengamanan aset informasi dan infrastruktur milik instanasi/perusahaan yang diakses) dalam hubungan kerjasama dengan pihak ketiga?</t>
  </si>
  <si>
    <t>Hasil QA oleh tim Asesor: M Heri Herman Aji, Pratiwi Widjiastuti, Denny Sadikin, Rakean Raksadipa, Kautsarina Adam</t>
  </si>
  <si>
    <t>Apakah instansi/perusahaan sudah menerapkan proses terkait penghapusan/pemusnahan data apabila sudah tidak ada keperluan yang sah untuk menyimpan/mengolahnya lebih lanjut atau atas permintaan pemilik data dan menyimpan catatan proses tersebut?</t>
  </si>
  <si>
    <t>Apakah instansi/perusahaan sudah menerapkan proses terkait periode penyimpanan data pribadi dan penghapusan/pemusnahannya sesuai dengan peraturan atau perjanjian dengan pemilik data?</t>
  </si>
  <si>
    <t>Apakah instansi/perusahaan sudah menjalankan program peningkatan pemahaman/kepedulian kepada seluruh pegawai terkait Perlindungan Data Pribadi, termasuk hal-hal terkait Peraturan Perundangan yang berlaku?</t>
  </si>
  <si>
    <r>
      <t xml:space="preserve">Apakah instansi/perusahaan sudah mengevaluasi kelaikan keamanan layanan </t>
    </r>
    <r>
      <rPr>
        <i/>
        <sz val="11"/>
        <rFont val="Arial"/>
        <family val="2"/>
      </rPr>
      <t>cloud</t>
    </r>
    <r>
      <rPr>
        <sz val="11"/>
        <rFont val="Arial"/>
        <family val="2"/>
      </rPr>
      <t xml:space="preserve"> termasuk aspek ketersediaannya dan pemenuhan sertifikasi layanan berbasis ISO 27001?</t>
    </r>
  </si>
  <si>
    <t>Apakah kebijakan tersebut (7.1.1.5) telah dikomunikasikan kepada pihak ketiga dan mereka menyatakan persetujuannya dalam dokumen kontrak, SLA atau dokumen sejenis lainnya?</t>
  </si>
  <si>
    <t>Apakah hak audit TI secara berkala ke pihak ketiga/pihak ketiga telah ditetapkan sebagai bagian dan persyaratan kontrak, dikomunikasikan dan disetujui pihak ketiga? 
Termasuk di dalamnya akses terhadap laporan audit internal / eksternal tentang kondisi kontrol keamanan informasi pihak ketiga/pihak ketiga?</t>
  </si>
  <si>
    <r>
      <t xml:space="preserve">Apakah instansi/perusahaan sudah melakukan kajian risiko terkait penggunaan layanan berbasis </t>
    </r>
    <r>
      <rPr>
        <i/>
        <sz val="11"/>
        <rFont val="Arial"/>
        <family val="2"/>
      </rPr>
      <t xml:space="preserve">cloud </t>
    </r>
    <r>
      <rPr>
        <sz val="11"/>
        <rFont val="Arial"/>
        <family val="2"/>
      </rPr>
      <t xml:space="preserve">dan menyesuaikan kebijakan keamanan informasi terkait layanan ini? </t>
    </r>
  </si>
  <si>
    <r>
      <t xml:space="preserve">Apakah instansi/perusahaan sudah mengkaji, menetapkan kriteria dan memastikan aspek hukum (jurisdiksi, hak dan kewenangan) terkait penggunaan layanan berbasis </t>
    </r>
    <r>
      <rPr>
        <i/>
        <sz val="11"/>
        <rFont val="Arial"/>
        <family val="2"/>
      </rPr>
      <t>cloud</t>
    </r>
    <r>
      <rPr>
        <sz val="11"/>
        <rFont val="Arial"/>
        <family val="2"/>
      </rPr>
      <t>?</t>
    </r>
  </si>
  <si>
    <t>Apakah instansi/perusahaan sudah memiliki kebijakan terkait Perlindungan Data Pribadi sesuai dengan Peraturan dan Perundangan yang berlaku?</t>
  </si>
  <si>
    <t>Sirkulasi Internal BSSN</t>
  </si>
  <si>
    <t>1.2</t>
  </si>
  <si>
    <r>
      <t>1</t>
    </r>
    <r>
      <rPr>
        <sz val="11"/>
        <color indexed="8"/>
        <rFont val="Arial"/>
        <family val="2"/>
      </rPr>
      <t>.3</t>
    </r>
    <r>
      <rPr>
        <sz val="12"/>
        <color theme="1"/>
        <rFont val="Calibri"/>
        <family val="2"/>
        <scheme val="minor"/>
      </rPr>
      <t/>
    </r>
  </si>
  <si>
    <t>1.4</t>
  </si>
  <si>
    <r>
      <t>1</t>
    </r>
    <r>
      <rPr>
        <sz val="11"/>
        <color indexed="8"/>
        <rFont val="Arial"/>
        <family val="2"/>
      </rPr>
      <t>.5</t>
    </r>
    <r>
      <rPr>
        <sz val="12"/>
        <color theme="1"/>
        <rFont val="Calibri"/>
        <family val="2"/>
        <scheme val="minor"/>
      </rPr>
      <t/>
    </r>
  </si>
  <si>
    <t>1.6</t>
  </si>
  <si>
    <r>
      <t>1</t>
    </r>
    <r>
      <rPr>
        <sz val="11"/>
        <color indexed="8"/>
        <rFont val="Arial"/>
        <family val="2"/>
      </rPr>
      <t>.7</t>
    </r>
    <r>
      <rPr>
        <sz val="12"/>
        <color theme="1"/>
        <rFont val="Calibri"/>
        <family val="2"/>
        <scheme val="minor"/>
      </rPr>
      <t/>
    </r>
  </si>
  <si>
    <t>1.8</t>
  </si>
  <si>
    <r>
      <t>1</t>
    </r>
    <r>
      <rPr>
        <sz val="11"/>
        <color indexed="8"/>
        <rFont val="Arial"/>
        <family val="2"/>
      </rPr>
      <t>.9</t>
    </r>
    <r>
      <rPr>
        <sz val="12"/>
        <color theme="1"/>
        <rFont val="Calibri"/>
        <family val="2"/>
        <scheme val="minor"/>
      </rPr>
      <t/>
    </r>
  </si>
  <si>
    <t>1.10</t>
  </si>
  <si>
    <t>2.2</t>
  </si>
  <si>
    <t>2.3</t>
  </si>
  <si>
    <t>2.4</t>
  </si>
  <si>
    <t>2.5</t>
  </si>
  <si>
    <t>2.6</t>
  </si>
  <si>
    <t>2.7</t>
  </si>
  <si>
    <t>2.8</t>
  </si>
  <si>
    <t>2.9</t>
  </si>
  <si>
    <t>3.2</t>
  </si>
  <si>
    <t>3.3</t>
  </si>
  <si>
    <t>3.4</t>
  </si>
  <si>
    <t>3.5</t>
  </si>
  <si>
    <t>3.6</t>
  </si>
  <si>
    <t>3.7</t>
  </si>
  <si>
    <t>3.8</t>
  </si>
  <si>
    <t>3.9</t>
  </si>
  <si>
    <t>3.1</t>
  </si>
  <si>
    <t>3.10</t>
  </si>
  <si>
    <t>3.11</t>
  </si>
  <si>
    <t>3.12</t>
  </si>
  <si>
    <t>3.13</t>
  </si>
  <si>
    <t>3.14</t>
  </si>
  <si>
    <t>3.15</t>
  </si>
  <si>
    <t>4.1</t>
  </si>
  <si>
    <t>4.2</t>
  </si>
  <si>
    <t>4.3</t>
  </si>
  <si>
    <t>4.4</t>
  </si>
  <si>
    <t>4.5</t>
  </si>
  <si>
    <t>4.6</t>
  </si>
  <si>
    <t>4.7</t>
  </si>
  <si>
    <t>4.8</t>
  </si>
  <si>
    <t>4.9</t>
  </si>
  <si>
    <t>4.10</t>
  </si>
  <si>
    <t>4.11</t>
  </si>
  <si>
    <t>4.12</t>
  </si>
  <si>
    <t>4.13</t>
  </si>
  <si>
    <t>4.14</t>
  </si>
  <si>
    <t>4.15</t>
  </si>
  <si>
    <t>4.16</t>
  </si>
  <si>
    <t>4.21</t>
  </si>
  <si>
    <t>4.22</t>
  </si>
  <si>
    <t>4.23</t>
  </si>
  <si>
    <t>4.24</t>
  </si>
  <si>
    <t>4.26</t>
  </si>
  <si>
    <t>4.27</t>
  </si>
  <si>
    <t>4.28</t>
  </si>
  <si>
    <t>4.29</t>
  </si>
  <si>
    <t>5.1</t>
  </si>
  <si>
    <t>5.2</t>
  </si>
  <si>
    <t>5.3</t>
  </si>
  <si>
    <t>5.4</t>
  </si>
  <si>
    <t>5.5</t>
  </si>
  <si>
    <t>5.6</t>
  </si>
  <si>
    <t>5.7</t>
  </si>
  <si>
    <t>5.8</t>
  </si>
  <si>
    <t>5.9</t>
  </si>
  <si>
    <t>6.1</t>
  </si>
  <si>
    <t>6.2</t>
  </si>
  <si>
    <t>6.3</t>
  </si>
  <si>
    <t>6.4</t>
  </si>
  <si>
    <t>6.5</t>
  </si>
  <si>
    <t>6.6</t>
  </si>
  <si>
    <t>6.7</t>
  </si>
  <si>
    <t>6.8</t>
  </si>
  <si>
    <t>6.9</t>
  </si>
  <si>
    <r>
      <t xml:space="preserve">Apakah kondisi dan permasalahan keamanan informasi di instansi/perusahaan anda menjadi </t>
    </r>
    <r>
      <rPr>
        <sz val="11"/>
        <color theme="1"/>
        <rFont val="Arial"/>
        <family val="2"/>
      </rPr>
      <t>konsiderans</t>
    </r>
    <r>
      <rPr>
        <sz val="11"/>
        <color indexed="8"/>
        <rFont val="Arial"/>
        <family val="2"/>
      </rPr>
      <t xml:space="preserve"> atau bagian dari proses pengambilan keputusan strategis di instansi/perusahaan anda?</t>
    </r>
  </si>
  <si>
    <t>Tingkat kekritisan proses yang ada dalam Sistem Elektronik, relatif terhadap ancaman upaya penyerangan atau penerobosan keamanan informasi
[A] Proses yang berisiko mengganggu hajat hidup orang  banyak dan memberi dampak langsung pada layanan publik 
[B] Proses yang berisiko mengganggu hajat hidup orang banyak dan memberi dampak tidak langsung
[C] Proses yang hanya berdampak pada bisnis perusahaan</t>
  </si>
  <si>
    <r>
      <t xml:space="preserve">Alat evaluasi Indeks KAMI ini dapat digunakan oleh organisasi dengan skala nasional, maupun yang berukuran kecil. Penggunaan di Instansi pemerintah dapat dilakukan di tingkat pusat maupun satuan kerja yang ada di tingkatan Direktorat Jenderal, Badan, Pusat atau Direktorat  untuk mendapatkan gambaran mengenai kematangan program kerja keamanan informasi yang dijalankannya. Evaluasi ini dianjurkan untuk dilakukan oleh pejabat yang secara langsung bertanggungjawab dan berwenang untuk mengelola keamanan informasi di seluruh cakupan instansinya.
Proses evaluasi dilakukan melalui sejumlah pertanyaan di masing-masing area di bawah ini:
- Kategori Sistem Elektronik yang digunakan Instansi
- Tata Kelola Keamanan Informasi
- Pengelolaan Risiko Keamanan Informasi
- Kerangka Kerja Keamanan Informasi
- Pengelolaan Aset Informasi, dan 
- Teknologi dan Keamanan Informasi
- Suplemen: </t>
    </r>
    <r>
      <rPr>
        <sz val="11"/>
        <color theme="1"/>
        <rFont val="Arial"/>
        <family val="2"/>
      </rPr>
      <t>Area evaluasi untuk aspek Pengamanan Keterlibatan Pihak Ketiga Penyedia Layanan</t>
    </r>
    <r>
      <rPr>
        <i/>
        <sz val="11"/>
        <color theme="1"/>
        <rFont val="Arial"/>
        <family val="2"/>
      </rPr>
      <t xml:space="preserve">, </t>
    </r>
    <r>
      <rPr>
        <sz val="11"/>
        <color theme="1"/>
        <rFont val="Arial"/>
        <family val="2"/>
      </rPr>
      <t>Pengamanan Layanan Infrastruktur Awan (</t>
    </r>
    <r>
      <rPr>
        <i/>
        <sz val="11"/>
        <color theme="1"/>
        <rFont val="Arial"/>
        <family val="2"/>
      </rPr>
      <t>Cloud Service</t>
    </r>
    <r>
      <rPr>
        <sz val="11"/>
        <color theme="1"/>
        <rFont val="Arial"/>
        <family val="2"/>
      </rPr>
      <t xml:space="preserve">) dan Perlindungan Data Pribadi. </t>
    </r>
  </si>
  <si>
    <t>NOMOR DOKUMEN</t>
  </si>
  <si>
    <t>NAMA DOKUMEN</t>
  </si>
  <si>
    <t>Revisi dan Penambahan Redaksional oleh tim BSSN: Intan Rahayu</t>
  </si>
  <si>
    <t xml:space="preserve">Hasil dari penjumlahan skor untuk masing-masing area ditampilkan dalam diagram radar dengan latar belakang area untuk tingkat maksimal kematangan 1 s/d 3. Dalam diagram ini bisa dilihat perbandingan antara kondisi kesiapan sebagai hasil dari proses evaluasi dengan acuan tingkat kematangan yang ada.
</t>
  </si>
  <si>
    <t>Satuan Kerja
Direktorat
Departemen</t>
  </si>
  <si>
    <t xml:space="preserve"> </t>
  </si>
  <si>
    <t>Diterapkan Secara Menyeluruh</t>
  </si>
  <si>
    <t>Versi 4.1, November 2019</t>
  </si>
  <si>
    <t>responden</t>
  </si>
  <si>
    <t>25-Mei-2021</t>
  </si>
  <si>
    <t>Revisi Formulasi &amp; Redaksional Pada Chart Dashboard oleh tim BSSN: Gigih Supriyatno</t>
  </si>
  <si>
    <t>Tidak Dilakukan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</si>
</sst>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Rp&quot;#,##0_);[Red]\(&quot;Rp&quot;#,##0\)"/>
    <numFmt numFmtId="165" formatCode="0.0"/>
  </numFmts>
  <fonts count="52" x14ac:knownFonts="1">
    <font>
      <sz val="10"/>
      <name val="Verdana"/>
    </font>
    <font>
      <sz val="12"/>
      <color theme="1"/>
      <name val="Calibri"/>
      <family val="2"/>
      <scheme val="minor"/>
    </font>
    <font>
      <b/>
      <sz val="10"/>
      <name val="Verdana"/>
      <family val="2"/>
    </font>
    <font>
      <b/>
      <sz val="10"/>
      <name val="Verdana"/>
      <family val="2"/>
    </font>
    <font>
      <sz val="10"/>
      <name val="Verdana"/>
      <family val="2"/>
    </font>
    <font>
      <b/>
      <sz val="10"/>
      <name val="Verdana"/>
      <family val="2"/>
    </font>
    <font>
      <sz val="8"/>
      <name val="Verdana"/>
      <family val="2"/>
    </font>
    <font>
      <b/>
      <sz val="12"/>
      <name val="Arial"/>
      <family val="2"/>
    </font>
    <font>
      <b/>
      <sz val="14"/>
      <name val="Arial"/>
      <family val="2"/>
    </font>
    <font>
      <b/>
      <sz val="11"/>
      <name val="Arial"/>
      <family val="2"/>
    </font>
    <font>
      <b/>
      <sz val="11.5"/>
      <color indexed="8"/>
      <name val="Arial"/>
      <family val="2"/>
    </font>
    <font>
      <sz val="12"/>
      <name val="Arial Black"/>
      <family val="2"/>
    </font>
    <font>
      <b/>
      <sz val="10"/>
      <name val="Arial"/>
      <family val="2"/>
    </font>
    <font>
      <sz val="11"/>
      <color indexed="8"/>
      <name val="Arial"/>
      <family val="2"/>
    </font>
    <font>
      <b/>
      <sz val="11"/>
      <color indexed="8"/>
      <name val="Arial"/>
      <family val="2"/>
    </font>
    <font>
      <sz val="11"/>
      <name val="Arial"/>
      <family val="2"/>
    </font>
    <font>
      <sz val="11"/>
      <name val="Arial Black"/>
      <family val="2"/>
    </font>
    <font>
      <sz val="10"/>
      <name val="Verdana"/>
      <family val="2"/>
    </font>
    <font>
      <i/>
      <sz val="11"/>
      <color indexed="8"/>
      <name val="Arial"/>
      <family val="2"/>
    </font>
    <font>
      <sz val="11"/>
      <name val="Verdana"/>
      <family val="2"/>
    </font>
    <font>
      <sz val="9"/>
      <name val="Verdana"/>
      <family val="2"/>
    </font>
    <font>
      <b/>
      <sz val="11"/>
      <name val="Verdana"/>
      <family val="2"/>
    </font>
    <font>
      <sz val="10"/>
      <name val="Arial"/>
      <family val="2"/>
    </font>
    <font>
      <sz val="11"/>
      <color indexed="9"/>
      <name val="Arial"/>
      <family val="2"/>
    </font>
    <font>
      <b/>
      <sz val="11"/>
      <color indexed="9"/>
      <name val="Arial"/>
      <family val="2"/>
    </font>
    <font>
      <sz val="11"/>
      <color indexed="9"/>
      <name val="Verdana"/>
      <family val="2"/>
    </font>
    <font>
      <b/>
      <sz val="9"/>
      <name val="Arial"/>
      <family val="2"/>
    </font>
    <font>
      <b/>
      <sz val="8"/>
      <name val="Arial"/>
      <family val="2"/>
    </font>
    <font>
      <sz val="9"/>
      <name val="Arial"/>
      <family val="2"/>
    </font>
    <font>
      <sz val="8"/>
      <name val="Arial"/>
      <family val="2"/>
    </font>
    <font>
      <b/>
      <sz val="18"/>
      <name val="Arial"/>
      <family val="2"/>
    </font>
    <font>
      <i/>
      <sz val="11"/>
      <name val="Arial"/>
      <family val="2"/>
    </font>
    <font>
      <u/>
      <sz val="10"/>
      <color theme="10"/>
      <name val="Verdana"/>
      <family val="2"/>
    </font>
    <font>
      <u/>
      <sz val="10"/>
      <color theme="11"/>
      <name val="Verdana"/>
      <family val="2"/>
    </font>
    <font>
      <sz val="11"/>
      <color rgb="FF000000"/>
      <name val="Arial"/>
      <family val="2"/>
    </font>
    <font>
      <i/>
      <sz val="10"/>
      <name val="Verdana"/>
      <family val="2"/>
    </font>
    <font>
      <i/>
      <sz val="10"/>
      <name val="Arial"/>
      <family val="2"/>
    </font>
    <font>
      <b/>
      <sz val="10"/>
      <name val="Arial Narrow"/>
      <family val="2"/>
    </font>
    <font>
      <sz val="11"/>
      <name val="Arial Narrow"/>
      <family val="2"/>
    </font>
    <font>
      <b/>
      <sz val="10"/>
      <color theme="0"/>
      <name val="Verdana"/>
      <family val="2"/>
    </font>
    <font>
      <sz val="8"/>
      <name val="Arial Narrow"/>
      <family val="2"/>
    </font>
    <font>
      <i/>
      <sz val="9"/>
      <name val="Verdana"/>
      <family val="2"/>
    </font>
    <font>
      <b/>
      <sz val="8"/>
      <name val="Verdana"/>
      <family val="2"/>
    </font>
    <font>
      <b/>
      <sz val="10"/>
      <color theme="0"/>
      <name val="Arial Narrow"/>
      <family val="2"/>
    </font>
    <font>
      <sz val="10"/>
      <color theme="0"/>
      <name val="Verdana"/>
      <family val="2"/>
    </font>
    <font>
      <b/>
      <sz val="11"/>
      <color theme="0"/>
      <name val="Arial"/>
      <family val="2"/>
    </font>
    <font>
      <b/>
      <i/>
      <sz val="11"/>
      <color theme="0"/>
      <name val="Arial"/>
      <family val="2"/>
    </font>
    <font>
      <sz val="10"/>
      <color theme="0"/>
      <name val="Arial"/>
      <family val="2"/>
    </font>
    <font>
      <b/>
      <sz val="10"/>
      <color theme="0"/>
      <name val="Arial"/>
      <family val="2"/>
    </font>
    <font>
      <sz val="11"/>
      <color indexed="8"/>
      <name val="Arial"/>
      <family val="2"/>
    </font>
    <font>
      <sz val="11"/>
      <color theme="1"/>
      <name val="Arial"/>
      <family val="2"/>
    </font>
    <font>
      <i/>
      <sz val="11"/>
      <color theme="1"/>
      <name val="Arial"/>
      <family val="2"/>
    </font>
  </fonts>
  <fills count="23">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50"/>
        <bgColor indexed="64"/>
      </patternFill>
    </fill>
    <fill>
      <patternFill patternType="solid">
        <fgColor indexed="41"/>
        <bgColor indexed="64"/>
      </patternFill>
    </fill>
    <fill>
      <patternFill patternType="solid">
        <fgColor indexed="8"/>
        <bgColor indexed="64"/>
      </patternFill>
    </fill>
    <fill>
      <patternFill patternType="solid">
        <fgColor indexed="9"/>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249977111117893"/>
        <bgColor indexed="64"/>
      </patternFill>
    </fill>
    <fill>
      <patternFill patternType="solid">
        <fgColor rgb="FFE24217"/>
        <bgColor indexed="64"/>
      </patternFill>
    </fill>
    <fill>
      <patternFill patternType="solid">
        <fgColor theme="1"/>
        <bgColor indexed="64"/>
      </patternFill>
    </fill>
    <fill>
      <patternFill patternType="solid">
        <fgColor rgb="FFFDE9D9"/>
        <bgColor rgb="FF000000"/>
      </patternFill>
    </fill>
    <fill>
      <patternFill patternType="solid">
        <fgColor theme="0" tint="-0.14996795556505021"/>
        <bgColor indexed="64"/>
      </patternFill>
    </fill>
    <fill>
      <patternFill patternType="solid">
        <fgColor theme="0" tint="-0.249977111117893"/>
        <bgColor indexed="64"/>
      </patternFill>
    </fill>
    <fill>
      <patternFill patternType="solid">
        <fgColor rgb="FFC4D69B"/>
        <bgColor indexed="64"/>
      </patternFill>
    </fill>
    <fill>
      <patternFill patternType="solid">
        <fgColor rgb="FFC0C0C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auto="1"/>
      </left>
      <right style="thin">
        <color auto="1"/>
      </right>
      <top/>
      <bottom/>
      <diagonal/>
    </border>
    <border>
      <left style="medium">
        <color auto="1"/>
      </left>
      <right/>
      <top style="thin">
        <color auto="1"/>
      </top>
      <bottom/>
      <diagonal/>
    </border>
    <border>
      <left/>
      <right style="medium">
        <color auto="1"/>
      </right>
      <top style="thin">
        <color auto="1"/>
      </top>
      <bottom/>
      <diagonal/>
    </border>
    <border>
      <left style="thin">
        <color theme="0"/>
      </left>
      <right style="thin">
        <color theme="0"/>
      </right>
      <top style="thin">
        <color theme="0"/>
      </top>
      <bottom style="thin">
        <color theme="0"/>
      </bottom>
      <diagonal/>
    </border>
  </borders>
  <cellStyleXfs count="903">
    <xf numFmtId="0" fontId="0"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4"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285">
    <xf numFmtId="0" fontId="0" fillId="0" borderId="0" xfId="0"/>
    <xf numFmtId="0" fontId="0" fillId="0" borderId="0" xfId="0" applyAlignment="1">
      <alignment vertical="top"/>
    </xf>
    <xf numFmtId="0" fontId="0" fillId="0" borderId="1" xfId="0" applyBorder="1" applyAlignment="1">
      <alignment vertical="top"/>
    </xf>
    <xf numFmtId="0" fontId="0" fillId="0" borderId="5" xfId="0" applyBorder="1" applyAlignment="1">
      <alignment vertical="top"/>
    </xf>
    <xf numFmtId="0" fontId="0" fillId="0" borderId="7" xfId="0" applyBorder="1" applyAlignment="1">
      <alignment vertical="top"/>
    </xf>
    <xf numFmtId="0" fontId="0" fillId="0" borderId="4" xfId="0" applyBorder="1" applyAlignment="1">
      <alignment vertical="top"/>
    </xf>
    <xf numFmtId="0" fontId="5" fillId="0" borderId="0" xfId="0" applyFont="1"/>
    <xf numFmtId="0" fontId="15" fillId="3" borderId="1" xfId="0" applyFont="1" applyFill="1" applyBorder="1" applyAlignment="1" applyProtection="1">
      <alignment horizontal="center" vertical="center"/>
      <protection locked="0"/>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5" borderId="0" xfId="0" applyFill="1"/>
    <xf numFmtId="0" fontId="4" fillId="3" borderId="0" xfId="0" applyFont="1" applyFill="1"/>
    <xf numFmtId="0" fontId="0" fillId="3" borderId="0" xfId="0" applyFill="1"/>
    <xf numFmtId="0" fontId="3" fillId="4" borderId="0" xfId="0" applyFont="1" applyFill="1"/>
    <xf numFmtId="1" fontId="0" fillId="5" borderId="0" xfId="0" applyNumberFormat="1" applyFill="1"/>
    <xf numFmtId="0" fontId="29" fillId="0" borderId="0" xfId="0" applyFont="1"/>
    <xf numFmtId="0" fontId="27" fillId="0" borderId="0" xfId="0" applyFont="1" applyAlignment="1">
      <alignment horizontal="center"/>
    </xf>
    <xf numFmtId="0" fontId="29" fillId="0" borderId="0" xfId="0" applyFont="1" applyAlignment="1">
      <alignment horizontal="center"/>
    </xf>
    <xf numFmtId="0" fontId="27" fillId="0" borderId="0" xfId="0" applyFont="1" applyAlignment="1">
      <alignment horizontal="right"/>
    </xf>
    <xf numFmtId="0" fontId="2" fillId="0" borderId="0" xfId="0" applyFont="1"/>
    <xf numFmtId="0" fontId="29" fillId="0" borderId="0" xfId="0" applyFont="1" applyAlignment="1">
      <alignment horizontal="left"/>
    </xf>
    <xf numFmtId="0" fontId="30" fillId="0" borderId="0" xfId="0" applyFont="1" applyAlignment="1">
      <alignment horizontal="center"/>
    </xf>
    <xf numFmtId="0" fontId="0" fillId="7" borderId="10" xfId="0" applyFill="1" applyBorder="1"/>
    <xf numFmtId="0" fontId="0" fillId="7" borderId="0" xfId="0" applyFill="1"/>
    <xf numFmtId="0" fontId="0" fillId="7" borderId="11" xfId="0" applyFill="1" applyBorder="1"/>
    <xf numFmtId="0" fontId="26" fillId="7" borderId="0" xfId="0" applyFont="1" applyFill="1"/>
    <xf numFmtId="0" fontId="20" fillId="7" borderId="0" xfId="0" applyFont="1" applyFill="1"/>
    <xf numFmtId="0" fontId="28" fillId="7" borderId="0" xfId="0" applyFont="1" applyFill="1"/>
    <xf numFmtId="0" fontId="12" fillId="7" borderId="0" xfId="0" applyFont="1" applyFill="1" applyAlignment="1">
      <alignment horizontal="left" vertical="center" shrinkToFit="1"/>
    </xf>
    <xf numFmtId="0" fontId="26" fillId="7" borderId="11" xfId="0" applyFont="1" applyFill="1" applyBorder="1" applyAlignment="1">
      <alignment horizontal="left" vertical="center"/>
    </xf>
    <xf numFmtId="49" fontId="28" fillId="7" borderId="0" xfId="0" applyNumberFormat="1" applyFont="1" applyFill="1"/>
    <xf numFmtId="0" fontId="0" fillId="7" borderId="12" xfId="0" applyFill="1" applyBorder="1"/>
    <xf numFmtId="0" fontId="0" fillId="7" borderId="13" xfId="0" applyFill="1" applyBorder="1"/>
    <xf numFmtId="0" fontId="0" fillId="7" borderId="14" xfId="0" applyFill="1" applyBorder="1"/>
    <xf numFmtId="0" fontId="22" fillId="7" borderId="0" xfId="0" applyFont="1" applyFill="1"/>
    <xf numFmtId="0" fontId="38" fillId="7" borderId="0" xfId="0" applyFont="1" applyFill="1" applyAlignment="1">
      <alignment vertical="center"/>
    </xf>
    <xf numFmtId="0" fontId="29" fillId="0" borderId="0" xfId="0" applyFont="1" applyAlignment="1">
      <alignment horizontal="right"/>
    </xf>
    <xf numFmtId="0" fontId="27" fillId="0" borderId="0" xfId="0" applyFont="1"/>
    <xf numFmtId="0" fontId="40" fillId="0" borderId="0" xfId="0" applyFont="1" applyAlignment="1">
      <alignment horizontal="right"/>
    </xf>
    <xf numFmtId="0" fontId="40" fillId="0" borderId="0" xfId="0" applyFont="1" applyAlignment="1">
      <alignment horizontal="center"/>
    </xf>
    <xf numFmtId="0" fontId="20" fillId="0" borderId="0" xfId="0" applyFont="1" applyAlignment="1">
      <alignment horizontal="center"/>
    </xf>
    <xf numFmtId="0" fontId="6" fillId="0" borderId="0" xfId="0" applyFont="1" applyAlignment="1">
      <alignment horizontal="center"/>
    </xf>
    <xf numFmtId="0" fontId="42" fillId="0" borderId="0" xfId="0" applyFont="1" applyAlignment="1">
      <alignment horizontal="center"/>
    </xf>
    <xf numFmtId="0" fontId="12" fillId="17" borderId="0" xfId="0" applyFont="1" applyFill="1" applyAlignment="1">
      <alignment horizontal="left" vertical="center" shrinkToFit="1"/>
    </xf>
    <xf numFmtId="0" fontId="12" fillId="7" borderId="2" xfId="0" applyFont="1" applyFill="1" applyBorder="1" applyAlignment="1">
      <alignment horizontal="center" vertical="center"/>
    </xf>
    <xf numFmtId="0" fontId="0" fillId="0" borderId="0" xfId="0" applyAlignment="1">
      <alignment vertical="top" wrapText="1"/>
    </xf>
    <xf numFmtId="0" fontId="0" fillId="0" borderId="0" xfId="0" applyAlignment="1">
      <alignment horizontal="left" vertical="top"/>
    </xf>
    <xf numFmtId="15" fontId="0" fillId="0" borderId="0" xfId="0" applyNumberFormat="1" applyAlignment="1">
      <alignment horizontal="left" vertical="top"/>
    </xf>
    <xf numFmtId="165" fontId="0" fillId="0" borderId="0" xfId="0" applyNumberFormat="1" applyAlignment="1">
      <alignment horizontal="left"/>
    </xf>
    <xf numFmtId="15" fontId="0" fillId="0" borderId="0" xfId="0" applyNumberFormat="1" applyAlignment="1">
      <alignment horizontal="left"/>
    </xf>
    <xf numFmtId="0" fontId="30" fillId="14" borderId="0" xfId="0" applyFont="1" applyFill="1" applyAlignment="1">
      <alignment horizontal="left" wrapText="1"/>
    </xf>
    <xf numFmtId="0" fontId="15" fillId="14" borderId="0" xfId="0" applyFont="1" applyFill="1" applyAlignment="1">
      <alignment horizontal="left"/>
    </xf>
    <xf numFmtId="0" fontId="7" fillId="14" borderId="0" xfId="0" applyFont="1" applyFill="1" applyAlignment="1">
      <alignment wrapText="1"/>
    </xf>
    <xf numFmtId="0" fontId="15" fillId="14" borderId="0" xfId="0" applyFont="1" applyFill="1" applyAlignment="1">
      <alignment horizontal="justify" vertical="top" wrapText="1"/>
    </xf>
    <xf numFmtId="0" fontId="0" fillId="14" borderId="0" xfId="0" applyFill="1"/>
    <xf numFmtId="0" fontId="0" fillId="14" borderId="0" xfId="0" applyFill="1" applyAlignment="1">
      <alignment wrapText="1"/>
    </xf>
    <xf numFmtId="0" fontId="0" fillId="0" borderId="0" xfId="0" quotePrefix="1"/>
    <xf numFmtId="0" fontId="15" fillId="14" borderId="0" xfId="0" applyFont="1" applyFill="1" applyAlignment="1">
      <alignment horizontal="left" wrapText="1"/>
    </xf>
    <xf numFmtId="0" fontId="12" fillId="14" borderId="0" xfId="0" applyFont="1" applyFill="1" applyAlignment="1">
      <alignment vertical="top"/>
    </xf>
    <xf numFmtId="0" fontId="36" fillId="14" borderId="0" xfId="0" applyFont="1" applyFill="1" applyAlignment="1" applyProtection="1">
      <alignment vertical="top" wrapText="1"/>
      <protection locked="0"/>
    </xf>
    <xf numFmtId="49" fontId="36" fillId="14" borderId="0" xfId="0" applyNumberFormat="1" applyFont="1" applyFill="1" applyAlignment="1" applyProtection="1">
      <alignment horizontal="left" vertical="top"/>
      <protection locked="0"/>
    </xf>
    <xf numFmtId="49" fontId="36" fillId="14" borderId="0" xfId="0" applyNumberFormat="1" applyFont="1" applyFill="1" applyProtection="1">
      <protection locked="0"/>
    </xf>
    <xf numFmtId="0" fontId="0" fillId="0" borderId="0" xfId="0" applyAlignment="1">
      <alignment wrapText="1"/>
    </xf>
    <xf numFmtId="0" fontId="0" fillId="0" borderId="0" xfId="0" quotePrefix="1" applyAlignment="1">
      <alignment horizontal="left" vertical="top"/>
    </xf>
    <xf numFmtId="0" fontId="44" fillId="17" borderId="0" xfId="0" applyFont="1" applyFill="1"/>
    <xf numFmtId="0" fontId="47" fillId="17" borderId="0" xfId="0" applyFont="1" applyFill="1"/>
    <xf numFmtId="0" fontId="28" fillId="17" borderId="0" xfId="0" applyFont="1" applyFill="1"/>
    <xf numFmtId="0" fontId="0" fillId="7" borderId="0" xfId="0" applyFill="1" applyAlignment="1">
      <alignment horizontal="center"/>
    </xf>
    <xf numFmtId="0" fontId="39" fillId="17" borderId="0" xfId="0" applyFont="1" applyFill="1"/>
    <xf numFmtId="0" fontId="28" fillId="14" borderId="0" xfId="0" applyFont="1" applyFill="1"/>
    <xf numFmtId="0" fontId="2" fillId="7" borderId="0" xfId="0" applyFont="1" applyFill="1"/>
    <xf numFmtId="0" fontId="47" fillId="14" borderId="0" xfId="0" applyFont="1" applyFill="1"/>
    <xf numFmtId="0" fontId="48" fillId="14" borderId="2" xfId="0" applyFont="1" applyFill="1" applyBorder="1" applyAlignment="1">
      <alignment horizontal="left"/>
    </xf>
    <xf numFmtId="0" fontId="12" fillId="7" borderId="0" xfId="0" applyFont="1" applyFill="1" applyAlignment="1">
      <alignment vertical="center"/>
    </xf>
    <xf numFmtId="0" fontId="8" fillId="7" borderId="10" xfId="0" applyFont="1" applyFill="1" applyBorder="1" applyAlignment="1">
      <alignment horizontal="center"/>
    </xf>
    <xf numFmtId="0" fontId="0" fillId="7" borderId="11" xfId="0" applyFill="1" applyBorder="1" applyAlignment="1">
      <alignment horizontal="center"/>
    </xf>
    <xf numFmtId="0" fontId="22" fillId="14" borderId="0" xfId="0" applyFont="1" applyFill="1"/>
    <xf numFmtId="0" fontId="15" fillId="14" borderId="0" xfId="0" applyFont="1" applyFill="1"/>
    <xf numFmtId="0" fontId="15" fillId="14" borderId="0" xfId="0" applyFont="1" applyFill="1" applyAlignment="1">
      <alignment horizontal="justify" wrapText="1"/>
    </xf>
    <xf numFmtId="0" fontId="2" fillId="14" borderId="0" xfId="0" applyFont="1" applyFill="1"/>
    <xf numFmtId="0" fontId="7" fillId="14" borderId="0" xfId="0" applyFont="1" applyFill="1" applyAlignment="1">
      <alignment vertical="top" wrapText="1"/>
    </xf>
    <xf numFmtId="0" fontId="4" fillId="0" borderId="0" xfId="0" applyFont="1"/>
    <xf numFmtId="20" fontId="4" fillId="0" borderId="0" xfId="0" quotePrefix="1" applyNumberFormat="1" applyFont="1"/>
    <xf numFmtId="0" fontId="9" fillId="10" borderId="1" xfId="0" applyFont="1" applyFill="1" applyBorder="1" applyAlignment="1">
      <alignment horizontal="center" vertical="center"/>
    </xf>
    <xf numFmtId="0" fontId="0" fillId="0" borderId="0" xfId="0" applyAlignment="1">
      <alignment horizontal="center" vertical="center"/>
    </xf>
    <xf numFmtId="1" fontId="13" fillId="2" borderId="1" xfId="0" applyNumberFormat="1" applyFont="1" applyFill="1" applyBorder="1" applyAlignment="1">
      <alignment horizontal="left" vertical="top" wrapText="1"/>
    </xf>
    <xf numFmtId="49" fontId="13" fillId="14" borderId="1" xfId="0" applyNumberFormat="1" applyFont="1" applyFill="1" applyBorder="1" applyAlignment="1">
      <alignment horizontal="left" vertical="top" wrapText="1"/>
    </xf>
    <xf numFmtId="0" fontId="0" fillId="0" borderId="2" xfId="0" applyBorder="1" applyAlignment="1">
      <alignment horizontal="center" vertical="center"/>
    </xf>
    <xf numFmtId="2" fontId="15" fillId="14" borderId="1" xfId="0" applyNumberFormat="1" applyFont="1" applyFill="1" applyBorder="1" applyAlignment="1">
      <alignment horizontal="left" vertical="top" wrapText="1"/>
    </xf>
    <xf numFmtId="2" fontId="11" fillId="14" borderId="3" xfId="0" applyNumberFormat="1" applyFont="1" applyFill="1" applyBorder="1" applyAlignment="1">
      <alignment horizontal="left" vertical="top" wrapText="1"/>
    </xf>
    <xf numFmtId="0" fontId="10" fillId="14" borderId="3" xfId="0" applyFont="1" applyFill="1" applyBorder="1" applyAlignment="1">
      <alignment horizontal="right" vertical="top" wrapText="1"/>
    </xf>
    <xf numFmtId="0" fontId="0" fillId="14" borderId="3" xfId="0" applyFill="1" applyBorder="1" applyAlignment="1">
      <alignment vertical="top"/>
    </xf>
    <xf numFmtId="2" fontId="0" fillId="0" borderId="19" xfId="0" applyNumberFormat="1" applyBorder="1" applyAlignment="1">
      <alignment horizontal="left" vertical="top"/>
    </xf>
    <xf numFmtId="0" fontId="9" fillId="0" borderId="19" xfId="0" applyFont="1" applyBorder="1" applyAlignment="1">
      <alignment horizontal="right" vertical="top"/>
    </xf>
    <xf numFmtId="0" fontId="12" fillId="0" borderId="19" xfId="0" applyFont="1" applyBorder="1" applyAlignment="1">
      <alignment vertical="top"/>
    </xf>
    <xf numFmtId="0" fontId="0" fillId="0" borderId="19" xfId="0" applyBorder="1" applyAlignment="1">
      <alignment vertical="top"/>
    </xf>
    <xf numFmtId="2" fontId="0" fillId="0" borderId="0" xfId="0" applyNumberFormat="1" applyAlignment="1">
      <alignment horizontal="left" vertical="top"/>
    </xf>
    <xf numFmtId="2" fontId="0" fillId="0" borderId="1" xfId="0" applyNumberFormat="1" applyBorder="1" applyAlignment="1">
      <alignment horizontal="left" vertical="top"/>
    </xf>
    <xf numFmtId="0" fontId="0" fillId="0" borderId="0" xfId="0" applyAlignment="1" applyProtection="1">
      <alignment vertical="top"/>
      <protection locked="0"/>
    </xf>
    <xf numFmtId="0" fontId="0" fillId="0" borderId="0" xfId="0" applyProtection="1">
      <protection locked="0"/>
    </xf>
    <xf numFmtId="0" fontId="9" fillId="10" borderId="1" xfId="0" applyFont="1" applyFill="1" applyBorder="1" applyAlignment="1" applyProtection="1">
      <alignment horizontal="center" vertical="center"/>
      <protection locked="0"/>
    </xf>
    <xf numFmtId="0" fontId="9" fillId="14" borderId="1" xfId="0" applyFont="1" applyFill="1" applyBorder="1" applyAlignment="1" applyProtection="1">
      <alignment horizontal="center" vertical="center"/>
      <protection locked="0"/>
    </xf>
    <xf numFmtId="0" fontId="22" fillId="14" borderId="0" xfId="0" applyFont="1" applyFill="1" applyAlignment="1" applyProtection="1">
      <alignment vertical="center"/>
      <protection locked="0"/>
    </xf>
    <xf numFmtId="0" fontId="9" fillId="0" borderId="19" xfId="0" applyFont="1" applyBorder="1" applyAlignment="1" applyProtection="1">
      <alignment horizontal="center" vertical="top"/>
      <protection locked="0"/>
    </xf>
    <xf numFmtId="0" fontId="0" fillId="0" borderId="19" xfId="0" applyBorder="1" applyAlignment="1" applyProtection="1">
      <alignment vertical="top"/>
      <protection locked="0"/>
    </xf>
    <xf numFmtId="0" fontId="0" fillId="0" borderId="1" xfId="0" applyBorder="1" applyAlignment="1" applyProtection="1">
      <alignment vertical="top"/>
      <protection locked="0"/>
    </xf>
    <xf numFmtId="0" fontId="4" fillId="21" borderId="1" xfId="0" applyFont="1" applyFill="1" applyBorder="1" applyAlignment="1" applyProtection="1">
      <alignment horizontal="center" vertical="center"/>
      <protection locked="0"/>
    </xf>
    <xf numFmtId="0" fontId="0" fillId="17" borderId="1" xfId="0" applyFill="1" applyBorder="1" applyAlignment="1" applyProtection="1">
      <alignment vertical="top"/>
      <protection locked="0"/>
    </xf>
    <xf numFmtId="0" fontId="8" fillId="10" borderId="8" xfId="0" applyFont="1" applyFill="1" applyBorder="1" applyAlignment="1">
      <alignment vertical="center"/>
    </xf>
    <xf numFmtId="0" fontId="0" fillId="10" borderId="9" xfId="0" applyFill="1" applyBorder="1" applyAlignment="1">
      <alignment vertical="center"/>
    </xf>
    <xf numFmtId="0" fontId="15" fillId="10" borderId="8" xfId="0" applyFont="1" applyFill="1" applyBorder="1" applyAlignment="1">
      <alignment vertical="center"/>
    </xf>
    <xf numFmtId="0" fontId="15" fillId="10" borderId="9" xfId="0" applyFont="1" applyFill="1" applyBorder="1" applyAlignment="1">
      <alignment vertical="center"/>
    </xf>
    <xf numFmtId="0" fontId="14" fillId="22" borderId="8" xfId="0" applyFont="1" applyFill="1" applyBorder="1" applyAlignment="1">
      <alignment vertical="top" wrapText="1"/>
    </xf>
    <xf numFmtId="0" fontId="0" fillId="22" borderId="9" xfId="0" applyFill="1" applyBorder="1" applyAlignment="1">
      <alignment vertical="top"/>
    </xf>
    <xf numFmtId="0" fontId="0" fillId="10" borderId="7" xfId="0" applyFill="1" applyBorder="1" applyAlignment="1" applyProtection="1">
      <alignment vertical="center"/>
      <protection locked="0"/>
    </xf>
    <xf numFmtId="0" fontId="15" fillId="10" borderId="7" xfId="0" applyFont="1" applyFill="1" applyBorder="1" applyAlignment="1" applyProtection="1">
      <alignment vertical="center"/>
      <protection locked="0"/>
    </xf>
    <xf numFmtId="0" fontId="0" fillId="22" borderId="7" xfId="0" applyFill="1" applyBorder="1" applyAlignment="1" applyProtection="1">
      <alignment vertical="top"/>
      <protection locked="0"/>
    </xf>
    <xf numFmtId="0" fontId="0" fillId="0" borderId="2" xfId="0" applyBorder="1" applyAlignment="1">
      <alignment vertical="top"/>
    </xf>
    <xf numFmtId="0" fontId="2" fillId="21" borderId="1" xfId="0" applyFont="1" applyFill="1" applyBorder="1" applyAlignment="1">
      <alignment horizontal="center" vertical="center"/>
    </xf>
    <xf numFmtId="1" fontId="23" fillId="6" borderId="1" xfId="0" applyNumberFormat="1" applyFont="1" applyFill="1" applyBorder="1" applyAlignment="1">
      <alignment horizontal="left" vertical="center" wrapText="1"/>
    </xf>
    <xf numFmtId="1" fontId="23" fillId="6" borderId="8" xfId="0" applyNumberFormat="1" applyFont="1" applyFill="1" applyBorder="1" applyAlignment="1">
      <alignment horizontal="left" vertical="center" wrapText="1"/>
    </xf>
    <xf numFmtId="0" fontId="0" fillId="17" borderId="1" xfId="0" applyFill="1" applyBorder="1" applyAlignment="1">
      <alignment vertical="top"/>
    </xf>
    <xf numFmtId="49" fontId="15" fillId="0" borderId="1" xfId="0" applyNumberFormat="1" applyFont="1" applyBorder="1" applyAlignment="1">
      <alignment horizontal="left" vertical="top" wrapText="1"/>
    </xf>
    <xf numFmtId="49" fontId="13" fillId="11" borderId="1" xfId="0" applyNumberFormat="1" applyFont="1" applyFill="1" applyBorder="1" applyAlignment="1">
      <alignment horizontal="center" vertical="top" wrapText="1"/>
    </xf>
    <xf numFmtId="1" fontId="13" fillId="8" borderId="1" xfId="0" applyNumberFormat="1" applyFont="1" applyFill="1" applyBorder="1" applyAlignment="1">
      <alignment horizontal="center" vertical="top" wrapText="1"/>
    </xf>
    <xf numFmtId="0" fontId="13" fillId="14" borderId="1" xfId="0" applyFont="1" applyFill="1" applyBorder="1" applyAlignment="1">
      <alignment vertical="top" wrapText="1"/>
    </xf>
    <xf numFmtId="49" fontId="13" fillId="0" borderId="1" xfId="0" applyNumberFormat="1" applyFont="1" applyBorder="1" applyAlignment="1">
      <alignment horizontal="left" vertical="top" wrapText="1"/>
    </xf>
    <xf numFmtId="0" fontId="13" fillId="14" borderId="1" xfId="0" applyFont="1" applyFill="1" applyBorder="1" applyAlignment="1">
      <alignment horizontal="left" vertical="top" wrapText="1"/>
    </xf>
    <xf numFmtId="164" fontId="13" fillId="11" borderId="1" xfId="0" applyNumberFormat="1" applyFont="1" applyFill="1" applyBorder="1" applyAlignment="1">
      <alignment horizontal="center" vertical="top" wrapText="1"/>
    </xf>
    <xf numFmtId="1" fontId="13" fillId="9" borderId="1" xfId="0" applyNumberFormat="1" applyFont="1" applyFill="1" applyBorder="1" applyAlignment="1">
      <alignment horizontal="center" vertical="top" wrapText="1"/>
    </xf>
    <xf numFmtId="0" fontId="13" fillId="0" borderId="1" xfId="0" applyFont="1" applyBorder="1" applyAlignment="1">
      <alignment vertical="top" wrapText="1"/>
    </xf>
    <xf numFmtId="49" fontId="13" fillId="12" borderId="1" xfId="0" applyNumberFormat="1" applyFont="1" applyFill="1" applyBorder="1" applyAlignment="1">
      <alignment horizontal="center" vertical="top" wrapText="1"/>
    </xf>
    <xf numFmtId="49" fontId="15" fillId="13" borderId="1" xfId="0" applyNumberFormat="1" applyFont="1" applyFill="1" applyBorder="1" applyAlignment="1">
      <alignment horizontal="center" vertical="top" wrapText="1"/>
    </xf>
    <xf numFmtId="1" fontId="13" fillId="10" borderId="1" xfId="0" applyNumberFormat="1" applyFont="1" applyFill="1" applyBorder="1" applyAlignment="1">
      <alignment horizontal="center" vertical="top" wrapText="1"/>
    </xf>
    <xf numFmtId="2" fontId="11" fillId="0" borderId="1" xfId="0" applyNumberFormat="1" applyFont="1" applyBorder="1" applyAlignment="1">
      <alignment horizontal="left" vertical="top" wrapText="1"/>
    </xf>
    <xf numFmtId="0" fontId="14" fillId="0" borderId="1" xfId="0" applyFont="1" applyBorder="1" applyAlignment="1">
      <alignment horizontal="right" vertical="center" wrapText="1"/>
    </xf>
    <xf numFmtId="0" fontId="9" fillId="0" borderId="1" xfId="0" applyFont="1" applyBorder="1" applyAlignment="1">
      <alignment horizontal="center" vertical="center"/>
    </xf>
    <xf numFmtId="2" fontId="0" fillId="0" borderId="3" xfId="0" applyNumberFormat="1" applyBorder="1" applyAlignment="1">
      <alignment horizontal="left" vertical="top"/>
    </xf>
    <xf numFmtId="0" fontId="0" fillId="0" borderId="3" xfId="0" applyBorder="1" applyAlignment="1">
      <alignment vertical="top"/>
    </xf>
    <xf numFmtId="0" fontId="20" fillId="0" borderId="0" xfId="0" applyFont="1" applyAlignment="1">
      <alignment horizontal="right" vertical="top"/>
    </xf>
    <xf numFmtId="0" fontId="20" fillId="0" borderId="0" xfId="0" applyFont="1" applyAlignment="1">
      <alignment horizontal="center" vertical="top"/>
    </xf>
    <xf numFmtId="0" fontId="20" fillId="0" borderId="0" xfId="0" applyFont="1" applyAlignment="1">
      <alignment vertical="top"/>
    </xf>
    <xf numFmtId="0" fontId="41" fillId="0" borderId="0" xfId="0" applyFont="1" applyAlignment="1">
      <alignment horizontal="right" vertical="top"/>
    </xf>
    <xf numFmtId="0" fontId="41" fillId="0" borderId="0" xfId="0" applyFont="1" applyAlignment="1">
      <alignment horizontal="center" vertical="top"/>
    </xf>
    <xf numFmtId="0" fontId="28" fillId="0" borderId="0" xfId="0" applyFont="1" applyAlignment="1">
      <alignment vertical="top"/>
    </xf>
    <xf numFmtId="49" fontId="13" fillId="12" borderId="1" xfId="0" quotePrefix="1" applyNumberFormat="1" applyFont="1" applyFill="1" applyBorder="1" applyAlignment="1">
      <alignment horizontal="center" vertical="top" wrapText="1"/>
    </xf>
    <xf numFmtId="49" fontId="13" fillId="13" borderId="1" xfId="0" quotePrefix="1" applyNumberFormat="1" applyFont="1" applyFill="1" applyBorder="1" applyAlignment="1">
      <alignment horizontal="center" vertical="top" wrapText="1"/>
    </xf>
    <xf numFmtId="49" fontId="13" fillId="15" borderId="1" xfId="0" applyNumberFormat="1" applyFont="1" applyFill="1" applyBorder="1" applyAlignment="1">
      <alignment horizontal="center" vertical="top" wrapText="1"/>
    </xf>
    <xf numFmtId="2" fontId="16" fillId="0" borderId="1" xfId="0" applyNumberFormat="1" applyFont="1" applyBorder="1" applyAlignment="1">
      <alignment horizontal="left" vertical="top" wrapText="1"/>
    </xf>
    <xf numFmtId="0" fontId="21" fillId="0" borderId="1" xfId="0" applyFont="1" applyBorder="1" applyAlignment="1">
      <alignment horizontal="center" vertical="center"/>
    </xf>
    <xf numFmtId="2" fontId="11" fillId="0" borderId="0" xfId="0" applyNumberFormat="1" applyFont="1" applyAlignment="1">
      <alignment horizontal="left" vertical="top" wrapText="1"/>
    </xf>
    <xf numFmtId="0" fontId="10" fillId="0" borderId="0" xfId="0" applyFont="1" applyAlignment="1">
      <alignment horizontal="right" vertical="top" wrapText="1"/>
    </xf>
    <xf numFmtId="0" fontId="0" fillId="0" borderId="0" xfId="0" applyAlignment="1">
      <alignment horizontal="center" vertical="top"/>
    </xf>
    <xf numFmtId="0" fontId="7" fillId="0" borderId="2" xfId="0" applyFont="1" applyBorder="1" applyAlignment="1">
      <alignment vertical="top"/>
    </xf>
    <xf numFmtId="0" fontId="7" fillId="0" borderId="0" xfId="0" applyFont="1" applyAlignment="1">
      <alignment vertical="top"/>
    </xf>
    <xf numFmtId="0" fontId="7" fillId="0" borderId="1" xfId="0" applyFont="1" applyBorder="1" applyAlignment="1">
      <alignment vertical="top"/>
    </xf>
    <xf numFmtId="49" fontId="23" fillId="6" borderId="1" xfId="0" applyNumberFormat="1" applyFont="1" applyFill="1" applyBorder="1" applyAlignment="1">
      <alignment horizontal="left" vertical="center" wrapText="1"/>
    </xf>
    <xf numFmtId="165" fontId="13" fillId="11" borderId="1" xfId="0" applyNumberFormat="1" applyFont="1" applyFill="1" applyBorder="1" applyAlignment="1">
      <alignment horizontal="center" vertical="top" wrapText="1"/>
    </xf>
    <xf numFmtId="0" fontId="15" fillId="14" borderId="1" xfId="0" applyFont="1" applyFill="1" applyBorder="1" applyAlignment="1">
      <alignment vertical="top" wrapText="1"/>
    </xf>
    <xf numFmtId="0" fontId="49" fillId="14" borderId="1" xfId="0" applyFont="1" applyFill="1" applyBorder="1" applyAlignment="1">
      <alignment vertical="top" wrapText="1"/>
    </xf>
    <xf numFmtId="0" fontId="0" fillId="9" borderId="1" xfId="0" applyFill="1" applyBorder="1" applyAlignment="1">
      <alignment horizontal="center" vertical="top"/>
    </xf>
    <xf numFmtId="0" fontId="15" fillId="0" borderId="1" xfId="0" applyFont="1" applyBorder="1" applyAlignment="1">
      <alignment vertical="top" wrapText="1"/>
    </xf>
    <xf numFmtId="0" fontId="0" fillId="10" borderId="1" xfId="0" applyFill="1" applyBorder="1" applyAlignment="1">
      <alignment horizontal="center" vertical="top"/>
    </xf>
    <xf numFmtId="1" fontId="23" fillId="6" borderId="8" xfId="0" applyNumberFormat="1" applyFont="1" applyFill="1" applyBorder="1" applyAlignment="1">
      <alignment horizontal="center" vertical="center" wrapText="1"/>
    </xf>
    <xf numFmtId="2" fontId="22" fillId="12" borderId="1" xfId="0" applyNumberFormat="1" applyFont="1" applyFill="1" applyBorder="1" applyAlignment="1">
      <alignment horizontal="center" vertical="top"/>
    </xf>
    <xf numFmtId="2" fontId="22" fillId="15" borderId="1" xfId="0" applyNumberFormat="1" applyFont="1" applyFill="1" applyBorder="1" applyAlignment="1">
      <alignment horizontal="center" vertical="top"/>
    </xf>
    <xf numFmtId="2" fontId="22" fillId="16" borderId="1" xfId="0" applyNumberFormat="1" applyFont="1" applyFill="1" applyBorder="1" applyAlignment="1">
      <alignment horizontal="center" vertical="top"/>
    </xf>
    <xf numFmtId="49" fontId="16" fillId="0" borderId="1" xfId="0" applyNumberFormat="1" applyFont="1" applyBorder="1" applyAlignment="1">
      <alignment horizontal="left" vertical="top" wrapText="1"/>
    </xf>
    <xf numFmtId="1" fontId="16" fillId="0" borderId="1" xfId="0" applyNumberFormat="1" applyFont="1" applyBorder="1" applyAlignment="1">
      <alignment horizontal="left" vertical="top" wrapText="1"/>
    </xf>
    <xf numFmtId="49" fontId="0" fillId="0" borderId="0" xfId="0" applyNumberFormat="1" applyAlignment="1">
      <alignment horizontal="left" vertical="top"/>
    </xf>
    <xf numFmtId="49" fontId="0" fillId="0" borderId="1" xfId="0" applyNumberFormat="1" applyBorder="1" applyAlignment="1">
      <alignment horizontal="left" vertical="top"/>
    </xf>
    <xf numFmtId="0" fontId="4" fillId="21" borderId="1" xfId="0" applyFont="1" applyFill="1" applyBorder="1" applyAlignment="1">
      <alignment horizontal="center" vertical="center"/>
    </xf>
    <xf numFmtId="49" fontId="13" fillId="0" borderId="1" xfId="0" applyNumberFormat="1" applyFont="1" applyBorder="1" applyAlignment="1">
      <alignment horizontal="center" vertical="top" wrapText="1"/>
    </xf>
    <xf numFmtId="1" fontId="13" fillId="0" borderId="1" xfId="0" applyNumberFormat="1" applyFont="1" applyBorder="1" applyAlignment="1">
      <alignment horizontal="center" vertical="top" wrapText="1"/>
    </xf>
    <xf numFmtId="0" fontId="15" fillId="6" borderId="1" xfId="0" applyFont="1" applyFill="1" applyBorder="1" applyAlignment="1">
      <alignment vertical="top"/>
    </xf>
    <xf numFmtId="0" fontId="13" fillId="14" borderId="1" xfId="0" applyFont="1" applyFill="1" applyBorder="1" applyAlignment="1">
      <alignment horizontal="left" vertical="top" wrapText="1" indent="1"/>
    </xf>
    <xf numFmtId="0" fontId="15" fillId="14" borderId="1" xfId="0" applyFont="1" applyFill="1" applyBorder="1" applyAlignment="1">
      <alignment horizontal="left" vertical="top" wrapText="1" indent="1"/>
    </xf>
    <xf numFmtId="49" fontId="13" fillId="13" borderId="1" xfId="0" applyNumberFormat="1" applyFont="1" applyFill="1" applyBorder="1" applyAlignment="1">
      <alignment horizontal="center" vertical="top" wrapText="1"/>
    </xf>
    <xf numFmtId="0" fontId="13" fillId="0" borderId="1" xfId="0" applyFont="1" applyBorder="1" applyAlignment="1">
      <alignment horizontal="left" vertical="top" wrapText="1"/>
    </xf>
    <xf numFmtId="0" fontId="15" fillId="14" borderId="16" xfId="0" applyFont="1" applyFill="1" applyBorder="1" applyAlignment="1">
      <alignment vertical="top" wrapText="1"/>
    </xf>
    <xf numFmtId="1" fontId="20" fillId="0" borderId="0" xfId="0" applyNumberFormat="1" applyFont="1" applyAlignment="1">
      <alignment horizontal="center" vertical="top"/>
    </xf>
    <xf numFmtId="49" fontId="34" fillId="18" borderId="1" xfId="0" applyNumberFormat="1" applyFont="1" applyFill="1" applyBorder="1" applyAlignment="1">
      <alignment horizontal="center" vertical="top" wrapText="1"/>
    </xf>
    <xf numFmtId="0" fontId="49" fillId="0" borderId="1" xfId="0" applyFont="1" applyBorder="1" applyAlignment="1">
      <alignment vertical="top" wrapText="1"/>
    </xf>
    <xf numFmtId="1" fontId="19" fillId="9" borderId="1" xfId="0" applyNumberFormat="1" applyFont="1" applyFill="1" applyBorder="1" applyAlignment="1">
      <alignment horizontal="center" vertical="top"/>
    </xf>
    <xf numFmtId="1" fontId="19" fillId="10" borderId="1" xfId="0" applyNumberFormat="1" applyFont="1" applyFill="1" applyBorder="1" applyAlignment="1">
      <alignment horizontal="center" vertical="top"/>
    </xf>
    <xf numFmtId="2" fontId="0" fillId="0" borderId="6" xfId="0" applyNumberFormat="1" applyBorder="1" applyAlignment="1">
      <alignment horizontal="left" vertical="top"/>
    </xf>
    <xf numFmtId="0" fontId="0" fillId="0" borderId="6" xfId="0" applyBorder="1" applyAlignment="1">
      <alignment vertical="top"/>
    </xf>
    <xf numFmtId="0" fontId="0" fillId="0" borderId="0" xfId="0" applyAlignment="1">
      <alignment vertical="center"/>
    </xf>
    <xf numFmtId="0" fontId="45" fillId="17" borderId="1" xfId="0" applyFont="1" applyFill="1" applyBorder="1" applyAlignment="1">
      <alignment horizontal="left" vertical="top" wrapText="1"/>
    </xf>
    <xf numFmtId="0" fontId="14" fillId="17" borderId="1" xfId="0" applyFont="1" applyFill="1" applyBorder="1" applyAlignment="1">
      <alignment horizontal="left" vertical="top" wrapText="1"/>
    </xf>
    <xf numFmtId="0" fontId="15" fillId="17" borderId="1" xfId="0" applyFont="1" applyFill="1" applyBorder="1" applyAlignment="1">
      <alignment horizontal="left" vertical="top"/>
    </xf>
    <xf numFmtId="0" fontId="45" fillId="17" borderId="1" xfId="0" applyFont="1" applyFill="1" applyBorder="1" applyAlignment="1">
      <alignment horizontal="left" vertical="top"/>
    </xf>
    <xf numFmtId="0" fontId="9" fillId="17" borderId="1" xfId="0" applyFont="1" applyFill="1" applyBorder="1" applyAlignment="1">
      <alignment horizontal="center" vertical="center"/>
    </xf>
    <xf numFmtId="2" fontId="0" fillId="0" borderId="0" xfId="0" applyNumberFormat="1" applyAlignment="1">
      <alignment horizontal="center" vertical="center"/>
    </xf>
    <xf numFmtId="0" fontId="0" fillId="17" borderId="1" xfId="0" applyFill="1" applyBorder="1"/>
    <xf numFmtId="0" fontId="12" fillId="20" borderId="1" xfId="0" applyFont="1" applyFill="1" applyBorder="1" applyAlignment="1">
      <alignment vertical="top"/>
    </xf>
    <xf numFmtId="0" fontId="22" fillId="20" borderId="1" xfId="0" applyFont="1" applyFill="1" applyBorder="1" applyAlignment="1">
      <alignment vertical="top"/>
    </xf>
    <xf numFmtId="0" fontId="22" fillId="0" borderId="1" xfId="0" applyFont="1" applyBorder="1" applyAlignment="1">
      <alignment vertical="top"/>
    </xf>
    <xf numFmtId="0" fontId="22" fillId="0" borderId="1" xfId="0" applyFont="1" applyBorder="1" applyAlignment="1">
      <alignment horizontal="center" vertical="top"/>
    </xf>
    <xf numFmtId="0" fontId="15" fillId="0" borderId="1" xfId="485" applyFont="1" applyBorder="1" applyAlignment="1">
      <alignment vertical="top" wrapText="1"/>
    </xf>
    <xf numFmtId="0" fontId="15" fillId="0" borderId="1" xfId="0" applyFont="1" applyBorder="1" applyAlignment="1">
      <alignment horizontal="left" vertical="top" wrapText="1"/>
    </xf>
    <xf numFmtId="0" fontId="22" fillId="0" borderId="0" xfId="0" applyFont="1"/>
    <xf numFmtId="0" fontId="15" fillId="0" borderId="0" xfId="0" applyFont="1"/>
    <xf numFmtId="20" fontId="0" fillId="0" borderId="0" xfId="0" applyNumberFormat="1"/>
    <xf numFmtId="0" fontId="0" fillId="0" borderId="1" xfId="0" applyBorder="1" applyAlignment="1" applyProtection="1">
      <alignment vertical="top" wrapText="1"/>
      <protection locked="0"/>
    </xf>
    <xf numFmtId="0" fontId="4" fillId="0" borderId="1" xfId="0" applyFont="1" applyBorder="1" applyAlignment="1" applyProtection="1">
      <alignment vertical="top" wrapText="1"/>
      <protection locked="0"/>
    </xf>
    <xf numFmtId="0" fontId="15" fillId="14" borderId="1" xfId="0" applyFont="1" applyFill="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7" xfId="0" applyBorder="1" applyAlignment="1">
      <alignment vertical="top" wrapText="1"/>
    </xf>
    <xf numFmtId="0" fontId="0" fillId="0" borderId="1" xfId="0" applyBorder="1" applyAlignment="1">
      <alignment vertical="top" wrapText="1"/>
    </xf>
    <xf numFmtId="0" fontId="0" fillId="0" borderId="1" xfId="0" applyBorder="1" applyAlignment="1" applyProtection="1">
      <alignment horizontal="center" vertical="top" wrapText="1"/>
      <protection locked="0"/>
    </xf>
    <xf numFmtId="0" fontId="0" fillId="17" borderId="1" xfId="0" applyFill="1" applyBorder="1" applyAlignment="1">
      <alignment vertical="top" wrapText="1"/>
    </xf>
    <xf numFmtId="0" fontId="0" fillId="0" borderId="1" xfId="0" applyBorder="1" applyAlignment="1">
      <alignment wrapText="1"/>
    </xf>
    <xf numFmtId="0" fontId="0" fillId="0" borderId="1" xfId="0" applyBorder="1" applyAlignment="1" applyProtection="1">
      <alignment wrapText="1"/>
      <protection locked="0"/>
    </xf>
    <xf numFmtId="0" fontId="0" fillId="17" borderId="1" xfId="0" applyFill="1" applyBorder="1" applyAlignment="1">
      <alignment wrapText="1"/>
    </xf>
    <xf numFmtId="0" fontId="4" fillId="0" borderId="0" xfId="0" applyFont="1" applyAlignment="1">
      <alignment horizontal="right"/>
    </xf>
    <xf numFmtId="1" fontId="0" fillId="0" borderId="0" xfId="0" applyNumberFormat="1"/>
    <xf numFmtId="165" fontId="0" fillId="0" borderId="0" xfId="0" applyNumberFormat="1"/>
    <xf numFmtId="0" fontId="30" fillId="14" borderId="0" xfId="0" applyFont="1" applyFill="1" applyAlignment="1">
      <alignment horizontal="center"/>
    </xf>
    <xf numFmtId="0" fontId="35" fillId="14" borderId="0" xfId="0" applyFont="1" applyFill="1" applyAlignment="1" applyProtection="1">
      <alignment horizontal="left" vertical="top" wrapText="1"/>
      <protection locked="0"/>
    </xf>
    <xf numFmtId="0" fontId="14" fillId="14" borderId="8" xfId="0" applyFont="1" applyFill="1" applyBorder="1" applyAlignment="1">
      <alignment horizontal="right" vertical="center" wrapText="1"/>
    </xf>
    <xf numFmtId="0" fontId="2" fillId="14" borderId="7" xfId="0" applyFont="1" applyFill="1" applyBorder="1" applyAlignment="1">
      <alignment horizontal="right" vertical="center"/>
    </xf>
    <xf numFmtId="0" fontId="13" fillId="14" borderId="8" xfId="0" applyFont="1" applyFill="1" applyBorder="1" applyAlignment="1">
      <alignment vertical="top" wrapText="1"/>
    </xf>
    <xf numFmtId="0" fontId="13" fillId="14" borderId="7" xfId="0" applyFont="1" applyFill="1" applyBorder="1" applyAlignment="1">
      <alignment vertical="top" wrapText="1"/>
    </xf>
    <xf numFmtId="0" fontId="0" fillId="14" borderId="7" xfId="0" applyFill="1" applyBorder="1" applyAlignment="1">
      <alignment vertical="top" wrapText="1"/>
    </xf>
    <xf numFmtId="0" fontId="14" fillId="10" borderId="8" xfId="0" applyFont="1" applyFill="1" applyBorder="1" applyAlignment="1">
      <alignment horizontal="left" vertical="center" wrapText="1"/>
    </xf>
    <xf numFmtId="0" fontId="19" fillId="10" borderId="9" xfId="0" applyFont="1" applyFill="1" applyBorder="1" applyAlignment="1">
      <alignment horizontal="left"/>
    </xf>
    <xf numFmtId="0" fontId="19" fillId="10" borderId="7" xfId="0" applyFont="1" applyFill="1" applyBorder="1" applyAlignment="1">
      <alignment horizontal="left"/>
    </xf>
    <xf numFmtId="0" fontId="13" fillId="14" borderId="8" xfId="0" applyFont="1" applyFill="1" applyBorder="1" applyAlignment="1">
      <alignment horizontal="left" vertical="top" wrapText="1"/>
    </xf>
    <xf numFmtId="0" fontId="17" fillId="14" borderId="7" xfId="0" applyFont="1" applyFill="1" applyBorder="1" applyAlignment="1">
      <alignment horizontal="left" wrapText="1"/>
    </xf>
    <xf numFmtId="0" fontId="13" fillId="14" borderId="7" xfId="0" applyFont="1" applyFill="1" applyBorder="1" applyAlignment="1">
      <alignment horizontal="left" vertical="top" wrapText="1"/>
    </xf>
    <xf numFmtId="0" fontId="14" fillId="10" borderId="9" xfId="0" applyFont="1" applyFill="1" applyBorder="1" applyAlignment="1">
      <alignment horizontal="left" vertical="center" wrapText="1"/>
    </xf>
    <xf numFmtId="0" fontId="15" fillId="10" borderId="9" xfId="0" applyFont="1" applyFill="1" applyBorder="1" applyAlignment="1">
      <alignment horizontal="left"/>
    </xf>
    <xf numFmtId="0" fontId="15" fillId="10" borderId="7" xfId="0" applyFont="1" applyFill="1" applyBorder="1" applyAlignment="1">
      <alignment horizontal="left"/>
    </xf>
    <xf numFmtId="0" fontId="8" fillId="10" borderId="8" xfId="0" applyFont="1" applyFill="1" applyBorder="1" applyAlignment="1">
      <alignment horizontal="left" vertical="center"/>
    </xf>
    <xf numFmtId="0" fontId="8" fillId="10" borderId="9" xfId="0" applyFont="1" applyFill="1" applyBorder="1" applyAlignment="1">
      <alignment horizontal="left" vertical="center"/>
    </xf>
    <xf numFmtId="0" fontId="0" fillId="10" borderId="9" xfId="0" applyFill="1" applyBorder="1" applyAlignment="1">
      <alignment horizontal="left" vertical="center"/>
    </xf>
    <xf numFmtId="0" fontId="0" fillId="10" borderId="7" xfId="0" applyFill="1" applyBorder="1" applyAlignment="1">
      <alignment horizontal="left" vertical="center"/>
    </xf>
    <xf numFmtId="0" fontId="15" fillId="10" borderId="8" xfId="0" applyFont="1" applyFill="1" applyBorder="1" applyAlignment="1">
      <alignment vertical="center" wrapText="1"/>
    </xf>
    <xf numFmtId="0" fontId="15" fillId="10" borderId="9" xfId="0" applyFont="1" applyFill="1" applyBorder="1" applyAlignment="1">
      <alignment vertical="center" wrapText="1"/>
    </xf>
    <xf numFmtId="0" fontId="0" fillId="10" borderId="7" xfId="0" applyFill="1" applyBorder="1" applyAlignment="1">
      <alignment vertical="center" wrapText="1"/>
    </xf>
    <xf numFmtId="0" fontId="24" fillId="6" borderId="8" xfId="0" applyFont="1" applyFill="1" applyBorder="1" applyAlignment="1">
      <alignment vertical="center" wrapText="1"/>
    </xf>
    <xf numFmtId="0" fontId="25" fillId="6" borderId="9" xfId="0" applyFont="1" applyFill="1" applyBorder="1" applyAlignment="1">
      <alignment vertical="center" wrapText="1"/>
    </xf>
    <xf numFmtId="0" fontId="25" fillId="6" borderId="7" xfId="0" applyFont="1" applyFill="1" applyBorder="1" applyAlignment="1">
      <alignment vertical="center"/>
    </xf>
    <xf numFmtId="0" fontId="15" fillId="10" borderId="8" xfId="0" applyFont="1" applyFill="1" applyBorder="1" applyAlignment="1">
      <alignment vertical="center"/>
    </xf>
    <xf numFmtId="0" fontId="15" fillId="10" borderId="9" xfId="0" applyFont="1" applyFill="1" applyBorder="1" applyAlignment="1">
      <alignment vertical="center"/>
    </xf>
    <xf numFmtId="0" fontId="15" fillId="10" borderId="7" xfId="0" applyFont="1" applyFill="1" applyBorder="1" applyAlignment="1">
      <alignment vertical="center"/>
    </xf>
    <xf numFmtId="0" fontId="0" fillId="10" borderId="7" xfId="0" applyFill="1" applyBorder="1" applyAlignment="1">
      <alignment vertical="center"/>
    </xf>
    <xf numFmtId="0" fontId="8" fillId="10" borderId="7" xfId="0" applyFont="1" applyFill="1" applyBorder="1" applyAlignment="1">
      <alignment horizontal="left" vertical="center"/>
    </xf>
    <xf numFmtId="0" fontId="15" fillId="10" borderId="8" xfId="0" applyFont="1" applyFill="1" applyBorder="1" applyAlignment="1">
      <alignment horizontal="left" vertical="center"/>
    </xf>
    <xf numFmtId="0" fontId="15" fillId="10" borderId="9" xfId="0" applyFont="1" applyFill="1" applyBorder="1" applyAlignment="1">
      <alignment horizontal="left" vertical="center"/>
    </xf>
    <xf numFmtId="0" fontId="15" fillId="10" borderId="7" xfId="0" applyFont="1" applyFill="1" applyBorder="1" applyAlignment="1">
      <alignment horizontal="left" vertical="center"/>
    </xf>
    <xf numFmtId="0" fontId="14" fillId="10" borderId="7" xfId="0" applyFont="1" applyFill="1" applyBorder="1" applyAlignment="1">
      <alignment horizontal="left" vertical="center" wrapText="1"/>
    </xf>
    <xf numFmtId="0" fontId="9" fillId="19" borderId="8" xfId="485" applyFont="1" applyFill="1" applyBorder="1" applyAlignment="1">
      <alignment horizontal="left" vertical="top" wrapText="1"/>
    </xf>
    <xf numFmtId="0" fontId="9" fillId="19" borderId="7" xfId="485" applyFont="1" applyFill="1" applyBorder="1" applyAlignment="1">
      <alignment horizontal="left" vertical="top" wrapText="1"/>
    </xf>
    <xf numFmtId="0" fontId="48" fillId="17" borderId="0" xfId="0" applyFont="1" applyFill="1" applyAlignment="1">
      <alignment horizontal="left"/>
    </xf>
    <xf numFmtId="0" fontId="48" fillId="17" borderId="0" xfId="0" applyFont="1" applyFill="1"/>
    <xf numFmtId="0" fontId="39" fillId="17" borderId="0" xfId="0" applyFont="1" applyFill="1"/>
    <xf numFmtId="0" fontId="39" fillId="17" borderId="0" xfId="0" applyFont="1" applyFill="1" applyAlignment="1">
      <alignment horizontal="center"/>
    </xf>
    <xf numFmtId="0" fontId="22" fillId="7" borderId="0" xfId="0" applyFont="1" applyFill="1" applyAlignment="1">
      <alignment horizontal="left"/>
    </xf>
    <xf numFmtId="0" fontId="22" fillId="14" borderId="0" xfId="0" applyFont="1" applyFill="1" applyAlignment="1">
      <alignment horizontal="left"/>
    </xf>
    <xf numFmtId="0" fontId="0" fillId="14" borderId="0" xfId="0" applyFill="1" applyAlignment="1">
      <alignment horizontal="center"/>
    </xf>
    <xf numFmtId="0" fontId="22" fillId="7" borderId="0" xfId="0" applyFont="1" applyFill="1" applyAlignment="1">
      <alignment horizontal="center"/>
    </xf>
    <xf numFmtId="0" fontId="37" fillId="7" borderId="0" xfId="0" applyFont="1" applyFill="1" applyAlignment="1">
      <alignment vertical="center" wrapText="1"/>
    </xf>
    <xf numFmtId="9" fontId="22" fillId="7" borderId="0" xfId="778" applyFont="1" applyFill="1" applyAlignment="1">
      <alignment horizontal="center"/>
    </xf>
    <xf numFmtId="0" fontId="12" fillId="7" borderId="0" xfId="0" applyFont="1" applyFill="1" applyAlignment="1">
      <alignment horizontal="center"/>
    </xf>
    <xf numFmtId="0" fontId="12" fillId="7" borderId="15" xfId="0" applyFont="1" applyFill="1" applyBorder="1" applyAlignment="1">
      <alignment horizontal="center"/>
    </xf>
    <xf numFmtId="9" fontId="22" fillId="14" borderId="0" xfId="778" applyFont="1" applyFill="1" applyAlignment="1">
      <alignment horizontal="center"/>
    </xf>
    <xf numFmtId="0" fontId="8" fillId="7" borderId="17" xfId="0" applyFont="1" applyFill="1" applyBorder="1" applyAlignment="1">
      <alignment horizontal="center"/>
    </xf>
    <xf numFmtId="0" fontId="0" fillId="7" borderId="3" xfId="0" applyFill="1" applyBorder="1" applyAlignment="1">
      <alignment horizontal="center"/>
    </xf>
    <xf numFmtId="0" fontId="0" fillId="7" borderId="18" xfId="0" applyFill="1" applyBorder="1" applyAlignment="1">
      <alignment horizontal="center"/>
    </xf>
    <xf numFmtId="49" fontId="28" fillId="7" borderId="0" xfId="0" applyNumberFormat="1" applyFont="1" applyFill="1" applyAlignment="1">
      <alignment vertical="top" wrapText="1"/>
    </xf>
    <xf numFmtId="0" fontId="0" fillId="0" borderId="0" xfId="0" applyAlignment="1">
      <alignment vertical="top"/>
    </xf>
    <xf numFmtId="0" fontId="0" fillId="0" borderId="0" xfId="0"/>
    <xf numFmtId="0" fontId="26" fillId="7" borderId="0" xfId="0" applyFont="1" applyFill="1" applyAlignment="1">
      <alignment horizontal="left" vertical="center"/>
    </xf>
    <xf numFmtId="0" fontId="39" fillId="14" borderId="0" xfId="0" applyFont="1" applyFill="1" applyAlignment="1">
      <alignment horizontal="center"/>
    </xf>
    <xf numFmtId="0" fontId="44" fillId="14" borderId="0" xfId="0" applyFont="1" applyFill="1" applyAlignment="1">
      <alignment horizontal="center"/>
    </xf>
    <xf numFmtId="0" fontId="2" fillId="7" borderId="0" xfId="0" applyFont="1" applyFill="1" applyAlignment="1">
      <alignment horizontal="center" vertical="center"/>
    </xf>
    <xf numFmtId="0" fontId="12" fillId="7" borderId="0" xfId="0" applyFont="1" applyFill="1" applyAlignment="1">
      <alignment horizontal="center" vertical="top"/>
    </xf>
    <xf numFmtId="0" fontId="12" fillId="7" borderId="15" xfId="0" applyFont="1" applyFill="1" applyBorder="1" applyAlignment="1">
      <alignment horizontal="center" vertical="top"/>
    </xf>
    <xf numFmtId="0" fontId="43" fillId="14" borderId="0" xfId="0" applyFont="1" applyFill="1" applyAlignment="1">
      <alignment horizontal="left" wrapText="1"/>
    </xf>
    <xf numFmtId="0" fontId="3" fillId="4" borderId="0" xfId="0" applyFont="1" applyFill="1" applyAlignment="1">
      <alignment horizontal="center"/>
    </xf>
    <xf numFmtId="0" fontId="0" fillId="4" borderId="0" xfId="0" applyFill="1" applyAlignment="1">
      <alignment horizontal="center"/>
    </xf>
    <xf numFmtId="0" fontId="2" fillId="0" borderId="0" xfId="0" applyFont="1"/>
  </cellXfs>
  <cellStyles count="9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Normal" xfId="0" builtinId="0"/>
    <cellStyle name="Normal 2" xfId="485" xr:uid="{00000000-0005-0000-0000-000085030000}"/>
    <cellStyle name="Percent" xfId="778" builtinId="5"/>
  </cellStyles>
  <dxfs count="106">
    <dxf>
      <font>
        <color rgb="FF9C0006"/>
      </font>
      <fill>
        <patternFill patternType="solid">
          <fgColor indexed="64"/>
          <bgColor theme="5" tint="0.79998168889431442"/>
        </patternFill>
      </fill>
    </dxf>
    <dxf>
      <font>
        <color rgb="FF9C0006"/>
      </font>
      <fill>
        <patternFill patternType="solid">
          <fgColor indexed="64"/>
          <bgColor theme="5" tint="0.79998168889431442"/>
        </patternFill>
      </fill>
    </dxf>
    <dxf>
      <font>
        <color rgb="FF9C0006"/>
      </font>
      <fill>
        <patternFill patternType="solid">
          <fgColor indexed="64"/>
          <bgColor theme="5" tint="0.79998168889431442"/>
        </patternFill>
      </fill>
    </dxf>
    <dxf>
      <font>
        <color rgb="FF9C0006"/>
      </font>
      <fill>
        <patternFill patternType="solid">
          <fgColor indexed="64"/>
          <bgColor theme="5" tint="0.79998168889431442"/>
        </patternFill>
      </fill>
    </dxf>
    <dxf>
      <font>
        <color rgb="FF9C0006"/>
      </font>
      <fill>
        <patternFill patternType="solid">
          <fgColor indexed="64"/>
          <bgColor theme="5" tint="0.79998168889431442"/>
        </patternFill>
      </fill>
    </dxf>
    <dxf>
      <font>
        <b/>
        <i val="0"/>
        <color theme="0"/>
      </font>
      <fill>
        <patternFill patternType="solid">
          <fgColor indexed="64"/>
          <bgColor theme="6" tint="-0.249977111117893"/>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b/>
        <i val="0"/>
        <color theme="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auto="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b/>
        <i val="0"/>
        <color auto="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b/>
        <i val="0"/>
        <color auto="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ill>
        <patternFill patternType="solid">
          <fgColor indexed="64"/>
          <bgColor theme="6" tint="-0.249977111117893"/>
        </patternFill>
      </fill>
    </dxf>
    <dxf>
      <font>
        <color auto="1"/>
      </font>
      <fill>
        <patternFill patternType="solid">
          <fgColor indexed="64"/>
          <bgColor theme="6" tint="0.39997558519241921"/>
        </patternFill>
      </fill>
    </dxf>
    <dxf>
      <fill>
        <patternFill>
          <bgColor indexed="51"/>
        </patternFill>
      </fill>
    </dxf>
    <dxf>
      <fill>
        <patternFill>
          <bgColor indexed="10"/>
        </patternFill>
      </fill>
    </dxf>
    <dxf>
      <fill>
        <patternFill patternType="solid">
          <fgColor indexed="64"/>
          <bgColor theme="6" tint="-0.249977111117893"/>
        </patternFill>
      </fill>
    </dxf>
    <dxf>
      <fill>
        <patternFill>
          <bgColor indexed="51"/>
        </patternFill>
      </fill>
    </dxf>
    <dxf>
      <fill>
        <patternFill>
          <bgColor indexed="10"/>
        </patternFill>
      </fill>
    </dxf>
    <dxf>
      <fill>
        <patternFill patternType="solid">
          <fgColor indexed="64"/>
          <bgColor theme="6" tint="0.39997558519241921"/>
        </patternFill>
      </fill>
    </dxf>
    <dxf>
      <fill>
        <patternFill>
          <bgColor indexed="51"/>
        </patternFill>
      </fill>
    </dxf>
    <dxf>
      <font>
        <condense val="0"/>
        <extend val="0"/>
        <color indexed="9"/>
      </font>
      <fill>
        <patternFill>
          <bgColor indexed="10"/>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5"/>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7"/>
        </patternFill>
      </fill>
    </dxf>
    <dxf>
      <fill>
        <patternFill>
          <bgColor indexed="43"/>
        </patternFill>
      </fill>
    </dxf>
    <dxf>
      <font>
        <condense val="0"/>
        <extend val="0"/>
      </font>
      <fill>
        <patternFill patternType="solid">
          <fgColor indexed="47"/>
          <bgColor indexed="22"/>
        </patternFill>
      </fill>
    </dxf>
    <dxf>
      <fill>
        <patternFill>
          <bgColor indexed="45"/>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s>
  <tableStyles count="0" defaultTableStyle="TableStyleMedium9" defaultPivotStyle="PivotStyleMedium4"/>
  <colors>
    <mruColors>
      <color rgb="FFD6E9AF"/>
      <color rgb="FF789144"/>
      <color rgb="FFC0C0C0"/>
      <color rgb="FFC4D69B"/>
      <color rgb="FFFFBF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819581377032676"/>
          <c:y val="0.10507128991688539"/>
          <c:w val="0.33027302954090115"/>
          <c:h val="0.83134329888451441"/>
        </c:manualLayout>
      </c:layout>
      <c:radarChart>
        <c:radarStyle val="filled"/>
        <c:varyColors val="0"/>
        <c:ser>
          <c:idx val="0"/>
          <c:order val="0"/>
          <c:tx>
            <c:v>Kepatuhan ISO/SNI 27001</c:v>
          </c:tx>
          <c:spPr>
            <a:solidFill>
              <a:srgbClr val="789144"/>
            </a:solidFill>
            <a:ln w="25400" cmpd="sng">
              <a:solidFill>
                <a:srgbClr val="789144"/>
              </a:solidFill>
              <a:prstDash val="solid"/>
            </a:ln>
            <a:effectLst/>
          </c:spPr>
          <c:cat>
            <c:strRef>
              <c:f>Dashboard!$AN$58:$AR$58</c:f>
              <c:strCache>
                <c:ptCount val="5"/>
                <c:pt idx="0">
                  <c:v>Tata Kelola</c:v>
                </c:pt>
                <c:pt idx="1">
                  <c:v>Pengelolaan Risiko</c:v>
                </c:pt>
                <c:pt idx="2">
                  <c:v>Kerangka Kerja</c:v>
                </c:pt>
                <c:pt idx="3">
                  <c:v>Pengelolaan Aset</c:v>
                </c:pt>
                <c:pt idx="4">
                  <c:v>Aspek Teknologi</c:v>
                </c:pt>
              </c:strCache>
            </c:strRef>
          </c:cat>
          <c:val>
            <c:numRef>
              <c:f>Dashboard!$AN$61:$AR$61</c:f>
              <c:numCache>
                <c:formatCode>General</c:formatCode>
                <c:ptCount val="5"/>
                <c:pt idx="0">
                  <c:v>4</c:v>
                </c:pt>
                <c:pt idx="1">
                  <c:v>5</c:v>
                </c:pt>
                <c:pt idx="2">
                  <c:v>5</c:v>
                </c:pt>
                <c:pt idx="3">
                  <c:v>3</c:v>
                </c:pt>
                <c:pt idx="4">
                  <c:v>4</c:v>
                </c:pt>
              </c:numCache>
            </c:numRef>
          </c:val>
          <c:extLst>
            <c:ext xmlns:c16="http://schemas.microsoft.com/office/drawing/2014/chart" uri="{C3380CC4-5D6E-409C-BE32-E72D297353CC}">
              <c16:uniqueId val="{00000002-1EBC-594C-897F-04F65FBE582E}"/>
            </c:ext>
          </c:extLst>
        </c:ser>
        <c:ser>
          <c:idx val="1"/>
          <c:order val="1"/>
          <c:tx>
            <c:v>Penerapan Operasional</c:v>
          </c:tx>
          <c:spPr>
            <a:solidFill>
              <a:srgbClr val="91AF53">
                <a:alpha val="80000"/>
              </a:srgbClr>
            </a:solidFill>
            <a:ln w="25400">
              <a:solidFill>
                <a:srgbClr val="91AF53"/>
              </a:solidFill>
              <a:prstDash val="solid"/>
            </a:ln>
            <a:effectLst/>
          </c:spPr>
          <c:cat>
            <c:strRef>
              <c:f>Dashboard!$AN$58:$AR$58</c:f>
              <c:strCache>
                <c:ptCount val="5"/>
                <c:pt idx="0">
                  <c:v>Tata Kelola</c:v>
                </c:pt>
                <c:pt idx="1">
                  <c:v>Pengelolaan Risiko</c:v>
                </c:pt>
                <c:pt idx="2">
                  <c:v>Kerangka Kerja</c:v>
                </c:pt>
                <c:pt idx="3">
                  <c:v>Pengelolaan Aset</c:v>
                </c:pt>
                <c:pt idx="4">
                  <c:v>Aspek Teknologi</c:v>
                </c:pt>
              </c:strCache>
            </c:strRef>
          </c:cat>
          <c:val>
            <c:numRef>
              <c:f>Dashboard!$AN$60:$AR$60</c:f>
              <c:numCache>
                <c:formatCode>General</c:formatCode>
                <c:ptCount val="5"/>
                <c:pt idx="0">
                  <c:v>3</c:v>
                </c:pt>
                <c:pt idx="1">
                  <c:v>4</c:v>
                </c:pt>
                <c:pt idx="2">
                  <c:v>3</c:v>
                </c:pt>
                <c:pt idx="3">
                  <c:v>3</c:v>
                </c:pt>
                <c:pt idx="4">
                  <c:v>3</c:v>
                </c:pt>
              </c:numCache>
            </c:numRef>
          </c:val>
          <c:extLst>
            <c:ext xmlns:c16="http://schemas.microsoft.com/office/drawing/2014/chart" uri="{C3380CC4-5D6E-409C-BE32-E72D297353CC}">
              <c16:uniqueId val="{00000001-1EBC-594C-897F-04F65FBE582E}"/>
            </c:ext>
          </c:extLst>
        </c:ser>
        <c:ser>
          <c:idx val="2"/>
          <c:order val="2"/>
          <c:tx>
            <c:v>Kerangka Kerja Dasar</c:v>
          </c:tx>
          <c:spPr>
            <a:solidFill>
              <a:srgbClr val="D6E9AF"/>
            </a:solidFill>
            <a:ln w="25400">
              <a:solidFill>
                <a:srgbClr val="D6E9AF"/>
              </a:solidFill>
              <a:prstDash val="solid"/>
            </a:ln>
            <a:effectLst/>
          </c:spPr>
          <c:cat>
            <c:strRef>
              <c:f>Dashboard!$AN$58:$AR$58</c:f>
              <c:strCache>
                <c:ptCount val="5"/>
                <c:pt idx="0">
                  <c:v>Tata Kelola</c:v>
                </c:pt>
                <c:pt idx="1">
                  <c:v>Pengelolaan Risiko</c:v>
                </c:pt>
                <c:pt idx="2">
                  <c:v>Kerangka Kerja</c:v>
                </c:pt>
                <c:pt idx="3">
                  <c:v>Pengelolaan Aset</c:v>
                </c:pt>
                <c:pt idx="4">
                  <c:v>Aspek Teknologi</c:v>
                </c:pt>
              </c:strCache>
            </c:strRef>
          </c:cat>
          <c:val>
            <c:numRef>
              <c:f>Dashboard!$AN$59:$AR$59</c:f>
              <c:numCache>
                <c:formatCode>General</c:formatCode>
                <c:ptCount val="5"/>
                <c:pt idx="0">
                  <c:v>2</c:v>
                </c:pt>
                <c:pt idx="1">
                  <c:v>2</c:v>
                </c:pt>
                <c:pt idx="2">
                  <c:v>3</c:v>
                </c:pt>
                <c:pt idx="3">
                  <c:v>2</c:v>
                </c:pt>
                <c:pt idx="4">
                  <c:v>2</c:v>
                </c:pt>
              </c:numCache>
            </c:numRef>
          </c:val>
          <c:extLst>
            <c:ext xmlns:c16="http://schemas.microsoft.com/office/drawing/2014/chart" uri="{C3380CC4-5D6E-409C-BE32-E72D297353CC}">
              <c16:uniqueId val="{00000000-1EBC-594C-897F-04F65FBE582E}"/>
            </c:ext>
          </c:extLst>
        </c:ser>
        <c:ser>
          <c:idx val="3"/>
          <c:order val="3"/>
          <c:tx>
            <c:strRef>
              <c:f>Dashboard!$AM$62</c:f>
              <c:strCache>
                <c:ptCount val="1"/>
                <c:pt idx="0">
                  <c:v>responden</c:v>
                </c:pt>
              </c:strCache>
            </c:strRef>
          </c:tx>
          <c:spPr>
            <a:noFill/>
            <a:ln w="38100">
              <a:solidFill>
                <a:srgbClr val="FF2600"/>
              </a:solidFill>
              <a:prstDash val="solid"/>
            </a:ln>
            <a:effectLst/>
          </c:spPr>
          <c:cat>
            <c:strRef>
              <c:f>Dashboard!$AN$58:$AR$58</c:f>
              <c:strCache>
                <c:ptCount val="5"/>
                <c:pt idx="0">
                  <c:v>Tata Kelola</c:v>
                </c:pt>
                <c:pt idx="1">
                  <c:v>Pengelolaan Risiko</c:v>
                </c:pt>
                <c:pt idx="2">
                  <c:v>Kerangka Kerja</c:v>
                </c:pt>
                <c:pt idx="3">
                  <c:v>Pengelolaan Aset</c:v>
                </c:pt>
                <c:pt idx="4">
                  <c:v>Aspek Teknologi</c:v>
                </c:pt>
              </c:strCache>
            </c:strRef>
          </c:cat>
          <c:val>
            <c:numRef>
              <c:f>Dashboard!$AN$62:$AR$62</c:f>
              <c:numCache>
                <c:formatCode>General</c:formatCode>
                <c:ptCount val="5"/>
                <c:pt idx="0">
                  <c:v>4</c:v>
                </c:pt>
                <c:pt idx="1">
                  <c:v>5</c:v>
                </c:pt>
                <c:pt idx="2">
                  <c:v>5</c:v>
                </c:pt>
                <c:pt idx="3">
                  <c:v>3</c:v>
                </c:pt>
                <c:pt idx="4">
                  <c:v>4</c:v>
                </c:pt>
              </c:numCache>
            </c:numRef>
          </c:val>
          <c:extLst>
            <c:ext xmlns:c16="http://schemas.microsoft.com/office/drawing/2014/chart" uri="{C3380CC4-5D6E-409C-BE32-E72D297353CC}">
              <c16:uniqueId val="{00000003-1EBC-594C-897F-04F65FBE582E}"/>
            </c:ext>
          </c:extLst>
        </c:ser>
        <c:dLbls>
          <c:showLegendKey val="0"/>
          <c:showVal val="0"/>
          <c:showCatName val="0"/>
          <c:showSerName val="0"/>
          <c:showPercent val="0"/>
          <c:showBubbleSize val="0"/>
        </c:dLbls>
        <c:axId val="754362832"/>
        <c:axId val="754839104"/>
      </c:radarChart>
      <c:catAx>
        <c:axId val="75436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54839104"/>
        <c:crosses val="autoZero"/>
        <c:auto val="1"/>
        <c:lblAlgn val="ctr"/>
        <c:lblOffset val="100"/>
        <c:noMultiLvlLbl val="0"/>
      </c:catAx>
      <c:valAx>
        <c:axId val="754839104"/>
        <c:scaling>
          <c:orientation val="minMax"/>
        </c:scaling>
        <c:delete val="0"/>
        <c:axPos val="l"/>
        <c:majorGridlines>
          <c:spPr>
            <a:ln w="9525" cap="flat" cmpd="sng" algn="ctr">
              <a:solidFill>
                <a:schemeClr val="accent6">
                  <a:lumMod val="50000"/>
                </a:schemeClr>
              </a:solidFill>
              <a:round/>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spPr>
          <a:noFill/>
          <a:ln>
            <a:solidFill>
              <a:srgbClr val="C00000"/>
            </a:solid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754362832"/>
        <c:crosses val="autoZero"/>
        <c:crossBetween val="between"/>
        <c:majorUnit val="0.5"/>
      </c:valAx>
      <c:spPr>
        <a:noFill/>
        <a:ln>
          <a:noFill/>
        </a:ln>
        <a:effectLst/>
      </c:spPr>
    </c:plotArea>
    <c:legend>
      <c:legendPos val="r"/>
      <c:layout>
        <c:manualLayout>
          <c:xMode val="edge"/>
          <c:yMode val="edge"/>
          <c:x val="0.71215113315280532"/>
          <c:y val="0.48684111282989084"/>
          <c:w val="0.22442392234089983"/>
          <c:h val="0.2368442210000130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oddFooter>&amp;L&amp;"Arial,Regular"&amp;K000000Badan Siber dan Sandi Negara&amp;C&amp;"Arial,Regular"&amp;K000000`&amp;R&amp;"Arial,Regular"&amp;K000000Versi 4.2 - Mei 2021</c:oddFooter>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378994</xdr:colOff>
      <xdr:row>29</xdr:row>
      <xdr:rowOff>88900</xdr:rowOff>
    </xdr:from>
    <xdr:to>
      <xdr:col>0</xdr:col>
      <xdr:colOff>4620260</xdr:colOff>
      <xdr:row>34</xdr:row>
      <xdr:rowOff>454660</xdr:rowOff>
    </xdr:to>
    <xdr:pic>
      <xdr:nvPicPr>
        <xdr:cNvPr id="5" name="Picture 4" descr="Tabel Kelengkapan.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8994" y="19829780"/>
          <a:ext cx="4241266" cy="1280160"/>
        </a:xfrm>
        <a:prstGeom prst="rect">
          <a:avLst/>
        </a:prstGeom>
      </xdr:spPr>
    </xdr:pic>
    <xdr:clientData/>
  </xdr:twoCellAnchor>
  <xdr:twoCellAnchor editAs="oneCell">
    <xdr:from>
      <xdr:col>0</xdr:col>
      <xdr:colOff>3480956</xdr:colOff>
      <xdr:row>0</xdr:row>
      <xdr:rowOff>243840</xdr:rowOff>
    </xdr:from>
    <xdr:to>
      <xdr:col>1</xdr:col>
      <xdr:colOff>0</xdr:colOff>
      <xdr:row>4</xdr:row>
      <xdr:rowOff>40640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480956" y="243840"/>
          <a:ext cx="1738744" cy="934720"/>
        </a:xfrm>
        <a:prstGeom prst="rect">
          <a:avLst/>
        </a:prstGeom>
      </xdr:spPr>
    </xdr:pic>
    <xdr:clientData/>
  </xdr:twoCellAnchor>
  <xdr:twoCellAnchor editAs="oneCell">
    <xdr:from>
      <xdr:col>0</xdr:col>
      <xdr:colOff>50800</xdr:colOff>
      <xdr:row>61</xdr:row>
      <xdr:rowOff>213374</xdr:rowOff>
    </xdr:from>
    <xdr:to>
      <xdr:col>0</xdr:col>
      <xdr:colOff>5205776</xdr:colOff>
      <xdr:row>61</xdr:row>
      <xdr:rowOff>2814320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50800" y="32136094"/>
          <a:ext cx="5154976" cy="2600946"/>
        </a:xfrm>
        <a:prstGeom prst="rect">
          <a:avLst/>
        </a:prstGeom>
      </xdr:spPr>
    </xdr:pic>
    <xdr:clientData/>
  </xdr:twoCellAnchor>
  <xdr:twoCellAnchor editAs="oneCell">
    <xdr:from>
      <xdr:col>0</xdr:col>
      <xdr:colOff>182880</xdr:colOff>
      <xdr:row>38</xdr:row>
      <xdr:rowOff>60960</xdr:rowOff>
    </xdr:from>
    <xdr:to>
      <xdr:col>1</xdr:col>
      <xdr:colOff>203200</xdr:colOff>
      <xdr:row>54</xdr:row>
      <xdr:rowOff>406139</xdr:rowOff>
    </xdr:to>
    <xdr:pic>
      <xdr:nvPicPr>
        <xdr:cNvPr id="6" name="Picture 5">
          <a:extLst>
            <a:ext uri="{FF2B5EF4-FFF2-40B4-BE49-F238E27FC236}">
              <a16:creationId xmlns:a16="http://schemas.microsoft.com/office/drawing/2014/main" id="{570FEB28-3D37-CF4D-B5AF-1294677E8C86}"/>
            </a:ext>
          </a:extLst>
        </xdr:cNvPr>
        <xdr:cNvPicPr>
          <a:picLocks noChangeAspect="1"/>
        </xdr:cNvPicPr>
      </xdr:nvPicPr>
      <xdr:blipFill rotWithShape="1">
        <a:blip xmlns:r="http://schemas.openxmlformats.org/officeDocument/2006/relationships" r:embed="rId4"/>
        <a:srcRect t="48126"/>
        <a:stretch/>
      </xdr:blipFill>
      <xdr:spPr>
        <a:xfrm>
          <a:off x="182880" y="24048720"/>
          <a:ext cx="5242560" cy="2946139"/>
        </a:xfrm>
        <a:prstGeom prst="rect">
          <a:avLst/>
        </a:prstGeom>
      </xdr:spPr>
    </xdr:pic>
    <xdr:clientData/>
  </xdr:twoCellAnchor>
  <xdr:twoCellAnchor editAs="oneCell">
    <xdr:from>
      <xdr:col>0</xdr:col>
      <xdr:colOff>557215</xdr:colOff>
      <xdr:row>4</xdr:row>
      <xdr:rowOff>360148</xdr:rowOff>
    </xdr:from>
    <xdr:to>
      <xdr:col>0</xdr:col>
      <xdr:colOff>4785929</xdr:colOff>
      <xdr:row>20</xdr:row>
      <xdr:rowOff>18956</xdr:rowOff>
    </xdr:to>
    <xdr:pic>
      <xdr:nvPicPr>
        <xdr:cNvPr id="4" name="Picture 3">
          <a:extLst>
            <a:ext uri="{FF2B5EF4-FFF2-40B4-BE49-F238E27FC236}">
              <a16:creationId xmlns:a16="http://schemas.microsoft.com/office/drawing/2014/main" id="{9B8DE45D-A0C4-9A4E-8790-CB5615EB8136}"/>
            </a:ext>
          </a:extLst>
        </xdr:cNvPr>
        <xdr:cNvPicPr>
          <a:picLocks noChangeAspect="1"/>
        </xdr:cNvPicPr>
      </xdr:nvPicPr>
      <xdr:blipFill>
        <a:blip xmlns:r="http://schemas.openxmlformats.org/officeDocument/2006/relationships" r:embed="rId5"/>
        <a:stretch>
          <a:fillRect/>
        </a:stretch>
      </xdr:blipFill>
      <xdr:spPr>
        <a:xfrm>
          <a:off x="557215" y="1478506"/>
          <a:ext cx="4228714" cy="3222390"/>
        </a:xfrm>
        <a:prstGeom prst="rect">
          <a:avLst/>
        </a:prstGeom>
      </xdr:spPr>
    </xdr:pic>
    <xdr:clientData/>
  </xdr:twoCellAnchor>
  <xdr:twoCellAnchor editAs="oneCell">
    <xdr:from>
      <xdr:col>0</xdr:col>
      <xdr:colOff>0</xdr:colOff>
      <xdr:row>64</xdr:row>
      <xdr:rowOff>18956</xdr:rowOff>
    </xdr:from>
    <xdr:to>
      <xdr:col>0</xdr:col>
      <xdr:colOff>4966269</xdr:colOff>
      <xdr:row>75</xdr:row>
      <xdr:rowOff>119437</xdr:rowOff>
    </xdr:to>
    <xdr:pic>
      <xdr:nvPicPr>
        <xdr:cNvPr id="8" name="Picture 7">
          <a:extLst>
            <a:ext uri="{FF2B5EF4-FFF2-40B4-BE49-F238E27FC236}">
              <a16:creationId xmlns:a16="http://schemas.microsoft.com/office/drawing/2014/main" id="{3D89955E-2CE2-CB48-B529-93CA980F0F40}"/>
            </a:ext>
          </a:extLst>
        </xdr:cNvPr>
        <xdr:cNvPicPr/>
      </xdr:nvPicPr>
      <xdr:blipFill rotWithShape="1">
        <a:blip xmlns:r="http://schemas.openxmlformats.org/officeDocument/2006/relationships" r:embed="rId6"/>
        <a:srcRect t="12794" r="7375" b="8561"/>
        <a:stretch/>
      </xdr:blipFill>
      <xdr:spPr>
        <a:xfrm>
          <a:off x="0" y="36356120"/>
          <a:ext cx="4966269" cy="1977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0</xdr:rowOff>
    </xdr:from>
    <xdr:to>
      <xdr:col>0</xdr:col>
      <xdr:colOff>342900</xdr:colOff>
      <xdr:row>27</xdr:row>
      <xdr:rowOff>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7302500"/>
          <a:ext cx="342900" cy="0"/>
        </a:xfrm>
        <a:prstGeom prst="rect">
          <a:avLst/>
        </a:prstGeom>
        <a:noFill/>
      </xdr:spPr>
    </xdr:pic>
    <xdr:clientData/>
  </xdr:twoCellAnchor>
  <xdr:twoCellAnchor>
    <xdr:from>
      <xdr:col>0</xdr:col>
      <xdr:colOff>0</xdr:colOff>
      <xdr:row>27</xdr:row>
      <xdr:rowOff>0</xdr:rowOff>
    </xdr:from>
    <xdr:to>
      <xdr:col>0</xdr:col>
      <xdr:colOff>342900</xdr:colOff>
      <xdr:row>27</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7302500"/>
          <a:ext cx="342900" cy="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xdr:row>
      <xdr:rowOff>20320</xdr:rowOff>
    </xdr:from>
    <xdr:to>
      <xdr:col>36</xdr:col>
      <xdr:colOff>241904</xdr:colOff>
      <xdr:row>39</xdr:row>
      <xdr:rowOff>10160</xdr:rowOff>
    </xdr:to>
    <xdr:graphicFrame macro="">
      <xdr:nvGraphicFramePr>
        <xdr:cNvPr id="8" name="Chart 7">
          <a:extLst>
            <a:ext uri="{FF2B5EF4-FFF2-40B4-BE49-F238E27FC236}">
              <a16:creationId xmlns:a16="http://schemas.microsoft.com/office/drawing/2014/main" id="{D02A5F3D-CB51-064F-8414-1CFEE9308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2"/>
  <sheetViews>
    <sheetView view="pageLayout" topLeftCell="A39" zoomScaleNormal="125" workbookViewId="0">
      <selection activeCell="A93" sqref="A93"/>
    </sheetView>
  </sheetViews>
  <sheetFormatPr defaultColWidth="10.81640625" defaultRowHeight="12.6" x14ac:dyDescent="0.2"/>
  <cols>
    <col min="1" max="1" width="68.453125" customWidth="1"/>
  </cols>
  <sheetData>
    <row r="1" spans="1:6" ht="45.6" x14ac:dyDescent="0.4">
      <c r="A1" s="51" t="s">
        <v>304</v>
      </c>
      <c r="B1" s="22"/>
      <c r="C1" s="22"/>
      <c r="D1" s="22"/>
      <c r="E1" s="22"/>
      <c r="F1" s="22"/>
    </row>
    <row r="2" spans="1:6" ht="13.2" x14ac:dyDescent="0.25">
      <c r="A2" s="77"/>
    </row>
    <row r="3" spans="1:6" ht="13.8" x14ac:dyDescent="0.25">
      <c r="A3" s="52" t="s">
        <v>625</v>
      </c>
    </row>
    <row r="4" spans="1:6" ht="13.8" x14ac:dyDescent="0.25">
      <c r="A4" s="78"/>
    </row>
    <row r="5" spans="1:6" ht="31.2" x14ac:dyDescent="0.3">
      <c r="A5" s="53" t="s">
        <v>0</v>
      </c>
    </row>
    <row r="6" spans="1:6" ht="15.6" x14ac:dyDescent="0.3">
      <c r="A6" s="53"/>
    </row>
    <row r="7" spans="1:6" ht="15.6" x14ac:dyDescent="0.3">
      <c r="A7" s="53"/>
    </row>
    <row r="8" spans="1:6" ht="15.6" x14ac:dyDescent="0.3">
      <c r="A8" s="53"/>
    </row>
    <row r="9" spans="1:6" ht="15.6" x14ac:dyDescent="0.3">
      <c r="A9" s="53"/>
    </row>
    <row r="10" spans="1:6" ht="15.6" x14ac:dyDescent="0.3">
      <c r="A10" s="53"/>
    </row>
    <row r="11" spans="1:6" ht="15.6" x14ac:dyDescent="0.3">
      <c r="A11" s="53"/>
    </row>
    <row r="12" spans="1:6" ht="15.6" x14ac:dyDescent="0.3">
      <c r="A12" s="53"/>
    </row>
    <row r="13" spans="1:6" ht="15.6" x14ac:dyDescent="0.3">
      <c r="A13" s="53"/>
    </row>
    <row r="14" spans="1:6" ht="15.6" x14ac:dyDescent="0.3">
      <c r="A14" s="53"/>
    </row>
    <row r="15" spans="1:6" ht="15.6" x14ac:dyDescent="0.3">
      <c r="A15" s="53"/>
    </row>
    <row r="16" spans="1:6" ht="15.6" x14ac:dyDescent="0.3">
      <c r="A16" s="53"/>
    </row>
    <row r="17" spans="1:1" ht="15.6" x14ac:dyDescent="0.3">
      <c r="A17" s="53"/>
    </row>
    <row r="18" spans="1:1" ht="15.6" x14ac:dyDescent="0.3">
      <c r="A18" s="53"/>
    </row>
    <row r="19" spans="1:1" ht="15.6" x14ac:dyDescent="0.3">
      <c r="A19" s="53"/>
    </row>
    <row r="20" spans="1:1" ht="15.6" x14ac:dyDescent="0.3">
      <c r="A20" s="53"/>
    </row>
    <row r="21" spans="1:1" ht="141" customHeight="1" x14ac:dyDescent="0.25">
      <c r="A21" s="79" t="s">
        <v>486</v>
      </c>
    </row>
    <row r="22" spans="1:1" ht="130.94999999999999" customHeight="1" x14ac:dyDescent="0.25">
      <c r="A22" s="79" t="s">
        <v>329</v>
      </c>
    </row>
    <row r="23" spans="1:1" ht="70.2" x14ac:dyDescent="0.3">
      <c r="A23" s="79" t="s">
        <v>186</v>
      </c>
    </row>
    <row r="24" spans="1:1" ht="96.6" x14ac:dyDescent="0.25">
      <c r="A24" s="79" t="s">
        <v>330</v>
      </c>
    </row>
    <row r="25" spans="1:1" ht="13.8" x14ac:dyDescent="0.25">
      <c r="A25" s="79"/>
    </row>
    <row r="26" spans="1:1" ht="40.950000000000003" customHeight="1" x14ac:dyDescent="0.2">
      <c r="A26" s="81" t="s">
        <v>1</v>
      </c>
    </row>
    <row r="27" spans="1:1" ht="249" x14ac:dyDescent="0.2">
      <c r="A27" s="54" t="s">
        <v>617</v>
      </c>
    </row>
    <row r="28" spans="1:1" ht="16.05" customHeight="1" x14ac:dyDescent="0.25">
      <c r="A28" s="78"/>
    </row>
    <row r="29" spans="1:1" ht="376.05" customHeight="1" x14ac:dyDescent="0.2">
      <c r="A29" s="54" t="s">
        <v>522</v>
      </c>
    </row>
    <row r="30" spans="1:1" ht="13.8" x14ac:dyDescent="0.25">
      <c r="A30" s="58"/>
    </row>
    <row r="31" spans="1:1" ht="13.8" x14ac:dyDescent="0.25">
      <c r="A31" s="78"/>
    </row>
    <row r="32" spans="1:1" ht="13.8" x14ac:dyDescent="0.25">
      <c r="A32" s="78"/>
    </row>
    <row r="33" spans="1:1" ht="13.8" x14ac:dyDescent="0.25">
      <c r="A33" s="78"/>
    </row>
    <row r="34" spans="1:1" ht="13.8" x14ac:dyDescent="0.25">
      <c r="A34" s="78"/>
    </row>
    <row r="35" spans="1:1" ht="42" customHeight="1" x14ac:dyDescent="0.25">
      <c r="A35" s="78"/>
    </row>
    <row r="36" spans="1:1" ht="72" customHeight="1" x14ac:dyDescent="0.2">
      <c r="A36" s="54" t="s">
        <v>187</v>
      </c>
    </row>
    <row r="37" spans="1:1" ht="55.95" customHeight="1" x14ac:dyDescent="0.25">
      <c r="A37" s="79" t="s">
        <v>621</v>
      </c>
    </row>
    <row r="38" spans="1:1" ht="67.95" customHeight="1" x14ac:dyDescent="0.2">
      <c r="A38" s="54" t="s">
        <v>328</v>
      </c>
    </row>
    <row r="39" spans="1:1" ht="13.2" x14ac:dyDescent="0.25">
      <c r="A39" s="77"/>
    </row>
    <row r="41" spans="1:1" ht="13.2" x14ac:dyDescent="0.25">
      <c r="A41" s="77"/>
    </row>
    <row r="42" spans="1:1" ht="13.2" x14ac:dyDescent="0.25">
      <c r="A42" s="77"/>
    </row>
    <row r="43" spans="1:1" ht="13.2" x14ac:dyDescent="0.25">
      <c r="A43" s="77"/>
    </row>
    <row r="44" spans="1:1" x14ac:dyDescent="0.2">
      <c r="A44" s="55"/>
    </row>
    <row r="45" spans="1:1" x14ac:dyDescent="0.2">
      <c r="A45" s="55"/>
    </row>
    <row r="46" spans="1:1" x14ac:dyDescent="0.2">
      <c r="A46" s="55"/>
    </row>
    <row r="47" spans="1:1" x14ac:dyDescent="0.2">
      <c r="A47" s="55"/>
    </row>
    <row r="48" spans="1:1" x14ac:dyDescent="0.2">
      <c r="A48" s="55"/>
    </row>
    <row r="49" spans="1:1" x14ac:dyDescent="0.2">
      <c r="A49" s="55"/>
    </row>
    <row r="50" spans="1:1" x14ac:dyDescent="0.2">
      <c r="A50" s="55"/>
    </row>
    <row r="51" spans="1:1" x14ac:dyDescent="0.2">
      <c r="A51" s="55"/>
    </row>
    <row r="52" spans="1:1" x14ac:dyDescent="0.2">
      <c r="A52" s="55"/>
    </row>
    <row r="53" spans="1:1" x14ac:dyDescent="0.2">
      <c r="A53" s="55"/>
    </row>
    <row r="54" spans="1:1" x14ac:dyDescent="0.2">
      <c r="A54" s="55"/>
    </row>
    <row r="55" spans="1:1" ht="39" customHeight="1" x14ac:dyDescent="0.2">
      <c r="A55" s="55"/>
    </row>
    <row r="56" spans="1:1" ht="253.2" x14ac:dyDescent="0.2">
      <c r="A56" s="54" t="s">
        <v>292</v>
      </c>
    </row>
    <row r="57" spans="1:1" ht="27.6" x14ac:dyDescent="0.2">
      <c r="A57" s="54" t="s">
        <v>321</v>
      </c>
    </row>
    <row r="58" spans="1:1" x14ac:dyDescent="0.2">
      <c r="A58" s="55"/>
    </row>
    <row r="59" spans="1:1" x14ac:dyDescent="0.2">
      <c r="A59" s="55"/>
    </row>
    <row r="60" spans="1:1" x14ac:dyDescent="0.2">
      <c r="A60" s="55"/>
    </row>
    <row r="61" spans="1:1" x14ac:dyDescent="0.2">
      <c r="A61" s="55"/>
    </row>
    <row r="62" spans="1:1" ht="225" customHeight="1" x14ac:dyDescent="0.2">
      <c r="A62" s="55"/>
    </row>
    <row r="63" spans="1:1" ht="24" customHeight="1" x14ac:dyDescent="0.2">
      <c r="A63" s="55"/>
    </row>
    <row r="64" spans="1:1" ht="79.95" customHeight="1" x14ac:dyDescent="0.2">
      <c r="A64" s="54" t="s">
        <v>189</v>
      </c>
    </row>
    <row r="65" spans="1:1" x14ac:dyDescent="0.2">
      <c r="A65" s="55"/>
    </row>
    <row r="66" spans="1:1" x14ac:dyDescent="0.2">
      <c r="A66" s="55"/>
    </row>
    <row r="67" spans="1:1" x14ac:dyDescent="0.2">
      <c r="A67" s="55"/>
    </row>
    <row r="68" spans="1:1" x14ac:dyDescent="0.2">
      <c r="A68" s="55"/>
    </row>
    <row r="69" spans="1:1" x14ac:dyDescent="0.2">
      <c r="A69" s="55"/>
    </row>
    <row r="70" spans="1:1" x14ac:dyDescent="0.2">
      <c r="A70" s="55"/>
    </row>
    <row r="71" spans="1:1" x14ac:dyDescent="0.2">
      <c r="A71" s="55"/>
    </row>
    <row r="72" spans="1:1" x14ac:dyDescent="0.2">
      <c r="A72" s="55"/>
    </row>
    <row r="73" spans="1:1" x14ac:dyDescent="0.2">
      <c r="A73" s="55"/>
    </row>
    <row r="74" spans="1:1" x14ac:dyDescent="0.2">
      <c r="A74" s="55"/>
    </row>
    <row r="75" spans="1:1" x14ac:dyDescent="0.2">
      <c r="A75" s="55"/>
    </row>
    <row r="76" spans="1:1" x14ac:dyDescent="0.2">
      <c r="A76" s="55"/>
    </row>
    <row r="77" spans="1:1" x14ac:dyDescent="0.2">
      <c r="A77" s="55"/>
    </row>
    <row r="78" spans="1:1" x14ac:dyDescent="0.2">
      <c r="A78" s="55"/>
    </row>
    <row r="79" spans="1:1" x14ac:dyDescent="0.2">
      <c r="A79" s="55"/>
    </row>
    <row r="80" spans="1:1" ht="55.2" x14ac:dyDescent="0.2">
      <c r="A80" s="54" t="s">
        <v>188</v>
      </c>
    </row>
    <row r="81" spans="1:1" x14ac:dyDescent="0.2">
      <c r="A81" s="56"/>
    </row>
    <row r="82" spans="1:1" x14ac:dyDescent="0.2">
      <c r="A82" s="56"/>
    </row>
    <row r="83" spans="1:1" x14ac:dyDescent="0.2">
      <c r="A83" s="56"/>
    </row>
    <row r="84" spans="1:1" x14ac:dyDescent="0.2">
      <c r="A84" s="56"/>
    </row>
    <row r="85" spans="1:1" x14ac:dyDescent="0.2">
      <c r="A85" s="56"/>
    </row>
    <row r="86" spans="1:1" x14ac:dyDescent="0.2">
      <c r="A86" s="56"/>
    </row>
    <row r="87" spans="1:1" x14ac:dyDescent="0.2">
      <c r="A87" s="56"/>
    </row>
    <row r="88" spans="1:1" x14ac:dyDescent="0.2">
      <c r="A88" s="55"/>
    </row>
    <row r="89" spans="1:1" ht="25.95" customHeight="1" x14ac:dyDescent="0.2">
      <c r="A89" s="80" t="s">
        <v>461</v>
      </c>
    </row>
    <row r="90" spans="1:1" ht="183" customHeight="1" x14ac:dyDescent="0.2">
      <c r="A90" s="54" t="s">
        <v>463</v>
      </c>
    </row>
    <row r="91" spans="1:1" ht="111" customHeight="1" x14ac:dyDescent="0.2">
      <c r="A91" s="54" t="s">
        <v>464</v>
      </c>
    </row>
    <row r="92" spans="1:1" ht="51" customHeight="1" x14ac:dyDescent="0.2">
      <c r="A92" s="54" t="s">
        <v>465</v>
      </c>
    </row>
    <row r="93" spans="1:1" ht="41.4" x14ac:dyDescent="0.2">
      <c r="A93" s="54" t="s">
        <v>523</v>
      </c>
    </row>
    <row r="94" spans="1:1" x14ac:dyDescent="0.2">
      <c r="A94" s="55"/>
    </row>
    <row r="95" spans="1:1" x14ac:dyDescent="0.2">
      <c r="A95" s="55"/>
    </row>
    <row r="96" spans="1:1" x14ac:dyDescent="0.2">
      <c r="A96" s="55"/>
    </row>
    <row r="97" spans="1:1" x14ac:dyDescent="0.2">
      <c r="A97" s="55"/>
    </row>
    <row r="98" spans="1:1" x14ac:dyDescent="0.2">
      <c r="A98" s="55"/>
    </row>
    <row r="99" spans="1:1" x14ac:dyDescent="0.2">
      <c r="A99" s="55"/>
    </row>
    <row r="100" spans="1:1" x14ac:dyDescent="0.2">
      <c r="A100" s="55"/>
    </row>
    <row r="101" spans="1:1" x14ac:dyDescent="0.2">
      <c r="A101" s="55"/>
    </row>
    <row r="102" spans="1:1" x14ac:dyDescent="0.2">
      <c r="A102" s="55"/>
    </row>
  </sheetData>
  <sheetProtection algorithmName="SHA-512" hashValue="+ZiLn5lxNx/1mVyASTmsFW/BremjQWZDJN7DmPUY0dZvtcHsISz8q0X2E+630IVIkXOg+VtbTP0fD1xG1R7N3A==" saltValue="E4iQzAkslSG3zV7OV68I4Q==" spinCount="100000" sheet="1" objects="1" scenarios="1"/>
  <customSheetViews>
    <customSheetView guid="{58EB2181-60CA-D84F-9BE3-6D30A91A6F68}" scale="125" showPageBreaks="1" view="pageLayout" topLeftCell="A67">
      <selection activeCell="A4" sqref="A4"/>
      <pageMargins left="0.7" right="0.7" top="0.75" bottom="0.75" header="0.3" footer="0.3"/>
      <pageSetup paperSize="9" orientation="portrait" horizontalDpi="4294967292" verticalDpi="4294967292"/>
      <headerFooter>
        <oddFooter>&amp;L&amp;"Arial,Regular"&amp;9&amp;K000000Tim Indeks KAMI&amp;C&amp;"Arial,Regular"&amp;9&amp;K000000Badan Siber dan Sandi Negara&amp;R&amp;"Arial,Regular"&amp;9&amp;K000000Indeks KAMI, Versi  4.0, 2019</oddFooter>
      </headerFooter>
    </customSheetView>
    <customSheetView guid="{E2B8E4FB-7E5E-E744-9E59-F9CB9CC15E64}" scale="125" showPageBreaks="1" view="pageLayout">
      <pageMargins left="0.7" right="0.7" top="0.75" bottom="0.75" header="0.3" footer="0.3"/>
      <pageSetup paperSize="9" orientation="portrait" horizontalDpi="4294967292" verticalDpi="4294967292"/>
      <headerFooter>
        <oddFooter>&amp;L&amp;"Arial,Regular"&amp;9&amp;K000000Direktorat Keamanan Informasi&amp;C&amp;"Arial,Regular"&amp;9&amp;K000000Kementerian Komunikasi dan Informasi&amp;R&amp;"Arial,Regular"&amp;9&amp;K000000Indeks KAMI, Versi  3.1, 15 April 2015</oddFooter>
      </headerFooter>
    </customSheetView>
  </customSheetViews>
  <phoneticPr fontId="6" type="noConversion"/>
  <pageMargins left="0.75" right="0.75" top="1" bottom="1" header="0.5" footer="0.5"/>
  <pageSetup paperSize="9" orientation="portrait" horizontalDpi="4294967292" verticalDpi="4294967292" r:id="rId1"/>
  <headerFooter>
    <oddFooter xml:space="preserve">&amp;L&amp;"Arial,Regular"&amp;9&amp;K000000Tim Indeks KAMI&amp;C&amp;"Arial,Regular"&amp;9&amp;K000000Badan Siber dan Sandi Negara&amp;R&amp;"Arial,Regular"&amp;9&amp;K000000Indeks KAMI, Versi  4.2, Mei 2021
</oddFooter>
  </headerFooter>
  <drawing r:id="rId2"/>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U78"/>
  <sheetViews>
    <sheetView view="pageLayout" zoomScale="64" zoomScalePageLayoutView="64" workbookViewId="0">
      <selection activeCell="AN63" sqref="AN63"/>
    </sheetView>
  </sheetViews>
  <sheetFormatPr defaultColWidth="10.81640625" defaultRowHeight="12.6" x14ac:dyDescent="0.2"/>
  <cols>
    <col min="1" max="1" width="2.6328125" customWidth="1"/>
    <col min="2" max="2" width="32.6328125" customWidth="1"/>
    <col min="3" max="4" width="2.453125" customWidth="1"/>
    <col min="5" max="5" width="19.453125" customWidth="1"/>
    <col min="6" max="35" width="1" customWidth="1"/>
    <col min="36" max="36" width="8.36328125" bestFit="1" customWidth="1"/>
    <col min="37" max="37" width="4.453125" customWidth="1"/>
    <col min="38" max="38" width="5.81640625" customWidth="1"/>
    <col min="39" max="39" width="14.453125" bestFit="1" customWidth="1"/>
    <col min="40" max="44" width="10.1796875" customWidth="1"/>
    <col min="45" max="46" width="6.6328125" customWidth="1"/>
    <col min="47" max="47" width="20.6328125" customWidth="1"/>
  </cols>
  <sheetData>
    <row r="1" spans="1:47" ht="16.05" customHeight="1" x14ac:dyDescent="0.3">
      <c r="A1" s="269" t="s">
        <v>13</v>
      </c>
      <c r="B1" s="270"/>
      <c r="C1" s="270"/>
      <c r="D1" s="270"/>
      <c r="E1" s="270"/>
      <c r="F1" s="270"/>
      <c r="G1" s="270"/>
      <c r="H1" s="270"/>
      <c r="I1" s="270"/>
      <c r="J1" s="270"/>
      <c r="K1" s="270"/>
      <c r="L1" s="270"/>
      <c r="M1" s="270"/>
      <c r="N1" s="270"/>
      <c r="O1" s="270"/>
      <c r="P1" s="270"/>
      <c r="Q1" s="270"/>
      <c r="R1" s="270"/>
      <c r="S1" s="270"/>
      <c r="T1" s="270"/>
      <c r="U1" s="270"/>
      <c r="V1" s="270"/>
      <c r="W1" s="270"/>
      <c r="X1" s="270"/>
      <c r="Y1" s="270"/>
      <c r="Z1" s="270"/>
      <c r="AA1" s="270"/>
      <c r="AB1" s="270"/>
      <c r="AC1" s="270"/>
      <c r="AD1" s="270"/>
      <c r="AE1" s="270"/>
      <c r="AF1" s="270"/>
      <c r="AG1" s="270"/>
      <c r="AH1" s="270"/>
      <c r="AI1" s="270"/>
      <c r="AJ1" s="270"/>
      <c r="AK1" s="271"/>
    </row>
    <row r="2" spans="1:47" ht="7.95" customHeight="1" x14ac:dyDescent="0.3">
      <c r="A2" s="75"/>
      <c r="B2" s="68"/>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76"/>
    </row>
    <row r="3" spans="1:47" ht="13.2" x14ac:dyDescent="0.25">
      <c r="A3" s="23"/>
      <c r="B3" s="26" t="s">
        <v>14</v>
      </c>
      <c r="C3" s="24"/>
      <c r="D3" s="67"/>
      <c r="E3" s="256" t="s">
        <v>291</v>
      </c>
      <c r="F3" s="256"/>
      <c r="G3" s="256"/>
      <c r="H3" s="256"/>
      <c r="I3" s="256"/>
      <c r="J3" s="256"/>
      <c r="K3" s="256"/>
      <c r="L3" s="256"/>
      <c r="M3" s="256"/>
      <c r="N3" s="256"/>
      <c r="O3" s="65" t="s">
        <v>127</v>
      </c>
      <c r="P3" s="259">
        <f>'I Kategori SE'!D15</f>
        <v>37</v>
      </c>
      <c r="Q3" s="259"/>
      <c r="R3" s="259"/>
      <c r="S3" s="259"/>
      <c r="T3" s="66"/>
      <c r="U3" s="257" t="s">
        <v>290</v>
      </c>
      <c r="V3" s="258"/>
      <c r="W3" s="258"/>
      <c r="X3" s="258"/>
      <c r="Y3" s="258"/>
      <c r="Z3" s="258"/>
      <c r="AA3" s="258"/>
      <c r="AB3" s="258"/>
      <c r="AC3" s="258"/>
      <c r="AD3" s="258"/>
      <c r="AE3" s="258"/>
      <c r="AF3" s="258"/>
      <c r="AG3" s="258"/>
      <c r="AH3" s="258"/>
      <c r="AI3" s="65"/>
      <c r="AJ3" s="69" t="str">
        <f>AO36</f>
        <v>Strategis</v>
      </c>
      <c r="AK3" s="25"/>
    </row>
    <row r="4" spans="1:47" ht="13.05" customHeight="1" x14ac:dyDescent="0.2">
      <c r="A4" s="23"/>
      <c r="B4" s="272" t="str">
        <f>'Identitas Responden'!C4</f>
        <v>Satuan Kerja
Direktorat
Departemen</v>
      </c>
      <c r="C4" s="24"/>
      <c r="D4" s="264" t="s">
        <v>326</v>
      </c>
      <c r="E4" s="26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5"/>
    </row>
    <row r="5" spans="1:47" ht="13.2" x14ac:dyDescent="0.25">
      <c r="A5" s="23"/>
      <c r="B5" s="274"/>
      <c r="C5" s="24"/>
      <c r="D5" s="264"/>
      <c r="E5" s="264"/>
      <c r="F5" s="278" t="str">
        <f>AP36</f>
        <v>Baik</v>
      </c>
      <c r="G5" s="278"/>
      <c r="H5" s="278"/>
      <c r="I5" s="278"/>
      <c r="J5" s="278"/>
      <c r="K5" s="278"/>
      <c r="L5" s="278"/>
      <c r="M5" s="278"/>
      <c r="N5" s="278"/>
      <c r="O5" s="278"/>
      <c r="P5" s="278"/>
      <c r="Q5" s="278"/>
      <c r="R5" s="278"/>
      <c r="S5" s="278"/>
      <c r="T5" s="278"/>
      <c r="U5" s="278"/>
      <c r="V5" s="278"/>
      <c r="W5" s="278"/>
      <c r="X5" s="278"/>
      <c r="Y5" s="278"/>
      <c r="Z5" s="278"/>
      <c r="AA5" s="278"/>
      <c r="AB5" s="278"/>
      <c r="AC5" s="278"/>
      <c r="AD5" s="278"/>
      <c r="AE5" s="278"/>
      <c r="AF5" s="278"/>
      <c r="AG5" s="278"/>
      <c r="AH5" s="278"/>
      <c r="AI5" s="278"/>
      <c r="AJ5" s="26"/>
      <c r="AK5" s="25"/>
    </row>
    <row r="6" spans="1:47" x14ac:dyDescent="0.2">
      <c r="A6" s="23"/>
      <c r="B6" s="274"/>
      <c r="C6" s="27"/>
      <c r="D6" s="264"/>
      <c r="E6" s="264"/>
      <c r="F6" s="278"/>
      <c r="G6" s="278"/>
      <c r="H6" s="278"/>
      <c r="I6" s="278"/>
      <c r="J6" s="278"/>
      <c r="K6" s="278"/>
      <c r="L6" s="278"/>
      <c r="M6" s="278"/>
      <c r="N6" s="278"/>
      <c r="O6" s="278"/>
      <c r="P6" s="278"/>
      <c r="Q6" s="278"/>
      <c r="R6" s="278"/>
      <c r="S6" s="278"/>
      <c r="T6" s="278"/>
      <c r="U6" s="278"/>
      <c r="V6" s="278"/>
      <c r="W6" s="278"/>
      <c r="X6" s="278"/>
      <c r="Y6" s="278"/>
      <c r="Z6" s="278"/>
      <c r="AA6" s="278"/>
      <c r="AB6" s="278"/>
      <c r="AC6" s="278"/>
      <c r="AD6" s="278"/>
      <c r="AE6" s="278"/>
      <c r="AF6" s="278"/>
      <c r="AG6" s="278"/>
      <c r="AH6" s="278"/>
      <c r="AI6" s="278"/>
      <c r="AJ6" s="24"/>
      <c r="AK6" s="25"/>
    </row>
    <row r="7" spans="1:47" ht="9" customHeight="1" x14ac:dyDescent="0.3">
      <c r="A7" s="23"/>
      <c r="B7" s="274"/>
      <c r="C7" s="27"/>
      <c r="D7" s="281" t="s">
        <v>141</v>
      </c>
      <c r="E7" s="281"/>
      <c r="F7" s="276"/>
      <c r="G7" s="276"/>
      <c r="H7" s="276"/>
      <c r="I7" s="276"/>
      <c r="J7" s="277"/>
      <c r="K7" s="277"/>
      <c r="L7" s="277"/>
      <c r="M7" s="277"/>
      <c r="N7" s="277"/>
      <c r="O7" s="277"/>
      <c r="P7" s="277"/>
      <c r="Q7" s="277"/>
      <c r="R7" s="277"/>
      <c r="S7" s="277"/>
      <c r="T7" s="277"/>
      <c r="U7" s="277"/>
      <c r="V7" s="277"/>
      <c r="W7" s="277"/>
      <c r="X7" s="277"/>
      <c r="Y7" s="277"/>
      <c r="Z7" s="277"/>
      <c r="AA7" s="277"/>
      <c r="AB7" s="277"/>
      <c r="AC7" s="277"/>
      <c r="AD7" s="277"/>
      <c r="AE7" s="277"/>
      <c r="AF7" s="277"/>
      <c r="AG7" s="277"/>
      <c r="AH7" s="277"/>
      <c r="AI7" s="277"/>
      <c r="AJ7" s="24"/>
      <c r="AK7" s="25"/>
    </row>
    <row r="8" spans="1:47" ht="7.95" customHeight="1" x14ac:dyDescent="0.2">
      <c r="A8" s="23"/>
      <c r="B8" s="274"/>
      <c r="C8" s="28"/>
      <c r="D8" s="28"/>
      <c r="E8" s="36"/>
      <c r="F8" s="24">
        <v>1</v>
      </c>
      <c r="G8" s="24">
        <v>2</v>
      </c>
      <c r="H8" s="24">
        <v>3</v>
      </c>
      <c r="I8" s="24">
        <v>4</v>
      </c>
      <c r="J8" s="24">
        <v>5</v>
      </c>
      <c r="K8" s="24">
        <v>6</v>
      </c>
      <c r="L8" s="24">
        <v>7</v>
      </c>
      <c r="M8" s="24">
        <v>8</v>
      </c>
      <c r="N8" s="24">
        <v>9</v>
      </c>
      <c r="O8" s="24">
        <v>10</v>
      </c>
      <c r="P8" s="24">
        <v>11</v>
      </c>
      <c r="Q8" s="24">
        <v>12</v>
      </c>
      <c r="R8" s="24">
        <v>13</v>
      </c>
      <c r="S8" s="24">
        <v>14</v>
      </c>
      <c r="T8" s="24">
        <v>15</v>
      </c>
      <c r="U8" s="24">
        <v>16</v>
      </c>
      <c r="V8" s="24">
        <v>17</v>
      </c>
      <c r="W8" s="24">
        <v>18</v>
      </c>
      <c r="X8" s="24">
        <v>19</v>
      </c>
      <c r="Y8" s="24">
        <v>20</v>
      </c>
      <c r="Z8" s="24">
        <v>21</v>
      </c>
      <c r="AA8" s="24">
        <v>22</v>
      </c>
      <c r="AB8" s="24">
        <v>23</v>
      </c>
      <c r="AC8" s="24">
        <v>24</v>
      </c>
      <c r="AD8" s="24">
        <v>25</v>
      </c>
      <c r="AE8" s="24">
        <v>26</v>
      </c>
      <c r="AF8" s="24">
        <v>27</v>
      </c>
      <c r="AG8" s="24">
        <v>28</v>
      </c>
      <c r="AH8" s="24">
        <v>29</v>
      </c>
      <c r="AI8" s="24">
        <v>30</v>
      </c>
      <c r="AJ8" s="24"/>
      <c r="AK8" s="25"/>
    </row>
    <row r="9" spans="1:47" ht="7.95" customHeight="1" x14ac:dyDescent="0.2">
      <c r="A9" s="23"/>
      <c r="B9" s="274"/>
      <c r="C9" s="28"/>
      <c r="D9" s="264" t="s">
        <v>289</v>
      </c>
      <c r="E9" s="264"/>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75">
        <f>SUM(P13:R17)</f>
        <v>645</v>
      </c>
      <c r="AK9" s="30"/>
    </row>
    <row r="10" spans="1:47" ht="6" customHeight="1" x14ac:dyDescent="0.2">
      <c r="A10" s="23"/>
      <c r="B10" s="274"/>
      <c r="C10" s="28"/>
      <c r="D10" s="264"/>
      <c r="E10" s="26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275"/>
      <c r="AK10" s="30"/>
    </row>
    <row r="11" spans="1:47" ht="7.95" customHeight="1" x14ac:dyDescent="0.2">
      <c r="A11" s="23"/>
      <c r="B11" s="272" t="str">
        <f>'Identitas Responden'!C5</f>
        <v>Alamat 1
Alamat 2
Kota Kode Pos</v>
      </c>
      <c r="C11" s="28"/>
      <c r="D11" s="264"/>
      <c r="E11" s="264"/>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75"/>
      <c r="AK11" s="30"/>
    </row>
    <row r="12" spans="1:47" ht="13.2" x14ac:dyDescent="0.25">
      <c r="A12" s="23"/>
      <c r="B12" s="273"/>
      <c r="C12" s="26"/>
      <c r="D12" s="28"/>
      <c r="E12" s="28"/>
      <c r="F12" s="24"/>
      <c r="G12" s="24"/>
      <c r="H12" s="24"/>
      <c r="I12" s="24"/>
      <c r="J12" s="24"/>
      <c r="K12" s="24"/>
      <c r="L12" s="24"/>
      <c r="M12" s="24"/>
      <c r="N12" s="24"/>
      <c r="O12" s="24"/>
      <c r="P12" s="24"/>
      <c r="Q12" s="24"/>
      <c r="R12" s="24"/>
      <c r="S12" s="24"/>
      <c r="T12" s="24"/>
      <c r="U12" s="71"/>
      <c r="V12" s="24"/>
      <c r="W12" s="24"/>
      <c r="X12" s="24"/>
      <c r="Y12" s="24"/>
      <c r="Z12" s="24"/>
      <c r="AA12" s="24"/>
      <c r="AB12" s="24"/>
      <c r="AC12" s="24"/>
      <c r="AD12" s="24"/>
      <c r="AE12" s="24"/>
      <c r="AF12" s="24"/>
      <c r="AG12" s="24"/>
      <c r="AH12" s="24"/>
      <c r="AI12" s="24"/>
      <c r="AJ12" s="24"/>
      <c r="AK12" s="25"/>
      <c r="AM12" s="16"/>
      <c r="AN12" s="17" t="s">
        <v>103</v>
      </c>
      <c r="AO12" s="17" t="s">
        <v>15</v>
      </c>
      <c r="AP12" s="17" t="s">
        <v>101</v>
      </c>
      <c r="AQ12" s="17" t="s">
        <v>102</v>
      </c>
      <c r="AR12" s="17" t="s">
        <v>16</v>
      </c>
      <c r="AS12" s="17" t="s">
        <v>43</v>
      </c>
    </row>
    <row r="13" spans="1:47" ht="13.2" x14ac:dyDescent="0.25">
      <c r="A13" s="23"/>
      <c r="B13" s="273"/>
      <c r="C13" s="26"/>
      <c r="D13" s="70"/>
      <c r="E13" s="260" t="s">
        <v>22</v>
      </c>
      <c r="F13" s="260"/>
      <c r="G13" s="260"/>
      <c r="H13" s="260"/>
      <c r="I13" s="260"/>
      <c r="J13" s="260"/>
      <c r="K13" s="260"/>
      <c r="L13" s="260"/>
      <c r="M13" s="260"/>
      <c r="N13" s="260"/>
      <c r="O13" s="24" t="s">
        <v>127</v>
      </c>
      <c r="P13" s="263">
        <f>'II Tata Kelola'!E27</f>
        <v>126</v>
      </c>
      <c r="Q13" s="263"/>
      <c r="R13" s="263"/>
      <c r="S13" s="263"/>
      <c r="T13" s="72"/>
      <c r="U13" s="261" t="s">
        <v>322</v>
      </c>
      <c r="V13" s="261"/>
      <c r="W13" s="261"/>
      <c r="X13" s="261"/>
      <c r="Y13" s="261"/>
      <c r="Z13" s="261"/>
      <c r="AA13" s="261"/>
      <c r="AB13" s="261"/>
      <c r="AC13" s="261"/>
      <c r="AD13" s="261"/>
      <c r="AE13" s="261"/>
      <c r="AF13" s="261"/>
      <c r="AG13" s="262" t="str">
        <f>AN54</f>
        <v>IV</v>
      </c>
      <c r="AH13" s="262"/>
      <c r="AI13" s="262"/>
      <c r="AJ13" s="73"/>
      <c r="AK13" s="25"/>
      <c r="AM13" s="19" t="s">
        <v>148</v>
      </c>
      <c r="AN13" s="18"/>
      <c r="AO13" s="18"/>
      <c r="AP13" s="18"/>
      <c r="AQ13" s="18"/>
      <c r="AR13" s="18"/>
    </row>
    <row r="14" spans="1:47" ht="13.2" x14ac:dyDescent="0.25">
      <c r="A14" s="23"/>
      <c r="B14" s="273"/>
      <c r="C14" s="24"/>
      <c r="D14" s="24"/>
      <c r="E14" s="260" t="s">
        <v>23</v>
      </c>
      <c r="F14" s="260"/>
      <c r="G14" s="260"/>
      <c r="H14" s="260"/>
      <c r="I14" s="260"/>
      <c r="J14" s="260"/>
      <c r="K14" s="260"/>
      <c r="L14" s="260"/>
      <c r="M14" s="260"/>
      <c r="N14" s="260"/>
      <c r="O14" s="24" t="s">
        <v>127</v>
      </c>
      <c r="P14" s="263">
        <f>'III Risiko'!E21</f>
        <v>72</v>
      </c>
      <c r="Q14" s="263"/>
      <c r="R14" s="263"/>
      <c r="S14" s="263"/>
      <c r="T14" s="35"/>
      <c r="U14" s="263" t="s">
        <v>322</v>
      </c>
      <c r="V14" s="263"/>
      <c r="W14" s="263"/>
      <c r="X14" s="263"/>
      <c r="Y14" s="263"/>
      <c r="Z14" s="263"/>
      <c r="AA14" s="263"/>
      <c r="AB14" s="263"/>
      <c r="AC14" s="263"/>
      <c r="AD14" s="263"/>
      <c r="AE14" s="263"/>
      <c r="AF14" s="263"/>
      <c r="AG14" s="279" t="str">
        <f>AO54</f>
        <v>V</v>
      </c>
      <c r="AH14" s="279"/>
      <c r="AI14" s="280"/>
      <c r="AJ14" s="45" t="str">
        <f>AS55</f>
        <v>III</v>
      </c>
      <c r="AK14" s="25"/>
      <c r="AM14" s="19">
        <v>1</v>
      </c>
      <c r="AN14" s="18">
        <f>'II Tata Kelola'!E29</f>
        <v>8</v>
      </c>
      <c r="AO14" s="18">
        <f>'III Risiko'!E23</f>
        <v>10</v>
      </c>
      <c r="AP14" s="18">
        <f>'IV Kerangka Kerja'!E37</f>
        <v>12</v>
      </c>
      <c r="AQ14" s="18">
        <f>'V Pengelolaan Aset'!E47</f>
        <v>24</v>
      </c>
      <c r="AR14" s="18">
        <f>'VI Teknologi'!E33</f>
        <v>14</v>
      </c>
      <c r="AS14" s="18">
        <f>SUM(AN14:AR14)*3</f>
        <v>204</v>
      </c>
      <c r="AT14" s="18">
        <f>SUM(AN14:AR14)</f>
        <v>68</v>
      </c>
      <c r="AU14" s="18">
        <f>AT14*2</f>
        <v>136</v>
      </c>
    </row>
    <row r="15" spans="1:47" ht="13.2" x14ac:dyDescent="0.25">
      <c r="A15" s="23"/>
      <c r="B15" s="273"/>
      <c r="C15" s="24"/>
      <c r="D15" s="24"/>
      <c r="E15" s="260" t="s">
        <v>24</v>
      </c>
      <c r="F15" s="260"/>
      <c r="G15" s="260"/>
      <c r="H15" s="260"/>
      <c r="I15" s="260"/>
      <c r="J15" s="260"/>
      <c r="K15" s="260"/>
      <c r="L15" s="260"/>
      <c r="M15" s="260"/>
      <c r="N15" s="260"/>
      <c r="O15" s="24" t="s">
        <v>127</v>
      </c>
      <c r="P15" s="263">
        <f>'IV Kerangka Kerja'!E35</f>
        <v>159</v>
      </c>
      <c r="Q15" s="263"/>
      <c r="R15" s="263"/>
      <c r="S15" s="263"/>
      <c r="T15" s="35"/>
      <c r="U15" s="263" t="s">
        <v>322</v>
      </c>
      <c r="V15" s="263"/>
      <c r="W15" s="263"/>
      <c r="X15" s="263"/>
      <c r="Y15" s="263"/>
      <c r="Z15" s="263"/>
      <c r="AA15" s="263"/>
      <c r="AB15" s="263"/>
      <c r="AC15" s="263"/>
      <c r="AD15" s="263"/>
      <c r="AE15" s="263"/>
      <c r="AF15" s="263"/>
      <c r="AG15" s="266" t="str">
        <f>AP54</f>
        <v>V</v>
      </c>
      <c r="AH15" s="266"/>
      <c r="AI15" s="267"/>
      <c r="AJ15" s="45" t="s">
        <v>201</v>
      </c>
      <c r="AK15" s="25"/>
      <c r="AM15" s="19">
        <v>2</v>
      </c>
      <c r="AN15" s="18">
        <f>'II Tata Kelola'!E30</f>
        <v>8</v>
      </c>
      <c r="AO15" s="18">
        <f>'III Risiko'!E24</f>
        <v>4</v>
      </c>
      <c r="AP15" s="18">
        <f>'IV Kerangka Kerja'!E38</f>
        <v>10</v>
      </c>
      <c r="AQ15" s="18">
        <f>'V Pengelolaan Aset'!E48</f>
        <v>10</v>
      </c>
      <c r="AR15" s="18">
        <f>'VI Teknologi'!E34</f>
        <v>10</v>
      </c>
      <c r="AS15" s="18">
        <f>SUM(AN15:AR15)*6</f>
        <v>252</v>
      </c>
      <c r="AT15" s="18">
        <f>SUM(AN15:AR15)</f>
        <v>42</v>
      </c>
      <c r="AU15" s="18">
        <f>AT15*4</f>
        <v>168</v>
      </c>
    </row>
    <row r="16" spans="1:47" ht="13.2" x14ac:dyDescent="0.25">
      <c r="A16" s="23"/>
      <c r="B16" s="31" t="str">
        <f>'Identitas Responden'!C6</f>
        <v>(Kode Area) Nomor Telpon</v>
      </c>
      <c r="C16" s="24"/>
      <c r="D16" s="24"/>
      <c r="E16" s="260" t="s">
        <v>25</v>
      </c>
      <c r="F16" s="260"/>
      <c r="G16" s="260"/>
      <c r="H16" s="260"/>
      <c r="I16" s="260"/>
      <c r="J16" s="260"/>
      <c r="K16" s="260"/>
      <c r="L16" s="260"/>
      <c r="M16" s="260"/>
      <c r="N16" s="260"/>
      <c r="O16" s="24" t="s">
        <v>127</v>
      </c>
      <c r="P16" s="263">
        <f>'V Pengelolaan Aset'!E45</f>
        <v>168</v>
      </c>
      <c r="Q16" s="263"/>
      <c r="R16" s="263"/>
      <c r="S16" s="263"/>
      <c r="T16" s="35"/>
      <c r="U16" s="263" t="s">
        <v>322</v>
      </c>
      <c r="V16" s="263"/>
      <c r="W16" s="263"/>
      <c r="X16" s="263"/>
      <c r="Y16" s="263"/>
      <c r="Z16" s="263"/>
      <c r="AA16" s="263"/>
      <c r="AB16" s="263"/>
      <c r="AC16" s="263"/>
      <c r="AD16" s="263"/>
      <c r="AE16" s="263"/>
      <c r="AF16" s="263"/>
      <c r="AG16" s="266" t="str">
        <f>AQ54</f>
        <v>III</v>
      </c>
      <c r="AH16" s="266"/>
      <c r="AI16" s="267"/>
      <c r="AJ16" s="45" t="str">
        <f>AT55</f>
        <v>V</v>
      </c>
      <c r="AK16" s="25"/>
      <c r="AM16" s="19">
        <v>3</v>
      </c>
      <c r="AN16" s="18">
        <f>'II Tata Kelola'!E31</f>
        <v>6</v>
      </c>
      <c r="AO16" s="18">
        <f>'III Risiko'!E25</f>
        <v>2</v>
      </c>
      <c r="AP16" s="18">
        <f>'IV Kerangka Kerja'!E39</f>
        <v>7</v>
      </c>
      <c r="AQ16" s="18">
        <f>'V Pengelolaan Aset'!E49</f>
        <v>4</v>
      </c>
      <c r="AR16" s="18">
        <f>'VI Teknologi'!E35</f>
        <v>2</v>
      </c>
      <c r="AS16" s="18">
        <f>SUM(AN16:AR16)*9</f>
        <v>189</v>
      </c>
      <c r="AT16" s="18">
        <f>SUM(AN16:AR16)</f>
        <v>21</v>
      </c>
      <c r="AU16" s="18">
        <f>AT16*6</f>
        <v>126</v>
      </c>
    </row>
    <row r="17" spans="1:47" ht="13.2" x14ac:dyDescent="0.25">
      <c r="A17" s="23"/>
      <c r="B17" s="31" t="str">
        <f>'Identitas Responden'!C7</f>
        <v>user@departemen_responden.go.id</v>
      </c>
      <c r="C17" s="24"/>
      <c r="D17" s="24"/>
      <c r="E17" s="260" t="s">
        <v>12</v>
      </c>
      <c r="F17" s="260"/>
      <c r="G17" s="260"/>
      <c r="H17" s="260"/>
      <c r="I17" s="260"/>
      <c r="J17" s="260"/>
      <c r="K17" s="260"/>
      <c r="L17" s="260"/>
      <c r="M17" s="260"/>
      <c r="N17" s="260"/>
      <c r="O17" s="24" t="s">
        <v>127</v>
      </c>
      <c r="P17" s="263">
        <f>'VI Teknologi'!E31</f>
        <v>120</v>
      </c>
      <c r="Q17" s="263"/>
      <c r="R17" s="263"/>
      <c r="S17" s="263"/>
      <c r="T17" s="35"/>
      <c r="U17" s="263" t="s">
        <v>322</v>
      </c>
      <c r="V17" s="263"/>
      <c r="W17" s="263"/>
      <c r="X17" s="263"/>
      <c r="Y17" s="263"/>
      <c r="Z17" s="263"/>
      <c r="AA17" s="263"/>
      <c r="AB17" s="263"/>
      <c r="AC17" s="263"/>
      <c r="AD17" s="263"/>
      <c r="AE17" s="263"/>
      <c r="AF17" s="263"/>
      <c r="AG17" s="266" t="str">
        <f>AR54</f>
        <v>IV</v>
      </c>
      <c r="AH17" s="266"/>
      <c r="AI17" s="267"/>
      <c r="AJ17" s="45"/>
      <c r="AK17" s="25"/>
      <c r="AM17" s="19" t="s">
        <v>17</v>
      </c>
      <c r="AN17" s="17">
        <f t="shared" ref="AN17:AS17" si="0">SUM(AN14:AN16)</f>
        <v>22</v>
      </c>
      <c r="AO17" s="17">
        <f t="shared" si="0"/>
        <v>16</v>
      </c>
      <c r="AP17" s="17">
        <f t="shared" si="0"/>
        <v>29</v>
      </c>
      <c r="AQ17" s="17">
        <f t="shared" si="0"/>
        <v>38</v>
      </c>
      <c r="AR17" s="17">
        <f t="shared" si="0"/>
        <v>26</v>
      </c>
      <c r="AS17" s="18">
        <f t="shared" si="0"/>
        <v>645</v>
      </c>
      <c r="AT17" s="17">
        <f>SUM(AT14:AT16)</f>
        <v>131</v>
      </c>
    </row>
    <row r="18" spans="1:47" ht="13.2" x14ac:dyDescent="0.25">
      <c r="A18" s="23"/>
      <c r="B18" s="31" t="str">
        <f>'Identitas Responden'!C12</f>
        <v>HH/BB/TTTT</v>
      </c>
      <c r="C18" s="24"/>
      <c r="D18" s="24"/>
      <c r="E18" s="260" t="s">
        <v>362</v>
      </c>
      <c r="F18" s="260"/>
      <c r="G18" s="260"/>
      <c r="H18" s="260"/>
      <c r="I18" s="260"/>
      <c r="J18" s="260"/>
      <c r="K18" s="260"/>
      <c r="L18" s="260"/>
      <c r="M18" s="260"/>
      <c r="N18" s="260"/>
      <c r="O18" s="24" t="s">
        <v>400</v>
      </c>
      <c r="P18" s="268">
        <f>('VII Suplemen'!F4)/3</f>
        <v>0.96296296296296291</v>
      </c>
      <c r="Q18" s="268"/>
      <c r="R18" s="268"/>
      <c r="S18" s="268"/>
      <c r="T18" s="268"/>
      <c r="U18" s="263"/>
      <c r="V18" s="263"/>
      <c r="W18" s="263"/>
      <c r="X18" s="263"/>
      <c r="Y18" s="263"/>
      <c r="Z18" s="263"/>
      <c r="AA18" s="263"/>
      <c r="AB18" s="263"/>
      <c r="AC18" s="263"/>
      <c r="AD18" s="263"/>
      <c r="AE18" s="263"/>
      <c r="AF18" s="263"/>
      <c r="AG18" s="266"/>
      <c r="AH18" s="266"/>
      <c r="AI18" s="266"/>
      <c r="AJ18" s="74"/>
      <c r="AK18" s="25"/>
      <c r="AM18" s="19" t="s">
        <v>18</v>
      </c>
      <c r="AN18" s="17">
        <v>1</v>
      </c>
      <c r="AO18" s="17">
        <v>1</v>
      </c>
      <c r="AP18" s="17">
        <v>1</v>
      </c>
      <c r="AQ18" s="17">
        <v>1</v>
      </c>
      <c r="AR18" s="17">
        <v>1</v>
      </c>
      <c r="AS18" s="18"/>
    </row>
    <row r="19" spans="1:47" ht="13.2" x14ac:dyDescent="0.25">
      <c r="A19" s="23"/>
      <c r="B19" s="24"/>
      <c r="C19" s="24"/>
      <c r="D19" s="24"/>
      <c r="E19" s="260" t="s">
        <v>401</v>
      </c>
      <c r="F19" s="260"/>
      <c r="G19" s="260"/>
      <c r="H19" s="260"/>
      <c r="I19" s="260"/>
      <c r="J19" s="260"/>
      <c r="K19" s="260"/>
      <c r="L19" s="260"/>
      <c r="M19" s="260"/>
      <c r="N19" s="260"/>
      <c r="O19" s="24" t="s">
        <v>400</v>
      </c>
      <c r="P19" s="265">
        <f>('VII Suplemen'!F39)/3</f>
        <v>1</v>
      </c>
      <c r="Q19" s="265"/>
      <c r="R19" s="265"/>
      <c r="S19" s="265"/>
      <c r="T19" s="265"/>
      <c r="U19" s="24"/>
      <c r="V19" s="24"/>
      <c r="W19" s="24"/>
      <c r="X19" s="24"/>
      <c r="Y19" s="24"/>
      <c r="Z19" s="24"/>
      <c r="AA19" s="24"/>
      <c r="AB19" s="24"/>
      <c r="AC19" s="24"/>
      <c r="AD19" s="24"/>
      <c r="AE19" s="24"/>
      <c r="AF19" s="24"/>
      <c r="AG19" s="24"/>
      <c r="AH19" s="24"/>
      <c r="AI19" s="24"/>
      <c r="AJ19" s="24"/>
      <c r="AK19" s="25"/>
      <c r="AM19" s="19">
        <v>1</v>
      </c>
      <c r="AN19" s="18">
        <f>AN14*Referensi!$E$7*AN18</f>
        <v>24</v>
      </c>
      <c r="AO19" s="18">
        <f>AO14*Referensi!$E$7*AO18</f>
        <v>30</v>
      </c>
      <c r="AP19" s="18">
        <f>AP14*Referensi!$E$7*AP18</f>
        <v>36</v>
      </c>
      <c r="AQ19" s="18">
        <f>AQ14*Referensi!$E$7*AQ18</f>
        <v>72</v>
      </c>
      <c r="AR19" s="18">
        <f>AR14*Referensi!$E$7</f>
        <v>42</v>
      </c>
      <c r="AS19" s="18"/>
    </row>
    <row r="20" spans="1:47" ht="13.2" x14ac:dyDescent="0.25">
      <c r="A20" s="23"/>
      <c r="B20" s="24"/>
      <c r="C20" s="24"/>
      <c r="D20" s="24"/>
      <c r="E20" s="260" t="s">
        <v>341</v>
      </c>
      <c r="F20" s="260"/>
      <c r="G20" s="260"/>
      <c r="H20" s="260"/>
      <c r="I20" s="260"/>
      <c r="J20" s="260"/>
      <c r="K20" s="260"/>
      <c r="L20" s="260"/>
      <c r="M20" s="260"/>
      <c r="N20" s="260"/>
      <c r="O20" s="24" t="s">
        <v>400</v>
      </c>
      <c r="P20" s="265">
        <f>('VII Suplemen'!F50)/3</f>
        <v>1</v>
      </c>
      <c r="Q20" s="265"/>
      <c r="R20" s="265"/>
      <c r="S20" s="265"/>
      <c r="T20" s="265"/>
      <c r="U20" s="24"/>
      <c r="V20" s="24"/>
      <c r="W20" s="24"/>
      <c r="X20" s="24"/>
      <c r="Y20" s="24"/>
      <c r="Z20" s="24"/>
      <c r="AA20" s="24"/>
      <c r="AB20" s="24"/>
      <c r="AC20" s="24"/>
      <c r="AD20" s="24"/>
      <c r="AE20" s="24"/>
      <c r="AF20" s="24"/>
      <c r="AG20" s="24"/>
      <c r="AH20" s="24"/>
      <c r="AI20" s="24"/>
      <c r="AJ20" s="24"/>
      <c r="AK20" s="25"/>
      <c r="AM20" s="19">
        <v>2</v>
      </c>
      <c r="AN20" s="18">
        <f>AN19+(AN18*AN15*Referensi!$F$7)</f>
        <v>72</v>
      </c>
      <c r="AO20" s="18">
        <f>AO19+(AO18*AO15*Referensi!$F$7)</f>
        <v>54</v>
      </c>
      <c r="AP20" s="18">
        <f>AP19+(AP18*AP15*Referensi!$F$7)</f>
        <v>96</v>
      </c>
      <c r="AQ20" s="18">
        <f>AQ19+(AQ18*AQ15*Referensi!$F$7)</f>
        <v>132</v>
      </c>
      <c r="AR20" s="18">
        <f>AR19+(AR15*Referensi!$F$7)</f>
        <v>102</v>
      </c>
      <c r="AS20" s="18"/>
    </row>
    <row r="21" spans="1:47" ht="13.2" x14ac:dyDescent="0.25">
      <c r="A21" s="23"/>
      <c r="B21" s="24"/>
      <c r="C21" s="24"/>
      <c r="D21" s="24"/>
      <c r="E21" s="260"/>
      <c r="F21" s="260"/>
      <c r="G21" s="260"/>
      <c r="H21" s="260"/>
      <c r="I21" s="260"/>
      <c r="J21" s="260"/>
      <c r="K21" s="260"/>
      <c r="L21" s="260"/>
      <c r="M21" s="260"/>
      <c r="N21" s="260"/>
      <c r="O21" s="24"/>
      <c r="P21" s="24"/>
      <c r="Q21" s="24"/>
      <c r="R21" s="24"/>
      <c r="S21" s="24"/>
      <c r="T21" s="24"/>
      <c r="U21" s="24"/>
      <c r="V21" s="24"/>
      <c r="W21" s="24"/>
      <c r="X21" s="24"/>
      <c r="Y21" s="24"/>
      <c r="Z21" s="24"/>
      <c r="AA21" s="24"/>
      <c r="AB21" s="24"/>
      <c r="AC21" s="24"/>
      <c r="AD21" s="24"/>
      <c r="AE21" s="24"/>
      <c r="AF21" s="24"/>
      <c r="AG21" s="24"/>
      <c r="AH21" s="24"/>
      <c r="AI21" s="24"/>
      <c r="AJ21" s="24"/>
      <c r="AK21" s="25"/>
      <c r="AM21" s="19">
        <v>3</v>
      </c>
      <c r="AN21" s="18">
        <f>AN20+(AN18*AN16*Referensi!$G$7)</f>
        <v>126</v>
      </c>
      <c r="AO21" s="18">
        <f>AO20+(AO18*AO16*Referensi!$G$7)</f>
        <v>72</v>
      </c>
      <c r="AP21" s="18">
        <f>AP20+(AP18*AP16*Referensi!$G$7)</f>
        <v>159</v>
      </c>
      <c r="AQ21" s="18">
        <f>AQ20+(AQ18*AQ16*Referensi!$G$7)</f>
        <v>168</v>
      </c>
      <c r="AR21" s="18">
        <f>AR20+AR16*Referensi!$G$7</f>
        <v>120</v>
      </c>
      <c r="AS21" s="18"/>
    </row>
    <row r="22" spans="1:47" x14ac:dyDescent="0.2">
      <c r="A22" s="23"/>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5"/>
      <c r="AM22" s="19" t="s">
        <v>19</v>
      </c>
      <c r="AN22" s="17">
        <f>'II Tata Kelola'!E27*AN18</f>
        <v>126</v>
      </c>
      <c r="AO22" s="17">
        <f>'III Risiko'!E21*AN18</f>
        <v>72</v>
      </c>
      <c r="AP22" s="17">
        <f>'IV Kerangka Kerja'!E35*AN18</f>
        <v>159</v>
      </c>
      <c r="AQ22" s="17">
        <f>'V Pengelolaan Aset'!E45*AN18</f>
        <v>168</v>
      </c>
      <c r="AR22" s="17">
        <f>'VI Teknologi'!E31*AN18</f>
        <v>120</v>
      </c>
      <c r="AS22" s="17">
        <f>SUM(AN22:AR22)</f>
        <v>645</v>
      </c>
    </row>
    <row r="23" spans="1:47" x14ac:dyDescent="0.2">
      <c r="A23" s="23"/>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5"/>
      <c r="AM23" s="19" t="s">
        <v>124</v>
      </c>
      <c r="AN23" s="17" t="s">
        <v>275</v>
      </c>
      <c r="AO23" s="17" t="s">
        <v>276</v>
      </c>
      <c r="AP23" s="17" t="s">
        <v>125</v>
      </c>
      <c r="AQ23" s="18">
        <v>10</v>
      </c>
      <c r="AR23" s="18">
        <v>15</v>
      </c>
      <c r="AS23" s="18">
        <v>0</v>
      </c>
      <c r="AT23" s="18">
        <v>174</v>
      </c>
      <c r="AU23" s="21" t="s">
        <v>126</v>
      </c>
    </row>
    <row r="24" spans="1:47" x14ac:dyDescent="0.2">
      <c r="A24" s="23"/>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5"/>
      <c r="AM24" s="19" t="s">
        <v>277</v>
      </c>
      <c r="AN24" s="18">
        <v>10</v>
      </c>
      <c r="AO24" s="18">
        <v>15</v>
      </c>
      <c r="AP24" s="18" t="s">
        <v>32</v>
      </c>
      <c r="AR24" s="17"/>
      <c r="AS24" s="18">
        <v>175</v>
      </c>
      <c r="AT24" s="18">
        <v>312</v>
      </c>
      <c r="AU24" s="21" t="s">
        <v>459</v>
      </c>
    </row>
    <row r="25" spans="1:47" x14ac:dyDescent="0.2">
      <c r="A25" s="23"/>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5"/>
      <c r="AM25" s="19" t="s">
        <v>278</v>
      </c>
      <c r="AN25" s="18">
        <v>16</v>
      </c>
      <c r="AO25" s="18">
        <v>34</v>
      </c>
      <c r="AP25" s="18" t="s">
        <v>273</v>
      </c>
      <c r="AR25" s="17"/>
      <c r="AS25" s="18">
        <v>313</v>
      </c>
      <c r="AT25" s="18">
        <v>535</v>
      </c>
      <c r="AU25" s="21" t="s">
        <v>460</v>
      </c>
    </row>
    <row r="26" spans="1:47" x14ac:dyDescent="0.2">
      <c r="A26" s="23"/>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5"/>
      <c r="AM26" s="19" t="s">
        <v>279</v>
      </c>
      <c r="AN26" s="18">
        <v>35</v>
      </c>
      <c r="AO26" s="18">
        <v>50</v>
      </c>
      <c r="AP26" s="18" t="s">
        <v>274</v>
      </c>
      <c r="AR26" s="17"/>
      <c r="AS26" s="18">
        <v>536</v>
      </c>
      <c r="AT26" s="18">
        <v>645</v>
      </c>
      <c r="AU26" s="21" t="s">
        <v>323</v>
      </c>
    </row>
    <row r="27" spans="1:47" x14ac:dyDescent="0.2">
      <c r="A27" s="23"/>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5"/>
      <c r="AN27" s="18"/>
      <c r="AO27" s="18"/>
      <c r="AP27" s="18"/>
      <c r="AQ27" s="18">
        <v>16</v>
      </c>
      <c r="AR27" s="18">
        <v>34</v>
      </c>
      <c r="AS27" s="18">
        <v>0</v>
      </c>
      <c r="AT27" s="18">
        <v>272</v>
      </c>
      <c r="AU27" s="21" t="s">
        <v>126</v>
      </c>
    </row>
    <row r="28" spans="1:47" x14ac:dyDescent="0.2">
      <c r="A28" s="23"/>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5"/>
      <c r="AN28" s="18"/>
      <c r="AO28" s="18"/>
      <c r="AP28" s="18"/>
      <c r="AS28" s="18">
        <v>273</v>
      </c>
      <c r="AT28" s="18">
        <v>455</v>
      </c>
      <c r="AU28" s="21" t="s">
        <v>459</v>
      </c>
    </row>
    <row r="29" spans="1:47" x14ac:dyDescent="0.2">
      <c r="A29" s="23"/>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5"/>
      <c r="AS29" s="18">
        <v>456</v>
      </c>
      <c r="AT29" s="18">
        <v>583</v>
      </c>
      <c r="AU29" s="21" t="s">
        <v>460</v>
      </c>
    </row>
    <row r="30" spans="1:47" x14ac:dyDescent="0.2">
      <c r="A30" s="23"/>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5"/>
      <c r="AS30" s="18">
        <v>584</v>
      </c>
      <c r="AT30" s="18">
        <v>645</v>
      </c>
      <c r="AU30" s="21" t="s">
        <v>323</v>
      </c>
    </row>
    <row r="31" spans="1:47" x14ac:dyDescent="0.2">
      <c r="A31" s="23"/>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5"/>
      <c r="AQ31" s="18">
        <v>35</v>
      </c>
      <c r="AR31" s="18">
        <v>50</v>
      </c>
      <c r="AS31" s="18">
        <v>0</v>
      </c>
      <c r="AT31" s="18">
        <v>333</v>
      </c>
      <c r="AU31" s="21" t="s">
        <v>126</v>
      </c>
    </row>
    <row r="32" spans="1:47" ht="12" customHeight="1" x14ac:dyDescent="0.2">
      <c r="A32" s="23"/>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5"/>
      <c r="AS32" s="18">
        <v>334</v>
      </c>
      <c r="AT32" s="18">
        <v>535</v>
      </c>
      <c r="AU32" s="21" t="s">
        <v>459</v>
      </c>
    </row>
    <row r="33" spans="1:47" x14ac:dyDescent="0.2">
      <c r="A33" s="23"/>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5"/>
      <c r="AS33" s="18">
        <v>536</v>
      </c>
      <c r="AT33" s="18">
        <v>609</v>
      </c>
      <c r="AU33" s="21" t="s">
        <v>460</v>
      </c>
    </row>
    <row r="34" spans="1:47" x14ac:dyDescent="0.2">
      <c r="A34" s="23"/>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5"/>
      <c r="AM34" s="39" t="s">
        <v>152</v>
      </c>
      <c r="AN34" s="40">
        <f>AN14*Referensi!$E$6*AN18</f>
        <v>16</v>
      </c>
      <c r="AO34" s="40">
        <f>AO14*Referensi!$E$6*AO18</f>
        <v>20</v>
      </c>
      <c r="AP34" s="40">
        <f>AP14*Referensi!$E$6*AP18</f>
        <v>24</v>
      </c>
      <c r="AQ34" s="40">
        <f>AQ14*Referensi!$E$5*AQ18</f>
        <v>24</v>
      </c>
      <c r="AR34" s="40">
        <f>AR14*Referensi!$E$5</f>
        <v>14</v>
      </c>
      <c r="AS34" s="18">
        <v>610</v>
      </c>
      <c r="AT34" s="18">
        <v>645</v>
      </c>
      <c r="AU34" s="21" t="s">
        <v>323</v>
      </c>
    </row>
    <row r="35" spans="1:47" x14ac:dyDescent="0.2">
      <c r="A35" s="23"/>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5"/>
      <c r="AP35" s="18" t="str">
        <f>IF(AND(AN22&gt;=AN34,AO22&gt;=AO34,AP22&gt;=AP34,AQ22&gt;=AQ34,AR22&gt;=AR34),"Valid","Not Valid")</f>
        <v>Valid</v>
      </c>
    </row>
    <row r="36" spans="1:47" x14ac:dyDescent="0.2">
      <c r="A36" s="23"/>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5"/>
      <c r="AN36" s="19" t="s">
        <v>31</v>
      </c>
      <c r="AO36" s="18" t="str">
        <f>VLOOKUP('I Kategori SE'!D15,Dashboard!AN24:AP27,3)</f>
        <v>Strategis</v>
      </c>
      <c r="AP36" s="18" t="str">
        <f>IF(AP35="Valid",IF(AO36="Rendah",VLOOKUP(AJ9,AS23:AU26,3),IF(AO36="Tinggi",VLOOKUP(AJ9,AS27:AU30,3),IF(AO36="Strategis",VLOOKUP(AJ9,AS31:AU34,3),0))),"Tidak Layak")</f>
        <v>Baik</v>
      </c>
    </row>
    <row r="37" spans="1:47" x14ac:dyDescent="0.2">
      <c r="A37" s="23"/>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5"/>
      <c r="AN37" s="37" t="s">
        <v>184</v>
      </c>
      <c r="AO37" s="18">
        <f>IF(AO36="Strategis",AT31,IF(AO36="Tinggi",AT27,AT23))</f>
        <v>333</v>
      </c>
    </row>
    <row r="38" spans="1:47" x14ac:dyDescent="0.2">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5"/>
      <c r="AN38" s="37" t="s">
        <v>185</v>
      </c>
      <c r="AO38" s="18">
        <f>IF(AO36="Strategis",AT32,IF(AO36="Tinggi",AT28,AT24))</f>
        <v>535</v>
      </c>
    </row>
    <row r="39" spans="1:47" ht="13.2" thickBot="1" x14ac:dyDescent="0.25">
      <c r="A39" s="32"/>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4"/>
      <c r="AN39" s="37" t="s">
        <v>324</v>
      </c>
      <c r="AO39" s="18">
        <f>IF(AO36="Strategis",AT33,IF(AO36="Tinggi",AT29,AT25))</f>
        <v>609</v>
      </c>
    </row>
    <row r="42" spans="1:47" x14ac:dyDescent="0.2">
      <c r="AN42" s="17" t="s">
        <v>103</v>
      </c>
      <c r="AO42" s="17" t="s">
        <v>15</v>
      </c>
      <c r="AP42" s="17" t="s">
        <v>101</v>
      </c>
      <c r="AQ42" s="17" t="s">
        <v>102</v>
      </c>
      <c r="AR42" s="17" t="s">
        <v>16</v>
      </c>
    </row>
    <row r="43" spans="1:47" x14ac:dyDescent="0.2">
      <c r="AM43" s="38" t="s">
        <v>147</v>
      </c>
    </row>
    <row r="44" spans="1:47" x14ac:dyDescent="0.2">
      <c r="AM44" s="37" t="s">
        <v>155</v>
      </c>
      <c r="AN44" s="42" t="str">
        <f>'II Tata Kelola'!E39</f>
        <v>II</v>
      </c>
      <c r="AO44" s="42" t="str">
        <f>'III Risiko'!E33</f>
        <v>II</v>
      </c>
      <c r="AP44" s="42" t="str">
        <f>'IV Kerangka Kerja'!E47</f>
        <v>II</v>
      </c>
      <c r="AQ44" s="42" t="str">
        <f>'V Pengelolaan Aset'!E57</f>
        <v>II</v>
      </c>
      <c r="AR44" s="42" t="str">
        <f>'VI Teknologi'!E43</f>
        <v>II</v>
      </c>
    </row>
    <row r="45" spans="1:47" x14ac:dyDescent="0.2">
      <c r="AM45" s="38" t="s">
        <v>149</v>
      </c>
      <c r="AN45" s="42"/>
      <c r="AO45" s="42"/>
      <c r="AP45" s="42"/>
      <c r="AQ45" s="42"/>
      <c r="AR45" s="42"/>
    </row>
    <row r="46" spans="1:47" x14ac:dyDescent="0.2">
      <c r="AM46" s="37" t="s">
        <v>176</v>
      </c>
      <c r="AN46" s="42" t="str">
        <f>'II Tata Kelola'!E41</f>
        <v>Yes</v>
      </c>
      <c r="AO46" s="42" t="str">
        <f>'III Risiko'!E35</f>
        <v>Yes</v>
      </c>
      <c r="AP46" s="42" t="str">
        <f>'IV Kerangka Kerja'!E49</f>
        <v>Yes</v>
      </c>
      <c r="AQ46" s="42" t="str">
        <f>'V Pengelolaan Aset'!E59</f>
        <v>Yes</v>
      </c>
      <c r="AR46" s="42" t="str">
        <f>'VI Teknologi'!E45</f>
        <v>Yes</v>
      </c>
    </row>
    <row r="47" spans="1:47" x14ac:dyDescent="0.2">
      <c r="AM47" s="37" t="s">
        <v>155</v>
      </c>
      <c r="AN47" s="42" t="str">
        <f>'II Tata Kelola'!E44</f>
        <v>III</v>
      </c>
      <c r="AO47" s="42" t="str">
        <f>'III Risiko'!E38</f>
        <v>III</v>
      </c>
      <c r="AP47" s="42" t="str">
        <f>'IV Kerangka Kerja'!E52</f>
        <v>III</v>
      </c>
      <c r="AQ47" s="42" t="str">
        <f>'V Pengelolaan Aset'!E62</f>
        <v>III</v>
      </c>
      <c r="AR47" s="42" t="str">
        <f>'VI Teknologi'!E48</f>
        <v>III</v>
      </c>
    </row>
    <row r="48" spans="1:47" x14ac:dyDescent="0.2">
      <c r="AM48" s="38" t="s">
        <v>150</v>
      </c>
      <c r="AN48" s="42"/>
      <c r="AO48" s="42"/>
      <c r="AP48" s="42"/>
      <c r="AQ48" s="42"/>
      <c r="AR48" s="42"/>
    </row>
    <row r="49" spans="39:46" x14ac:dyDescent="0.2">
      <c r="AM49" s="37" t="s">
        <v>176</v>
      </c>
      <c r="AN49" s="42" t="str">
        <f>'II Tata Kelola'!E46</f>
        <v>Yes</v>
      </c>
      <c r="AO49" s="42" t="str">
        <f>'III Risiko'!E40</f>
        <v>Yes</v>
      </c>
      <c r="AP49" s="42" t="str">
        <f>'IV Kerangka Kerja'!E54</f>
        <v>Yes</v>
      </c>
      <c r="AQ49" s="42" t="s">
        <v>203</v>
      </c>
      <c r="AR49" s="42" t="str">
        <f>'VI Teknologi'!E50</f>
        <v>Yes</v>
      </c>
    </row>
    <row r="50" spans="39:46" x14ac:dyDescent="0.2">
      <c r="AM50" s="37" t="s">
        <v>155</v>
      </c>
      <c r="AN50" s="42" t="str">
        <f>'II Tata Kelola'!E49</f>
        <v>IV</v>
      </c>
      <c r="AO50" s="42" t="str">
        <f>'III Risiko'!E43</f>
        <v>IV</v>
      </c>
      <c r="AP50" s="42" t="str">
        <f>'IV Kerangka Kerja'!E57</f>
        <v>III+</v>
      </c>
      <c r="AQ50" s="42" t="s">
        <v>203</v>
      </c>
      <c r="AR50" s="42" t="str">
        <f>'VI Teknologi'!E53</f>
        <v>IV</v>
      </c>
    </row>
    <row r="51" spans="39:46" x14ac:dyDescent="0.2">
      <c r="AM51" s="38" t="s">
        <v>151</v>
      </c>
      <c r="AN51" s="42"/>
      <c r="AO51" s="42"/>
      <c r="AP51" s="42"/>
      <c r="AQ51" s="42"/>
      <c r="AR51" s="42"/>
    </row>
    <row r="52" spans="39:46" x14ac:dyDescent="0.2">
      <c r="AM52" s="37" t="s">
        <v>176</v>
      </c>
      <c r="AN52" s="42" t="s">
        <v>203</v>
      </c>
      <c r="AO52" s="42" t="str">
        <f>'III Risiko'!E45</f>
        <v>Yes</v>
      </c>
      <c r="AP52" s="42" t="str">
        <f>'IV Kerangka Kerja'!E59</f>
        <v>Yes</v>
      </c>
      <c r="AQ52" s="42" t="s">
        <v>203</v>
      </c>
      <c r="AR52" s="42" t="s">
        <v>203</v>
      </c>
    </row>
    <row r="53" spans="39:46" x14ac:dyDescent="0.2">
      <c r="AM53" s="37" t="s">
        <v>155</v>
      </c>
      <c r="AN53" s="42" t="s">
        <v>203</v>
      </c>
      <c r="AO53" s="42" t="str">
        <f>'III Risiko'!E48</f>
        <v>V</v>
      </c>
      <c r="AP53" s="42" t="str">
        <f>'IV Kerangka Kerja'!E62</f>
        <v>V</v>
      </c>
      <c r="AQ53" s="42" t="s">
        <v>203</v>
      </c>
      <c r="AR53" s="42" t="s">
        <v>203</v>
      </c>
    </row>
    <row r="54" spans="39:46" x14ac:dyDescent="0.2">
      <c r="AM54" s="38" t="s">
        <v>177</v>
      </c>
      <c r="AN54" s="43" t="str">
        <f>IF(AN52="Yes",AN53,IF(AN49="Yes",AN50,IF(AN46="Yes",AN47,IF(AN44="No","I",AN44))))</f>
        <v>IV</v>
      </c>
      <c r="AO54" s="43" t="str">
        <f>IF(AO52="Yes",AO53,IF(AO49="Yes",AO50,IF(AO46="Yes",AO47,IF(AO44="No","I",AO44))))</f>
        <v>V</v>
      </c>
      <c r="AP54" s="43" t="str">
        <f>IF(AP52="Yes",AP53,IF(AP49="Yes",AP50,IF(AP46="Yes",AP47,IF(AP44="No","I",AP44))))</f>
        <v>V</v>
      </c>
      <c r="AQ54" s="43" t="str">
        <f>IF(AQ52="Yes",AQ53,IF(AQ49="Yes",AQ50,IF(AQ46="Yes",AQ47,IF(AQ44="No","I",AQ44))))</f>
        <v>III</v>
      </c>
      <c r="AR54" s="43" t="str">
        <f>IF(AR52="Yes",AR53,IF(AR49="Yes",AR50,IF(AR46="Yes",AR47,IF(AR44="No","I",AR44))))</f>
        <v>IV</v>
      </c>
    </row>
    <row r="55" spans="39:46" x14ac:dyDescent="0.2">
      <c r="AN55" s="41">
        <f>LOOKUP(AN54,TingkatKematangan2,TKM)</f>
        <v>7</v>
      </c>
      <c r="AO55" s="41">
        <f>LOOKUP(AO54,TingkatKematangan2,TKM)</f>
        <v>9</v>
      </c>
      <c r="AP55" s="41">
        <f>LOOKUP(AP54,TingkatKematangan2,TKM)</f>
        <v>9</v>
      </c>
      <c r="AQ55" s="41">
        <f>LOOKUP(AQ54,TingkatKematangan2,TKM)</f>
        <v>5</v>
      </c>
      <c r="AR55" s="41">
        <f>LOOKUP(AR54,TingkatKematangan2,TKM)</f>
        <v>7</v>
      </c>
      <c r="AS55" s="41" t="str">
        <f>LOOKUP(MIN(AN55:AR55),TKM,TingkatKematangan2)</f>
        <v>III</v>
      </c>
      <c r="AT55" s="41" t="str">
        <f>LOOKUP(MAX(AN55:AR55),TKM,TingkatKematangan2)</f>
        <v>V</v>
      </c>
    </row>
    <row r="56" spans="39:46" x14ac:dyDescent="0.2">
      <c r="AS56" s="10">
        <f>MIN(AN55:AR55)</f>
        <v>5</v>
      </c>
      <c r="AT56" s="10">
        <f>MAX(AN55:AR55)</f>
        <v>9</v>
      </c>
    </row>
    <row r="58" spans="39:46" x14ac:dyDescent="0.2">
      <c r="AN58" s="17" t="s">
        <v>22</v>
      </c>
      <c r="AO58" s="17" t="s">
        <v>15</v>
      </c>
      <c r="AP58" s="17" t="s">
        <v>101</v>
      </c>
      <c r="AQ58" s="17" t="s">
        <v>25</v>
      </c>
      <c r="AR58" s="17" t="s">
        <v>16</v>
      </c>
    </row>
    <row r="59" spans="39:46" x14ac:dyDescent="0.2">
      <c r="AM59" s="19">
        <v>1</v>
      </c>
      <c r="AN59">
        <v>2</v>
      </c>
      <c r="AO59">
        <v>2</v>
      </c>
      <c r="AP59">
        <v>3</v>
      </c>
      <c r="AQ59">
        <v>2</v>
      </c>
      <c r="AR59">
        <v>2</v>
      </c>
    </row>
    <row r="60" spans="39:46" x14ac:dyDescent="0.2">
      <c r="AM60" s="19">
        <v>2</v>
      </c>
      <c r="AN60">
        <v>3</v>
      </c>
      <c r="AO60">
        <v>4</v>
      </c>
      <c r="AP60">
        <v>3</v>
      </c>
      <c r="AQ60">
        <v>3</v>
      </c>
      <c r="AR60">
        <v>3</v>
      </c>
    </row>
    <row r="61" spans="39:46" x14ac:dyDescent="0.2">
      <c r="AM61" s="19">
        <v>3</v>
      </c>
      <c r="AN61">
        <v>4</v>
      </c>
      <c r="AO61">
        <v>5</v>
      </c>
      <c r="AP61">
        <v>5</v>
      </c>
      <c r="AQ61">
        <v>3</v>
      </c>
      <c r="AR61">
        <v>4</v>
      </c>
    </row>
    <row r="62" spans="39:46" x14ac:dyDescent="0.2">
      <c r="AM62" s="216" t="s">
        <v>626</v>
      </c>
      <c r="AN62">
        <f>LOOKUP(AN54,$AS$65:$AS$73,$AT$65:$AT$73)</f>
        <v>4</v>
      </c>
      <c r="AO62">
        <f>LOOKUP(AO54,$AS$65:$AS$73,$AT$65:$AT$73)</f>
        <v>5</v>
      </c>
      <c r="AP62">
        <f t="shared" ref="AP62:AR62" si="1">LOOKUP(AP54,$AS$65:$AS$73,$AT$65:$AT$73)</f>
        <v>5</v>
      </c>
      <c r="AQ62">
        <f t="shared" si="1"/>
        <v>3</v>
      </c>
      <c r="AR62">
        <f t="shared" si="1"/>
        <v>4</v>
      </c>
    </row>
    <row r="64" spans="39:46" x14ac:dyDescent="0.2">
      <c r="AS64" s="82"/>
    </row>
    <row r="65" spans="2:46" x14ac:dyDescent="0.2">
      <c r="AS65" t="s">
        <v>144</v>
      </c>
      <c r="AT65" s="217">
        <v>1</v>
      </c>
    </row>
    <row r="66" spans="2:46" x14ac:dyDescent="0.2">
      <c r="AS66" t="s">
        <v>178</v>
      </c>
      <c r="AT66" s="218">
        <v>1.5</v>
      </c>
    </row>
    <row r="67" spans="2:46" x14ac:dyDescent="0.2">
      <c r="AS67" t="s">
        <v>132</v>
      </c>
      <c r="AT67" s="217">
        <v>2</v>
      </c>
    </row>
    <row r="68" spans="2:46" x14ac:dyDescent="0.2">
      <c r="AS68" t="s">
        <v>179</v>
      </c>
      <c r="AT68" s="218">
        <v>2.5</v>
      </c>
    </row>
    <row r="69" spans="2:46" x14ac:dyDescent="0.2">
      <c r="AS69" t="s">
        <v>133</v>
      </c>
      <c r="AT69" s="217">
        <v>3</v>
      </c>
    </row>
    <row r="70" spans="2:46" x14ac:dyDescent="0.2">
      <c r="AS70" t="s">
        <v>180</v>
      </c>
      <c r="AT70" s="218">
        <v>3.5</v>
      </c>
    </row>
    <row r="71" spans="2:46" x14ac:dyDescent="0.2">
      <c r="AS71" t="s">
        <v>135</v>
      </c>
      <c r="AT71" s="217">
        <v>4</v>
      </c>
    </row>
    <row r="72" spans="2:46" x14ac:dyDescent="0.2">
      <c r="AS72" t="s">
        <v>181</v>
      </c>
      <c r="AT72" s="218">
        <v>4.5</v>
      </c>
    </row>
    <row r="73" spans="2:46" x14ac:dyDescent="0.2">
      <c r="AS73" t="s">
        <v>134</v>
      </c>
      <c r="AT73" s="217">
        <v>5</v>
      </c>
    </row>
    <row r="78" spans="2:46" x14ac:dyDescent="0.2">
      <c r="B78" s="6"/>
    </row>
  </sheetData>
  <sheetProtection algorithmName="SHA-512" hashValue="vzdnecCJbg2tzO1BKVT/a/93ajcNK1BwLwxA918qWtnePbRRT+pfIwpBAxbUp4v6L263sCIejsIJnSmV4LEbMA==" saltValue="+sy1FOPWk2jAQZLFyTffYg==" spinCount="100000" sheet="1" objects="1" scenarios="1"/>
  <customSheetViews>
    <customSheetView guid="{58EB2181-60CA-D84F-9BE3-6D30A91A6F68}" showPageBreaks="1" fitToPage="1" printArea="1" view="pageLayout">
      <selection activeCell="D3" sqref="D3"/>
      <pageMargins left="0.7" right="0.7" top="0.75" bottom="0.75" header="0.3" footer="0.3"/>
      <pageSetup paperSize="10" scale="92" orientation="landscape" horizontalDpi="4294967292" verticalDpi="4294967292"/>
      <headerFooter>
        <oddFooter>&amp;L&amp;"Arial,Regular"&amp;K000000Direktorat Keamanan Informasi&amp;C&amp;"Arial,Regular"&amp;K000000Kementerian Komunikasi dan Informasi&amp;R&amp;"Arial,Regular"&amp;K000000Versi 3.1 - 15 April 2015</oddFooter>
      </headerFooter>
    </customSheetView>
    <customSheetView guid="{E2B8E4FB-7E5E-E744-9E59-F9CB9CC15E64}" showPageBreaks="1" fitToPage="1" printArea="1" view="pageLayout">
      <selection activeCell="E26" sqref="E26"/>
      <pageMargins left="0.7" right="0.7" top="0.75" bottom="0.75" header="0.3" footer="0.3"/>
      <pageSetup paperSize="10" orientation="landscape" horizontalDpi="4294967292" verticalDpi="4294967292"/>
      <headerFooter>
        <oddFooter>&amp;L&amp;"Arial,Regular"&amp;K000000Direktorat Keamanan Informasi&amp;C&amp;"Arial,Regular"&amp;K000000Kementerian Komunikasi dan Informasi&amp;R&amp;"Arial,Regular"&amp;K000000Versi 3.1 - 15 April 2015</oddFooter>
      </headerFooter>
    </customSheetView>
  </customSheetViews>
  <mergeCells count="45">
    <mergeCell ref="A1:AK1"/>
    <mergeCell ref="B11:B15"/>
    <mergeCell ref="B4:B10"/>
    <mergeCell ref="AJ9:AJ11"/>
    <mergeCell ref="E14:N14"/>
    <mergeCell ref="F7:I7"/>
    <mergeCell ref="J7:T7"/>
    <mergeCell ref="U7:Y7"/>
    <mergeCell ref="Z7:AD7"/>
    <mergeCell ref="AE7:AI7"/>
    <mergeCell ref="F5:AI6"/>
    <mergeCell ref="AG14:AI14"/>
    <mergeCell ref="AG15:AI15"/>
    <mergeCell ref="D9:E11"/>
    <mergeCell ref="D7:E7"/>
    <mergeCell ref="P14:S14"/>
    <mergeCell ref="AG17:AI17"/>
    <mergeCell ref="AG16:AI16"/>
    <mergeCell ref="AG18:AI18"/>
    <mergeCell ref="U14:AF14"/>
    <mergeCell ref="E17:N17"/>
    <mergeCell ref="E18:N18"/>
    <mergeCell ref="E16:N16"/>
    <mergeCell ref="U16:AF16"/>
    <mergeCell ref="U17:AF17"/>
    <mergeCell ref="U18:AF18"/>
    <mergeCell ref="P16:S16"/>
    <mergeCell ref="P17:S17"/>
    <mergeCell ref="P18:T18"/>
    <mergeCell ref="E15:N15"/>
    <mergeCell ref="U15:AF15"/>
    <mergeCell ref="P15:S15"/>
    <mergeCell ref="E19:N19"/>
    <mergeCell ref="E20:N20"/>
    <mergeCell ref="E21:N21"/>
    <mergeCell ref="P19:T19"/>
    <mergeCell ref="P20:T20"/>
    <mergeCell ref="E3:N3"/>
    <mergeCell ref="U3:AH3"/>
    <mergeCell ref="P3:S3"/>
    <mergeCell ref="E13:N13"/>
    <mergeCell ref="U13:AF13"/>
    <mergeCell ref="AG13:AI13"/>
    <mergeCell ref="P13:S13"/>
    <mergeCell ref="D4:E6"/>
  </mergeCells>
  <phoneticPr fontId="6" type="noConversion"/>
  <conditionalFormatting sqref="F5">
    <cfRule type="cellIs" dxfId="25" priority="0" stopIfTrue="1" operator="equal">
      <formula>"Tidak Layak"</formula>
    </cfRule>
    <cfRule type="cellIs" dxfId="24" priority="11" stopIfTrue="1" operator="equal">
      <formula>"Pemenuhan Kerangka Kerja Dasar"</formula>
    </cfRule>
    <cfRule type="cellIs" dxfId="23" priority="27" stopIfTrue="1" operator="equal">
      <formula>"Cukup"</formula>
    </cfRule>
  </conditionalFormatting>
  <conditionalFormatting sqref="F9:AI9 F11:AI11">
    <cfRule type="expression" dxfId="22" priority="13" stopIfTrue="1">
      <formula>F$8&lt;=($AO$37/21.5)</formula>
    </cfRule>
    <cfRule type="expression" dxfId="21" priority="14" stopIfTrue="1">
      <formula>F$8&lt;=($AO$38/21.5)</formula>
    </cfRule>
    <cfRule type="expression" dxfId="20" priority="31" stopIfTrue="1">
      <formula>F$8&lt;=(645/21.5)</formula>
    </cfRule>
  </conditionalFormatting>
  <conditionalFormatting sqref="F10:AI10">
    <cfRule type="expression" dxfId="19" priority="12" stopIfTrue="1">
      <formula>AND(F$8&gt;=($AJ$9/21.5),F$8&lt;=($AO$37/21.5))</formula>
    </cfRule>
    <cfRule type="expression" dxfId="18" priority="32" stopIfTrue="1">
      <formula>AND(F$8&gt;=($AJ$9/21.5),F$8&lt;=($AO$38/21.5))</formula>
    </cfRule>
    <cfRule type="expression" dxfId="17" priority="33" stopIfTrue="1">
      <formula>AND(F$8&gt;=($AJ$9/21.5),F$8&lt;=($AO$39/21.5))</formula>
    </cfRule>
    <cfRule type="expression" dxfId="16" priority="34" stopIfTrue="1">
      <formula>AND(F$8&gt;=($AJ$9/21.5),F$8&lt;=(645/21.5))</formula>
    </cfRule>
  </conditionalFormatting>
  <conditionalFormatting sqref="J7:T7">
    <cfRule type="containsText" dxfId="15" priority="25" operator="containsText" text="II">
      <formula>NOT(ISERROR(SEARCH("II",J7)))</formula>
    </cfRule>
    <cfRule type="containsText" dxfId="14" priority="26" operator="containsText" text="I+">
      <formula>NOT(ISERROR(SEARCH("I+",J7)))</formula>
    </cfRule>
  </conditionalFormatting>
  <conditionalFormatting sqref="U7:Y7">
    <cfRule type="containsText" dxfId="13" priority="23" operator="containsText" text="III">
      <formula>NOT(ISERROR(SEARCH("III",U7)))</formula>
    </cfRule>
    <cfRule type="containsText" dxfId="12" priority="24" operator="containsText" text="II+">
      <formula>NOT(ISERROR(SEARCH("II+",U7)))</formula>
    </cfRule>
  </conditionalFormatting>
  <conditionalFormatting sqref="Z7:AD7">
    <cfRule type="containsText" dxfId="11" priority="19" operator="containsText" text="IV">
      <formula>NOT(ISERROR(SEARCH("IV",Z7)))</formula>
    </cfRule>
    <cfRule type="containsText" dxfId="10" priority="20" operator="containsText" text="III+">
      <formula>NOT(ISERROR(SEARCH("III+",Z7)))</formula>
    </cfRule>
  </conditionalFormatting>
  <conditionalFormatting sqref="AE7:AI7">
    <cfRule type="containsText" dxfId="9" priority="15" operator="containsText" text="IV+">
      <formula>NOT(ISERROR(SEARCH("IV+",AE7)))</formula>
    </cfRule>
    <cfRule type="containsText" dxfId="8" priority="16" operator="containsText" text="V">
      <formula>NOT(ISERROR(SEARCH("V",AE7)))</formula>
    </cfRule>
  </conditionalFormatting>
  <conditionalFormatting sqref="F9:AI9">
    <cfRule type="expression" dxfId="7" priority="30" stopIfTrue="1">
      <formula>F$8&lt;=($AO$39/21.5)</formula>
    </cfRule>
  </conditionalFormatting>
  <conditionalFormatting sqref="F11:AI11">
    <cfRule type="expression" dxfId="6" priority="29" stopIfTrue="1">
      <formula>F$8&lt;=($AO$39/21.5)</formula>
    </cfRule>
  </conditionalFormatting>
  <conditionalFormatting sqref="F5:AI6">
    <cfRule type="cellIs" dxfId="5" priority="28" stopIfTrue="1" operator="equal">
      <formula>"Baik"</formula>
    </cfRule>
  </conditionalFormatting>
  <conditionalFormatting sqref="P16:S16">
    <cfRule type="expression" dxfId="4" priority="8">
      <formula>AQ22&lt;=AQ34</formula>
    </cfRule>
  </conditionalFormatting>
  <conditionalFormatting sqref="P17:S17">
    <cfRule type="expression" dxfId="3" priority="7">
      <formula>AR22&lt;=AR34</formula>
    </cfRule>
  </conditionalFormatting>
  <conditionalFormatting sqref="P13:S13">
    <cfRule type="expression" dxfId="2" priority="3" stopIfTrue="1">
      <formula>AN22&lt;=AN34</formula>
    </cfRule>
  </conditionalFormatting>
  <conditionalFormatting sqref="P14:S14">
    <cfRule type="expression" dxfId="1" priority="2">
      <formula>AO22&lt;=AO34</formula>
    </cfRule>
  </conditionalFormatting>
  <conditionalFormatting sqref="P15:S15">
    <cfRule type="expression" dxfId="0" priority="1">
      <formula>AP22&lt;=AP34</formula>
    </cfRule>
  </conditionalFormatting>
  <pageMargins left="0.75000000000000011" right="0.75000000000000011" top="0.78740157480314965" bottom="0.78740157480314965" header="0.5" footer="0.5"/>
  <pageSetup paperSize="10" orientation="landscape" horizontalDpi="4294967292" verticalDpi="4294967292" r:id="rId1"/>
  <headerFooter>
    <oddFooter>&amp;L&amp;"Arial,Regular"&amp;K000000Badan Siber dan Sandi Negara&amp;C&amp;"Arial,Regular"&amp;K000000`&amp;R&amp;"Arial,Regular"&amp;K000000Versi 4.2 - Mei 2021</oddFooter>
  </headerFooter>
  <ignoredErrors>
    <ignoredError sqref="AJ9" emptyCellReference="1"/>
  </ignoredErrors>
  <drawing r:id="rId2"/>
  <extLst>
    <ext xmlns:mx="http://schemas.microsoft.com/office/mac/excel/2008/main" uri="{64002731-A6B0-56B0-2670-7721B7C09600}">
      <mx:PLV Mode="1"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autoPageBreaks="0"/>
  </sheetPr>
  <dimension ref="B2:G27"/>
  <sheetViews>
    <sheetView workbookViewId="0">
      <selection activeCell="B2" sqref="B2"/>
    </sheetView>
  </sheetViews>
  <sheetFormatPr defaultColWidth="10.81640625" defaultRowHeight="12.6" x14ac:dyDescent="0.2"/>
  <cols>
    <col min="1" max="1" width="4.6328125" bestFit="1" customWidth="1"/>
    <col min="2" max="2" width="30.453125" bestFit="1" customWidth="1"/>
    <col min="3" max="3" width="4.6328125" bestFit="1" customWidth="1"/>
    <col min="4" max="4" width="30.81640625" customWidth="1"/>
  </cols>
  <sheetData>
    <row r="2" spans="2:7" x14ac:dyDescent="0.2">
      <c r="B2" s="6" t="s">
        <v>89</v>
      </c>
      <c r="C2" s="8" t="s">
        <v>90</v>
      </c>
      <c r="E2" s="282" t="s">
        <v>92</v>
      </c>
      <c r="F2" s="283"/>
      <c r="G2" s="283"/>
    </row>
    <row r="3" spans="2:7" x14ac:dyDescent="0.2">
      <c r="B3" s="6"/>
      <c r="C3" s="8"/>
      <c r="D3" s="14" t="s">
        <v>91</v>
      </c>
      <c r="E3" s="12">
        <v>1</v>
      </c>
      <c r="F3" s="13">
        <v>2</v>
      </c>
      <c r="G3" s="13">
        <v>3</v>
      </c>
    </row>
    <row r="4" spans="2:7" x14ac:dyDescent="0.2">
      <c r="B4" t="s">
        <v>130</v>
      </c>
      <c r="C4" s="9">
        <v>0</v>
      </c>
      <c r="D4" s="13" t="s">
        <v>130</v>
      </c>
      <c r="E4" s="11">
        <v>0</v>
      </c>
      <c r="F4" s="11">
        <v>0</v>
      </c>
      <c r="G4" s="11">
        <v>0</v>
      </c>
    </row>
    <row r="5" spans="2:7" x14ac:dyDescent="0.2">
      <c r="B5" t="s">
        <v>131</v>
      </c>
      <c r="C5" s="9">
        <v>1</v>
      </c>
      <c r="D5" s="13" t="s">
        <v>131</v>
      </c>
      <c r="E5" s="11">
        <v>1</v>
      </c>
      <c r="F5" s="11">
        <v>2</v>
      </c>
      <c r="G5" s="11">
        <v>3</v>
      </c>
    </row>
    <row r="6" spans="2:7" x14ac:dyDescent="0.2">
      <c r="B6" t="s">
        <v>106</v>
      </c>
      <c r="C6" s="9">
        <v>2</v>
      </c>
      <c r="D6" s="13" t="s">
        <v>106</v>
      </c>
      <c r="E6" s="11">
        <v>2</v>
      </c>
      <c r="F6" s="11">
        <v>4</v>
      </c>
      <c r="G6" s="11">
        <v>6</v>
      </c>
    </row>
    <row r="7" spans="2:7" x14ac:dyDescent="0.2">
      <c r="B7" t="s">
        <v>88</v>
      </c>
      <c r="C7" s="9">
        <v>3</v>
      </c>
      <c r="D7" s="13" t="s">
        <v>88</v>
      </c>
      <c r="E7" s="15">
        <v>3</v>
      </c>
      <c r="F7" s="15">
        <v>6</v>
      </c>
      <c r="G7" s="15">
        <v>9</v>
      </c>
    </row>
    <row r="10" spans="2:7" x14ac:dyDescent="0.2">
      <c r="B10" s="284" t="s">
        <v>281</v>
      </c>
      <c r="C10" s="274"/>
      <c r="D10" s="284" t="s">
        <v>281</v>
      </c>
      <c r="E10" s="274"/>
    </row>
    <row r="11" spans="2:7" x14ac:dyDescent="0.2">
      <c r="B11" t="s">
        <v>32</v>
      </c>
      <c r="C11" s="9">
        <v>1</v>
      </c>
      <c r="D11" t="s">
        <v>277</v>
      </c>
      <c r="E11" s="9">
        <v>5</v>
      </c>
    </row>
    <row r="12" spans="2:7" x14ac:dyDescent="0.2">
      <c r="B12" t="s">
        <v>121</v>
      </c>
      <c r="C12" s="9">
        <v>2</v>
      </c>
      <c r="D12" t="s">
        <v>278</v>
      </c>
      <c r="E12" s="9">
        <v>2</v>
      </c>
    </row>
    <row r="13" spans="2:7" x14ac:dyDescent="0.2">
      <c r="B13" t="s">
        <v>274</v>
      </c>
      <c r="C13" s="9">
        <v>5</v>
      </c>
      <c r="D13" t="s">
        <v>279</v>
      </c>
      <c r="E13" s="9">
        <v>1</v>
      </c>
    </row>
    <row r="14" spans="2:7" x14ac:dyDescent="0.2">
      <c r="C14" s="9"/>
      <c r="E14" s="9"/>
    </row>
    <row r="15" spans="2:7" x14ac:dyDescent="0.2">
      <c r="C15" s="9"/>
      <c r="E15" s="9"/>
    </row>
    <row r="18" spans="2:4" x14ac:dyDescent="0.2">
      <c r="B18" s="20" t="s">
        <v>183</v>
      </c>
      <c r="C18" s="20" t="s">
        <v>182</v>
      </c>
    </row>
    <row r="19" spans="2:4" x14ac:dyDescent="0.2">
      <c r="B19" t="s">
        <v>144</v>
      </c>
      <c r="C19">
        <v>1</v>
      </c>
      <c r="D19" s="10"/>
    </row>
    <row r="20" spans="2:4" x14ac:dyDescent="0.2">
      <c r="B20" t="s">
        <v>178</v>
      </c>
      <c r="C20">
        <v>2</v>
      </c>
    </row>
    <row r="21" spans="2:4" x14ac:dyDescent="0.2">
      <c r="B21" t="s">
        <v>132</v>
      </c>
      <c r="C21">
        <v>3</v>
      </c>
    </row>
    <row r="22" spans="2:4" x14ac:dyDescent="0.2">
      <c r="B22" t="s">
        <v>179</v>
      </c>
      <c r="C22">
        <v>4</v>
      </c>
    </row>
    <row r="23" spans="2:4" x14ac:dyDescent="0.2">
      <c r="B23" t="s">
        <v>133</v>
      </c>
      <c r="C23">
        <v>5</v>
      </c>
    </row>
    <row r="24" spans="2:4" x14ac:dyDescent="0.2">
      <c r="B24" t="s">
        <v>180</v>
      </c>
      <c r="C24">
        <v>6</v>
      </c>
    </row>
    <row r="25" spans="2:4" x14ac:dyDescent="0.2">
      <c r="B25" t="s">
        <v>135</v>
      </c>
      <c r="C25">
        <v>7</v>
      </c>
    </row>
    <row r="26" spans="2:4" x14ac:dyDescent="0.2">
      <c r="B26" t="s">
        <v>181</v>
      </c>
      <c r="C26">
        <v>8</v>
      </c>
    </row>
    <row r="27" spans="2:4" x14ac:dyDescent="0.2">
      <c r="B27" t="s">
        <v>134</v>
      </c>
      <c r="C27">
        <v>9</v>
      </c>
    </row>
  </sheetData>
  <sheetProtection sheet="1" objects="1" scenarios="1"/>
  <customSheetViews>
    <customSheetView guid="{58EB2181-60CA-D84F-9BE3-6D30A91A6F68}" state="hidden">
      <selection activeCell="B2" sqref="B2"/>
      <pageMargins left="0.7" right="0.7" top="0.75" bottom="0.75" header="0.3" footer="0.3"/>
      <pageSetup paperSize="11" orientation="portrait" horizontalDpi="4294967292" verticalDpi="4294967292"/>
    </customSheetView>
    <customSheetView guid="{E2B8E4FB-7E5E-E744-9E59-F9CB9CC15E64}" state="hidden">
      <selection activeCell="B2" sqref="B2"/>
      <pageMargins left="0.7" right="0.7" top="0.75" bottom="0.75" header="0.3" footer="0.3"/>
      <pageSetup paperSize="11" orientation="portrait" horizontalDpi="4294967292" verticalDpi="4294967292"/>
    </customSheetView>
  </customSheetViews>
  <mergeCells count="3">
    <mergeCell ref="E2:G2"/>
    <mergeCell ref="D10:E10"/>
    <mergeCell ref="B10:C10"/>
  </mergeCells>
  <phoneticPr fontId="6" type="noConversion"/>
  <pageMargins left="0.75" right="0.75" top="1" bottom="1" header="0.5" footer="0.5"/>
  <pageSetup paperSize="11"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C14"/>
  <sheetViews>
    <sheetView workbookViewId="0">
      <selection activeCell="C23" sqref="C23"/>
    </sheetView>
  </sheetViews>
  <sheetFormatPr defaultColWidth="10.81640625" defaultRowHeight="12.6" x14ac:dyDescent="0.2"/>
  <cols>
    <col min="3" max="3" width="96.1796875" customWidth="1"/>
  </cols>
  <sheetData>
    <row r="2" spans="1:3" x14ac:dyDescent="0.2">
      <c r="A2" s="20" t="s">
        <v>205</v>
      </c>
      <c r="B2" s="20" t="s">
        <v>206</v>
      </c>
      <c r="C2" s="20" t="s">
        <v>207</v>
      </c>
    </row>
    <row r="3" spans="1:3" x14ac:dyDescent="0.2">
      <c r="A3" s="49">
        <v>1</v>
      </c>
      <c r="B3" s="9">
        <v>2009</v>
      </c>
      <c r="C3" t="s">
        <v>208</v>
      </c>
    </row>
    <row r="4" spans="1:3" x14ac:dyDescent="0.2">
      <c r="A4" s="49">
        <v>2</v>
      </c>
      <c r="B4" s="50">
        <v>39234</v>
      </c>
      <c r="C4" t="s">
        <v>209</v>
      </c>
    </row>
    <row r="5" spans="1:3" x14ac:dyDescent="0.2">
      <c r="A5" s="9">
        <v>2.1</v>
      </c>
      <c r="B5" s="50">
        <v>39262</v>
      </c>
      <c r="C5" t="s">
        <v>210</v>
      </c>
    </row>
    <row r="6" spans="1:3" x14ac:dyDescent="0.2">
      <c r="A6" s="9">
        <v>2.2000000000000002</v>
      </c>
      <c r="B6" s="50">
        <v>39303</v>
      </c>
      <c r="C6" t="s">
        <v>210</v>
      </c>
    </row>
    <row r="7" spans="1:3" ht="37.799999999999997" x14ac:dyDescent="0.2">
      <c r="A7" s="47">
        <v>2.2999999999999998</v>
      </c>
      <c r="B7" s="48">
        <v>39556</v>
      </c>
      <c r="C7" s="46" t="s">
        <v>204</v>
      </c>
    </row>
    <row r="8" spans="1:3" x14ac:dyDescent="0.2">
      <c r="A8" s="57" t="s">
        <v>319</v>
      </c>
      <c r="B8" s="50">
        <v>40616</v>
      </c>
      <c r="C8" t="s">
        <v>320</v>
      </c>
    </row>
    <row r="9" spans="1:3" x14ac:dyDescent="0.2">
      <c r="A9" s="9">
        <v>3.1</v>
      </c>
      <c r="B9" s="50">
        <v>40647</v>
      </c>
      <c r="C9" t="s">
        <v>327</v>
      </c>
    </row>
    <row r="10" spans="1:3" ht="88.2" x14ac:dyDescent="0.2">
      <c r="A10" s="64" t="s">
        <v>509</v>
      </c>
      <c r="B10" s="48">
        <v>42039</v>
      </c>
      <c r="C10" s="63" t="s">
        <v>527</v>
      </c>
    </row>
    <row r="11" spans="1:3" x14ac:dyDescent="0.2">
      <c r="A11" s="204"/>
      <c r="B11" s="50">
        <v>42073</v>
      </c>
      <c r="C11" t="s">
        <v>530</v>
      </c>
    </row>
    <row r="12" spans="1:3" x14ac:dyDescent="0.2">
      <c r="B12" s="50"/>
      <c r="C12" t="s">
        <v>540</v>
      </c>
    </row>
    <row r="13" spans="1:3" x14ac:dyDescent="0.2">
      <c r="A13" s="83" t="s">
        <v>573</v>
      </c>
      <c r="B13" s="50">
        <v>42312</v>
      </c>
      <c r="C13" s="82" t="s">
        <v>620</v>
      </c>
    </row>
    <row r="14" spans="1:3" x14ac:dyDescent="0.2">
      <c r="A14" s="83" t="s">
        <v>574</v>
      </c>
      <c r="B14" s="82" t="s">
        <v>627</v>
      </c>
      <c r="C14" s="82" t="s">
        <v>628</v>
      </c>
    </row>
  </sheetData>
  <sheetProtection algorithmName="SHA-512" hashValue="V84TcfaUm6UF4goA43kmqhO5Xs+riCjCsyuaELGaDV1zn/EwxugrCVV2VU3Gllgu9DRktxJHveXpc1jXsfHbjA==" saltValue="+qNl7Xm1bl1Vz5bMweGZrw==" spinCount="100000" sheet="1" objects="1" scenarios="1"/>
  <customSheetViews>
    <customSheetView guid="{58EB2181-60CA-D84F-9BE3-6D30A91A6F68}">
      <selection activeCell="B10" sqref="B10"/>
      <pageMargins left="0.7" right="0.7" top="0.75" bottom="0.75" header="0.3" footer="0.3"/>
      <pageSetup paperSize="9" orientation="portrait" horizontalDpi="4294967292" verticalDpi="4294967292"/>
    </customSheetView>
    <customSheetView guid="{E2B8E4FB-7E5E-E744-9E59-F9CB9CC15E64}" state="hidden">
      <selection activeCell="A2" sqref="A2"/>
      <pageMargins left="0.7" right="0.7" top="0.75" bottom="0.75" header="0.3" footer="0.3"/>
      <pageSetup paperSize="9" orientation="portrait" horizontalDpi="4294967292" verticalDpi="4294967292"/>
    </customSheetView>
  </customSheetView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44"/>
  <sheetViews>
    <sheetView tabSelected="1" view="pageLayout" zoomScale="125" zoomScaleNormal="125" zoomScalePageLayoutView="125" workbookViewId="0">
      <selection activeCell="B15" sqref="B15:C20"/>
    </sheetView>
  </sheetViews>
  <sheetFormatPr defaultColWidth="10.81640625" defaultRowHeight="12.6" x14ac:dyDescent="0.2"/>
  <cols>
    <col min="1" max="1" width="2.6328125" customWidth="1"/>
    <col min="2" max="2" width="30" bestFit="1" customWidth="1"/>
    <col min="3" max="3" width="36" customWidth="1"/>
    <col min="4" max="4" width="5.6328125" customWidth="1"/>
  </cols>
  <sheetData>
    <row r="1" spans="1:4" ht="22.8" x14ac:dyDescent="0.4">
      <c r="A1" s="219" t="s">
        <v>119</v>
      </c>
      <c r="B1" s="219"/>
      <c r="C1" s="219"/>
      <c r="D1" s="219"/>
    </row>
    <row r="2" spans="1:4" x14ac:dyDescent="0.2">
      <c r="A2" s="55"/>
      <c r="B2" s="55"/>
      <c r="C2" s="55"/>
      <c r="D2" s="55"/>
    </row>
    <row r="3" spans="1:4" x14ac:dyDescent="0.2">
      <c r="A3" s="55"/>
      <c r="B3" s="55"/>
      <c r="C3" s="55"/>
      <c r="D3" s="55"/>
    </row>
    <row r="4" spans="1:4" ht="60" customHeight="1" x14ac:dyDescent="0.2">
      <c r="A4" s="55"/>
      <c r="B4" s="59" t="s">
        <v>487</v>
      </c>
      <c r="C4" s="60" t="s">
        <v>622</v>
      </c>
      <c r="D4" s="55"/>
    </row>
    <row r="5" spans="1:4" ht="58.95" customHeight="1" x14ac:dyDescent="0.2">
      <c r="A5" s="55"/>
      <c r="B5" s="59" t="s">
        <v>8</v>
      </c>
      <c r="C5" s="60" t="s">
        <v>118</v>
      </c>
      <c r="D5" s="55"/>
    </row>
    <row r="6" spans="1:4" ht="13.95" customHeight="1" x14ac:dyDescent="0.2">
      <c r="A6" s="55"/>
      <c r="B6" s="59" t="s">
        <v>9</v>
      </c>
      <c r="C6" s="61" t="s">
        <v>41</v>
      </c>
      <c r="D6" s="55"/>
    </row>
    <row r="7" spans="1:4" ht="13.2" x14ac:dyDescent="0.2">
      <c r="A7" s="55"/>
      <c r="B7" s="59" t="s">
        <v>10</v>
      </c>
      <c r="C7" s="61" t="s">
        <v>42</v>
      </c>
      <c r="D7" s="55"/>
    </row>
    <row r="8" spans="1:4" ht="13.95" customHeight="1" x14ac:dyDescent="0.2">
      <c r="A8" s="55"/>
      <c r="B8" s="55"/>
      <c r="C8" s="55"/>
      <c r="D8" s="55"/>
    </row>
    <row r="9" spans="1:4" ht="13.2" x14ac:dyDescent="0.25">
      <c r="A9" s="55"/>
      <c r="B9" s="59" t="s">
        <v>331</v>
      </c>
      <c r="C9" s="62" t="s">
        <v>342</v>
      </c>
      <c r="D9" s="55"/>
    </row>
    <row r="10" spans="1:4" ht="13.2" x14ac:dyDescent="0.25">
      <c r="A10" s="55"/>
      <c r="B10" s="59" t="s">
        <v>7</v>
      </c>
      <c r="C10" s="62" t="s">
        <v>332</v>
      </c>
      <c r="D10" s="55"/>
    </row>
    <row r="11" spans="1:4" x14ac:dyDescent="0.2">
      <c r="A11" s="55"/>
      <c r="B11" s="55"/>
      <c r="C11" s="55"/>
      <c r="D11" s="55"/>
    </row>
    <row r="12" spans="1:4" ht="13.2" x14ac:dyDescent="0.25">
      <c r="A12" s="55"/>
      <c r="B12" s="59" t="s">
        <v>120</v>
      </c>
      <c r="C12" s="62" t="s">
        <v>174</v>
      </c>
      <c r="D12" s="55"/>
    </row>
    <row r="13" spans="1:4" x14ac:dyDescent="0.2">
      <c r="A13" s="55"/>
      <c r="B13" s="55"/>
      <c r="C13" s="55"/>
      <c r="D13" s="55"/>
    </row>
    <row r="14" spans="1:4" ht="13.2" x14ac:dyDescent="0.2">
      <c r="A14" s="55"/>
      <c r="B14" s="59" t="s">
        <v>143</v>
      </c>
      <c r="C14" s="55"/>
      <c r="D14" s="55"/>
    </row>
    <row r="15" spans="1:4" x14ac:dyDescent="0.2">
      <c r="A15" s="55"/>
      <c r="B15" s="220" t="s">
        <v>343</v>
      </c>
      <c r="C15" s="220"/>
      <c r="D15" s="55"/>
    </row>
    <row r="16" spans="1:4" x14ac:dyDescent="0.2">
      <c r="A16" s="55"/>
      <c r="B16" s="220"/>
      <c r="C16" s="220"/>
      <c r="D16" s="55"/>
    </row>
    <row r="17" spans="1:4" x14ac:dyDescent="0.2">
      <c r="A17" s="55"/>
      <c r="B17" s="220"/>
      <c r="C17" s="220"/>
      <c r="D17" s="55"/>
    </row>
    <row r="18" spans="1:4" x14ac:dyDescent="0.2">
      <c r="A18" s="55"/>
      <c r="B18" s="220"/>
      <c r="C18" s="220"/>
      <c r="D18" s="55"/>
    </row>
    <row r="19" spans="1:4" x14ac:dyDescent="0.2">
      <c r="A19" s="55"/>
      <c r="B19" s="220"/>
      <c r="C19" s="220"/>
      <c r="D19" s="55"/>
    </row>
    <row r="20" spans="1:4" x14ac:dyDescent="0.2">
      <c r="A20" s="55"/>
      <c r="B20" s="220"/>
      <c r="C20" s="220"/>
      <c r="D20" s="55"/>
    </row>
    <row r="21" spans="1:4" x14ac:dyDescent="0.2">
      <c r="A21" s="55"/>
      <c r="B21" s="55"/>
      <c r="C21" s="55"/>
      <c r="D21" s="55"/>
    </row>
    <row r="22" spans="1:4" x14ac:dyDescent="0.2">
      <c r="A22" s="55"/>
      <c r="B22" s="55"/>
      <c r="C22" s="55"/>
      <c r="D22" s="55"/>
    </row>
    <row r="23" spans="1:4" x14ac:dyDescent="0.2">
      <c r="A23" s="55"/>
      <c r="B23" s="55"/>
      <c r="C23" s="55"/>
      <c r="D23" s="55"/>
    </row>
    <row r="24" spans="1:4" x14ac:dyDescent="0.2">
      <c r="A24" s="55"/>
      <c r="B24" s="55"/>
      <c r="C24" s="55"/>
      <c r="D24" s="55"/>
    </row>
    <row r="25" spans="1:4" x14ac:dyDescent="0.2">
      <c r="A25" s="55"/>
      <c r="B25" s="55"/>
      <c r="C25" s="55"/>
      <c r="D25" s="55"/>
    </row>
    <row r="26" spans="1:4" x14ac:dyDescent="0.2">
      <c r="A26" s="55"/>
      <c r="B26" s="55"/>
      <c r="C26" s="55"/>
      <c r="D26" s="55"/>
    </row>
    <row r="27" spans="1:4" x14ac:dyDescent="0.2">
      <c r="A27" s="55"/>
      <c r="B27" s="55"/>
      <c r="C27" s="55"/>
      <c r="D27" s="55"/>
    </row>
    <row r="28" spans="1:4" x14ac:dyDescent="0.2">
      <c r="A28" s="55"/>
      <c r="B28" s="55"/>
      <c r="C28" s="55"/>
      <c r="D28" s="55"/>
    </row>
    <row r="29" spans="1:4" x14ac:dyDescent="0.2">
      <c r="A29" s="55"/>
      <c r="B29" s="55"/>
      <c r="C29" s="55"/>
      <c r="D29" s="55"/>
    </row>
    <row r="30" spans="1:4" x14ac:dyDescent="0.2">
      <c r="A30" s="55"/>
      <c r="B30" s="55"/>
      <c r="C30" s="55"/>
      <c r="D30" s="55"/>
    </row>
    <row r="31" spans="1:4" x14ac:dyDescent="0.2">
      <c r="A31" s="55"/>
      <c r="B31" s="55"/>
      <c r="C31" s="55"/>
      <c r="D31" s="55"/>
    </row>
    <row r="32" spans="1:4" x14ac:dyDescent="0.2">
      <c r="A32" s="55"/>
      <c r="B32" s="55"/>
      <c r="C32" s="55"/>
      <c r="D32" s="55"/>
    </row>
    <row r="33" spans="1:4" x14ac:dyDescent="0.2">
      <c r="A33" s="55"/>
      <c r="B33" s="55"/>
      <c r="C33" s="55"/>
      <c r="D33" s="55"/>
    </row>
    <row r="34" spans="1:4" x14ac:dyDescent="0.2">
      <c r="A34" s="55"/>
      <c r="B34" s="55"/>
      <c r="C34" s="55"/>
      <c r="D34" s="55"/>
    </row>
    <row r="35" spans="1:4" x14ac:dyDescent="0.2">
      <c r="A35" s="55"/>
      <c r="B35" s="55"/>
      <c r="C35" s="55"/>
      <c r="D35" s="55"/>
    </row>
    <row r="36" spans="1:4" x14ac:dyDescent="0.2">
      <c r="A36" s="55"/>
      <c r="B36" s="55"/>
      <c r="C36" s="55"/>
      <c r="D36" s="55"/>
    </row>
    <row r="37" spans="1:4" x14ac:dyDescent="0.2">
      <c r="A37" s="55"/>
      <c r="B37" s="55"/>
      <c r="C37" s="55"/>
      <c r="D37" s="55"/>
    </row>
    <row r="38" spans="1:4" x14ac:dyDescent="0.2">
      <c r="A38" s="55"/>
      <c r="B38" s="55"/>
      <c r="C38" s="55"/>
      <c r="D38" s="55"/>
    </row>
    <row r="39" spans="1:4" x14ac:dyDescent="0.2">
      <c r="A39" s="55"/>
      <c r="B39" s="55"/>
      <c r="C39" s="55"/>
      <c r="D39" s="55"/>
    </row>
    <row r="40" spans="1:4" x14ac:dyDescent="0.2">
      <c r="A40" s="55"/>
      <c r="B40" s="55"/>
      <c r="C40" s="55"/>
      <c r="D40" s="55"/>
    </row>
    <row r="41" spans="1:4" x14ac:dyDescent="0.2">
      <c r="A41" s="55"/>
      <c r="B41" s="55"/>
      <c r="C41" s="55"/>
      <c r="D41" s="55"/>
    </row>
    <row r="42" spans="1:4" x14ac:dyDescent="0.2">
      <c r="A42" s="55"/>
      <c r="B42" s="55"/>
      <c r="C42" s="55"/>
      <c r="D42" s="55"/>
    </row>
    <row r="43" spans="1:4" x14ac:dyDescent="0.2">
      <c r="A43" s="55"/>
      <c r="B43" s="55"/>
      <c r="C43" s="55"/>
      <c r="D43" s="55"/>
    </row>
    <row r="44" spans="1:4" x14ac:dyDescent="0.2">
      <c r="A44" s="55"/>
      <c r="B44" s="55"/>
      <c r="C44" s="55"/>
      <c r="D44" s="55"/>
    </row>
  </sheetData>
  <sheetProtection algorithmName="SHA-512" hashValue="apRWSWl7isLbdhASP7A8UxWhEOJdJpFG/7rW0lNqlwSvreAPuA2N6PF20Qn9wSojuT37m5SNww/fwtKT2kITCA==" saltValue="6RXZSTlAYCQ+qt1i7+Azzw==" spinCount="100000" sheet="1" objects="1" scenarios="1"/>
  <customSheetViews>
    <customSheetView guid="{58EB2181-60CA-D84F-9BE3-6D30A91A6F68}" scale="125" showPageBreaks="1" fitToPage="1" printArea="1" view="pageLayout">
      <selection activeCell="B4" sqref="B4"/>
      <pageMargins left="0.7" right="0.7" top="0.75" bottom="0.75" header="0.3" footer="0.3"/>
      <pageSetup paperSize="10" orientation="portrait" horizontalDpi="4294967292" verticalDpi="4294967292"/>
      <headerFooter>
        <oddFooter>&amp;L&amp;"Arial,Regular"&amp;9&amp;K000000Direktorat Keamanan Informasi&amp;C&amp;"Arial,Regular"&amp;9&amp;K000000Kementerian Komunikasi dan Informasi&amp;R&amp;"Arial,Regular"&amp;9&amp;K000000Indeks KAMI, Versi   3.1, 15 April 2015</oddFooter>
      </headerFooter>
    </customSheetView>
    <customSheetView guid="{E2B8E4FB-7E5E-E744-9E59-F9CB9CC15E64}" scale="125" showPageBreaks="1" fitToPage="1" printArea="1" view="pageLayout">
      <selection activeCell="B4" sqref="B4"/>
      <pageMargins left="0.7" right="0.7" top="0.75" bottom="0.75" header="0.3" footer="0.3"/>
      <pageSetup paperSize="10" orientation="portrait" horizontalDpi="4294967292" verticalDpi="4294967292"/>
      <headerFooter>
        <oddFooter>&amp;L&amp;"Arial,Regular"&amp;9&amp;K000000Direktorat Keamanan Informasi&amp;C&amp;"Arial,Regular"&amp;9&amp;K000000Kementerian Komunikasi dan Informasi&amp;R&amp;"Arial,Regular"&amp;9&amp;K000000Indeks KAMI, Versi   3.1, 15 April 2015</oddFooter>
      </headerFooter>
    </customSheetView>
  </customSheetViews>
  <mergeCells count="2">
    <mergeCell ref="A1:D1"/>
    <mergeCell ref="B15:C20"/>
  </mergeCells>
  <phoneticPr fontId="6" type="noConversion"/>
  <dataValidations disablePrompts="1" count="2">
    <dataValidation type="textLength" operator="greaterThan" allowBlank="1" showInputMessage="1" showErrorMessage="1" sqref="C6" xr:uid="{00000000-0002-0000-0100-000000000000}">
      <formula1>3</formula1>
    </dataValidation>
    <dataValidation type="textLength" allowBlank="1" showInputMessage="1" showErrorMessage="1" sqref="C7" xr:uid="{00000000-0002-0000-0100-000001000000}">
      <formula1>10</formula1>
      <formula2>32</formula2>
    </dataValidation>
  </dataValidations>
  <pageMargins left="0.75" right="0.75" top="1" bottom="1" header="0.5" footer="0.5"/>
  <pageSetup paperSize="10" orientation="portrait" horizontalDpi="4294967292" verticalDpi="4294967292" r:id="rId1"/>
  <headerFooter>
    <oddFooter>&amp;L&amp;"Arial,Regular"&amp;9&amp;K000000Badan Siber dan Sandi Negara&amp;R&amp;"Arial,Regular"&amp;9&amp;K000000Indeks KAMI, Versi  4.2, Mei 2021</oddFooter>
  </headerFooter>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6"/>
  <sheetViews>
    <sheetView view="pageLayout" topLeftCell="A13" zoomScale="75" zoomScaleNormal="125" zoomScalePageLayoutView="75" workbookViewId="0">
      <selection activeCell="I2" sqref="I2"/>
    </sheetView>
  </sheetViews>
  <sheetFormatPr defaultColWidth="7.81640625" defaultRowHeight="12.6" x14ac:dyDescent="0.2"/>
  <cols>
    <col min="1" max="1" width="4.81640625" style="98" customWidth="1"/>
    <col min="2" max="2" width="60.6328125" style="2" customWidth="1"/>
    <col min="3" max="3" width="6.36328125" style="2" customWidth="1"/>
    <col min="4" max="4" width="10" style="106" bestFit="1" customWidth="1"/>
    <col min="5" max="5" width="7.36328125" style="2" bestFit="1" customWidth="1"/>
    <col min="6" max="7" width="19.36328125" style="106" customWidth="1"/>
    <col min="8" max="16384" width="7.81640625" style="2"/>
  </cols>
  <sheetData>
    <row r="1" spans="1:26" ht="31.05" customHeight="1" x14ac:dyDescent="0.2">
      <c r="A1" s="109" t="s">
        <v>282</v>
      </c>
      <c r="B1" s="110"/>
      <c r="C1" s="110"/>
      <c r="D1" s="115"/>
      <c r="E1" s="1"/>
      <c r="F1" s="99"/>
      <c r="G1" s="99"/>
      <c r="H1" s="1"/>
      <c r="I1" s="1"/>
      <c r="J1" s="1"/>
      <c r="K1" s="1"/>
      <c r="L1" s="1"/>
      <c r="M1" s="1"/>
      <c r="N1" s="1"/>
      <c r="O1" s="1"/>
      <c r="P1" s="1"/>
      <c r="Q1" s="1"/>
      <c r="R1" s="1"/>
      <c r="S1" s="1"/>
      <c r="T1" s="1"/>
      <c r="U1" s="1"/>
      <c r="V1" s="1"/>
      <c r="W1" s="4"/>
    </row>
    <row r="2" spans="1:26" customFormat="1" ht="31.05" customHeight="1" x14ac:dyDescent="0.2">
      <c r="A2" s="111" t="s">
        <v>283</v>
      </c>
      <c r="B2" s="112"/>
      <c r="C2" s="112"/>
      <c r="D2" s="116"/>
      <c r="F2" s="100"/>
      <c r="G2" s="100"/>
    </row>
    <row r="3" spans="1:26" customFormat="1" ht="31.05" customHeight="1" x14ac:dyDescent="0.25">
      <c r="A3" s="226" t="s">
        <v>298</v>
      </c>
      <c r="B3" s="227"/>
      <c r="C3" s="228"/>
      <c r="D3" s="101" t="s">
        <v>87</v>
      </c>
      <c r="E3" s="85" t="s">
        <v>123</v>
      </c>
      <c r="F3" s="107" t="s">
        <v>618</v>
      </c>
      <c r="G3" s="107" t="s">
        <v>619</v>
      </c>
    </row>
    <row r="4" spans="1:26" ht="13.8" x14ac:dyDescent="0.2">
      <c r="A4" s="86" t="s">
        <v>117</v>
      </c>
      <c r="B4" s="113" t="s">
        <v>489</v>
      </c>
      <c r="C4" s="114"/>
      <c r="D4" s="117"/>
      <c r="E4" s="1"/>
      <c r="F4" s="108"/>
      <c r="G4" s="108"/>
      <c r="H4" s="1"/>
      <c r="I4" s="1"/>
      <c r="J4" s="1"/>
      <c r="K4" s="1"/>
      <c r="L4" s="1"/>
      <c r="M4" s="1"/>
      <c r="N4" s="1"/>
      <c r="O4" s="1"/>
      <c r="P4" s="1"/>
      <c r="Q4" s="1"/>
      <c r="R4" s="1"/>
      <c r="S4" s="1"/>
      <c r="T4" s="1"/>
      <c r="U4" s="1"/>
      <c r="V4" s="1"/>
      <c r="W4" s="4"/>
    </row>
    <row r="5" spans="1:26" s="210" customFormat="1" ht="67.05" customHeight="1" x14ac:dyDescent="0.2">
      <c r="A5" s="87" t="s">
        <v>488</v>
      </c>
      <c r="B5" s="229" t="s">
        <v>293</v>
      </c>
      <c r="C5" s="230"/>
      <c r="D5" s="207" t="s">
        <v>279</v>
      </c>
      <c r="E5" s="208">
        <f t="shared" ref="E5:E14" si="0">IF(D5="C",1,VLOOKUP(D5,KategoriSE,2,TRUE))</f>
        <v>1</v>
      </c>
      <c r="F5" s="206"/>
      <c r="G5" s="206"/>
      <c r="H5" s="46"/>
      <c r="I5" s="46"/>
      <c r="J5" s="46"/>
      <c r="K5" s="46"/>
      <c r="L5" s="46"/>
      <c r="M5" s="46"/>
      <c r="N5" s="46"/>
      <c r="O5" s="46"/>
      <c r="P5" s="46"/>
      <c r="Q5" s="46"/>
      <c r="R5" s="46"/>
      <c r="S5" s="46"/>
      <c r="T5" s="46"/>
      <c r="U5" s="46"/>
      <c r="V5" s="46"/>
      <c r="W5" s="209"/>
    </row>
    <row r="6" spans="1:26" s="210" customFormat="1" ht="78" customHeight="1" x14ac:dyDescent="0.2">
      <c r="A6" s="87" t="s">
        <v>541</v>
      </c>
      <c r="B6" s="229" t="s">
        <v>294</v>
      </c>
      <c r="C6" s="230"/>
      <c r="D6" s="207" t="s">
        <v>277</v>
      </c>
      <c r="E6" s="208">
        <f t="shared" si="0"/>
        <v>5</v>
      </c>
      <c r="F6" s="206"/>
      <c r="G6" s="206"/>
      <c r="H6" s="46"/>
      <c r="I6" s="46"/>
      <c r="J6" s="46"/>
      <c r="K6" s="46"/>
      <c r="L6" s="46"/>
      <c r="M6" s="46"/>
      <c r="N6" s="46"/>
      <c r="O6" s="46"/>
      <c r="P6" s="46"/>
      <c r="Q6" s="46"/>
      <c r="R6" s="46"/>
      <c r="S6" s="46"/>
      <c r="T6" s="46"/>
      <c r="U6" s="46"/>
      <c r="V6" s="46"/>
      <c r="W6" s="209"/>
    </row>
    <row r="7" spans="1:26" s="210" customFormat="1" ht="63" customHeight="1" x14ac:dyDescent="0.2">
      <c r="A7" s="87" t="s">
        <v>542</v>
      </c>
      <c r="B7" s="223" t="s">
        <v>295</v>
      </c>
      <c r="C7" s="225"/>
      <c r="D7" s="207" t="s">
        <v>277</v>
      </c>
      <c r="E7" s="208">
        <f t="shared" si="0"/>
        <v>5</v>
      </c>
      <c r="F7" s="206"/>
      <c r="G7" s="206"/>
      <c r="H7" s="46"/>
      <c r="I7" s="46"/>
      <c r="J7" s="46"/>
      <c r="K7" s="46"/>
      <c r="L7" s="46"/>
      <c r="M7" s="46"/>
      <c r="N7" s="46"/>
      <c r="O7" s="46"/>
      <c r="P7" s="46"/>
      <c r="Q7" s="46"/>
      <c r="R7" s="46"/>
      <c r="S7" s="46"/>
      <c r="T7" s="46"/>
      <c r="U7" s="46"/>
      <c r="V7" s="46"/>
      <c r="W7" s="209"/>
    </row>
    <row r="8" spans="1:26" s="210" customFormat="1" ht="94.95" customHeight="1" x14ac:dyDescent="0.2">
      <c r="A8" s="87" t="s">
        <v>543</v>
      </c>
      <c r="B8" s="229" t="s">
        <v>363</v>
      </c>
      <c r="C8" s="231"/>
      <c r="D8" s="207" t="s">
        <v>278</v>
      </c>
      <c r="E8" s="208">
        <f t="shared" si="0"/>
        <v>2</v>
      </c>
      <c r="F8" s="206"/>
      <c r="G8" s="206"/>
      <c r="H8" s="46"/>
      <c r="I8" s="46"/>
      <c r="J8" s="46"/>
      <c r="K8" s="46"/>
      <c r="L8" s="46"/>
      <c r="M8" s="46"/>
      <c r="N8" s="46"/>
      <c r="O8" s="46"/>
      <c r="P8" s="46"/>
      <c r="Q8" s="46"/>
      <c r="R8" s="46"/>
      <c r="S8" s="46"/>
      <c r="T8" s="46"/>
      <c r="U8" s="46"/>
      <c r="V8" s="46"/>
      <c r="W8" s="209"/>
    </row>
    <row r="9" spans="1:26" s="210" customFormat="1" ht="64.95" customHeight="1" x14ac:dyDescent="0.2">
      <c r="A9" s="87" t="s">
        <v>544</v>
      </c>
      <c r="B9" s="229" t="s">
        <v>296</v>
      </c>
      <c r="C9" s="231"/>
      <c r="D9" s="207" t="s">
        <v>277</v>
      </c>
      <c r="E9" s="208">
        <f t="shared" si="0"/>
        <v>5</v>
      </c>
      <c r="F9" s="206"/>
      <c r="G9" s="206"/>
      <c r="H9" s="46"/>
      <c r="I9" s="46"/>
      <c r="J9" s="46"/>
      <c r="K9" s="46"/>
      <c r="L9" s="46"/>
      <c r="M9" s="46"/>
      <c r="N9" s="46"/>
      <c r="O9" s="46"/>
      <c r="P9" s="46"/>
      <c r="Q9" s="46"/>
      <c r="R9" s="46"/>
      <c r="S9" s="46"/>
      <c r="T9" s="46"/>
      <c r="U9" s="46"/>
      <c r="V9" s="46"/>
      <c r="W9" s="209"/>
    </row>
    <row r="10" spans="1:26" s="210" customFormat="1" ht="79.05" customHeight="1" x14ac:dyDescent="0.2">
      <c r="A10" s="87" t="s">
        <v>545</v>
      </c>
      <c r="B10" s="223" t="s">
        <v>280</v>
      </c>
      <c r="C10" s="225"/>
      <c r="D10" s="207" t="s">
        <v>277</v>
      </c>
      <c r="E10" s="208">
        <f t="shared" si="0"/>
        <v>5</v>
      </c>
      <c r="F10" s="205"/>
      <c r="G10" s="205"/>
      <c r="H10" s="46"/>
      <c r="I10" s="46"/>
      <c r="J10" s="46"/>
      <c r="K10" s="46"/>
      <c r="L10" s="46"/>
      <c r="M10" s="46"/>
      <c r="N10" s="46"/>
      <c r="O10" s="46"/>
      <c r="P10" s="46"/>
      <c r="Q10" s="46"/>
      <c r="R10" s="46"/>
      <c r="S10" s="46"/>
      <c r="T10" s="46"/>
      <c r="U10" s="46"/>
      <c r="V10" s="46"/>
      <c r="W10" s="209"/>
    </row>
    <row r="11" spans="1:26" s="210" customFormat="1" ht="97.05" customHeight="1" x14ac:dyDescent="0.2">
      <c r="A11" s="87" t="s">
        <v>546</v>
      </c>
      <c r="B11" s="223" t="s">
        <v>297</v>
      </c>
      <c r="C11" s="224"/>
      <c r="D11" s="207" t="s">
        <v>278</v>
      </c>
      <c r="E11" s="208">
        <f t="shared" si="0"/>
        <v>2</v>
      </c>
      <c r="F11" s="205"/>
      <c r="G11" s="205"/>
      <c r="H11" s="46"/>
      <c r="I11" s="46"/>
      <c r="J11" s="46"/>
      <c r="K11" s="46"/>
      <c r="L11" s="46"/>
      <c r="M11" s="46"/>
      <c r="N11" s="46"/>
      <c r="O11" s="46"/>
      <c r="P11" s="46"/>
      <c r="Q11" s="46"/>
      <c r="R11" s="46"/>
      <c r="S11" s="46"/>
      <c r="T11" s="46"/>
      <c r="U11" s="46"/>
      <c r="V11" s="46"/>
      <c r="W11" s="209"/>
    </row>
    <row r="12" spans="1:26" s="210" customFormat="1" ht="109.95" customHeight="1" x14ac:dyDescent="0.2">
      <c r="A12" s="87" t="s">
        <v>547</v>
      </c>
      <c r="B12" s="223" t="s">
        <v>616</v>
      </c>
      <c r="C12" s="224"/>
      <c r="D12" s="207" t="s">
        <v>277</v>
      </c>
      <c r="E12" s="208">
        <f t="shared" si="0"/>
        <v>5</v>
      </c>
      <c r="F12" s="205"/>
      <c r="G12" s="205"/>
      <c r="H12" s="46"/>
      <c r="I12" s="46"/>
      <c r="J12" s="46"/>
      <c r="K12" s="46"/>
      <c r="L12" s="46"/>
      <c r="M12" s="46"/>
      <c r="N12" s="46"/>
      <c r="O12" s="46"/>
      <c r="P12" s="46"/>
      <c r="Q12" s="46"/>
      <c r="R12" s="46"/>
      <c r="S12" s="46"/>
      <c r="T12" s="46"/>
      <c r="U12" s="46"/>
      <c r="V12" s="46"/>
      <c r="W12" s="209"/>
    </row>
    <row r="13" spans="1:26" s="210" customFormat="1" ht="79.95" customHeight="1" x14ac:dyDescent="0.2">
      <c r="A13" s="87" t="s">
        <v>548</v>
      </c>
      <c r="B13" s="223" t="s">
        <v>364</v>
      </c>
      <c r="C13" s="224"/>
      <c r="D13" s="207" t="s">
        <v>277</v>
      </c>
      <c r="E13" s="208">
        <f t="shared" si="0"/>
        <v>5</v>
      </c>
      <c r="F13" s="205"/>
      <c r="G13" s="205"/>
      <c r="H13" s="46"/>
      <c r="I13" s="46"/>
      <c r="J13" s="46"/>
      <c r="K13" s="46"/>
      <c r="L13" s="46"/>
      <c r="M13" s="46"/>
      <c r="N13" s="46"/>
      <c r="O13" s="46"/>
      <c r="P13" s="46"/>
      <c r="Q13" s="46"/>
      <c r="R13" s="46"/>
      <c r="S13" s="46"/>
      <c r="T13" s="46"/>
      <c r="U13" s="46"/>
      <c r="V13" s="46"/>
      <c r="W13" s="209"/>
    </row>
    <row r="14" spans="1:26" s="210" customFormat="1" ht="96" customHeight="1" x14ac:dyDescent="0.2">
      <c r="A14" s="87" t="s">
        <v>549</v>
      </c>
      <c r="B14" s="223" t="s">
        <v>462</v>
      </c>
      <c r="C14" s="225"/>
      <c r="D14" s="207" t="s">
        <v>278</v>
      </c>
      <c r="E14" s="208">
        <f t="shared" si="0"/>
        <v>2</v>
      </c>
      <c r="F14" s="205"/>
      <c r="G14" s="205"/>
      <c r="H14" s="46"/>
      <c r="I14" s="46"/>
      <c r="J14" s="46"/>
      <c r="K14" s="46"/>
      <c r="L14" s="46"/>
      <c r="M14" s="46"/>
      <c r="N14" s="46"/>
      <c r="O14" s="46"/>
      <c r="P14" s="46"/>
      <c r="Q14" s="46"/>
      <c r="R14" s="46"/>
      <c r="S14" s="46"/>
      <c r="T14" s="46"/>
      <c r="U14" s="46"/>
      <c r="V14" s="46"/>
      <c r="W14" s="209"/>
    </row>
    <row r="15" spans="1:26" ht="17.25" customHeight="1" x14ac:dyDescent="0.2">
      <c r="A15" s="89"/>
      <c r="B15" s="221" t="s">
        <v>284</v>
      </c>
      <c r="C15" s="222"/>
      <c r="D15" s="102">
        <f>SUM(E5:E14)</f>
        <v>37</v>
      </c>
      <c r="E15" s="1"/>
      <c r="H15" s="1"/>
      <c r="I15" s="1"/>
      <c r="J15" s="1"/>
      <c r="K15" s="1"/>
      <c r="L15" s="1"/>
      <c r="M15" s="1"/>
      <c r="N15" s="1"/>
      <c r="O15" s="1"/>
      <c r="P15" s="1"/>
      <c r="Q15" s="1"/>
      <c r="R15" s="1"/>
      <c r="S15" s="1"/>
      <c r="T15" s="1"/>
      <c r="U15" s="1"/>
      <c r="V15" s="1"/>
      <c r="W15" s="4"/>
    </row>
    <row r="16" spans="1:26" ht="18.600000000000001" x14ac:dyDescent="0.2">
      <c r="A16" s="90"/>
      <c r="B16" s="91"/>
      <c r="C16" s="92"/>
      <c r="D16" s="103"/>
      <c r="E16" s="1"/>
      <c r="F16" s="99"/>
      <c r="G16" s="99"/>
      <c r="H16" s="1"/>
      <c r="I16" s="1"/>
      <c r="J16" s="1"/>
      <c r="K16" s="1"/>
      <c r="L16" s="1"/>
      <c r="M16" s="1"/>
      <c r="N16" s="1"/>
      <c r="O16" s="1"/>
      <c r="P16" s="1"/>
      <c r="Q16" s="1"/>
      <c r="R16" s="1"/>
      <c r="S16" s="1"/>
      <c r="T16" s="1"/>
      <c r="U16" s="1"/>
      <c r="V16" s="1"/>
      <c r="W16" s="5"/>
      <c r="X16" s="3"/>
      <c r="Y16" s="3"/>
      <c r="Z16" s="3"/>
    </row>
    <row r="17" spans="1:26" ht="13.8" x14ac:dyDescent="0.2">
      <c r="A17" s="93"/>
      <c r="B17" s="94" t="s">
        <v>30</v>
      </c>
      <c r="C17" s="95"/>
      <c r="D17" s="104" t="str">
        <f>VLOOKUP(D15,Dashboard!AN24:AP27,3,TRUE)</f>
        <v>Strategis</v>
      </c>
      <c r="E17" s="1"/>
      <c r="F17" s="99"/>
      <c r="G17" s="99"/>
      <c r="H17" s="1"/>
      <c r="I17" s="1"/>
      <c r="J17" s="1"/>
      <c r="K17" s="1"/>
      <c r="L17" s="1"/>
      <c r="M17" s="1"/>
      <c r="N17" s="1"/>
      <c r="O17" s="1"/>
      <c r="P17" s="1"/>
      <c r="Q17" s="1"/>
      <c r="R17" s="1"/>
      <c r="S17" s="1"/>
      <c r="T17" s="1"/>
      <c r="U17" s="1"/>
      <c r="V17" s="1"/>
      <c r="W17" s="1"/>
      <c r="X17" s="1"/>
      <c r="Y17" s="1"/>
      <c r="Z17" s="1"/>
    </row>
    <row r="18" spans="1:26" x14ac:dyDescent="0.2">
      <c r="A18" s="93"/>
      <c r="B18" s="96"/>
      <c r="C18" s="96"/>
      <c r="D18" s="105"/>
      <c r="E18" s="1"/>
      <c r="F18" s="99"/>
      <c r="G18" s="99"/>
      <c r="H18" s="1"/>
      <c r="I18" s="1"/>
      <c r="J18" s="1"/>
      <c r="K18" s="1"/>
      <c r="L18" s="1"/>
      <c r="M18" s="1"/>
      <c r="N18" s="1"/>
      <c r="O18" s="1"/>
      <c r="P18" s="1"/>
      <c r="Q18" s="1"/>
      <c r="R18" s="1"/>
      <c r="S18" s="1"/>
      <c r="T18" s="1"/>
      <c r="U18" s="1"/>
      <c r="V18" s="1"/>
      <c r="W18" s="1"/>
      <c r="X18" s="1"/>
      <c r="Y18" s="1"/>
      <c r="Z18" s="1"/>
    </row>
    <row r="19" spans="1:26" x14ac:dyDescent="0.2">
      <c r="A19" s="97"/>
      <c r="B19" s="1"/>
      <c r="C19" s="1"/>
      <c r="D19" s="99"/>
      <c r="E19" s="1"/>
      <c r="F19" s="99"/>
      <c r="G19" s="99"/>
      <c r="H19" s="1"/>
      <c r="I19" s="1"/>
      <c r="J19" s="1"/>
      <c r="K19" s="1"/>
      <c r="L19" s="1"/>
      <c r="M19" s="1"/>
      <c r="N19" s="1"/>
      <c r="O19" s="1"/>
      <c r="P19" s="1"/>
      <c r="Q19" s="1"/>
      <c r="R19" s="1"/>
      <c r="S19" s="1"/>
      <c r="T19" s="1"/>
      <c r="U19" s="1"/>
      <c r="V19" s="1"/>
      <c r="W19" s="1"/>
      <c r="X19" s="1"/>
      <c r="Y19" s="1"/>
      <c r="Z19" s="1"/>
    </row>
    <row r="20" spans="1:26" x14ac:dyDescent="0.2">
      <c r="A20" s="97"/>
      <c r="B20" s="1"/>
      <c r="C20" s="1"/>
      <c r="D20" s="99"/>
      <c r="E20" s="1"/>
      <c r="F20" s="99"/>
      <c r="G20" s="99"/>
      <c r="H20" s="1"/>
      <c r="I20" s="1"/>
      <c r="J20" s="1"/>
      <c r="K20" s="1"/>
      <c r="L20" s="1"/>
      <c r="M20" s="1"/>
      <c r="N20" s="1"/>
      <c r="O20" s="1"/>
      <c r="P20" s="1"/>
      <c r="Q20" s="1"/>
      <c r="R20" s="1"/>
      <c r="S20" s="1"/>
      <c r="T20" s="1"/>
      <c r="U20" s="1"/>
      <c r="V20" s="1"/>
      <c r="W20" s="1"/>
      <c r="X20" s="1"/>
      <c r="Y20" s="1"/>
      <c r="Z20" s="1"/>
    </row>
    <row r="21" spans="1:26" x14ac:dyDescent="0.2">
      <c r="A21" s="97"/>
      <c r="B21" s="1"/>
      <c r="C21" s="1"/>
      <c r="D21" s="99"/>
      <c r="E21" s="1"/>
      <c r="F21" s="99"/>
      <c r="G21" s="99"/>
      <c r="H21" s="1"/>
      <c r="I21" s="1"/>
      <c r="J21" s="1"/>
      <c r="K21" s="1"/>
      <c r="L21" s="1"/>
      <c r="M21" s="1"/>
      <c r="N21" s="1"/>
      <c r="O21" s="1"/>
      <c r="P21" s="1"/>
      <c r="Q21" s="1"/>
      <c r="R21" s="1"/>
      <c r="S21" s="1"/>
      <c r="T21" s="1"/>
      <c r="U21" s="1"/>
      <c r="V21" s="1"/>
      <c r="W21" s="1"/>
      <c r="X21" s="1"/>
      <c r="Y21" s="1"/>
      <c r="Z21" s="1"/>
    </row>
    <row r="22" spans="1:26" x14ac:dyDescent="0.2">
      <c r="A22" s="97"/>
      <c r="B22" s="1"/>
      <c r="C22" s="1"/>
      <c r="D22" s="99"/>
      <c r="E22" s="1"/>
      <c r="F22" s="99"/>
      <c r="G22" s="99"/>
      <c r="H22" s="1"/>
      <c r="I22" s="1"/>
      <c r="J22" s="1"/>
      <c r="K22" s="1"/>
      <c r="L22" s="1"/>
      <c r="M22" s="1"/>
      <c r="N22" s="1"/>
      <c r="O22" s="1"/>
      <c r="P22" s="1"/>
      <c r="Q22" s="1"/>
      <c r="R22" s="1"/>
      <c r="S22" s="1"/>
      <c r="T22" s="1"/>
      <c r="U22" s="1"/>
      <c r="V22" s="1"/>
      <c r="W22" s="1"/>
      <c r="X22" s="1"/>
      <c r="Y22" s="1"/>
      <c r="Z22" s="1"/>
    </row>
    <row r="23" spans="1:26" x14ac:dyDescent="0.2">
      <c r="A23" s="97"/>
      <c r="B23" s="1"/>
      <c r="C23" s="1"/>
      <c r="D23" s="99"/>
      <c r="E23" s="1"/>
      <c r="F23" s="99"/>
      <c r="G23" s="99"/>
      <c r="H23" s="1"/>
      <c r="I23" s="1"/>
      <c r="J23" s="1"/>
      <c r="K23" s="1"/>
      <c r="L23" s="1"/>
      <c r="M23" s="1"/>
      <c r="N23" s="1"/>
      <c r="O23" s="1"/>
      <c r="P23" s="1"/>
      <c r="Q23" s="1"/>
      <c r="R23" s="1"/>
      <c r="S23" s="1"/>
      <c r="T23" s="1"/>
      <c r="U23" s="1"/>
      <c r="V23" s="1"/>
      <c r="W23" s="1"/>
      <c r="X23" s="1"/>
      <c r="Y23" s="1"/>
      <c r="Z23" s="1"/>
    </row>
    <row r="24" spans="1:26" x14ac:dyDescent="0.2">
      <c r="A24" s="97"/>
      <c r="B24" s="1"/>
      <c r="C24" s="1"/>
      <c r="D24" s="99"/>
      <c r="E24" s="1"/>
      <c r="F24" s="99"/>
      <c r="G24" s="99"/>
      <c r="H24" s="1"/>
      <c r="I24" s="1"/>
      <c r="J24" s="1"/>
      <c r="K24" s="1"/>
      <c r="L24" s="1"/>
      <c r="M24" s="1"/>
      <c r="N24" s="1"/>
      <c r="O24" s="1"/>
      <c r="P24" s="1"/>
      <c r="Q24" s="1"/>
      <c r="R24" s="1"/>
      <c r="S24" s="1"/>
      <c r="T24" s="1"/>
      <c r="U24" s="1"/>
      <c r="V24" s="1"/>
      <c r="W24" s="1"/>
      <c r="X24" s="1"/>
      <c r="Y24" s="1"/>
      <c r="Z24" s="1"/>
    </row>
    <row r="25" spans="1:26" x14ac:dyDescent="0.2">
      <c r="A25" s="97"/>
      <c r="B25" s="1"/>
      <c r="C25" s="1"/>
      <c r="D25" s="99"/>
      <c r="E25" s="1"/>
      <c r="F25" s="99"/>
      <c r="G25" s="99"/>
      <c r="H25" s="1"/>
      <c r="I25" s="1"/>
      <c r="J25" s="1"/>
      <c r="K25" s="1"/>
      <c r="L25" s="1"/>
      <c r="M25" s="1"/>
      <c r="N25" s="1"/>
      <c r="O25" s="1"/>
      <c r="P25" s="1"/>
      <c r="Q25" s="1"/>
      <c r="R25" s="1"/>
      <c r="S25" s="1"/>
      <c r="T25" s="1"/>
      <c r="U25" s="1"/>
      <c r="V25" s="1"/>
      <c r="W25" s="1"/>
      <c r="X25" s="1"/>
      <c r="Y25" s="1"/>
      <c r="Z25" s="1"/>
    </row>
    <row r="26" spans="1:26" x14ac:dyDescent="0.2">
      <c r="A26" s="97"/>
      <c r="B26" s="1"/>
      <c r="C26" s="1"/>
      <c r="D26" s="99"/>
      <c r="E26" s="1"/>
      <c r="F26" s="99"/>
      <c r="G26" s="99"/>
      <c r="H26" s="1"/>
      <c r="I26" s="1"/>
      <c r="J26" s="1"/>
      <c r="K26" s="1"/>
      <c r="L26" s="1"/>
      <c r="M26" s="1"/>
      <c r="N26" s="1"/>
      <c r="O26" s="1"/>
      <c r="P26" s="1"/>
      <c r="Q26" s="1"/>
      <c r="R26" s="1"/>
      <c r="S26" s="1"/>
      <c r="T26" s="1"/>
      <c r="U26" s="1"/>
      <c r="V26" s="1"/>
      <c r="W26" s="1"/>
      <c r="X26" s="1"/>
      <c r="Y26" s="1"/>
      <c r="Z26" s="1"/>
    </row>
    <row r="27" spans="1:26" x14ac:dyDescent="0.2">
      <c r="A27" s="97"/>
      <c r="B27" s="1"/>
      <c r="C27" s="1"/>
      <c r="D27" s="99"/>
      <c r="E27" s="1"/>
      <c r="F27" s="99"/>
      <c r="G27" s="99"/>
      <c r="H27" s="1"/>
      <c r="I27" s="1"/>
      <c r="J27" s="1"/>
      <c r="K27" s="1"/>
      <c r="L27" s="1"/>
      <c r="M27" s="1"/>
      <c r="N27" s="1"/>
      <c r="O27" s="1"/>
      <c r="P27" s="1"/>
      <c r="Q27" s="1"/>
      <c r="R27" s="1"/>
      <c r="S27" s="1"/>
      <c r="T27" s="1"/>
      <c r="U27" s="1"/>
      <c r="V27" s="1"/>
      <c r="W27" s="1"/>
      <c r="X27" s="1"/>
      <c r="Y27" s="1"/>
      <c r="Z27" s="1"/>
    </row>
    <row r="28" spans="1:26" x14ac:dyDescent="0.2">
      <c r="A28" s="97"/>
      <c r="B28" s="1"/>
      <c r="C28" s="1"/>
      <c r="D28" s="99"/>
      <c r="E28" s="1"/>
      <c r="F28" s="99"/>
      <c r="G28" s="99"/>
      <c r="H28" s="1"/>
      <c r="I28" s="1"/>
      <c r="J28" s="1"/>
      <c r="K28" s="1"/>
      <c r="L28" s="1"/>
      <c r="M28" s="1"/>
      <c r="N28" s="1"/>
      <c r="O28" s="1"/>
      <c r="P28" s="1"/>
      <c r="Q28" s="1"/>
      <c r="R28" s="1"/>
      <c r="S28" s="1"/>
      <c r="T28" s="1"/>
      <c r="U28" s="1"/>
      <c r="V28" s="1"/>
      <c r="W28" s="1"/>
      <c r="X28" s="1"/>
      <c r="Y28" s="1"/>
      <c r="Z28" s="1"/>
    </row>
    <row r="29" spans="1:26" x14ac:dyDescent="0.2">
      <c r="A29" s="97"/>
      <c r="B29" s="1"/>
      <c r="C29" s="1"/>
      <c r="D29" s="99"/>
      <c r="E29" s="1"/>
      <c r="F29" s="99"/>
      <c r="G29" s="99"/>
      <c r="H29" s="1"/>
      <c r="I29" s="1"/>
      <c r="J29" s="1"/>
      <c r="K29" s="1"/>
      <c r="L29" s="1"/>
      <c r="M29" s="1"/>
      <c r="N29" s="1"/>
      <c r="O29" s="1"/>
      <c r="P29" s="1"/>
      <c r="Q29" s="1"/>
      <c r="R29" s="1"/>
      <c r="S29" s="1"/>
      <c r="T29" s="1"/>
      <c r="U29" s="1"/>
      <c r="V29" s="1"/>
      <c r="W29" s="1"/>
      <c r="X29" s="1"/>
      <c r="Y29" s="1"/>
      <c r="Z29" s="1"/>
    </row>
    <row r="30" spans="1:26" x14ac:dyDescent="0.2">
      <c r="A30" s="97"/>
      <c r="B30" s="1"/>
      <c r="C30" s="1"/>
      <c r="D30" s="99"/>
      <c r="E30" s="1"/>
      <c r="F30" s="99"/>
      <c r="G30" s="99"/>
      <c r="H30" s="1"/>
      <c r="I30" s="1"/>
      <c r="J30" s="1"/>
      <c r="K30" s="1"/>
      <c r="L30" s="1"/>
      <c r="M30" s="1"/>
      <c r="N30" s="1"/>
      <c r="O30" s="1"/>
      <c r="P30" s="1"/>
      <c r="Q30" s="1"/>
      <c r="R30" s="1"/>
      <c r="S30" s="1"/>
      <c r="T30" s="1"/>
      <c r="U30" s="1"/>
      <c r="V30" s="1"/>
      <c r="W30" s="1"/>
      <c r="X30" s="1"/>
      <c r="Y30" s="1"/>
      <c r="Z30" s="1"/>
    </row>
    <row r="31" spans="1:26" x14ac:dyDescent="0.2">
      <c r="A31" s="97"/>
      <c r="B31" s="1"/>
      <c r="C31" s="1"/>
      <c r="D31" s="99"/>
      <c r="E31" s="1"/>
      <c r="F31" s="99"/>
      <c r="G31" s="99"/>
      <c r="H31" s="1"/>
      <c r="I31" s="1"/>
      <c r="J31" s="1"/>
      <c r="K31" s="1"/>
      <c r="L31" s="1"/>
      <c r="M31" s="1"/>
      <c r="N31" s="1"/>
      <c r="O31" s="1"/>
      <c r="P31" s="1"/>
      <c r="Q31" s="1"/>
      <c r="R31" s="1"/>
      <c r="S31" s="1"/>
      <c r="T31" s="1"/>
      <c r="U31" s="1"/>
      <c r="V31" s="1"/>
      <c r="W31" s="1"/>
      <c r="X31" s="1"/>
      <c r="Y31" s="1"/>
      <c r="Z31" s="1"/>
    </row>
    <row r="32" spans="1:26" x14ac:dyDescent="0.2">
      <c r="A32" s="97"/>
      <c r="B32" s="1"/>
      <c r="C32" s="1"/>
      <c r="D32" s="99"/>
      <c r="E32" s="1"/>
      <c r="F32" s="99"/>
      <c r="G32" s="99"/>
      <c r="H32" s="1"/>
      <c r="I32" s="1"/>
      <c r="J32" s="1"/>
      <c r="K32" s="1"/>
      <c r="L32" s="1"/>
      <c r="M32" s="1"/>
      <c r="N32" s="1"/>
      <c r="O32" s="1"/>
      <c r="P32" s="1"/>
      <c r="Q32" s="1"/>
      <c r="R32" s="1"/>
      <c r="S32" s="1"/>
      <c r="T32" s="1"/>
      <c r="U32" s="1"/>
      <c r="V32" s="1"/>
      <c r="W32" s="1"/>
      <c r="X32" s="1"/>
      <c r="Y32" s="1"/>
      <c r="Z32" s="1"/>
    </row>
    <row r="33" spans="1:26" x14ac:dyDescent="0.2">
      <c r="A33" s="97"/>
      <c r="B33" s="1"/>
      <c r="C33" s="1"/>
      <c r="D33" s="99"/>
      <c r="E33" s="1"/>
      <c r="F33" s="99"/>
      <c r="G33" s="99"/>
      <c r="H33" s="1"/>
      <c r="I33" s="1"/>
      <c r="J33" s="1"/>
      <c r="K33" s="1"/>
      <c r="L33" s="1"/>
      <c r="M33" s="1"/>
      <c r="N33" s="1"/>
      <c r="O33" s="1"/>
      <c r="P33" s="1"/>
      <c r="Q33" s="1"/>
      <c r="R33" s="1"/>
      <c r="S33" s="1"/>
      <c r="T33" s="1"/>
      <c r="U33" s="1"/>
      <c r="V33" s="1"/>
      <c r="W33" s="1"/>
      <c r="X33" s="1"/>
      <c r="Y33" s="1"/>
      <c r="Z33" s="1"/>
    </row>
    <row r="34" spans="1:26" x14ac:dyDescent="0.2">
      <c r="A34" s="97"/>
      <c r="B34" s="1"/>
      <c r="C34" s="1"/>
      <c r="D34" s="99"/>
      <c r="E34" s="1"/>
      <c r="F34" s="99"/>
      <c r="G34" s="99"/>
      <c r="H34" s="1"/>
      <c r="I34" s="1"/>
      <c r="J34" s="1"/>
      <c r="K34" s="1"/>
      <c r="L34" s="1"/>
      <c r="M34" s="1"/>
      <c r="N34" s="1"/>
      <c r="O34" s="1"/>
      <c r="P34" s="1"/>
      <c r="Q34" s="1"/>
      <c r="R34" s="1"/>
      <c r="S34" s="1"/>
      <c r="T34" s="1"/>
      <c r="U34" s="1"/>
      <c r="V34" s="1"/>
      <c r="W34" s="1"/>
      <c r="X34" s="1"/>
      <c r="Y34" s="1"/>
      <c r="Z34" s="1"/>
    </row>
    <row r="35" spans="1:26" x14ac:dyDescent="0.2">
      <c r="A35" s="97"/>
      <c r="B35" s="1"/>
      <c r="C35" s="1"/>
      <c r="D35" s="99"/>
      <c r="E35" s="1"/>
      <c r="F35" s="99"/>
      <c r="G35" s="99"/>
      <c r="H35" s="1"/>
      <c r="I35" s="1"/>
      <c r="J35" s="1"/>
      <c r="K35" s="1"/>
      <c r="L35" s="1"/>
      <c r="M35" s="1"/>
      <c r="N35" s="1"/>
      <c r="O35" s="1"/>
      <c r="P35" s="1"/>
      <c r="Q35" s="1"/>
      <c r="R35" s="1"/>
      <c r="S35" s="1"/>
      <c r="T35" s="1"/>
      <c r="U35" s="1"/>
      <c r="V35" s="1"/>
      <c r="W35" s="1"/>
      <c r="X35" s="1"/>
      <c r="Y35" s="1"/>
      <c r="Z35" s="1"/>
    </row>
    <row r="36" spans="1:26" x14ac:dyDescent="0.2">
      <c r="A36" s="97"/>
      <c r="B36" s="1"/>
      <c r="C36" s="1"/>
      <c r="D36" s="99"/>
      <c r="E36" s="1"/>
      <c r="F36" s="99"/>
      <c r="G36" s="99"/>
      <c r="H36" s="1"/>
      <c r="I36" s="1"/>
      <c r="J36" s="1"/>
      <c r="K36" s="1"/>
      <c r="L36" s="1"/>
      <c r="M36" s="1"/>
      <c r="N36" s="1"/>
      <c r="O36" s="1"/>
      <c r="P36" s="1"/>
      <c r="Q36" s="1"/>
      <c r="R36" s="1"/>
      <c r="S36" s="1"/>
      <c r="T36" s="1"/>
      <c r="U36" s="1"/>
      <c r="V36" s="1"/>
      <c r="W36" s="1"/>
      <c r="X36" s="1"/>
      <c r="Y36" s="1"/>
      <c r="Z36" s="1"/>
    </row>
    <row r="37" spans="1:26" x14ac:dyDescent="0.2">
      <c r="A37" s="97"/>
      <c r="B37" s="1"/>
      <c r="C37" s="1"/>
      <c r="D37" s="99"/>
      <c r="E37" s="1"/>
      <c r="F37" s="99"/>
      <c r="G37" s="99"/>
      <c r="H37" s="1"/>
      <c r="I37" s="1"/>
      <c r="J37" s="1"/>
      <c r="K37" s="1"/>
      <c r="L37" s="1"/>
      <c r="M37" s="1"/>
      <c r="N37" s="1"/>
      <c r="O37" s="1"/>
      <c r="P37" s="1"/>
      <c r="Q37" s="1"/>
      <c r="R37" s="1"/>
      <c r="S37" s="1"/>
      <c r="T37" s="1"/>
      <c r="U37" s="1"/>
      <c r="V37" s="1"/>
      <c r="W37" s="1"/>
      <c r="X37" s="1"/>
      <c r="Y37" s="1"/>
      <c r="Z37" s="1"/>
    </row>
    <row r="38" spans="1:26" x14ac:dyDescent="0.2">
      <c r="A38" s="97"/>
      <c r="B38" s="1"/>
      <c r="C38" s="1"/>
      <c r="D38" s="99"/>
      <c r="E38" s="1"/>
      <c r="F38" s="99"/>
      <c r="G38" s="99"/>
      <c r="H38" s="1"/>
      <c r="I38" s="1"/>
      <c r="J38" s="1"/>
      <c r="K38" s="1"/>
      <c r="L38" s="1"/>
      <c r="M38" s="1"/>
      <c r="N38" s="1"/>
      <c r="O38" s="1"/>
      <c r="P38" s="1"/>
      <c r="Q38" s="1"/>
      <c r="R38" s="1"/>
      <c r="S38" s="1"/>
      <c r="T38" s="1"/>
      <c r="U38" s="1"/>
      <c r="V38" s="1"/>
      <c r="W38" s="1"/>
      <c r="X38" s="1"/>
      <c r="Y38" s="1"/>
      <c r="Z38" s="1"/>
    </row>
    <row r="39" spans="1:26" x14ac:dyDescent="0.2">
      <c r="A39" s="97"/>
      <c r="B39" s="1"/>
      <c r="C39" s="1"/>
      <c r="D39" s="99"/>
      <c r="E39" s="1"/>
      <c r="F39" s="99"/>
      <c r="G39" s="99"/>
      <c r="H39" s="1"/>
      <c r="I39" s="1"/>
      <c r="J39" s="1"/>
      <c r="K39" s="1"/>
      <c r="L39" s="1"/>
      <c r="M39" s="1"/>
      <c r="N39" s="1"/>
      <c r="O39" s="1"/>
      <c r="P39" s="1"/>
      <c r="Q39" s="1"/>
      <c r="R39" s="1"/>
      <c r="S39" s="1"/>
      <c r="T39" s="1"/>
      <c r="U39" s="1"/>
      <c r="V39" s="1"/>
      <c r="W39" s="1"/>
      <c r="X39" s="1"/>
      <c r="Y39" s="1"/>
      <c r="Z39" s="1"/>
    </row>
    <row r="40" spans="1:26" x14ac:dyDescent="0.2">
      <c r="A40" s="97"/>
      <c r="B40" s="1"/>
      <c r="C40" s="1"/>
      <c r="D40" s="99"/>
      <c r="E40" s="1"/>
      <c r="F40" s="99"/>
      <c r="G40" s="99"/>
      <c r="H40" s="1"/>
      <c r="I40" s="1"/>
      <c r="J40" s="1"/>
      <c r="K40" s="1"/>
      <c r="L40" s="1"/>
      <c r="M40" s="1"/>
      <c r="N40" s="1"/>
      <c r="O40" s="1"/>
      <c r="P40" s="1"/>
      <c r="Q40" s="1"/>
      <c r="R40" s="1"/>
      <c r="S40" s="1"/>
      <c r="T40" s="1"/>
      <c r="U40" s="1"/>
      <c r="V40" s="1"/>
      <c r="W40" s="1"/>
      <c r="X40" s="1"/>
      <c r="Y40" s="1"/>
      <c r="Z40" s="1"/>
    </row>
    <row r="41" spans="1:26" x14ac:dyDescent="0.2">
      <c r="A41" s="97"/>
      <c r="B41" s="1"/>
      <c r="C41" s="1"/>
      <c r="D41" s="99"/>
      <c r="E41" s="1"/>
      <c r="F41" s="99"/>
      <c r="G41" s="99"/>
      <c r="H41" s="1"/>
      <c r="I41" s="1"/>
      <c r="J41" s="1"/>
      <c r="K41" s="1"/>
      <c r="L41" s="1"/>
      <c r="M41" s="1"/>
      <c r="N41" s="1"/>
      <c r="O41" s="1"/>
      <c r="P41" s="1"/>
      <c r="Q41" s="1"/>
      <c r="R41" s="1"/>
      <c r="S41" s="1"/>
      <c r="T41" s="1"/>
      <c r="U41" s="1"/>
      <c r="V41" s="1"/>
      <c r="W41" s="1"/>
      <c r="X41" s="1"/>
      <c r="Y41" s="1"/>
      <c r="Z41" s="1"/>
    </row>
    <row r="42" spans="1:26" x14ac:dyDescent="0.2">
      <c r="A42" s="97"/>
      <c r="B42" s="1"/>
      <c r="C42" s="1"/>
      <c r="D42" s="99"/>
      <c r="E42" s="1"/>
      <c r="F42" s="99"/>
      <c r="G42" s="99"/>
      <c r="H42" s="1"/>
      <c r="I42" s="1"/>
      <c r="J42" s="1"/>
      <c r="K42" s="1"/>
      <c r="L42" s="1"/>
      <c r="M42" s="1"/>
      <c r="N42" s="1"/>
      <c r="O42" s="1"/>
      <c r="P42" s="1"/>
      <c r="Q42" s="1"/>
      <c r="R42" s="1"/>
      <c r="S42" s="1"/>
      <c r="T42" s="1"/>
      <c r="U42" s="1"/>
      <c r="V42" s="1"/>
      <c r="W42" s="1"/>
      <c r="X42" s="1"/>
      <c r="Y42" s="1"/>
      <c r="Z42" s="1"/>
    </row>
    <row r="43" spans="1:26" x14ac:dyDescent="0.2">
      <c r="A43" s="97"/>
      <c r="B43" s="1"/>
      <c r="C43" s="1"/>
      <c r="D43" s="99"/>
      <c r="E43" s="1"/>
      <c r="F43" s="99"/>
      <c r="G43" s="99"/>
      <c r="H43" s="1"/>
      <c r="I43" s="1"/>
      <c r="J43" s="1"/>
      <c r="K43" s="1"/>
      <c r="L43" s="1"/>
      <c r="M43" s="1"/>
      <c r="N43" s="1"/>
      <c r="O43" s="1"/>
      <c r="P43" s="1"/>
      <c r="Q43" s="1"/>
      <c r="R43" s="1"/>
      <c r="S43" s="1"/>
      <c r="T43" s="1"/>
      <c r="U43" s="1"/>
      <c r="V43" s="1"/>
      <c r="W43" s="1"/>
      <c r="X43" s="1"/>
      <c r="Y43" s="1"/>
      <c r="Z43" s="1"/>
    </row>
    <row r="44" spans="1:26" x14ac:dyDescent="0.2">
      <c r="A44" s="97"/>
      <c r="B44" s="1"/>
      <c r="C44" s="1"/>
      <c r="D44" s="99"/>
      <c r="E44" s="1"/>
      <c r="F44" s="99"/>
      <c r="G44" s="99"/>
      <c r="H44" s="1"/>
      <c r="I44" s="1"/>
      <c r="J44" s="1"/>
      <c r="K44" s="1"/>
      <c r="L44" s="1"/>
      <c r="M44" s="1"/>
      <c r="N44" s="1"/>
      <c r="O44" s="1"/>
      <c r="P44" s="1"/>
      <c r="Q44" s="1"/>
      <c r="R44" s="1"/>
      <c r="S44" s="1"/>
      <c r="T44" s="1"/>
      <c r="U44" s="1"/>
      <c r="V44" s="1"/>
      <c r="W44" s="1"/>
      <c r="X44" s="1"/>
      <c r="Y44" s="1"/>
      <c r="Z44" s="1"/>
    </row>
    <row r="45" spans="1:26" x14ac:dyDescent="0.2">
      <c r="A45" s="97"/>
      <c r="B45" s="1"/>
      <c r="C45" s="1"/>
      <c r="D45" s="99"/>
      <c r="E45" s="1"/>
      <c r="F45" s="99"/>
      <c r="G45" s="99"/>
      <c r="H45" s="1"/>
      <c r="I45" s="1"/>
      <c r="J45" s="1"/>
      <c r="K45" s="1"/>
      <c r="L45" s="1"/>
      <c r="M45" s="1"/>
      <c r="N45" s="1"/>
      <c r="O45" s="1"/>
      <c r="P45" s="1"/>
      <c r="Q45" s="1"/>
      <c r="R45" s="1"/>
      <c r="S45" s="1"/>
      <c r="T45" s="1"/>
      <c r="U45" s="1"/>
      <c r="V45" s="1"/>
      <c r="W45" s="1"/>
      <c r="X45" s="1"/>
      <c r="Y45" s="1"/>
      <c r="Z45" s="1"/>
    </row>
    <row r="46" spans="1:26" x14ac:dyDescent="0.2">
      <c r="A46" s="97"/>
      <c r="B46" s="1"/>
      <c r="C46" s="1"/>
      <c r="D46" s="99"/>
      <c r="E46" s="1"/>
      <c r="F46" s="99"/>
      <c r="G46" s="99"/>
      <c r="H46" s="1"/>
      <c r="I46" s="1"/>
      <c r="J46" s="1"/>
      <c r="K46" s="1"/>
      <c r="L46" s="1"/>
      <c r="M46" s="1"/>
      <c r="N46" s="1"/>
      <c r="O46" s="1"/>
      <c r="P46" s="1"/>
      <c r="Q46" s="1"/>
      <c r="R46" s="1"/>
      <c r="S46" s="1"/>
      <c r="T46" s="1"/>
      <c r="U46" s="1"/>
      <c r="V46" s="1"/>
      <c r="W46" s="1"/>
      <c r="X46" s="1"/>
      <c r="Y46" s="1"/>
      <c r="Z46" s="1"/>
    </row>
    <row r="47" spans="1:26" x14ac:dyDescent="0.2">
      <c r="A47" s="97"/>
      <c r="B47" s="1"/>
      <c r="C47" s="1"/>
      <c r="D47" s="99"/>
      <c r="E47" s="1"/>
      <c r="F47" s="99"/>
      <c r="G47" s="99"/>
      <c r="H47" s="1"/>
      <c r="I47" s="1"/>
      <c r="J47" s="1"/>
      <c r="K47" s="1"/>
      <c r="L47" s="1"/>
      <c r="M47" s="1"/>
      <c r="N47" s="1"/>
      <c r="O47" s="1"/>
      <c r="P47" s="1"/>
      <c r="Q47" s="1"/>
      <c r="R47" s="1"/>
      <c r="S47" s="1"/>
      <c r="T47" s="1"/>
      <c r="U47" s="1"/>
      <c r="V47" s="1"/>
      <c r="W47" s="1"/>
      <c r="X47" s="1"/>
      <c r="Y47" s="1"/>
      <c r="Z47" s="1"/>
    </row>
    <row r="48" spans="1:26" x14ac:dyDescent="0.2">
      <c r="A48" s="97"/>
      <c r="B48" s="1"/>
      <c r="C48" s="1"/>
      <c r="D48" s="99"/>
      <c r="E48" s="1"/>
      <c r="F48" s="99"/>
      <c r="G48" s="99"/>
      <c r="H48" s="1"/>
      <c r="I48" s="1"/>
      <c r="J48" s="1"/>
      <c r="K48" s="1"/>
      <c r="L48" s="1"/>
      <c r="M48" s="1"/>
      <c r="N48" s="1"/>
      <c r="O48" s="1"/>
      <c r="P48" s="1"/>
      <c r="Q48" s="1"/>
      <c r="R48" s="1"/>
      <c r="S48" s="1"/>
      <c r="T48" s="1"/>
      <c r="U48" s="1"/>
      <c r="V48" s="1"/>
      <c r="W48" s="1"/>
      <c r="X48" s="1"/>
      <c r="Y48" s="1"/>
      <c r="Z48" s="1"/>
    </row>
    <row r="49" spans="1:26" x14ac:dyDescent="0.2">
      <c r="A49" s="97"/>
      <c r="B49" s="1"/>
      <c r="C49" s="1"/>
      <c r="D49" s="99"/>
      <c r="E49" s="1"/>
      <c r="F49" s="99"/>
      <c r="G49" s="99"/>
      <c r="H49" s="1"/>
      <c r="I49" s="1"/>
      <c r="J49" s="1"/>
      <c r="K49" s="1"/>
      <c r="L49" s="1"/>
      <c r="M49" s="1"/>
      <c r="N49" s="1"/>
      <c r="O49" s="1"/>
      <c r="P49" s="1"/>
      <c r="Q49" s="1"/>
      <c r="R49" s="1"/>
      <c r="S49" s="1"/>
      <c r="T49" s="1"/>
      <c r="U49" s="1"/>
      <c r="V49" s="1"/>
      <c r="W49" s="1"/>
      <c r="X49" s="1"/>
      <c r="Y49" s="1"/>
      <c r="Z49" s="1"/>
    </row>
    <row r="50" spans="1:26" x14ac:dyDescent="0.2">
      <c r="A50" s="97"/>
      <c r="B50" s="1"/>
      <c r="C50" s="1"/>
      <c r="D50" s="99"/>
      <c r="E50" s="1"/>
      <c r="F50" s="99"/>
      <c r="G50" s="99"/>
      <c r="H50" s="1"/>
      <c r="I50" s="1"/>
      <c r="J50" s="1"/>
      <c r="K50" s="1"/>
      <c r="L50" s="1"/>
      <c r="M50" s="1"/>
      <c r="N50" s="1"/>
      <c r="O50" s="1"/>
      <c r="P50" s="1"/>
      <c r="Q50" s="1"/>
      <c r="R50" s="1"/>
      <c r="S50" s="1"/>
      <c r="T50" s="1"/>
      <c r="U50" s="1"/>
      <c r="V50" s="1"/>
      <c r="W50" s="1"/>
      <c r="X50" s="1"/>
      <c r="Y50" s="1"/>
      <c r="Z50" s="1"/>
    </row>
    <row r="51" spans="1:26" x14ac:dyDescent="0.2">
      <c r="A51" s="97"/>
      <c r="B51" s="1"/>
      <c r="C51" s="1"/>
      <c r="D51" s="99"/>
      <c r="E51" s="1"/>
      <c r="F51" s="99"/>
      <c r="G51" s="99"/>
      <c r="H51" s="1"/>
      <c r="I51" s="1"/>
      <c r="J51" s="1"/>
      <c r="K51" s="1"/>
      <c r="L51" s="1"/>
      <c r="M51" s="1"/>
      <c r="N51" s="1"/>
      <c r="O51" s="1"/>
      <c r="P51" s="1"/>
      <c r="Q51" s="1"/>
      <c r="R51" s="1"/>
      <c r="S51" s="1"/>
      <c r="T51" s="1"/>
      <c r="U51" s="1"/>
      <c r="V51" s="1"/>
      <c r="W51" s="1"/>
      <c r="X51" s="1"/>
      <c r="Y51" s="1"/>
      <c r="Z51" s="1"/>
    </row>
    <row r="52" spans="1:26" x14ac:dyDescent="0.2">
      <c r="A52" s="97"/>
      <c r="B52" s="1"/>
      <c r="C52" s="1"/>
      <c r="D52" s="99"/>
      <c r="E52" s="1"/>
      <c r="F52" s="99"/>
      <c r="G52" s="99"/>
      <c r="H52" s="1"/>
      <c r="I52" s="1"/>
      <c r="J52" s="1"/>
      <c r="K52" s="1"/>
      <c r="L52" s="1"/>
      <c r="M52" s="1"/>
      <c r="N52" s="1"/>
      <c r="O52" s="1"/>
      <c r="P52" s="1"/>
      <c r="Q52" s="1"/>
      <c r="R52" s="1"/>
      <c r="S52" s="1"/>
      <c r="T52" s="1"/>
      <c r="U52" s="1"/>
      <c r="V52" s="1"/>
      <c r="W52" s="1"/>
      <c r="X52" s="1"/>
      <c r="Y52" s="1"/>
      <c r="Z52" s="1"/>
    </row>
    <row r="53" spans="1:26" x14ac:dyDescent="0.2">
      <c r="A53" s="97"/>
      <c r="B53" s="1"/>
      <c r="C53" s="1"/>
      <c r="D53" s="99"/>
      <c r="E53" s="1"/>
      <c r="F53" s="99"/>
      <c r="G53" s="99"/>
      <c r="H53" s="1"/>
      <c r="I53" s="1"/>
      <c r="J53" s="1"/>
      <c r="K53" s="1"/>
      <c r="L53" s="1"/>
      <c r="M53" s="1"/>
      <c r="N53" s="1"/>
      <c r="O53" s="1"/>
      <c r="P53" s="1"/>
      <c r="Q53" s="1"/>
      <c r="R53" s="1"/>
      <c r="S53" s="1"/>
      <c r="T53" s="1"/>
      <c r="U53" s="1"/>
      <c r="V53" s="1"/>
      <c r="W53" s="1"/>
      <c r="X53" s="1"/>
      <c r="Y53" s="1"/>
      <c r="Z53" s="1"/>
    </row>
    <row r="54" spans="1:26" x14ac:dyDescent="0.2">
      <c r="A54" s="97"/>
      <c r="B54" s="1"/>
      <c r="C54" s="1"/>
      <c r="D54" s="99"/>
      <c r="E54" s="1"/>
      <c r="F54" s="99"/>
      <c r="G54" s="99"/>
      <c r="H54" s="1"/>
      <c r="I54" s="1"/>
      <c r="J54" s="1"/>
      <c r="K54" s="1"/>
      <c r="L54" s="1"/>
      <c r="M54" s="1"/>
      <c r="N54" s="1"/>
      <c r="O54" s="1"/>
      <c r="P54" s="1"/>
      <c r="Q54" s="1"/>
      <c r="R54" s="1"/>
      <c r="S54" s="1"/>
      <c r="T54" s="1"/>
      <c r="U54" s="1"/>
      <c r="V54" s="1"/>
      <c r="W54" s="1"/>
      <c r="X54" s="1"/>
      <c r="Y54" s="1"/>
      <c r="Z54" s="1"/>
    </row>
    <row r="55" spans="1:26" x14ac:dyDescent="0.2">
      <c r="A55" s="97"/>
      <c r="B55" s="1"/>
      <c r="C55" s="1"/>
      <c r="D55" s="99"/>
      <c r="E55" s="1"/>
      <c r="F55" s="99"/>
      <c r="G55" s="99"/>
      <c r="H55" s="1"/>
      <c r="I55" s="1"/>
      <c r="J55" s="1"/>
      <c r="K55" s="1"/>
      <c r="L55" s="1"/>
      <c r="M55" s="1"/>
      <c r="N55" s="1"/>
      <c r="O55" s="1"/>
      <c r="P55" s="1"/>
      <c r="Q55" s="1"/>
      <c r="R55" s="1"/>
      <c r="S55" s="1"/>
      <c r="T55" s="1"/>
      <c r="U55" s="1"/>
      <c r="V55" s="1"/>
      <c r="W55" s="1"/>
      <c r="X55" s="1"/>
      <c r="Y55" s="1"/>
      <c r="Z55" s="1"/>
    </row>
    <row r="56" spans="1:26" x14ac:dyDescent="0.2">
      <c r="A56" s="97"/>
      <c r="B56" s="1"/>
      <c r="C56" s="1"/>
      <c r="D56" s="99"/>
      <c r="E56" s="1"/>
      <c r="F56" s="99"/>
      <c r="G56" s="99"/>
      <c r="H56" s="1"/>
      <c r="I56" s="1"/>
      <c r="J56" s="1"/>
      <c r="K56" s="1"/>
      <c r="L56" s="1"/>
      <c r="M56" s="1"/>
      <c r="N56" s="1"/>
      <c r="O56" s="1"/>
      <c r="P56" s="1"/>
      <c r="Q56" s="1"/>
      <c r="R56" s="1"/>
      <c r="S56" s="1"/>
      <c r="T56" s="1"/>
      <c r="U56" s="1"/>
      <c r="V56" s="1"/>
      <c r="W56" s="1"/>
      <c r="X56" s="1"/>
      <c r="Y56" s="1"/>
      <c r="Z56" s="1"/>
    </row>
    <row r="57" spans="1:26" x14ac:dyDescent="0.2">
      <c r="A57" s="97"/>
      <c r="B57" s="1"/>
      <c r="C57" s="1"/>
      <c r="D57" s="99"/>
      <c r="E57" s="1"/>
      <c r="F57" s="99"/>
      <c r="G57" s="99"/>
      <c r="H57" s="1"/>
      <c r="I57" s="1"/>
      <c r="J57" s="1"/>
      <c r="K57" s="1"/>
      <c r="L57" s="1"/>
      <c r="M57" s="1"/>
      <c r="N57" s="1"/>
      <c r="O57" s="1"/>
      <c r="P57" s="1"/>
      <c r="Q57" s="1"/>
      <c r="R57" s="1"/>
      <c r="S57" s="1"/>
      <c r="T57" s="1"/>
      <c r="U57" s="1"/>
      <c r="V57" s="1"/>
      <c r="W57" s="1"/>
      <c r="X57" s="1"/>
      <c r="Y57" s="1"/>
      <c r="Z57" s="1"/>
    </row>
    <row r="58" spans="1:26" x14ac:dyDescent="0.2">
      <c r="A58" s="97"/>
      <c r="B58" s="1"/>
      <c r="C58" s="1"/>
      <c r="D58" s="99"/>
      <c r="E58" s="1"/>
      <c r="F58" s="99"/>
      <c r="G58" s="99"/>
      <c r="H58" s="1"/>
      <c r="I58" s="1"/>
      <c r="J58" s="1"/>
      <c r="K58" s="1"/>
      <c r="L58" s="1"/>
      <c r="M58" s="1"/>
      <c r="N58" s="1"/>
      <c r="O58" s="1"/>
      <c r="P58" s="1"/>
      <c r="Q58" s="1"/>
      <c r="R58" s="1"/>
      <c r="S58" s="1"/>
      <c r="T58" s="1"/>
      <c r="U58" s="1"/>
      <c r="V58" s="1"/>
      <c r="W58" s="1"/>
      <c r="X58" s="1"/>
      <c r="Y58" s="1"/>
      <c r="Z58" s="1"/>
    </row>
    <row r="59" spans="1:26" x14ac:dyDescent="0.2">
      <c r="A59" s="97"/>
      <c r="B59" s="1"/>
      <c r="C59" s="1"/>
      <c r="D59" s="99"/>
      <c r="E59" s="1"/>
      <c r="F59" s="99"/>
      <c r="G59" s="99"/>
      <c r="H59" s="1"/>
      <c r="I59" s="1"/>
      <c r="J59" s="1"/>
      <c r="K59" s="1"/>
      <c r="L59" s="1"/>
      <c r="M59" s="1"/>
      <c r="N59" s="1"/>
      <c r="O59" s="1"/>
      <c r="P59" s="1"/>
      <c r="Q59" s="1"/>
      <c r="R59" s="1"/>
      <c r="S59" s="1"/>
      <c r="T59" s="1"/>
      <c r="U59" s="1"/>
      <c r="V59" s="1"/>
      <c r="W59" s="1"/>
      <c r="X59" s="1"/>
      <c r="Y59" s="1"/>
      <c r="Z59" s="1"/>
    </row>
    <row r="60" spans="1:26" x14ac:dyDescent="0.2">
      <c r="A60" s="97"/>
      <c r="B60" s="1"/>
      <c r="C60" s="1"/>
      <c r="D60" s="99"/>
      <c r="E60" s="1"/>
      <c r="F60" s="99"/>
      <c r="G60" s="99"/>
      <c r="H60" s="1"/>
      <c r="I60" s="1"/>
      <c r="J60" s="1"/>
      <c r="K60" s="1"/>
      <c r="L60" s="1"/>
      <c r="M60" s="1"/>
      <c r="N60" s="1"/>
      <c r="O60" s="1"/>
      <c r="P60" s="1"/>
      <c r="Q60" s="1"/>
      <c r="R60" s="1"/>
      <c r="S60" s="1"/>
      <c r="T60" s="1"/>
      <c r="U60" s="1"/>
      <c r="V60" s="1"/>
      <c r="W60" s="1"/>
      <c r="X60" s="1"/>
      <c r="Y60" s="1"/>
      <c r="Z60" s="1"/>
    </row>
    <row r="61" spans="1:26" x14ac:dyDescent="0.2">
      <c r="A61" s="97"/>
      <c r="B61" s="1"/>
      <c r="C61" s="1"/>
      <c r="D61" s="99"/>
      <c r="E61" s="1"/>
      <c r="F61" s="99"/>
      <c r="G61" s="99"/>
      <c r="H61" s="1"/>
      <c r="I61" s="1"/>
      <c r="J61" s="1"/>
      <c r="K61" s="1"/>
      <c r="L61" s="1"/>
      <c r="M61" s="1"/>
      <c r="N61" s="1"/>
      <c r="O61" s="1"/>
      <c r="P61" s="1"/>
      <c r="Q61" s="1"/>
      <c r="R61" s="1"/>
      <c r="S61" s="1"/>
      <c r="T61" s="1"/>
      <c r="U61" s="1"/>
      <c r="V61" s="1"/>
      <c r="W61" s="1"/>
      <c r="X61" s="1"/>
      <c r="Y61" s="1"/>
      <c r="Z61" s="1"/>
    </row>
    <row r="62" spans="1:26" x14ac:dyDescent="0.2">
      <c r="A62" s="97"/>
      <c r="B62" s="1"/>
      <c r="C62" s="1"/>
      <c r="D62" s="99"/>
      <c r="E62" s="1"/>
      <c r="F62" s="99"/>
      <c r="G62" s="99"/>
      <c r="H62" s="1"/>
      <c r="I62" s="1"/>
      <c r="J62" s="1"/>
      <c r="K62" s="1"/>
      <c r="L62" s="1"/>
      <c r="M62" s="1"/>
      <c r="N62" s="1"/>
      <c r="O62" s="1"/>
      <c r="P62" s="1"/>
      <c r="Q62" s="1"/>
      <c r="R62" s="1"/>
      <c r="S62" s="1"/>
      <c r="T62" s="1"/>
      <c r="U62" s="1"/>
      <c r="V62" s="1"/>
      <c r="W62" s="1"/>
      <c r="X62" s="1"/>
      <c r="Y62" s="1"/>
      <c r="Z62" s="1"/>
    </row>
    <row r="63" spans="1:26" x14ac:dyDescent="0.2">
      <c r="A63" s="97"/>
      <c r="B63" s="1"/>
      <c r="C63" s="1"/>
      <c r="D63" s="99"/>
      <c r="E63" s="1"/>
      <c r="F63" s="99"/>
      <c r="G63" s="99"/>
      <c r="H63" s="1"/>
      <c r="I63" s="1"/>
      <c r="J63" s="1"/>
      <c r="K63" s="1"/>
      <c r="L63" s="1"/>
      <c r="M63" s="1"/>
      <c r="N63" s="1"/>
      <c r="O63" s="1"/>
      <c r="P63" s="1"/>
      <c r="Q63" s="1"/>
      <c r="R63" s="1"/>
      <c r="S63" s="1"/>
      <c r="T63" s="1"/>
      <c r="U63" s="1"/>
      <c r="V63" s="1"/>
      <c r="W63" s="1"/>
      <c r="X63" s="1"/>
      <c r="Y63" s="1"/>
      <c r="Z63" s="1"/>
    </row>
    <row r="64" spans="1:26" x14ac:dyDescent="0.2">
      <c r="A64" s="97"/>
      <c r="B64" s="1"/>
      <c r="C64" s="1"/>
      <c r="D64" s="99"/>
      <c r="E64" s="1"/>
      <c r="F64" s="99"/>
      <c r="G64" s="99"/>
      <c r="H64" s="1"/>
      <c r="I64" s="1"/>
      <c r="J64" s="1"/>
      <c r="K64" s="1"/>
      <c r="L64" s="1"/>
      <c r="M64" s="1"/>
      <c r="N64" s="1"/>
      <c r="O64" s="1"/>
      <c r="P64" s="1"/>
      <c r="Q64" s="1"/>
      <c r="R64" s="1"/>
      <c r="S64" s="1"/>
      <c r="T64" s="1"/>
      <c r="U64" s="1"/>
      <c r="V64" s="1"/>
      <c r="W64" s="1"/>
      <c r="X64" s="1"/>
      <c r="Y64" s="1"/>
      <c r="Z64" s="1"/>
    </row>
    <row r="65" spans="1:26" x14ac:dyDescent="0.2">
      <c r="A65" s="97"/>
      <c r="B65" s="1"/>
      <c r="C65" s="1"/>
      <c r="D65" s="99"/>
      <c r="E65" s="1"/>
      <c r="F65" s="99"/>
      <c r="G65" s="99"/>
      <c r="H65" s="1"/>
      <c r="I65" s="1"/>
      <c r="J65" s="1"/>
      <c r="K65" s="1"/>
      <c r="L65" s="1"/>
      <c r="M65" s="1"/>
      <c r="N65" s="1"/>
      <c r="O65" s="1"/>
      <c r="P65" s="1"/>
      <c r="Q65" s="1"/>
      <c r="R65" s="1"/>
      <c r="S65" s="1"/>
      <c r="T65" s="1"/>
      <c r="U65" s="1"/>
      <c r="V65" s="1"/>
      <c r="W65" s="1"/>
      <c r="X65" s="1"/>
      <c r="Y65" s="1"/>
      <c r="Z65" s="1"/>
    </row>
    <row r="66" spans="1:26" x14ac:dyDescent="0.2">
      <c r="A66" s="97"/>
      <c r="B66" s="1"/>
      <c r="C66" s="1"/>
      <c r="D66" s="99"/>
      <c r="E66" s="1"/>
      <c r="F66" s="99"/>
      <c r="G66" s="99"/>
      <c r="H66" s="1"/>
      <c r="I66" s="1"/>
      <c r="J66" s="1"/>
      <c r="K66" s="1"/>
      <c r="L66" s="1"/>
      <c r="M66" s="1"/>
      <c r="N66" s="1"/>
      <c r="O66" s="1"/>
      <c r="P66" s="1"/>
      <c r="Q66" s="1"/>
      <c r="R66" s="1"/>
      <c r="S66" s="1"/>
      <c r="T66" s="1"/>
      <c r="U66" s="1"/>
      <c r="V66" s="1"/>
      <c r="W66" s="1"/>
      <c r="X66" s="1"/>
      <c r="Y66" s="1"/>
      <c r="Z66" s="1"/>
    </row>
    <row r="67" spans="1:26" x14ac:dyDescent="0.2">
      <c r="A67" s="97"/>
      <c r="B67" s="1"/>
      <c r="C67" s="1"/>
      <c r="D67" s="99"/>
      <c r="E67" s="1"/>
      <c r="F67" s="99"/>
      <c r="G67" s="99"/>
      <c r="H67" s="1"/>
      <c r="I67" s="1"/>
      <c r="J67" s="1"/>
      <c r="K67" s="1"/>
      <c r="L67" s="1"/>
      <c r="M67" s="1"/>
      <c r="N67" s="1"/>
      <c r="O67" s="1"/>
      <c r="P67" s="1"/>
      <c r="Q67" s="1"/>
      <c r="R67" s="1"/>
      <c r="S67" s="1"/>
      <c r="T67" s="1"/>
      <c r="U67" s="1"/>
      <c r="V67" s="1"/>
      <c r="W67" s="1"/>
      <c r="X67" s="1"/>
      <c r="Y67" s="1"/>
      <c r="Z67" s="1"/>
    </row>
    <row r="68" spans="1:26" x14ac:dyDescent="0.2">
      <c r="A68" s="97"/>
      <c r="B68" s="1"/>
      <c r="C68" s="1"/>
      <c r="D68" s="99"/>
      <c r="E68" s="1"/>
      <c r="F68" s="99"/>
      <c r="G68" s="99"/>
      <c r="H68" s="1"/>
      <c r="I68" s="1"/>
      <c r="J68" s="1"/>
      <c r="K68" s="1"/>
      <c r="L68" s="1"/>
      <c r="M68" s="1"/>
      <c r="N68" s="1"/>
      <c r="O68" s="1"/>
      <c r="P68" s="1"/>
      <c r="Q68" s="1"/>
      <c r="R68" s="1"/>
      <c r="S68" s="1"/>
      <c r="T68" s="1"/>
      <c r="U68" s="1"/>
      <c r="V68" s="1"/>
      <c r="W68" s="1"/>
      <c r="X68" s="1"/>
      <c r="Y68" s="1"/>
      <c r="Z68" s="1"/>
    </row>
    <row r="69" spans="1:26" x14ac:dyDescent="0.2">
      <c r="A69" s="97"/>
      <c r="B69" s="1"/>
      <c r="C69" s="1"/>
      <c r="D69" s="99"/>
      <c r="E69" s="1"/>
      <c r="F69" s="99"/>
      <c r="G69" s="99"/>
      <c r="H69" s="1"/>
      <c r="I69" s="1"/>
      <c r="J69" s="1"/>
      <c r="K69" s="1"/>
      <c r="L69" s="1"/>
      <c r="M69" s="1"/>
      <c r="N69" s="1"/>
      <c r="O69" s="1"/>
      <c r="P69" s="1"/>
      <c r="Q69" s="1"/>
      <c r="R69" s="1"/>
      <c r="S69" s="1"/>
      <c r="T69" s="1"/>
      <c r="U69" s="1"/>
      <c r="V69" s="1"/>
      <c r="W69" s="1"/>
      <c r="X69" s="1"/>
      <c r="Y69" s="1"/>
      <c r="Z69" s="1"/>
    </row>
    <row r="70" spans="1:26" x14ac:dyDescent="0.2">
      <c r="A70" s="97"/>
      <c r="B70" s="1"/>
      <c r="C70" s="1"/>
      <c r="D70" s="99"/>
      <c r="E70" s="1"/>
      <c r="F70" s="99"/>
      <c r="G70" s="99"/>
      <c r="H70" s="1"/>
      <c r="I70" s="1"/>
      <c r="J70" s="1"/>
      <c r="K70" s="1"/>
      <c r="L70" s="1"/>
      <c r="M70" s="1"/>
      <c r="N70" s="1"/>
      <c r="O70" s="1"/>
      <c r="P70" s="1"/>
      <c r="Q70" s="1"/>
      <c r="R70" s="1"/>
      <c r="S70" s="1"/>
      <c r="T70" s="1"/>
      <c r="U70" s="1"/>
      <c r="V70" s="1"/>
      <c r="W70" s="1"/>
      <c r="X70" s="1"/>
      <c r="Y70" s="1"/>
      <c r="Z70" s="1"/>
    </row>
    <row r="71" spans="1:26" x14ac:dyDescent="0.2">
      <c r="A71" s="97"/>
      <c r="B71" s="1"/>
      <c r="C71" s="1"/>
      <c r="D71" s="99"/>
      <c r="E71" s="1"/>
      <c r="F71" s="99"/>
      <c r="G71" s="99"/>
      <c r="H71" s="1"/>
      <c r="I71" s="1"/>
      <c r="J71" s="1"/>
      <c r="K71" s="1"/>
      <c r="L71" s="1"/>
      <c r="M71" s="1"/>
      <c r="N71" s="1"/>
      <c r="O71" s="1"/>
      <c r="P71" s="1"/>
      <c r="Q71" s="1"/>
      <c r="R71" s="1"/>
      <c r="S71" s="1"/>
      <c r="T71" s="1"/>
      <c r="U71" s="1"/>
      <c r="V71" s="1"/>
      <c r="W71" s="1"/>
      <c r="X71" s="1"/>
      <c r="Y71" s="1"/>
      <c r="Z71" s="1"/>
    </row>
    <row r="72" spans="1:26" x14ac:dyDescent="0.2">
      <c r="A72" s="97"/>
      <c r="B72" s="1"/>
      <c r="C72" s="1"/>
      <c r="D72" s="99"/>
      <c r="E72" s="1"/>
      <c r="F72" s="99"/>
      <c r="G72" s="99"/>
      <c r="H72" s="1"/>
      <c r="I72" s="1"/>
      <c r="J72" s="1"/>
      <c r="K72" s="1"/>
      <c r="L72" s="1"/>
      <c r="M72" s="1"/>
      <c r="N72" s="1"/>
      <c r="O72" s="1"/>
      <c r="P72" s="1"/>
      <c r="Q72" s="1"/>
      <c r="R72" s="1"/>
      <c r="S72" s="1"/>
      <c r="T72" s="1"/>
      <c r="U72" s="1"/>
      <c r="V72" s="1"/>
      <c r="W72" s="1"/>
      <c r="X72" s="1"/>
      <c r="Y72" s="1"/>
      <c r="Z72" s="1"/>
    </row>
    <row r="73" spans="1:26" x14ac:dyDescent="0.2">
      <c r="A73" s="97"/>
      <c r="B73" s="1"/>
      <c r="C73" s="1"/>
      <c r="D73" s="99"/>
      <c r="E73" s="1"/>
      <c r="F73" s="99"/>
      <c r="G73" s="99"/>
      <c r="H73" s="1"/>
      <c r="I73" s="1"/>
      <c r="J73" s="1"/>
      <c r="K73" s="1"/>
      <c r="L73" s="1"/>
      <c r="M73" s="1"/>
      <c r="N73" s="1"/>
      <c r="O73" s="1"/>
      <c r="P73" s="1"/>
      <c r="Q73" s="1"/>
      <c r="R73" s="1"/>
      <c r="S73" s="1"/>
      <c r="T73" s="1"/>
      <c r="U73" s="1"/>
      <c r="V73" s="1"/>
      <c r="W73" s="1"/>
      <c r="X73" s="1"/>
      <c r="Y73" s="1"/>
      <c r="Z73" s="1"/>
    </row>
    <row r="74" spans="1:26" x14ac:dyDescent="0.2">
      <c r="A74" s="97"/>
      <c r="B74" s="1"/>
      <c r="C74" s="1"/>
      <c r="D74" s="99"/>
      <c r="E74" s="1"/>
      <c r="F74" s="99"/>
      <c r="G74" s="99"/>
      <c r="H74" s="1"/>
      <c r="I74" s="1"/>
      <c r="J74" s="1"/>
      <c r="K74" s="1"/>
      <c r="L74" s="1"/>
      <c r="M74" s="1"/>
      <c r="N74" s="1"/>
      <c r="O74" s="1"/>
      <c r="P74" s="1"/>
      <c r="Q74" s="1"/>
      <c r="R74" s="1"/>
      <c r="S74" s="1"/>
      <c r="T74" s="1"/>
      <c r="U74" s="1"/>
      <c r="V74" s="1"/>
      <c r="W74" s="1"/>
      <c r="X74" s="1"/>
      <c r="Y74" s="1"/>
      <c r="Z74" s="1"/>
    </row>
    <row r="75" spans="1:26" x14ac:dyDescent="0.2">
      <c r="A75" s="97"/>
      <c r="B75" s="1"/>
      <c r="C75" s="1"/>
      <c r="D75" s="99"/>
      <c r="E75" s="1"/>
      <c r="F75" s="99"/>
      <c r="G75" s="99"/>
      <c r="H75" s="1"/>
      <c r="I75" s="1"/>
      <c r="J75" s="1"/>
      <c r="K75" s="1"/>
      <c r="L75" s="1"/>
      <c r="M75" s="1"/>
      <c r="N75" s="1"/>
      <c r="O75" s="1"/>
      <c r="P75" s="1"/>
      <c r="Q75" s="1"/>
      <c r="R75" s="1"/>
      <c r="S75" s="1"/>
      <c r="T75" s="1"/>
      <c r="U75" s="1"/>
      <c r="V75" s="1"/>
      <c r="W75" s="1"/>
      <c r="X75" s="1"/>
      <c r="Y75" s="1"/>
      <c r="Z75" s="1"/>
    </row>
    <row r="76" spans="1:26" x14ac:dyDescent="0.2">
      <c r="A76" s="97"/>
      <c r="B76" s="1"/>
      <c r="C76" s="1"/>
      <c r="D76" s="99"/>
      <c r="E76" s="1"/>
      <c r="F76" s="99"/>
      <c r="G76" s="99"/>
      <c r="H76" s="1"/>
      <c r="I76" s="1"/>
      <c r="J76" s="1"/>
      <c r="K76" s="1"/>
      <c r="L76" s="1"/>
      <c r="M76" s="1"/>
      <c r="N76" s="1"/>
      <c r="O76" s="1"/>
      <c r="P76" s="1"/>
      <c r="Q76" s="1"/>
      <c r="R76" s="1"/>
      <c r="S76" s="1"/>
      <c r="T76" s="1"/>
      <c r="U76" s="1"/>
      <c r="V76" s="1"/>
      <c r="W76" s="1"/>
      <c r="X76" s="1"/>
      <c r="Y76" s="1"/>
      <c r="Z76" s="1"/>
    </row>
    <row r="77" spans="1:26" x14ac:dyDescent="0.2">
      <c r="A77" s="97"/>
      <c r="B77" s="1"/>
      <c r="C77" s="1"/>
      <c r="D77" s="99"/>
      <c r="E77" s="1"/>
      <c r="F77" s="99"/>
      <c r="G77" s="99"/>
      <c r="H77" s="1"/>
      <c r="I77" s="1"/>
      <c r="J77" s="1"/>
      <c r="K77" s="1"/>
      <c r="L77" s="1"/>
      <c r="M77" s="1"/>
      <c r="N77" s="1"/>
      <c r="O77" s="1"/>
      <c r="P77" s="1"/>
      <c r="Q77" s="1"/>
      <c r="R77" s="1"/>
      <c r="S77" s="1"/>
      <c r="T77" s="1"/>
      <c r="U77" s="1"/>
      <c r="V77" s="1"/>
      <c r="W77" s="1"/>
      <c r="X77" s="1"/>
      <c r="Y77" s="1"/>
      <c r="Z77" s="1"/>
    </row>
    <row r="78" spans="1:26" x14ac:dyDescent="0.2">
      <c r="A78" s="97"/>
      <c r="B78" s="1"/>
      <c r="C78" s="1"/>
      <c r="D78" s="99"/>
      <c r="E78" s="1"/>
      <c r="F78" s="99"/>
      <c r="G78" s="99"/>
      <c r="H78" s="1"/>
      <c r="I78" s="1"/>
      <c r="J78" s="1"/>
      <c r="K78" s="1"/>
      <c r="L78" s="1"/>
      <c r="M78" s="1"/>
      <c r="N78" s="1"/>
      <c r="O78" s="1"/>
      <c r="P78" s="1"/>
      <c r="Q78" s="1"/>
      <c r="R78" s="1"/>
      <c r="S78" s="1"/>
      <c r="T78" s="1"/>
      <c r="U78" s="1"/>
      <c r="V78" s="1"/>
      <c r="W78" s="1"/>
      <c r="X78" s="1"/>
      <c r="Y78" s="1"/>
      <c r="Z78" s="1"/>
    </row>
    <row r="79" spans="1:26" x14ac:dyDescent="0.2">
      <c r="A79" s="97"/>
      <c r="B79" s="1"/>
      <c r="C79" s="1"/>
      <c r="D79" s="99"/>
      <c r="E79" s="1"/>
      <c r="F79" s="99"/>
      <c r="G79" s="99"/>
      <c r="H79" s="1"/>
      <c r="I79" s="1"/>
      <c r="J79" s="1"/>
      <c r="K79" s="1"/>
      <c r="L79" s="1"/>
      <c r="M79" s="1"/>
      <c r="N79" s="1"/>
      <c r="O79" s="1"/>
      <c r="P79" s="1"/>
      <c r="Q79" s="1"/>
      <c r="R79" s="1"/>
      <c r="S79" s="1"/>
      <c r="T79" s="1"/>
      <c r="U79" s="1"/>
      <c r="V79" s="1"/>
      <c r="W79" s="1"/>
      <c r="X79" s="1"/>
      <c r="Y79" s="1"/>
      <c r="Z79" s="1"/>
    </row>
    <row r="80" spans="1:26" x14ac:dyDescent="0.2">
      <c r="A80" s="97"/>
      <c r="B80" s="1"/>
      <c r="C80" s="1"/>
      <c r="D80" s="99"/>
      <c r="E80" s="1"/>
      <c r="F80" s="99"/>
      <c r="G80" s="99"/>
      <c r="H80" s="1"/>
      <c r="I80" s="1"/>
      <c r="J80" s="1"/>
      <c r="K80" s="1"/>
      <c r="L80" s="1"/>
      <c r="M80" s="1"/>
      <c r="N80" s="1"/>
      <c r="O80" s="1"/>
      <c r="P80" s="1"/>
      <c r="Q80" s="1"/>
      <c r="R80" s="1"/>
      <c r="S80" s="1"/>
      <c r="T80" s="1"/>
      <c r="U80" s="1"/>
      <c r="V80" s="1"/>
      <c r="W80" s="1"/>
      <c r="X80" s="1"/>
      <c r="Y80" s="1"/>
      <c r="Z80" s="1"/>
    </row>
    <row r="81" spans="1:26" x14ac:dyDescent="0.2">
      <c r="A81" s="97"/>
      <c r="B81" s="1"/>
      <c r="C81" s="1"/>
      <c r="D81" s="99"/>
      <c r="E81" s="1"/>
      <c r="F81" s="99"/>
      <c r="G81" s="99"/>
      <c r="H81" s="1"/>
      <c r="I81" s="1"/>
      <c r="J81" s="1"/>
      <c r="K81" s="1"/>
      <c r="L81" s="1"/>
      <c r="M81" s="1"/>
      <c r="N81" s="1"/>
      <c r="O81" s="1"/>
      <c r="P81" s="1"/>
      <c r="Q81" s="1"/>
      <c r="R81" s="1"/>
      <c r="S81" s="1"/>
      <c r="T81" s="1"/>
      <c r="U81" s="1"/>
      <c r="V81" s="1"/>
      <c r="W81" s="1"/>
      <c r="X81" s="1"/>
      <c r="Y81" s="1"/>
      <c r="Z81" s="1"/>
    </row>
    <row r="82" spans="1:26" x14ac:dyDescent="0.2">
      <c r="A82" s="97"/>
      <c r="B82" s="1"/>
      <c r="C82" s="1"/>
      <c r="D82" s="99"/>
      <c r="E82" s="1"/>
      <c r="F82" s="99"/>
      <c r="G82" s="99"/>
      <c r="H82" s="1"/>
      <c r="I82" s="1"/>
      <c r="J82" s="1"/>
      <c r="K82" s="1"/>
      <c r="L82" s="1"/>
      <c r="M82" s="1"/>
      <c r="N82" s="1"/>
      <c r="O82" s="1"/>
      <c r="P82" s="1"/>
      <c r="Q82" s="1"/>
      <c r="R82" s="1"/>
      <c r="S82" s="1"/>
      <c r="T82" s="1"/>
      <c r="U82" s="1"/>
      <c r="V82" s="1"/>
      <c r="W82" s="1"/>
      <c r="X82" s="1"/>
      <c r="Y82" s="1"/>
      <c r="Z82" s="1"/>
    </row>
    <row r="83" spans="1:26" x14ac:dyDescent="0.2">
      <c r="A83" s="97"/>
      <c r="B83" s="1"/>
      <c r="C83" s="1"/>
      <c r="D83" s="99"/>
      <c r="E83" s="1"/>
      <c r="F83" s="99"/>
      <c r="G83" s="99"/>
      <c r="H83" s="1"/>
      <c r="I83" s="1"/>
      <c r="J83" s="1"/>
      <c r="K83" s="1"/>
      <c r="L83" s="1"/>
      <c r="M83" s="1"/>
      <c r="N83" s="1"/>
      <c r="O83" s="1"/>
      <c r="P83" s="1"/>
      <c r="Q83" s="1"/>
      <c r="R83" s="1"/>
      <c r="S83" s="1"/>
      <c r="T83" s="1"/>
      <c r="U83" s="1"/>
      <c r="V83" s="1"/>
      <c r="W83" s="1"/>
      <c r="X83" s="1"/>
      <c r="Y83" s="1"/>
      <c r="Z83" s="1"/>
    </row>
    <row r="84" spans="1:26" x14ac:dyDescent="0.2">
      <c r="A84" s="97"/>
      <c r="B84" s="1"/>
      <c r="C84" s="1"/>
      <c r="D84" s="99"/>
      <c r="E84" s="1"/>
      <c r="F84" s="99"/>
      <c r="G84" s="99"/>
      <c r="H84" s="1"/>
      <c r="I84" s="1"/>
      <c r="J84" s="1"/>
      <c r="K84" s="1"/>
      <c r="L84" s="1"/>
      <c r="M84" s="1"/>
      <c r="N84" s="1"/>
      <c r="O84" s="1"/>
      <c r="P84" s="1"/>
      <c r="Q84" s="1"/>
      <c r="R84" s="1"/>
      <c r="S84" s="1"/>
      <c r="T84" s="1"/>
      <c r="U84" s="1"/>
      <c r="V84" s="1"/>
      <c r="W84" s="1"/>
      <c r="X84" s="1"/>
      <c r="Y84" s="1"/>
      <c r="Z84" s="1"/>
    </row>
    <row r="85" spans="1:26" x14ac:dyDescent="0.2">
      <c r="A85" s="97"/>
      <c r="B85" s="1"/>
      <c r="C85" s="1"/>
      <c r="D85" s="99"/>
      <c r="E85" s="1"/>
      <c r="F85" s="99"/>
      <c r="G85" s="99"/>
      <c r="H85" s="1"/>
      <c r="I85" s="1"/>
      <c r="J85" s="1"/>
      <c r="K85" s="1"/>
      <c r="L85" s="1"/>
      <c r="M85" s="1"/>
      <c r="N85" s="1"/>
      <c r="O85" s="1"/>
      <c r="P85" s="1"/>
      <c r="Q85" s="1"/>
      <c r="R85" s="1"/>
      <c r="S85" s="1"/>
      <c r="T85" s="1"/>
      <c r="U85" s="1"/>
      <c r="V85" s="1"/>
      <c r="W85" s="1"/>
      <c r="X85" s="1"/>
      <c r="Y85" s="1"/>
      <c r="Z85" s="1"/>
    </row>
    <row r="86" spans="1:26" x14ac:dyDescent="0.2">
      <c r="A86" s="97"/>
      <c r="B86" s="1"/>
      <c r="C86" s="1"/>
      <c r="D86" s="99"/>
      <c r="E86" s="1"/>
      <c r="F86" s="99"/>
      <c r="G86" s="99"/>
      <c r="H86" s="1"/>
      <c r="I86" s="1"/>
      <c r="J86" s="1"/>
      <c r="K86" s="1"/>
      <c r="L86" s="1"/>
      <c r="M86" s="1"/>
      <c r="N86" s="1"/>
      <c r="O86" s="1"/>
      <c r="P86" s="1"/>
      <c r="Q86" s="1"/>
      <c r="R86" s="1"/>
      <c r="S86" s="1"/>
      <c r="T86" s="1"/>
      <c r="U86" s="1"/>
      <c r="V86" s="1"/>
      <c r="W86" s="1"/>
      <c r="X86" s="1"/>
      <c r="Y86" s="1"/>
      <c r="Z86" s="1"/>
    </row>
    <row r="87" spans="1:26" x14ac:dyDescent="0.2">
      <c r="A87" s="97"/>
      <c r="B87" s="1"/>
      <c r="C87" s="1"/>
      <c r="D87" s="99"/>
      <c r="E87" s="1"/>
      <c r="F87" s="99"/>
      <c r="G87" s="99"/>
      <c r="H87" s="1"/>
      <c r="I87" s="1"/>
      <c r="J87" s="1"/>
      <c r="K87" s="1"/>
      <c r="L87" s="1"/>
      <c r="M87" s="1"/>
      <c r="N87" s="1"/>
      <c r="O87" s="1"/>
      <c r="P87" s="1"/>
      <c r="Q87" s="1"/>
      <c r="R87" s="1"/>
      <c r="S87" s="1"/>
      <c r="T87" s="1"/>
      <c r="U87" s="1"/>
      <c r="V87" s="1"/>
      <c r="W87" s="1"/>
      <c r="X87" s="1"/>
      <c r="Y87" s="1"/>
      <c r="Z87" s="1"/>
    </row>
    <row r="88" spans="1:26" x14ac:dyDescent="0.2">
      <c r="A88" s="97"/>
      <c r="B88" s="1"/>
      <c r="C88" s="1"/>
      <c r="D88" s="99"/>
      <c r="E88" s="1"/>
      <c r="F88" s="99"/>
      <c r="G88" s="99"/>
      <c r="H88" s="1"/>
      <c r="I88" s="1"/>
      <c r="J88" s="1"/>
      <c r="K88" s="1"/>
      <c r="L88" s="1"/>
      <c r="M88" s="1"/>
      <c r="N88" s="1"/>
      <c r="O88" s="1"/>
      <c r="P88" s="1"/>
      <c r="Q88" s="1"/>
      <c r="R88" s="1"/>
      <c r="S88" s="1"/>
      <c r="T88" s="1"/>
      <c r="U88" s="1"/>
      <c r="V88" s="1"/>
      <c r="W88" s="1"/>
      <c r="X88" s="1"/>
      <c r="Y88" s="1"/>
      <c r="Z88" s="1"/>
    </row>
    <row r="89" spans="1:26" x14ac:dyDescent="0.2">
      <c r="A89" s="97"/>
      <c r="B89" s="1"/>
      <c r="C89" s="1"/>
      <c r="D89" s="99"/>
      <c r="E89" s="1"/>
      <c r="F89" s="99"/>
      <c r="G89" s="99"/>
      <c r="H89" s="1"/>
      <c r="I89" s="1"/>
      <c r="J89" s="1"/>
      <c r="K89" s="1"/>
      <c r="L89" s="1"/>
      <c r="M89" s="1"/>
      <c r="N89" s="1"/>
      <c r="O89" s="1"/>
      <c r="P89" s="1"/>
      <c r="Q89" s="1"/>
      <c r="R89" s="1"/>
      <c r="S89" s="1"/>
      <c r="T89" s="1"/>
      <c r="U89" s="1"/>
      <c r="V89" s="1"/>
      <c r="W89" s="1"/>
      <c r="X89" s="1"/>
      <c r="Y89" s="1"/>
      <c r="Z89" s="1"/>
    </row>
    <row r="90" spans="1:26" x14ac:dyDescent="0.2">
      <c r="A90" s="97"/>
      <c r="B90" s="1"/>
      <c r="C90" s="1"/>
      <c r="D90" s="99"/>
      <c r="E90" s="1"/>
      <c r="F90" s="99"/>
      <c r="G90" s="99"/>
      <c r="H90" s="1"/>
      <c r="I90" s="1"/>
      <c r="J90" s="1"/>
      <c r="K90" s="1"/>
      <c r="L90" s="1"/>
      <c r="M90" s="1"/>
      <c r="N90" s="1"/>
      <c r="O90" s="1"/>
      <c r="P90" s="1"/>
      <c r="Q90" s="1"/>
      <c r="R90" s="1"/>
      <c r="S90" s="1"/>
      <c r="T90" s="1"/>
      <c r="U90" s="1"/>
      <c r="V90" s="1"/>
      <c r="W90" s="1"/>
      <c r="X90" s="1"/>
      <c r="Y90" s="1"/>
      <c r="Z90" s="1"/>
    </row>
    <row r="91" spans="1:26" x14ac:dyDescent="0.2">
      <c r="A91" s="97"/>
      <c r="B91" s="1"/>
      <c r="C91" s="1"/>
      <c r="D91" s="99"/>
      <c r="E91" s="1"/>
      <c r="F91" s="99"/>
      <c r="G91" s="99"/>
      <c r="H91" s="1"/>
      <c r="I91" s="1"/>
      <c r="J91" s="1"/>
      <c r="K91" s="1"/>
      <c r="L91" s="1"/>
      <c r="M91" s="1"/>
      <c r="N91" s="1"/>
      <c r="O91" s="1"/>
      <c r="P91" s="1"/>
      <c r="Q91" s="1"/>
      <c r="R91" s="1"/>
      <c r="S91" s="1"/>
      <c r="T91" s="1"/>
      <c r="U91" s="1"/>
      <c r="V91" s="1"/>
      <c r="W91" s="1"/>
      <c r="X91" s="1"/>
      <c r="Y91" s="1"/>
      <c r="Z91" s="1"/>
    </row>
    <row r="92" spans="1:26" x14ac:dyDescent="0.2">
      <c r="A92" s="97"/>
      <c r="B92" s="1"/>
      <c r="C92" s="1"/>
      <c r="D92" s="99"/>
      <c r="E92" s="1"/>
      <c r="F92" s="99"/>
      <c r="G92" s="99"/>
      <c r="H92" s="1"/>
      <c r="I92" s="1"/>
      <c r="J92" s="1"/>
      <c r="K92" s="1"/>
      <c r="L92" s="1"/>
      <c r="M92" s="1"/>
      <c r="N92" s="1"/>
      <c r="O92" s="1"/>
      <c r="P92" s="1"/>
      <c r="Q92" s="1"/>
      <c r="R92" s="1"/>
      <c r="S92" s="1"/>
      <c r="T92" s="1"/>
      <c r="U92" s="1"/>
      <c r="V92" s="1"/>
      <c r="W92" s="1"/>
      <c r="X92" s="1"/>
      <c r="Y92" s="1"/>
      <c r="Z92" s="1"/>
    </row>
    <row r="93" spans="1:26" x14ac:dyDescent="0.2">
      <c r="A93" s="97"/>
      <c r="B93" s="1"/>
      <c r="C93" s="1"/>
      <c r="D93" s="99"/>
      <c r="E93" s="1"/>
      <c r="F93" s="99"/>
      <c r="G93" s="99"/>
      <c r="H93" s="1"/>
      <c r="I93" s="1"/>
      <c r="J93" s="1"/>
      <c r="K93" s="1"/>
      <c r="L93" s="1"/>
      <c r="M93" s="1"/>
      <c r="N93" s="1"/>
      <c r="O93" s="1"/>
      <c r="P93" s="1"/>
      <c r="Q93" s="1"/>
      <c r="R93" s="1"/>
      <c r="S93" s="1"/>
      <c r="T93" s="1"/>
      <c r="U93" s="1"/>
      <c r="V93" s="1"/>
      <c r="W93" s="1"/>
      <c r="X93" s="1"/>
      <c r="Y93" s="1"/>
      <c r="Z93" s="1"/>
    </row>
    <row r="94" spans="1:26" x14ac:dyDescent="0.2">
      <c r="A94" s="97"/>
      <c r="B94" s="1"/>
      <c r="C94" s="1"/>
      <c r="D94" s="99"/>
      <c r="E94" s="1"/>
      <c r="F94" s="99"/>
      <c r="G94" s="99"/>
      <c r="H94" s="1"/>
      <c r="I94" s="1"/>
      <c r="J94" s="1"/>
      <c r="K94" s="1"/>
      <c r="L94" s="1"/>
      <c r="M94" s="1"/>
      <c r="N94" s="1"/>
      <c r="O94" s="1"/>
      <c r="P94" s="1"/>
      <c r="Q94" s="1"/>
      <c r="R94" s="1"/>
      <c r="S94" s="1"/>
      <c r="T94" s="1"/>
      <c r="U94" s="1"/>
      <c r="V94" s="1"/>
      <c r="W94" s="1"/>
      <c r="X94" s="1"/>
      <c r="Y94" s="1"/>
      <c r="Z94" s="1"/>
    </row>
    <row r="95" spans="1:26" x14ac:dyDescent="0.2">
      <c r="A95" s="97"/>
      <c r="B95" s="1"/>
      <c r="C95" s="1"/>
      <c r="D95" s="99"/>
      <c r="E95" s="1"/>
      <c r="F95" s="99"/>
      <c r="G95" s="99"/>
      <c r="H95" s="1"/>
      <c r="I95" s="1"/>
      <c r="J95" s="1"/>
      <c r="K95" s="1"/>
      <c r="L95" s="1"/>
      <c r="M95" s="1"/>
      <c r="N95" s="1"/>
      <c r="O95" s="1"/>
      <c r="P95" s="1"/>
      <c r="Q95" s="1"/>
      <c r="R95" s="1"/>
      <c r="S95" s="1"/>
      <c r="T95" s="1"/>
      <c r="U95" s="1"/>
      <c r="V95" s="1"/>
      <c r="W95" s="1"/>
      <c r="X95" s="1"/>
      <c r="Y95" s="1"/>
      <c r="Z95" s="1"/>
    </row>
    <row r="96" spans="1:26" x14ac:dyDescent="0.2">
      <c r="A96" s="97"/>
      <c r="B96" s="1"/>
      <c r="C96" s="1"/>
      <c r="D96" s="99"/>
      <c r="E96" s="1"/>
      <c r="F96" s="99"/>
      <c r="G96" s="99"/>
      <c r="H96" s="1"/>
      <c r="I96" s="1"/>
      <c r="J96" s="1"/>
      <c r="K96" s="1"/>
      <c r="L96" s="1"/>
      <c r="M96" s="1"/>
      <c r="N96" s="1"/>
      <c r="O96" s="1"/>
      <c r="P96" s="1"/>
      <c r="Q96" s="1"/>
      <c r="R96" s="1"/>
      <c r="S96" s="1"/>
      <c r="T96" s="1"/>
      <c r="U96" s="1"/>
      <c r="V96" s="1"/>
      <c r="W96" s="1"/>
      <c r="X96" s="1"/>
      <c r="Y96" s="1"/>
      <c r="Z96" s="1"/>
    </row>
  </sheetData>
  <sheetProtection algorithmName="SHA-512" hashValue="mUJKj3K3WRUfOCeUngFbA89i3FzS67FJEZEbuEwimw6se6nquygoowuXAz0P7HIJ0Qpu4qhX7cd3XfA4GF9A3w==" saltValue="n16GJuioImgEp0uTV0k7LQ==" spinCount="100000" sheet="1" objects="1" scenarios="1"/>
  <customSheetViews>
    <customSheetView guid="{58EB2181-60CA-D84F-9BE3-6D30A91A6F68}" scale="125" showPageBreaks="1" fitToPage="1" printArea="1" view="pageLayout" topLeftCell="A11">
      <selection activeCell="B11" sqref="B11:C11"/>
      <pageMargins left="0.7" right="0.7" top="0.75" bottom="0.75" header="0.3" footer="0.3"/>
      <pageSetup paperSize="9" scale="86"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 guid="{E2B8E4FB-7E5E-E744-9E59-F9CB9CC15E64}" scale="125" showPageBreaks="1" fitToPage="1" printArea="1" view="pageLayout" topLeftCell="A11">
      <selection activeCell="B11" sqref="B11:C11"/>
      <pageMargins left="0.7" right="0.7" top="0.75" bottom="0.75" header="0.3" footer="0.3"/>
      <pageSetup paperSize="9" scale="86"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s>
  <mergeCells count="12">
    <mergeCell ref="A3:C3"/>
    <mergeCell ref="B5:C5"/>
    <mergeCell ref="B6:C6"/>
    <mergeCell ref="B7:C7"/>
    <mergeCell ref="B10:C10"/>
    <mergeCell ref="B8:C8"/>
    <mergeCell ref="B9:C9"/>
    <mergeCell ref="B15:C15"/>
    <mergeCell ref="B11:C11"/>
    <mergeCell ref="B12:C12"/>
    <mergeCell ref="B13:C13"/>
    <mergeCell ref="B14:C14"/>
  </mergeCells>
  <phoneticPr fontId="6" type="noConversion"/>
  <pageMargins left="0.75" right="0.75" top="1" bottom="1" header="0.5" footer="0.5"/>
  <pageSetup paperSize="9" scale="29" orientation="portrait" horizontalDpi="4294967292" verticalDpi="4294967292" r:id="rId1"/>
  <headerFooter>
    <oddFooter>&amp;L&amp;"Arial,Regular"&amp;K000000Direktorat Keamanan Informasi&amp;C&amp;"Arial,Regular"&amp;K000000Badan Siber dan Sandi Negara&amp;R&amp;"Arial,Regular"&amp;K000000Indeks KAMI, Versi  4.0, 2019</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Dashboard!$AM$24:$AM$26</xm:f>
          </x14:formula1>
          <xm:sqref>D5:D14</xm:sqref>
        </x14:dataValidation>
      </x14:dataValidations>
    </ex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90"/>
  <sheetViews>
    <sheetView zoomScaleNormal="125" zoomScalePageLayoutView="125" workbookViewId="0">
      <pane ySplit="4" topLeftCell="A5" activePane="bottomLeft" state="frozenSplit"/>
      <selection pane="bottomLeft" activeCell="H8" sqref="H8"/>
    </sheetView>
  </sheetViews>
  <sheetFormatPr defaultColWidth="7.81640625" defaultRowHeight="12.6" x14ac:dyDescent="0.2"/>
  <cols>
    <col min="1" max="1" width="4.81640625" style="98" customWidth="1"/>
    <col min="2" max="2" width="2.453125" style="98" bestFit="1" customWidth="1"/>
    <col min="3" max="3" width="2.453125" style="98" customWidth="1"/>
    <col min="4" max="4" width="80.6328125" style="2" customWidth="1"/>
    <col min="5" max="5" width="30.6328125" style="2" customWidth="1"/>
    <col min="6" max="6" width="4.6328125" style="118" customWidth="1"/>
    <col min="7" max="7" width="19.6328125" style="1" customWidth="1"/>
    <col min="8" max="8" width="26" style="1" customWidth="1"/>
    <col min="9" max="9" width="19.6328125" style="1" customWidth="1"/>
    <col min="10" max="10" width="26" style="1" customWidth="1"/>
    <col min="11" max="22" width="7.81640625" style="1"/>
    <col min="23" max="16384" width="7.81640625" style="2"/>
  </cols>
  <sheetData>
    <row r="1" spans="1:10" ht="30" customHeight="1" x14ac:dyDescent="0.2">
      <c r="A1" s="235" t="s">
        <v>129</v>
      </c>
      <c r="B1" s="236"/>
      <c r="C1" s="237"/>
      <c r="D1" s="237"/>
      <c r="E1" s="238"/>
    </row>
    <row r="2" spans="1:10" s="1" customFormat="1" ht="30" customHeight="1" x14ac:dyDescent="0.2">
      <c r="A2" s="239" t="s">
        <v>411</v>
      </c>
      <c r="B2" s="240"/>
      <c r="C2" s="240"/>
      <c r="D2" s="240"/>
      <c r="E2" s="241"/>
    </row>
    <row r="3" spans="1:10" customFormat="1" ht="30" customHeight="1" x14ac:dyDescent="0.25">
      <c r="A3" s="226" t="s">
        <v>34</v>
      </c>
      <c r="B3" s="232"/>
      <c r="C3" s="233"/>
      <c r="D3" s="234"/>
      <c r="E3" s="84" t="s">
        <v>87</v>
      </c>
      <c r="F3" s="85" t="s">
        <v>95</v>
      </c>
      <c r="G3" s="119" t="s">
        <v>618</v>
      </c>
      <c r="H3" s="119" t="s">
        <v>619</v>
      </c>
      <c r="I3" s="1"/>
      <c r="J3" s="1"/>
    </row>
    <row r="4" spans="1:10" ht="13.95" customHeight="1" x14ac:dyDescent="0.2">
      <c r="A4" s="120" t="s">
        <v>93</v>
      </c>
      <c r="B4" s="121"/>
      <c r="C4" s="242" t="s">
        <v>491</v>
      </c>
      <c r="D4" s="243"/>
      <c r="E4" s="244"/>
      <c r="G4" s="122"/>
      <c r="H4" s="122"/>
    </row>
    <row r="5" spans="1:10" ht="41.4" x14ac:dyDescent="0.2">
      <c r="A5" s="123" t="s">
        <v>490</v>
      </c>
      <c r="B5" s="124" t="s">
        <v>132</v>
      </c>
      <c r="C5" s="125">
        <v>1</v>
      </c>
      <c r="D5" s="126" t="s">
        <v>412</v>
      </c>
      <c r="E5" s="7" t="s">
        <v>624</v>
      </c>
      <c r="F5" s="88">
        <f>INDEX(SkorAkhir, MATCH(E5,StatusPenerapanHasil,0), MATCH(C5,TingkatKematangan,0))</f>
        <v>3</v>
      </c>
      <c r="G5" s="206"/>
      <c r="H5" s="206"/>
    </row>
    <row r="6" spans="1:10" ht="27.6" x14ac:dyDescent="0.2">
      <c r="A6" s="127" t="s">
        <v>550</v>
      </c>
      <c r="B6" s="124" t="s">
        <v>132</v>
      </c>
      <c r="C6" s="125">
        <v>1</v>
      </c>
      <c r="D6" s="128" t="s">
        <v>413</v>
      </c>
      <c r="E6" s="7" t="s">
        <v>624</v>
      </c>
      <c r="F6" s="88">
        <f t="shared" ref="F6:F20" si="0">INDEX(SkorAkhir, MATCH(E6,StatusPenerapanHasil,0), MATCH(C6,TingkatKematangan,0))</f>
        <v>3</v>
      </c>
      <c r="G6" s="205"/>
      <c r="H6" s="205"/>
    </row>
    <row r="7" spans="1:10" ht="27.6" x14ac:dyDescent="0.2">
      <c r="A7" s="123" t="s">
        <v>551</v>
      </c>
      <c r="B7" s="124" t="s">
        <v>132</v>
      </c>
      <c r="C7" s="125">
        <v>1</v>
      </c>
      <c r="D7" s="126" t="s">
        <v>122</v>
      </c>
      <c r="E7" s="7" t="s">
        <v>624</v>
      </c>
      <c r="F7" s="88">
        <f t="shared" si="0"/>
        <v>3</v>
      </c>
      <c r="G7" s="205"/>
      <c r="H7" s="205"/>
    </row>
    <row r="8" spans="1:10" ht="27.6" x14ac:dyDescent="0.2">
      <c r="A8" s="127" t="s">
        <v>552</v>
      </c>
      <c r="B8" s="124" t="s">
        <v>132</v>
      </c>
      <c r="C8" s="125">
        <v>1</v>
      </c>
      <c r="D8" s="126" t="s">
        <v>86</v>
      </c>
      <c r="E8" s="7" t="s">
        <v>624</v>
      </c>
      <c r="F8" s="88">
        <f t="shared" si="0"/>
        <v>3</v>
      </c>
      <c r="G8" s="205"/>
      <c r="H8" s="205"/>
    </row>
    <row r="9" spans="1:10" ht="27.6" x14ac:dyDescent="0.2">
      <c r="A9" s="123" t="s">
        <v>553</v>
      </c>
      <c r="B9" s="129" t="s">
        <v>132</v>
      </c>
      <c r="C9" s="125">
        <v>1</v>
      </c>
      <c r="D9" s="126" t="s">
        <v>128</v>
      </c>
      <c r="E9" s="7" t="s">
        <v>624</v>
      </c>
      <c r="F9" s="88">
        <f t="shared" si="0"/>
        <v>3</v>
      </c>
      <c r="G9" s="205"/>
      <c r="H9" s="205"/>
    </row>
    <row r="10" spans="1:10" ht="27.6" x14ac:dyDescent="0.2">
      <c r="A10" s="127" t="s">
        <v>554</v>
      </c>
      <c r="B10" s="124" t="s">
        <v>132</v>
      </c>
      <c r="C10" s="125">
        <v>1</v>
      </c>
      <c r="D10" s="126" t="s">
        <v>414</v>
      </c>
      <c r="E10" s="7" t="s">
        <v>624</v>
      </c>
      <c r="F10" s="88">
        <f t="shared" si="0"/>
        <v>3</v>
      </c>
      <c r="G10" s="205"/>
      <c r="H10" s="205"/>
    </row>
    <row r="11" spans="1:10" ht="27.6" x14ac:dyDescent="0.2">
      <c r="A11" s="123" t="s">
        <v>555</v>
      </c>
      <c r="B11" s="124" t="s">
        <v>132</v>
      </c>
      <c r="C11" s="125">
        <v>1</v>
      </c>
      <c r="D11" s="126" t="s">
        <v>415</v>
      </c>
      <c r="E11" s="7" t="s">
        <v>624</v>
      </c>
      <c r="F11" s="88">
        <f t="shared" si="0"/>
        <v>3</v>
      </c>
      <c r="G11" s="205"/>
      <c r="H11" s="205"/>
    </row>
    <row r="12" spans="1:10" ht="27.6" x14ac:dyDescent="0.2">
      <c r="A12" s="127" t="s">
        <v>556</v>
      </c>
      <c r="B12" s="124" t="s">
        <v>132</v>
      </c>
      <c r="C12" s="125">
        <v>1</v>
      </c>
      <c r="D12" s="126" t="s">
        <v>416</v>
      </c>
      <c r="E12" s="7" t="s">
        <v>624</v>
      </c>
      <c r="F12" s="88">
        <f t="shared" si="0"/>
        <v>3</v>
      </c>
      <c r="G12" s="205"/>
      <c r="H12" s="205"/>
    </row>
    <row r="13" spans="1:10" ht="27.6" x14ac:dyDescent="0.2">
      <c r="A13" s="123" t="s">
        <v>557</v>
      </c>
      <c r="B13" s="124" t="s">
        <v>132</v>
      </c>
      <c r="C13" s="130">
        <v>2</v>
      </c>
      <c r="D13" s="131" t="s">
        <v>417</v>
      </c>
      <c r="E13" s="7" t="s">
        <v>624</v>
      </c>
      <c r="F13" s="88">
        <f t="shared" si="0"/>
        <v>6</v>
      </c>
      <c r="G13" s="205"/>
      <c r="H13" s="205"/>
    </row>
    <row r="14" spans="1:10" ht="27.6" x14ac:dyDescent="0.2">
      <c r="A14" s="127" t="s">
        <v>223</v>
      </c>
      <c r="B14" s="124" t="s">
        <v>132</v>
      </c>
      <c r="C14" s="130">
        <v>2</v>
      </c>
      <c r="D14" s="126" t="s">
        <v>418</v>
      </c>
      <c r="E14" s="7" t="s">
        <v>624</v>
      </c>
      <c r="F14" s="88">
        <f t="shared" si="0"/>
        <v>6</v>
      </c>
      <c r="G14" s="205"/>
      <c r="H14" s="205"/>
    </row>
    <row r="15" spans="1:10" ht="27.6" x14ac:dyDescent="0.2">
      <c r="A15" s="123" t="s">
        <v>224</v>
      </c>
      <c r="B15" s="124" t="s">
        <v>132</v>
      </c>
      <c r="C15" s="130">
        <v>2</v>
      </c>
      <c r="D15" s="126" t="s">
        <v>419</v>
      </c>
      <c r="E15" s="7" t="s">
        <v>624</v>
      </c>
      <c r="F15" s="88">
        <f t="shared" si="0"/>
        <v>6</v>
      </c>
      <c r="G15" s="205"/>
      <c r="H15" s="205"/>
    </row>
    <row r="16" spans="1:10" ht="55.2" x14ac:dyDescent="0.2">
      <c r="A16" s="127" t="s">
        <v>225</v>
      </c>
      <c r="B16" s="124" t="s">
        <v>132</v>
      </c>
      <c r="C16" s="130">
        <v>2</v>
      </c>
      <c r="D16" s="126" t="s">
        <v>305</v>
      </c>
      <c r="E16" s="7" t="s">
        <v>624</v>
      </c>
      <c r="F16" s="88">
        <f t="shared" si="0"/>
        <v>6</v>
      </c>
      <c r="G16" s="205"/>
      <c r="H16" s="205"/>
    </row>
    <row r="17" spans="1:22" ht="55.2" x14ac:dyDescent="0.2">
      <c r="A17" s="123" t="s">
        <v>226</v>
      </c>
      <c r="B17" s="124" t="s">
        <v>132</v>
      </c>
      <c r="C17" s="130">
        <v>2</v>
      </c>
      <c r="D17" s="126" t="s">
        <v>306</v>
      </c>
      <c r="E17" s="7" t="s">
        <v>624</v>
      </c>
      <c r="F17" s="88">
        <f t="shared" si="0"/>
        <v>6</v>
      </c>
      <c r="G17" s="205"/>
      <c r="H17" s="205"/>
    </row>
    <row r="18" spans="1:22" ht="42" x14ac:dyDescent="0.2">
      <c r="A18" s="127" t="s">
        <v>227</v>
      </c>
      <c r="B18" s="132" t="s">
        <v>133</v>
      </c>
      <c r="C18" s="130">
        <v>2</v>
      </c>
      <c r="D18" s="126" t="s">
        <v>146</v>
      </c>
      <c r="E18" s="7" t="s">
        <v>624</v>
      </c>
      <c r="F18" s="88">
        <f t="shared" si="0"/>
        <v>6</v>
      </c>
      <c r="G18" s="205"/>
      <c r="H18" s="205"/>
    </row>
    <row r="19" spans="1:22" ht="27.6" x14ac:dyDescent="0.2">
      <c r="A19" s="123" t="s">
        <v>228</v>
      </c>
      <c r="B19" s="132" t="s">
        <v>133</v>
      </c>
      <c r="C19" s="130">
        <v>2</v>
      </c>
      <c r="D19" s="126" t="s">
        <v>420</v>
      </c>
      <c r="E19" s="7" t="s">
        <v>624</v>
      </c>
      <c r="F19" s="88">
        <f t="shared" si="0"/>
        <v>6</v>
      </c>
      <c r="G19" s="205"/>
      <c r="H19" s="205"/>
    </row>
    <row r="20" spans="1:22" ht="27.6" x14ac:dyDescent="0.2">
      <c r="A20" s="127" t="s">
        <v>229</v>
      </c>
      <c r="B20" s="132" t="s">
        <v>133</v>
      </c>
      <c r="C20" s="130">
        <v>2</v>
      </c>
      <c r="D20" s="126" t="s">
        <v>615</v>
      </c>
      <c r="E20" s="7" t="s">
        <v>624</v>
      </c>
      <c r="F20" s="88">
        <f t="shared" si="0"/>
        <v>6</v>
      </c>
      <c r="G20" s="205"/>
      <c r="H20" s="205"/>
    </row>
    <row r="21" spans="1:22" ht="41.4" x14ac:dyDescent="0.2">
      <c r="A21" s="123" t="s">
        <v>230</v>
      </c>
      <c r="B21" s="133" t="s">
        <v>135</v>
      </c>
      <c r="C21" s="134">
        <v>3</v>
      </c>
      <c r="D21" s="126" t="s">
        <v>421</v>
      </c>
      <c r="E21" s="7" t="s">
        <v>624</v>
      </c>
      <c r="F21" s="88">
        <f t="shared" ref="F21:F26" si="1">IF($E$34="Valid",INDEX(SkorAkhir, MATCH(E21,StatusPenerapanHasil,0), MATCH(C21,TingkatKematangan,0)),0)</f>
        <v>9</v>
      </c>
      <c r="G21" s="211"/>
      <c r="H21" s="205"/>
    </row>
    <row r="22" spans="1:22" ht="41.4" x14ac:dyDescent="0.2">
      <c r="A22" s="127" t="s">
        <v>231</v>
      </c>
      <c r="B22" s="133" t="s">
        <v>135</v>
      </c>
      <c r="C22" s="134">
        <v>3</v>
      </c>
      <c r="D22" s="126" t="s">
        <v>422</v>
      </c>
      <c r="E22" s="7" t="s">
        <v>624</v>
      </c>
      <c r="F22" s="88">
        <f t="shared" si="1"/>
        <v>9</v>
      </c>
      <c r="G22" s="205"/>
      <c r="H22" s="205"/>
    </row>
    <row r="23" spans="1:22" ht="27.6" x14ac:dyDescent="0.2">
      <c r="A23" s="123" t="s">
        <v>232</v>
      </c>
      <c r="B23" s="133" t="s">
        <v>135</v>
      </c>
      <c r="C23" s="134">
        <v>3</v>
      </c>
      <c r="D23" s="126" t="s">
        <v>423</v>
      </c>
      <c r="E23" s="7" t="s">
        <v>624</v>
      </c>
      <c r="F23" s="88">
        <f t="shared" si="1"/>
        <v>9</v>
      </c>
      <c r="G23" s="205"/>
      <c r="H23" s="205"/>
    </row>
    <row r="24" spans="1:22" ht="55.2" x14ac:dyDescent="0.2">
      <c r="A24" s="127" t="s">
        <v>233</v>
      </c>
      <c r="B24" s="133" t="s">
        <v>135</v>
      </c>
      <c r="C24" s="134">
        <v>3</v>
      </c>
      <c r="D24" s="126" t="s">
        <v>424</v>
      </c>
      <c r="E24" s="7" t="s">
        <v>624</v>
      </c>
      <c r="F24" s="88">
        <f t="shared" si="1"/>
        <v>9</v>
      </c>
      <c r="G24" s="205"/>
      <c r="H24" s="205"/>
    </row>
    <row r="25" spans="1:22" ht="27.6" x14ac:dyDescent="0.2">
      <c r="A25" s="123" t="s">
        <v>234</v>
      </c>
      <c r="B25" s="133" t="s">
        <v>135</v>
      </c>
      <c r="C25" s="134">
        <v>3</v>
      </c>
      <c r="D25" s="126" t="s">
        <v>425</v>
      </c>
      <c r="E25" s="7" t="s">
        <v>624</v>
      </c>
      <c r="F25" s="88">
        <f t="shared" si="1"/>
        <v>9</v>
      </c>
      <c r="G25" s="205"/>
      <c r="H25" s="205"/>
    </row>
    <row r="26" spans="1:22" ht="27.6" x14ac:dyDescent="0.2">
      <c r="A26" s="127" t="s">
        <v>235</v>
      </c>
      <c r="B26" s="133" t="s">
        <v>135</v>
      </c>
      <c r="C26" s="134">
        <v>3</v>
      </c>
      <c r="D26" s="131" t="s">
        <v>426</v>
      </c>
      <c r="E26" s="7" t="s">
        <v>624</v>
      </c>
      <c r="F26" s="88">
        <f t="shared" si="1"/>
        <v>9</v>
      </c>
      <c r="G26" s="205"/>
      <c r="H26" s="205"/>
    </row>
    <row r="27" spans="1:22" ht="18.600000000000001" x14ac:dyDescent="0.2">
      <c r="A27" s="135"/>
      <c r="B27" s="135"/>
      <c r="C27" s="135"/>
      <c r="D27" s="136" t="s">
        <v>27</v>
      </c>
      <c r="E27" s="137">
        <f>SUM(F5:F26)</f>
        <v>126</v>
      </c>
    </row>
    <row r="28" spans="1:22" s="139" customFormat="1" x14ac:dyDescent="0.2">
      <c r="A28" s="138"/>
      <c r="B28" s="138"/>
      <c r="C28" s="138"/>
      <c r="F28" s="1"/>
      <c r="G28" s="1"/>
      <c r="H28" s="1"/>
      <c r="I28" s="1"/>
      <c r="J28" s="1"/>
      <c r="K28" s="1"/>
      <c r="L28" s="1"/>
      <c r="M28" s="1"/>
      <c r="N28" s="1"/>
      <c r="O28" s="1"/>
      <c r="P28" s="1"/>
      <c r="Q28" s="1"/>
      <c r="R28" s="1"/>
      <c r="S28" s="1"/>
      <c r="T28" s="1"/>
      <c r="U28" s="1"/>
      <c r="V28" s="1"/>
    </row>
    <row r="29" spans="1:22" s="1" customFormat="1" x14ac:dyDescent="0.2">
      <c r="D29" s="140" t="s">
        <v>191</v>
      </c>
      <c r="E29" s="141">
        <f>COUNTIF(C5:C26,1)</f>
        <v>8</v>
      </c>
    </row>
    <row r="30" spans="1:22" s="1" customFormat="1" x14ac:dyDescent="0.2">
      <c r="D30" s="140" t="s">
        <v>192</v>
      </c>
      <c r="E30" s="141">
        <f>COUNTIF(C5:C26,2)</f>
        <v>8</v>
      </c>
    </row>
    <row r="31" spans="1:22" s="1" customFormat="1" x14ac:dyDescent="0.2">
      <c r="D31" s="140" t="s">
        <v>193</v>
      </c>
      <c r="E31" s="141">
        <f>COUNTIF(C5:C26,3)</f>
        <v>6</v>
      </c>
    </row>
    <row r="32" spans="1:22" s="1" customFormat="1" x14ac:dyDescent="0.2">
      <c r="A32" s="97"/>
      <c r="B32" s="97"/>
      <c r="C32" s="97"/>
      <c r="D32" s="140" t="s">
        <v>194</v>
      </c>
      <c r="E32" s="141">
        <f>(2*E29)+(4*E30)</f>
        <v>48</v>
      </c>
    </row>
    <row r="33" spans="1:8" s="1" customFormat="1" x14ac:dyDescent="0.2">
      <c r="A33" s="97"/>
      <c r="B33" s="97"/>
      <c r="C33" s="97"/>
      <c r="D33" s="140" t="s">
        <v>195</v>
      </c>
      <c r="E33" s="141">
        <f>SUM(F5:F20)</f>
        <v>72</v>
      </c>
    </row>
    <row r="34" spans="1:8" s="1" customFormat="1" x14ac:dyDescent="0.2">
      <c r="A34" s="97"/>
      <c r="B34" s="97"/>
      <c r="C34" s="97"/>
      <c r="D34" s="140" t="s">
        <v>196</v>
      </c>
      <c r="E34" s="141" t="str">
        <f>IF(E33&gt;=E32,"Valid","Tidak Valid")</f>
        <v>Valid</v>
      </c>
    </row>
    <row r="35" spans="1:8" s="1" customFormat="1" x14ac:dyDescent="0.2">
      <c r="A35" s="97"/>
      <c r="B35" s="97"/>
      <c r="C35" s="97"/>
      <c r="D35" s="142"/>
      <c r="E35" s="142"/>
    </row>
    <row r="36" spans="1:8" s="1" customFormat="1" x14ac:dyDescent="0.2">
      <c r="A36" s="97"/>
      <c r="B36" s="97"/>
      <c r="C36" s="97"/>
      <c r="D36" s="140" t="s">
        <v>138</v>
      </c>
      <c r="E36" s="141">
        <f>SUM(F5:F17)</f>
        <v>54</v>
      </c>
      <c r="F36" s="142" t="s">
        <v>268</v>
      </c>
      <c r="G36" s="142"/>
      <c r="H36" s="142">
        <f>(8*3)+(5*6)</f>
        <v>54</v>
      </c>
    </row>
    <row r="37" spans="1:8" s="1" customFormat="1" x14ac:dyDescent="0.2">
      <c r="A37" s="97"/>
      <c r="B37" s="97"/>
      <c r="C37" s="97"/>
      <c r="D37" s="143" t="s">
        <v>153</v>
      </c>
      <c r="E37" s="144">
        <f>(4*2)+(4*1)</f>
        <v>12</v>
      </c>
      <c r="F37" s="142" t="s">
        <v>269</v>
      </c>
      <c r="G37" s="142"/>
      <c r="H37" s="145"/>
    </row>
    <row r="38" spans="1:8" s="1" customFormat="1" x14ac:dyDescent="0.2">
      <c r="A38" s="97"/>
      <c r="B38" s="97"/>
      <c r="C38" s="97"/>
      <c r="D38" s="143" t="s">
        <v>154</v>
      </c>
      <c r="E38" s="144">
        <f>(8*2)+(5*4)</f>
        <v>36</v>
      </c>
      <c r="F38" s="142" t="s">
        <v>270</v>
      </c>
      <c r="G38" s="142"/>
      <c r="H38" s="145"/>
    </row>
    <row r="39" spans="1:8" s="1" customFormat="1" x14ac:dyDescent="0.2">
      <c r="A39" s="97"/>
      <c r="B39" s="97"/>
      <c r="C39" s="97"/>
      <c r="D39" s="140" t="s">
        <v>155</v>
      </c>
      <c r="E39" s="141" t="str">
        <f>IF(E36&gt;=E38,"II",IF(E36&gt;=E37,"I+","No"))</f>
        <v>II</v>
      </c>
      <c r="F39" s="142">
        <f>0.8*((8*3)+(5*6))</f>
        <v>43.2</v>
      </c>
      <c r="G39" s="142" t="s">
        <v>190</v>
      </c>
    </row>
    <row r="40" spans="1:8" s="1" customFormat="1" x14ac:dyDescent="0.2">
      <c r="A40" s="97"/>
      <c r="B40" s="97"/>
      <c r="C40" s="97"/>
      <c r="D40" s="140" t="s">
        <v>139</v>
      </c>
      <c r="E40" s="141">
        <f>SUM(F18:F20)</f>
        <v>18</v>
      </c>
      <c r="F40" s="142" t="s">
        <v>162</v>
      </c>
      <c r="G40" s="142"/>
      <c r="H40" s="142">
        <f>3*6</f>
        <v>18</v>
      </c>
    </row>
    <row r="41" spans="1:8" s="1" customFormat="1" x14ac:dyDescent="0.2">
      <c r="A41" s="97"/>
      <c r="B41" s="97"/>
      <c r="C41" s="97"/>
      <c r="D41" s="143" t="s">
        <v>158</v>
      </c>
      <c r="E41" s="141" t="str">
        <f>IF(E36&gt;=F39,"Yes","No")</f>
        <v>Yes</v>
      </c>
      <c r="F41" s="142"/>
      <c r="G41" s="142"/>
    </row>
    <row r="42" spans="1:8" s="1" customFormat="1" x14ac:dyDescent="0.2">
      <c r="A42" s="97"/>
      <c r="B42" s="97"/>
      <c r="C42" s="97"/>
      <c r="D42" s="143" t="s">
        <v>156</v>
      </c>
      <c r="E42" s="141">
        <f>(2*2)+(1*4)</f>
        <v>8</v>
      </c>
      <c r="F42" s="142" t="s">
        <v>198</v>
      </c>
      <c r="G42" s="142"/>
      <c r="H42" s="145"/>
    </row>
    <row r="43" spans="1:8" s="1" customFormat="1" x14ac:dyDescent="0.2">
      <c r="A43" s="97"/>
      <c r="B43" s="97"/>
      <c r="C43" s="97"/>
      <c r="D43" s="143" t="s">
        <v>157</v>
      </c>
      <c r="E43" s="141">
        <f>(2*4)+(1*6)</f>
        <v>14</v>
      </c>
      <c r="F43" s="142" t="s">
        <v>199</v>
      </c>
      <c r="G43" s="142"/>
      <c r="H43" s="145"/>
    </row>
    <row r="44" spans="1:8" s="1" customFormat="1" x14ac:dyDescent="0.2">
      <c r="A44" s="97"/>
      <c r="B44" s="97"/>
      <c r="C44" s="97"/>
      <c r="D44" s="140" t="s">
        <v>155</v>
      </c>
      <c r="E44" s="141" t="str">
        <f>IF(E41="Yes",IF(E40&gt;=E43,"III",IF(E40&gt;=E42,"II+","II")),"No")</f>
        <v>III</v>
      </c>
      <c r="F44" s="142">
        <f>(1*4)+(2*6)</f>
        <v>16</v>
      </c>
      <c r="G44" s="142" t="s">
        <v>200</v>
      </c>
    </row>
    <row r="45" spans="1:8" s="1" customFormat="1" x14ac:dyDescent="0.2">
      <c r="A45" s="97"/>
      <c r="B45" s="97"/>
      <c r="C45" s="97"/>
      <c r="D45" s="140" t="s">
        <v>140</v>
      </c>
      <c r="E45" s="141">
        <f>SUM(F21:F26)</f>
        <v>54</v>
      </c>
      <c r="F45" s="142" t="s">
        <v>163</v>
      </c>
      <c r="G45" s="142"/>
    </row>
    <row r="46" spans="1:8" s="1" customFormat="1" x14ac:dyDescent="0.2">
      <c r="A46" s="97"/>
      <c r="B46" s="97"/>
      <c r="C46" s="97"/>
      <c r="D46" s="143" t="s">
        <v>159</v>
      </c>
      <c r="E46" s="141" t="str">
        <f>IF(AND(E41="Yes",E40&gt;=F44),"Yes","No")</f>
        <v>Yes</v>
      </c>
      <c r="F46" s="142"/>
      <c r="G46" s="142"/>
    </row>
    <row r="47" spans="1:8" s="1" customFormat="1" x14ac:dyDescent="0.2">
      <c r="A47" s="97"/>
      <c r="B47" s="97"/>
      <c r="C47" s="97"/>
      <c r="D47" s="143" t="s">
        <v>160</v>
      </c>
      <c r="E47" s="141">
        <f>(2*6)+(4*3)</f>
        <v>24</v>
      </c>
      <c r="F47" s="142" t="s">
        <v>172</v>
      </c>
      <c r="G47" s="142"/>
      <c r="H47" s="145"/>
    </row>
    <row r="48" spans="1:8" s="1" customFormat="1" x14ac:dyDescent="0.2">
      <c r="A48" s="97"/>
      <c r="B48" s="97"/>
      <c r="C48" s="97"/>
      <c r="D48" s="143" t="s">
        <v>161</v>
      </c>
      <c r="E48" s="141">
        <f>6*9</f>
        <v>54</v>
      </c>
      <c r="F48" s="142" t="s">
        <v>173</v>
      </c>
      <c r="G48" s="142"/>
      <c r="H48" s="145"/>
    </row>
    <row r="49" spans="1:7" s="1" customFormat="1" x14ac:dyDescent="0.2">
      <c r="A49" s="97"/>
      <c r="B49" s="97"/>
      <c r="C49" s="97"/>
      <c r="D49" s="140" t="s">
        <v>155</v>
      </c>
      <c r="E49" s="141" t="str">
        <f>IF(E46="Yes",IF(AND(E36=H36,E40&gt;=H40,E45&gt;=E48),"IV",IF(E45&gt;=E47,"III+","III")),"No")</f>
        <v>IV</v>
      </c>
      <c r="F49" s="142">
        <v>54</v>
      </c>
      <c r="G49" s="142"/>
    </row>
    <row r="50" spans="1:7" s="1" customFormat="1" x14ac:dyDescent="0.2">
      <c r="A50" s="97"/>
      <c r="B50" s="97"/>
      <c r="C50" s="97"/>
    </row>
    <row r="51" spans="1:7" s="1" customFormat="1" x14ac:dyDescent="0.2">
      <c r="A51" s="97"/>
      <c r="B51" s="97"/>
      <c r="C51" s="97"/>
    </row>
    <row r="52" spans="1:7" s="1" customFormat="1" x14ac:dyDescent="0.2">
      <c r="A52" s="97"/>
      <c r="B52" s="97"/>
      <c r="C52" s="97"/>
    </row>
    <row r="53" spans="1:7" s="1" customFormat="1" x14ac:dyDescent="0.2">
      <c r="A53" s="97"/>
      <c r="B53" s="97"/>
      <c r="C53" s="97"/>
    </row>
    <row r="54" spans="1:7" s="1" customFormat="1" x14ac:dyDescent="0.2">
      <c r="A54" s="97"/>
      <c r="B54" s="97"/>
      <c r="C54" s="97"/>
    </row>
    <row r="55" spans="1:7" s="1" customFormat="1" x14ac:dyDescent="0.2">
      <c r="A55" s="97"/>
      <c r="B55" s="97"/>
      <c r="C55" s="97"/>
    </row>
    <row r="56" spans="1:7" s="1" customFormat="1" x14ac:dyDescent="0.2">
      <c r="A56" s="97"/>
      <c r="B56" s="97"/>
      <c r="C56" s="97"/>
    </row>
    <row r="57" spans="1:7" s="1" customFormat="1" x14ac:dyDescent="0.2">
      <c r="A57" s="97"/>
      <c r="B57" s="97"/>
      <c r="C57" s="97"/>
    </row>
    <row r="58" spans="1:7" s="1" customFormat="1" x14ac:dyDescent="0.2">
      <c r="A58" s="97"/>
      <c r="B58" s="97"/>
      <c r="C58" s="97"/>
    </row>
    <row r="59" spans="1:7" s="1" customFormat="1" x14ac:dyDescent="0.2">
      <c r="A59" s="97"/>
      <c r="B59" s="97"/>
      <c r="C59" s="97"/>
    </row>
    <row r="60" spans="1:7" s="1" customFormat="1" x14ac:dyDescent="0.2">
      <c r="A60" s="97"/>
      <c r="B60" s="97"/>
      <c r="C60" s="97"/>
    </row>
    <row r="61" spans="1:7" s="1" customFormat="1" x14ac:dyDescent="0.2">
      <c r="A61" s="97"/>
      <c r="B61" s="97"/>
      <c r="C61" s="97"/>
    </row>
    <row r="62" spans="1:7" s="1" customFormat="1" x14ac:dyDescent="0.2">
      <c r="A62" s="97"/>
      <c r="B62" s="97"/>
      <c r="C62" s="97"/>
    </row>
    <row r="63" spans="1:7" s="1" customFormat="1" x14ac:dyDescent="0.2">
      <c r="A63" s="97"/>
      <c r="B63" s="97"/>
      <c r="C63" s="97"/>
    </row>
    <row r="64" spans="1:7" s="1" customFormat="1" x14ac:dyDescent="0.2">
      <c r="A64" s="97"/>
      <c r="B64" s="97"/>
      <c r="C64" s="97"/>
    </row>
    <row r="65" spans="1:3" s="1" customFormat="1" x14ac:dyDescent="0.2">
      <c r="A65" s="97"/>
      <c r="B65" s="97"/>
      <c r="C65" s="97"/>
    </row>
    <row r="66" spans="1:3" s="1" customFormat="1" x14ac:dyDescent="0.2">
      <c r="A66" s="97"/>
      <c r="B66" s="97"/>
      <c r="C66" s="97"/>
    </row>
    <row r="67" spans="1:3" s="1" customFormat="1" x14ac:dyDescent="0.2">
      <c r="A67" s="97"/>
      <c r="B67" s="97"/>
      <c r="C67" s="97"/>
    </row>
    <row r="68" spans="1:3" s="1" customFormat="1" x14ac:dyDescent="0.2">
      <c r="A68" s="97"/>
      <c r="B68" s="97"/>
      <c r="C68" s="97"/>
    </row>
    <row r="69" spans="1:3" s="1" customFormat="1" x14ac:dyDescent="0.2">
      <c r="A69" s="97"/>
      <c r="B69" s="97"/>
      <c r="C69" s="97"/>
    </row>
    <row r="70" spans="1:3" s="1" customFormat="1" x14ac:dyDescent="0.2">
      <c r="A70" s="97"/>
      <c r="B70" s="97"/>
      <c r="C70" s="97"/>
    </row>
    <row r="71" spans="1:3" s="1" customFormat="1" x14ac:dyDescent="0.2">
      <c r="A71" s="97"/>
      <c r="B71" s="97"/>
      <c r="C71" s="97"/>
    </row>
    <row r="72" spans="1:3" s="1" customFormat="1" x14ac:dyDescent="0.2">
      <c r="A72" s="97"/>
      <c r="B72" s="97"/>
      <c r="C72" s="97"/>
    </row>
    <row r="73" spans="1:3" s="1" customFormat="1" x14ac:dyDescent="0.2">
      <c r="A73" s="97"/>
      <c r="B73" s="97"/>
      <c r="C73" s="97"/>
    </row>
    <row r="74" spans="1:3" s="1" customFormat="1" x14ac:dyDescent="0.2">
      <c r="A74" s="97"/>
      <c r="B74" s="97"/>
      <c r="C74" s="97"/>
    </row>
    <row r="75" spans="1:3" s="1" customFormat="1" x14ac:dyDescent="0.2">
      <c r="A75" s="97"/>
      <c r="B75" s="97"/>
      <c r="C75" s="97"/>
    </row>
    <row r="76" spans="1:3" s="1" customFormat="1" x14ac:dyDescent="0.2">
      <c r="A76" s="97"/>
      <c r="B76" s="97"/>
      <c r="C76" s="97"/>
    </row>
    <row r="77" spans="1:3" s="1" customFormat="1" x14ac:dyDescent="0.2">
      <c r="A77" s="97"/>
      <c r="B77" s="97"/>
      <c r="C77" s="97"/>
    </row>
    <row r="78" spans="1:3" s="1" customFormat="1" x14ac:dyDescent="0.2">
      <c r="A78" s="97"/>
      <c r="B78" s="97"/>
      <c r="C78" s="97"/>
    </row>
    <row r="79" spans="1:3" s="1" customFormat="1" x14ac:dyDescent="0.2">
      <c r="A79" s="97"/>
      <c r="B79" s="97"/>
      <c r="C79" s="97"/>
    </row>
    <row r="80" spans="1:3" s="1" customFormat="1" x14ac:dyDescent="0.2">
      <c r="A80" s="97"/>
      <c r="B80" s="97"/>
      <c r="C80" s="97"/>
    </row>
    <row r="81" spans="1:3" s="1" customFormat="1" x14ac:dyDescent="0.2">
      <c r="A81" s="97"/>
      <c r="B81" s="97"/>
      <c r="C81" s="97"/>
    </row>
    <row r="82" spans="1:3" s="1" customFormat="1" x14ac:dyDescent="0.2">
      <c r="A82" s="97"/>
      <c r="B82" s="97"/>
      <c r="C82" s="97"/>
    </row>
    <row r="83" spans="1:3" s="1" customFormat="1" x14ac:dyDescent="0.2">
      <c r="A83" s="97"/>
      <c r="B83" s="97"/>
      <c r="C83" s="97"/>
    </row>
    <row r="84" spans="1:3" s="1" customFormat="1" x14ac:dyDescent="0.2">
      <c r="A84" s="97"/>
      <c r="B84" s="97"/>
      <c r="C84" s="97"/>
    </row>
    <row r="85" spans="1:3" s="1" customFormat="1" x14ac:dyDescent="0.2">
      <c r="A85" s="97"/>
      <c r="B85" s="97"/>
      <c r="C85" s="97"/>
    </row>
    <row r="86" spans="1:3" s="1" customFormat="1" x14ac:dyDescent="0.2">
      <c r="A86" s="97"/>
      <c r="B86" s="97"/>
      <c r="C86" s="97"/>
    </row>
    <row r="87" spans="1:3" s="1" customFormat="1" x14ac:dyDescent="0.2">
      <c r="A87" s="97"/>
      <c r="B87" s="97"/>
      <c r="C87" s="97"/>
    </row>
    <row r="88" spans="1:3" s="1" customFormat="1" x14ac:dyDescent="0.2">
      <c r="A88" s="97"/>
      <c r="B88" s="97"/>
      <c r="C88" s="97"/>
    </row>
    <row r="89" spans="1:3" s="1" customFormat="1" x14ac:dyDescent="0.2">
      <c r="A89" s="97"/>
      <c r="B89" s="97"/>
      <c r="C89" s="97"/>
    </row>
    <row r="90" spans="1:3" s="1" customFormat="1" x14ac:dyDescent="0.2">
      <c r="A90" s="97"/>
      <c r="B90" s="97"/>
      <c r="C90" s="97"/>
    </row>
  </sheetData>
  <sheetProtection algorithmName="SHA-512" hashValue="2ZlDsc8fC2jtQiVffAXFlOmEXSPBHiNpcScxK2ZfRV3FoECkJ9iRfQC5yWThDRssSM1h5dLmp0BeC6mLgjkw7w==" saltValue="e5tZU5DlBBr6B0i2f+Semg==" spinCount="100000" sheet="1" objects="1" scenarios="1"/>
  <dataConsolidate/>
  <customSheetViews>
    <customSheetView guid="{58EB2181-60CA-D84F-9BE3-6D30A91A6F68}" scale="115" showPageBreaks="1" fitToPage="1" printArea="1">
      <pane ySplit="4.0625" topLeftCell="A19" activePane="bottomLeft" state="frozenSplit"/>
      <selection pane="bottomLeft" sqref="A1:E1"/>
      <pageMargins left="0.7" right="0.7" top="0.75" bottom="0.75" header="0.3" footer="0.3"/>
      <printOptions horizontalCentered="1"/>
      <pageSetup paperSize="9" scale="63" fitToHeight="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 guid="{E2B8E4FB-7E5E-E744-9E59-F9CB9CC15E64}" scale="115" fitToPage="1">
      <pane ySplit="4.0625" topLeftCell="A19" activePane="bottomLeft" state="frozenSplit"/>
      <selection pane="bottomLeft" sqref="A1:E1"/>
      <pageMargins left="0.7" right="0.7" top="0.75" bottom="0.75" header="0.3" footer="0.3"/>
      <printOptions horizontalCentered="1"/>
      <pageSetup paperSize="9" scale="63" fitToHeight="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s>
  <mergeCells count="4">
    <mergeCell ref="A3:D3"/>
    <mergeCell ref="A1:E1"/>
    <mergeCell ref="A2:E2"/>
    <mergeCell ref="C4:E4"/>
  </mergeCells>
  <phoneticPr fontId="6" type="noConversion"/>
  <conditionalFormatting sqref="E5:E26">
    <cfRule type="cellIs" dxfId="105" priority="0" stopIfTrue="1" operator="equal">
      <formula>"Tidak Dilakukan"</formula>
    </cfRule>
    <cfRule type="cellIs" dxfId="104" priority="1" stopIfTrue="1" operator="equal">
      <formula>"Dalam Perencanaan"</formula>
    </cfRule>
    <cfRule type="cellIs" dxfId="103" priority="2" stopIfTrue="1" operator="equal">
      <formula>"Dalam Penerapan / Diterapkan Sebagian"</formula>
    </cfRule>
  </conditionalFormatting>
  <conditionalFormatting sqref="F21:F26">
    <cfRule type="cellIs" dxfId="102" priority="3" stopIfTrue="1" operator="equal">
      <formula>0</formula>
    </cfRule>
  </conditionalFormatting>
  <dataValidations count="1">
    <dataValidation type="list" allowBlank="1" showInputMessage="1" showErrorMessage="1" sqref="E5:E26" xr:uid="{00000000-0002-0000-0300-000000000000}">
      <formula1>StatusPenerapan</formula1>
    </dataValidation>
  </dataValidations>
  <printOptions horizontalCentered="1"/>
  <pageMargins left="0.75000000000000011" right="0.75000000000000011" top="1" bottom="1" header="0.5" footer="0.5"/>
  <pageSetup paperSize="9" scale="63" fitToHeight="3" orientation="portrait" horizontalDpi="4294967292" verticalDpi="4294967292"/>
  <headerFooter>
    <oddFooter>&amp;L&amp;"Arial,Regular"&amp;K000000Badan Siber dan Sandi Negara&amp;R&amp;"Arial,Regular"&amp;K000000Indeks KAMI, Versi  4.0, Februari 2019</oddFooter>
  </headerFooter>
  <drawing r:id="rId1"/>
  <extLst>
    <ext xmlns:mx="http://schemas.microsoft.com/office/mac/excel/2008/main" uri="{64002731-A6B0-56B0-2670-7721B7C09600}">
      <mx:PLV Mode="0" OnePage="0" WScale="8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119"/>
  <sheetViews>
    <sheetView zoomScaleNormal="115" zoomScalePageLayoutView="115" workbookViewId="0">
      <pane xSplit="5" ySplit="3" topLeftCell="F14" activePane="bottomRight" state="frozenSplit"/>
      <selection pane="topRight" activeCell="F1" sqref="F1"/>
      <selection pane="bottomLeft" activeCell="A4" sqref="A4"/>
      <selection pane="bottomRight" activeCell="E20" sqref="E20"/>
    </sheetView>
  </sheetViews>
  <sheetFormatPr defaultColWidth="7.81640625" defaultRowHeight="12.6" x14ac:dyDescent="0.2"/>
  <cols>
    <col min="1" max="1" width="5" style="98" customWidth="1"/>
    <col min="2" max="2" width="2.6328125" style="98" customWidth="1"/>
    <col min="3" max="3" width="2.453125" style="98" customWidth="1"/>
    <col min="4" max="4" width="80.453125" style="2" customWidth="1"/>
    <col min="5" max="5" width="30.6328125" style="2" customWidth="1"/>
    <col min="6" max="6" width="4.6328125" style="2" customWidth="1"/>
    <col min="7" max="7" width="23.1796875" style="2" customWidth="1"/>
    <col min="8" max="8" width="20.36328125" style="2" customWidth="1"/>
    <col min="9" max="16384" width="7.81640625" style="2"/>
  </cols>
  <sheetData>
    <row r="1" spans="1:22" ht="30" customHeight="1" x14ac:dyDescent="0.2">
      <c r="A1" s="235" t="s">
        <v>74</v>
      </c>
      <c r="B1" s="236"/>
      <c r="C1" s="237"/>
      <c r="D1" s="237"/>
      <c r="E1" s="238"/>
      <c r="F1" s="1"/>
      <c r="G1" s="1"/>
      <c r="H1" s="1"/>
      <c r="I1" s="1"/>
      <c r="J1" s="1"/>
      <c r="K1" s="1"/>
      <c r="L1" s="1"/>
      <c r="M1" s="1"/>
      <c r="N1" s="1"/>
      <c r="O1" s="1"/>
      <c r="P1" s="1"/>
      <c r="Q1" s="1"/>
      <c r="R1" s="1"/>
      <c r="S1" s="1"/>
      <c r="T1" s="1"/>
      <c r="U1" s="1"/>
      <c r="V1" s="1"/>
    </row>
    <row r="2" spans="1:22" s="1" customFormat="1" ht="30" customHeight="1" x14ac:dyDescent="0.2">
      <c r="A2" s="245" t="s">
        <v>2</v>
      </c>
      <c r="B2" s="246"/>
      <c r="C2" s="246"/>
      <c r="D2" s="246"/>
      <c r="E2" s="247"/>
    </row>
    <row r="3" spans="1:22" customFormat="1" ht="30" customHeight="1" x14ac:dyDescent="0.25">
      <c r="A3" s="226" t="s">
        <v>34</v>
      </c>
      <c r="B3" s="232"/>
      <c r="C3" s="233"/>
      <c r="D3" s="234"/>
      <c r="E3" s="84" t="s">
        <v>3</v>
      </c>
      <c r="F3" s="85" t="s">
        <v>95</v>
      </c>
      <c r="G3" s="119" t="s">
        <v>618</v>
      </c>
      <c r="H3" s="119" t="s">
        <v>619</v>
      </c>
    </row>
    <row r="4" spans="1:22" ht="13.95" customHeight="1" x14ac:dyDescent="0.2">
      <c r="A4" s="120" t="s">
        <v>93</v>
      </c>
      <c r="B4" s="121"/>
      <c r="C4" s="242" t="s">
        <v>96</v>
      </c>
      <c r="D4" s="243"/>
      <c r="E4" s="244"/>
      <c r="F4" s="1"/>
      <c r="G4" s="122"/>
      <c r="H4" s="122"/>
      <c r="I4" s="1"/>
      <c r="J4" s="1"/>
      <c r="K4" s="1"/>
      <c r="L4" s="1"/>
      <c r="M4" s="1"/>
      <c r="N4" s="1"/>
      <c r="O4" s="1"/>
      <c r="P4" s="1"/>
      <c r="Q4" s="1"/>
      <c r="R4" s="1"/>
      <c r="S4" s="1"/>
      <c r="T4" s="1"/>
      <c r="U4" s="1"/>
      <c r="V4" s="1"/>
    </row>
    <row r="5" spans="1:22" ht="27.6" x14ac:dyDescent="0.2">
      <c r="A5" s="123" t="s">
        <v>566</v>
      </c>
      <c r="B5" s="124" t="s">
        <v>132</v>
      </c>
      <c r="C5" s="125">
        <v>1</v>
      </c>
      <c r="D5" s="126" t="s">
        <v>427</v>
      </c>
      <c r="E5" s="7" t="s">
        <v>624</v>
      </c>
      <c r="F5" s="88">
        <f t="shared" ref="F5:F18" si="0">INDEX(SkorAkhir, MATCH(E5,StatusPenerapanHasil,0), MATCH(C5,TingkatKematangan,0))</f>
        <v>3</v>
      </c>
      <c r="G5" s="205"/>
      <c r="H5" s="205"/>
      <c r="I5" s="1"/>
      <c r="J5" s="1"/>
      <c r="K5" s="1"/>
      <c r="L5" s="1"/>
      <c r="M5" s="1"/>
      <c r="N5" s="1"/>
      <c r="O5" s="1"/>
      <c r="P5" s="1"/>
      <c r="Q5" s="1"/>
      <c r="R5" s="1"/>
      <c r="S5" s="1"/>
      <c r="T5" s="1"/>
      <c r="U5" s="1"/>
      <c r="V5" s="1"/>
    </row>
    <row r="6" spans="1:22" ht="27.6" x14ac:dyDescent="0.2">
      <c r="A6" s="127" t="s">
        <v>558</v>
      </c>
      <c r="B6" s="124" t="s">
        <v>132</v>
      </c>
      <c r="C6" s="125">
        <v>1</v>
      </c>
      <c r="D6" s="126" t="s">
        <v>428</v>
      </c>
      <c r="E6" s="7" t="s">
        <v>624</v>
      </c>
      <c r="F6" s="88">
        <f t="shared" si="0"/>
        <v>3</v>
      </c>
      <c r="G6" s="205"/>
      <c r="H6" s="205"/>
      <c r="I6" s="1"/>
      <c r="J6" s="1"/>
      <c r="K6" s="1"/>
      <c r="L6" s="1"/>
      <c r="M6" s="1"/>
      <c r="N6" s="1"/>
      <c r="O6" s="1"/>
      <c r="P6" s="1"/>
      <c r="Q6" s="1"/>
      <c r="R6" s="1"/>
      <c r="S6" s="1"/>
      <c r="T6" s="1"/>
      <c r="U6" s="1"/>
      <c r="V6" s="1"/>
    </row>
    <row r="7" spans="1:22" ht="27.6" x14ac:dyDescent="0.2">
      <c r="A7" s="127" t="s">
        <v>559</v>
      </c>
      <c r="B7" s="124" t="s">
        <v>132</v>
      </c>
      <c r="C7" s="125">
        <v>1</v>
      </c>
      <c r="D7" s="126" t="s">
        <v>429</v>
      </c>
      <c r="E7" s="7" t="s">
        <v>624</v>
      </c>
      <c r="F7" s="88">
        <f t="shared" si="0"/>
        <v>3</v>
      </c>
      <c r="G7" s="205"/>
      <c r="H7" s="205"/>
      <c r="I7" s="1"/>
      <c r="J7" s="1"/>
      <c r="K7" s="1"/>
      <c r="L7" s="1"/>
      <c r="M7" s="1"/>
      <c r="N7" s="1"/>
      <c r="O7" s="1"/>
      <c r="P7" s="1"/>
      <c r="Q7" s="1"/>
      <c r="R7" s="1"/>
      <c r="S7" s="1"/>
      <c r="T7" s="1"/>
      <c r="U7" s="1"/>
      <c r="V7" s="1"/>
    </row>
    <row r="8" spans="1:22" ht="41.4" x14ac:dyDescent="0.2">
      <c r="A8" s="123" t="s">
        <v>560</v>
      </c>
      <c r="B8" s="124" t="s">
        <v>132</v>
      </c>
      <c r="C8" s="125">
        <v>1</v>
      </c>
      <c r="D8" s="126" t="s">
        <v>430</v>
      </c>
      <c r="E8" s="7" t="s">
        <v>624</v>
      </c>
      <c r="F8" s="88">
        <f t="shared" si="0"/>
        <v>3</v>
      </c>
      <c r="G8" s="205"/>
      <c r="H8" s="205"/>
      <c r="I8" s="1"/>
      <c r="J8" s="1"/>
      <c r="K8" s="1"/>
      <c r="L8" s="1"/>
      <c r="M8" s="1"/>
      <c r="N8" s="1"/>
      <c r="O8" s="1"/>
      <c r="P8" s="1"/>
      <c r="Q8" s="1"/>
      <c r="R8" s="1"/>
      <c r="S8" s="1"/>
      <c r="T8" s="1"/>
      <c r="U8" s="1"/>
      <c r="V8" s="1"/>
    </row>
    <row r="9" spans="1:22" ht="13.8" x14ac:dyDescent="0.2">
      <c r="A9" s="127" t="s">
        <v>561</v>
      </c>
      <c r="B9" s="124" t="s">
        <v>132</v>
      </c>
      <c r="C9" s="125">
        <v>1</v>
      </c>
      <c r="D9" s="126" t="s">
        <v>431</v>
      </c>
      <c r="E9" s="7" t="s">
        <v>624</v>
      </c>
      <c r="F9" s="88">
        <f t="shared" si="0"/>
        <v>3</v>
      </c>
      <c r="G9" s="205"/>
      <c r="H9" s="205"/>
      <c r="I9" s="1"/>
      <c r="J9" s="1"/>
      <c r="K9" s="1"/>
      <c r="L9" s="1"/>
      <c r="M9" s="1"/>
      <c r="N9" s="1"/>
      <c r="O9" s="1"/>
      <c r="P9" s="1"/>
      <c r="Q9" s="1"/>
      <c r="R9" s="1"/>
      <c r="S9" s="1"/>
      <c r="T9" s="1"/>
      <c r="U9" s="1"/>
      <c r="V9" s="1"/>
    </row>
    <row r="10" spans="1:22" ht="42" x14ac:dyDescent="0.2">
      <c r="A10" s="127" t="s">
        <v>562</v>
      </c>
      <c r="B10" s="124" t="s">
        <v>132</v>
      </c>
      <c r="C10" s="125">
        <v>1</v>
      </c>
      <c r="D10" s="126" t="s">
        <v>492</v>
      </c>
      <c r="E10" s="7" t="s">
        <v>624</v>
      </c>
      <c r="F10" s="88">
        <f t="shared" si="0"/>
        <v>3</v>
      </c>
      <c r="G10" s="206" t="s">
        <v>623</v>
      </c>
      <c r="H10" s="205"/>
      <c r="I10" s="1"/>
      <c r="J10" s="1"/>
      <c r="K10" s="1"/>
      <c r="L10" s="1"/>
      <c r="M10" s="1"/>
      <c r="N10" s="1"/>
      <c r="O10" s="1"/>
      <c r="P10" s="1"/>
      <c r="Q10" s="1"/>
      <c r="R10" s="1"/>
      <c r="S10" s="1"/>
      <c r="T10" s="1"/>
      <c r="U10" s="1"/>
      <c r="V10" s="1"/>
    </row>
    <row r="11" spans="1:22" ht="27.6" x14ac:dyDescent="0.2">
      <c r="A11" s="123" t="s">
        <v>563</v>
      </c>
      <c r="B11" s="124" t="s">
        <v>132</v>
      </c>
      <c r="C11" s="125">
        <v>1</v>
      </c>
      <c r="D11" s="126" t="s">
        <v>105</v>
      </c>
      <c r="E11" s="7" t="s">
        <v>624</v>
      </c>
      <c r="F11" s="88">
        <f t="shared" si="0"/>
        <v>3</v>
      </c>
      <c r="G11" s="205"/>
      <c r="H11" s="205"/>
      <c r="I11" s="1"/>
      <c r="J11" s="1"/>
      <c r="K11" s="1"/>
      <c r="L11" s="1"/>
      <c r="M11" s="1"/>
      <c r="N11" s="1"/>
      <c r="O11" s="1"/>
      <c r="P11" s="1"/>
      <c r="Q11" s="1"/>
      <c r="R11" s="1"/>
      <c r="S11" s="1"/>
      <c r="T11" s="1"/>
      <c r="U11" s="1"/>
      <c r="V11" s="1"/>
    </row>
    <row r="12" spans="1:22" ht="27.6" x14ac:dyDescent="0.2">
      <c r="A12" s="127" t="s">
        <v>564</v>
      </c>
      <c r="B12" s="124" t="s">
        <v>132</v>
      </c>
      <c r="C12" s="125">
        <v>1</v>
      </c>
      <c r="D12" s="126" t="s">
        <v>137</v>
      </c>
      <c r="E12" s="7" t="s">
        <v>624</v>
      </c>
      <c r="F12" s="88">
        <f t="shared" si="0"/>
        <v>3</v>
      </c>
      <c r="G12" s="205"/>
      <c r="H12" s="205"/>
      <c r="I12" s="1"/>
      <c r="J12" s="1"/>
      <c r="K12" s="1"/>
      <c r="L12" s="1"/>
      <c r="M12" s="1"/>
      <c r="N12" s="1"/>
      <c r="O12" s="1"/>
      <c r="P12" s="1"/>
      <c r="Q12" s="1"/>
      <c r="R12" s="1"/>
      <c r="S12" s="1"/>
      <c r="T12" s="1"/>
      <c r="U12" s="1"/>
      <c r="V12" s="1"/>
    </row>
    <row r="13" spans="1:22" ht="55.2" x14ac:dyDescent="0.2">
      <c r="A13" s="127" t="s">
        <v>565</v>
      </c>
      <c r="B13" s="124" t="s">
        <v>132</v>
      </c>
      <c r="C13" s="125">
        <v>1</v>
      </c>
      <c r="D13" s="126" t="s">
        <v>432</v>
      </c>
      <c r="E13" s="7" t="s">
        <v>624</v>
      </c>
      <c r="F13" s="88">
        <f t="shared" si="0"/>
        <v>3</v>
      </c>
      <c r="G13" s="205"/>
      <c r="H13" s="205"/>
      <c r="I13" s="1"/>
      <c r="J13" s="1"/>
      <c r="K13" s="1"/>
      <c r="L13" s="1"/>
      <c r="M13" s="1"/>
      <c r="N13" s="1"/>
      <c r="O13" s="1"/>
      <c r="P13" s="1"/>
      <c r="Q13" s="1"/>
      <c r="R13" s="1"/>
      <c r="S13" s="1"/>
      <c r="T13" s="1"/>
      <c r="U13" s="1"/>
      <c r="V13" s="1"/>
    </row>
    <row r="14" spans="1:22" ht="13.8" x14ac:dyDescent="0.2">
      <c r="A14" s="123" t="s">
        <v>567</v>
      </c>
      <c r="B14" s="124" t="s">
        <v>132</v>
      </c>
      <c r="C14" s="125">
        <v>1</v>
      </c>
      <c r="D14" s="126" t="s">
        <v>433</v>
      </c>
      <c r="E14" s="7" t="s">
        <v>624</v>
      </c>
      <c r="F14" s="88">
        <f t="shared" si="0"/>
        <v>3</v>
      </c>
      <c r="G14" s="206"/>
      <c r="H14" s="205"/>
      <c r="I14" s="1"/>
      <c r="J14" s="1"/>
      <c r="K14" s="1"/>
      <c r="L14" s="1"/>
      <c r="M14" s="1"/>
      <c r="N14" s="1"/>
      <c r="O14" s="1"/>
      <c r="P14" s="1"/>
      <c r="Q14" s="1"/>
      <c r="R14" s="1"/>
      <c r="S14" s="1"/>
      <c r="T14" s="1"/>
      <c r="U14" s="1"/>
      <c r="V14" s="1"/>
    </row>
    <row r="15" spans="1:22" ht="55.2" x14ac:dyDescent="0.2">
      <c r="A15" s="127" t="s">
        <v>568</v>
      </c>
      <c r="B15" s="146" t="s">
        <v>133</v>
      </c>
      <c r="C15" s="130">
        <v>2</v>
      </c>
      <c r="D15" s="126" t="s">
        <v>307</v>
      </c>
      <c r="E15" s="7" t="s">
        <v>624</v>
      </c>
      <c r="F15" s="88">
        <f t="shared" si="0"/>
        <v>6</v>
      </c>
      <c r="G15" s="206"/>
      <c r="H15" s="205"/>
      <c r="I15" s="1"/>
      <c r="J15" s="1"/>
      <c r="K15" s="1"/>
      <c r="L15" s="1"/>
      <c r="M15" s="1"/>
      <c r="N15" s="1"/>
      <c r="O15" s="1"/>
      <c r="P15" s="1"/>
      <c r="Q15" s="1"/>
      <c r="R15" s="1"/>
      <c r="S15" s="1"/>
      <c r="T15" s="1"/>
      <c r="U15" s="1"/>
      <c r="V15" s="1"/>
    </row>
    <row r="16" spans="1:22" ht="27.6" x14ac:dyDescent="0.2">
      <c r="A16" s="127" t="s">
        <v>569</v>
      </c>
      <c r="B16" s="146" t="s">
        <v>133</v>
      </c>
      <c r="C16" s="130">
        <v>2</v>
      </c>
      <c r="D16" s="126" t="s">
        <v>66</v>
      </c>
      <c r="E16" s="7" t="s">
        <v>624</v>
      </c>
      <c r="F16" s="88">
        <f t="shared" si="0"/>
        <v>6</v>
      </c>
      <c r="G16" s="205"/>
      <c r="H16" s="205"/>
      <c r="I16" s="1"/>
      <c r="J16" s="1"/>
      <c r="K16" s="1"/>
      <c r="L16" s="1"/>
      <c r="M16" s="1"/>
      <c r="N16" s="1"/>
      <c r="O16" s="1"/>
      <c r="P16" s="1"/>
      <c r="Q16" s="1"/>
      <c r="R16" s="1"/>
      <c r="S16" s="1"/>
      <c r="T16" s="1"/>
      <c r="U16" s="1"/>
      <c r="V16" s="1"/>
    </row>
    <row r="17" spans="1:22" ht="27.6" x14ac:dyDescent="0.2">
      <c r="A17" s="123" t="s">
        <v>570</v>
      </c>
      <c r="B17" s="147" t="s">
        <v>135</v>
      </c>
      <c r="C17" s="130">
        <v>2</v>
      </c>
      <c r="D17" s="126" t="s">
        <v>308</v>
      </c>
      <c r="E17" s="7" t="s">
        <v>624</v>
      </c>
      <c r="F17" s="88">
        <f t="shared" si="0"/>
        <v>6</v>
      </c>
      <c r="G17" s="205"/>
      <c r="H17" s="205"/>
      <c r="I17" s="1"/>
      <c r="J17" s="1"/>
      <c r="K17" s="1"/>
      <c r="L17" s="1"/>
      <c r="M17" s="1"/>
      <c r="N17" s="1"/>
      <c r="O17" s="1"/>
      <c r="P17" s="1"/>
      <c r="Q17" s="1"/>
      <c r="R17" s="1"/>
      <c r="S17" s="1"/>
      <c r="T17" s="1"/>
      <c r="U17" s="1"/>
      <c r="V17" s="1"/>
    </row>
    <row r="18" spans="1:22" ht="41.4" x14ac:dyDescent="0.2">
      <c r="A18" s="127" t="s">
        <v>571</v>
      </c>
      <c r="B18" s="147" t="s">
        <v>135</v>
      </c>
      <c r="C18" s="130">
        <v>2</v>
      </c>
      <c r="D18" s="131" t="s">
        <v>136</v>
      </c>
      <c r="E18" s="7" t="s">
        <v>624</v>
      </c>
      <c r="F18" s="88">
        <f t="shared" si="0"/>
        <v>6</v>
      </c>
      <c r="G18" s="205"/>
      <c r="H18" s="205"/>
      <c r="I18" s="1"/>
      <c r="J18" s="1"/>
      <c r="K18" s="1"/>
      <c r="L18" s="1"/>
      <c r="M18" s="1"/>
      <c r="N18" s="1"/>
      <c r="O18" s="1"/>
      <c r="P18" s="1"/>
      <c r="Q18" s="1"/>
      <c r="R18" s="1"/>
      <c r="S18" s="1"/>
      <c r="T18" s="1"/>
      <c r="U18" s="1"/>
      <c r="V18" s="1"/>
    </row>
    <row r="19" spans="1:22" ht="27.6" x14ac:dyDescent="0.2">
      <c r="A19" s="127" t="s">
        <v>572</v>
      </c>
      <c r="B19" s="148" t="s">
        <v>134</v>
      </c>
      <c r="C19" s="134">
        <v>3</v>
      </c>
      <c r="D19" s="131" t="s">
        <v>94</v>
      </c>
      <c r="E19" s="7" t="s">
        <v>624</v>
      </c>
      <c r="F19" s="88">
        <f>IF(E28="Valid",INDEX(SkorAkhir, MATCH(E19,StatusPenerapanHasil,0), MATCH(C19,TingkatKematangan,0)),0)</f>
        <v>9</v>
      </c>
      <c r="G19" s="205"/>
      <c r="H19" s="205"/>
      <c r="I19" s="1"/>
      <c r="J19" s="1"/>
      <c r="K19" s="1"/>
      <c r="L19" s="1"/>
      <c r="M19" s="1"/>
      <c r="N19" s="1"/>
      <c r="O19" s="1"/>
      <c r="P19" s="1"/>
      <c r="Q19" s="1"/>
      <c r="R19" s="1"/>
      <c r="S19" s="1"/>
      <c r="T19" s="1"/>
      <c r="U19" s="1"/>
      <c r="V19" s="1"/>
    </row>
    <row r="20" spans="1:22" ht="27.6" x14ac:dyDescent="0.2">
      <c r="A20" s="123" t="s">
        <v>236</v>
      </c>
      <c r="B20" s="148" t="s">
        <v>134</v>
      </c>
      <c r="C20" s="134">
        <v>3</v>
      </c>
      <c r="D20" s="131" t="s">
        <v>116</v>
      </c>
      <c r="E20" s="7" t="s">
        <v>624</v>
      </c>
      <c r="F20" s="88">
        <f>IF(E28="Valid",INDEX(SkorAkhir, MATCH(E20,StatusPenerapanHasil,0), MATCH(C20,TingkatKematangan,0)),0)</f>
        <v>9</v>
      </c>
      <c r="G20" s="205"/>
      <c r="H20" s="205"/>
      <c r="I20" s="1"/>
      <c r="J20" s="1"/>
      <c r="K20" s="1"/>
      <c r="L20" s="1"/>
      <c r="M20" s="1"/>
      <c r="N20" s="1"/>
      <c r="O20" s="1"/>
      <c r="P20" s="1"/>
      <c r="Q20" s="1"/>
      <c r="R20" s="1"/>
      <c r="S20" s="1"/>
      <c r="T20" s="1"/>
      <c r="U20" s="1"/>
      <c r="V20" s="1"/>
    </row>
    <row r="21" spans="1:22" ht="17.399999999999999" x14ac:dyDescent="0.2">
      <c r="A21" s="149"/>
      <c r="B21" s="149"/>
      <c r="C21" s="149"/>
      <c r="D21" s="136" t="s">
        <v>26</v>
      </c>
      <c r="E21" s="150">
        <f>SUM(F5:F20)</f>
        <v>72</v>
      </c>
      <c r="F21" s="1"/>
      <c r="G21" s="1"/>
      <c r="H21" s="1"/>
      <c r="I21" s="1"/>
      <c r="J21" s="1"/>
      <c r="K21" s="1"/>
      <c r="L21" s="1"/>
      <c r="M21" s="1"/>
      <c r="N21" s="1"/>
      <c r="O21" s="1"/>
      <c r="P21" s="1"/>
      <c r="Q21" s="1"/>
      <c r="R21" s="1"/>
      <c r="S21" s="1"/>
      <c r="T21" s="1"/>
      <c r="U21" s="1"/>
      <c r="V21" s="1"/>
    </row>
    <row r="22" spans="1:22" ht="18.600000000000001" x14ac:dyDescent="0.2">
      <c r="A22" s="151"/>
      <c r="B22" s="151"/>
      <c r="C22" s="151"/>
      <c r="D22" s="152"/>
      <c r="E22" s="1"/>
      <c r="F22" s="1"/>
      <c r="G22" s="1"/>
      <c r="H22" s="1"/>
      <c r="I22" s="1"/>
      <c r="J22" s="1"/>
      <c r="K22" s="1"/>
      <c r="L22" s="1"/>
      <c r="M22" s="1"/>
      <c r="N22" s="1"/>
      <c r="O22" s="1"/>
      <c r="P22" s="1"/>
      <c r="Q22" s="1"/>
      <c r="R22" s="1"/>
      <c r="S22" s="1"/>
      <c r="T22" s="1"/>
      <c r="U22" s="1"/>
      <c r="V22" s="1"/>
    </row>
    <row r="23" spans="1:22" x14ac:dyDescent="0.2">
      <c r="A23" s="97"/>
      <c r="B23" s="97"/>
      <c r="C23" s="97"/>
      <c r="D23" s="140" t="s">
        <v>191</v>
      </c>
      <c r="E23" s="141">
        <f>COUNTIF(C5:C20,1)</f>
        <v>10</v>
      </c>
      <c r="F23" s="1"/>
      <c r="G23" s="1"/>
      <c r="H23" s="1"/>
      <c r="I23" s="1"/>
      <c r="J23" s="1"/>
      <c r="K23" s="1"/>
      <c r="L23" s="1"/>
      <c r="M23" s="1"/>
      <c r="N23" s="1"/>
      <c r="O23" s="1"/>
      <c r="P23" s="1"/>
      <c r="Q23" s="1"/>
      <c r="R23" s="1"/>
      <c r="S23" s="1"/>
      <c r="T23" s="1"/>
      <c r="U23" s="1"/>
      <c r="V23" s="1"/>
    </row>
    <row r="24" spans="1:22" x14ac:dyDescent="0.2">
      <c r="A24" s="97"/>
      <c r="B24" s="97"/>
      <c r="C24" s="97"/>
      <c r="D24" s="140" t="s">
        <v>192</v>
      </c>
      <c r="E24" s="141">
        <f>COUNTIF(C5:C20,2)</f>
        <v>4</v>
      </c>
      <c r="F24" s="1"/>
      <c r="G24" s="1"/>
      <c r="H24" s="1"/>
      <c r="I24" s="1"/>
      <c r="J24" s="1"/>
      <c r="K24" s="1"/>
      <c r="L24" s="1"/>
      <c r="M24" s="1"/>
      <c r="N24" s="1"/>
      <c r="O24" s="1"/>
      <c r="P24" s="1"/>
      <c r="Q24" s="1"/>
      <c r="R24" s="1"/>
      <c r="S24" s="1"/>
      <c r="T24" s="1"/>
      <c r="U24" s="1"/>
      <c r="V24" s="1"/>
    </row>
    <row r="25" spans="1:22" x14ac:dyDescent="0.2">
      <c r="A25" s="97"/>
      <c r="B25" s="97"/>
      <c r="C25" s="97"/>
      <c r="D25" s="140" t="s">
        <v>193</v>
      </c>
      <c r="E25" s="141">
        <f>COUNTIF(C5:C20,3)</f>
        <v>2</v>
      </c>
      <c r="F25" s="1"/>
      <c r="G25" s="1"/>
      <c r="H25" s="1"/>
      <c r="I25" s="1"/>
      <c r="J25" s="1"/>
      <c r="K25" s="1"/>
      <c r="L25" s="1"/>
      <c r="M25" s="1"/>
      <c r="N25" s="1"/>
      <c r="O25" s="1"/>
      <c r="P25" s="1"/>
      <c r="Q25" s="1"/>
      <c r="R25" s="1"/>
      <c r="S25" s="1"/>
      <c r="T25" s="1"/>
      <c r="U25" s="1"/>
      <c r="V25" s="1"/>
    </row>
    <row r="26" spans="1:22" x14ac:dyDescent="0.2">
      <c r="A26" s="97"/>
      <c r="B26" s="97"/>
      <c r="C26" s="97"/>
      <c r="D26" s="140" t="s">
        <v>194</v>
      </c>
      <c r="E26" s="141">
        <f>(2*E23)+(4*E24)</f>
        <v>36</v>
      </c>
      <c r="F26" s="1"/>
      <c r="G26" s="1"/>
      <c r="H26" s="1"/>
      <c r="I26" s="1"/>
      <c r="J26" s="1"/>
      <c r="K26" s="1"/>
      <c r="L26" s="1"/>
      <c r="M26" s="1"/>
      <c r="N26" s="1"/>
      <c r="O26" s="1"/>
      <c r="P26" s="1"/>
      <c r="Q26" s="1"/>
      <c r="R26" s="1"/>
      <c r="S26" s="1"/>
      <c r="T26" s="1"/>
      <c r="U26" s="1"/>
      <c r="V26" s="1"/>
    </row>
    <row r="27" spans="1:22" x14ac:dyDescent="0.2">
      <c r="A27" s="97"/>
      <c r="B27" s="97"/>
      <c r="C27" s="97"/>
      <c r="D27" s="140" t="s">
        <v>195</v>
      </c>
      <c r="E27" s="141">
        <f>SUM(F5:F18)</f>
        <v>54</v>
      </c>
      <c r="F27" s="1"/>
      <c r="G27" s="1"/>
      <c r="H27" s="1"/>
      <c r="I27" s="1"/>
      <c r="J27" s="1"/>
      <c r="K27" s="1"/>
      <c r="L27" s="1"/>
      <c r="M27" s="1"/>
      <c r="N27" s="1"/>
      <c r="O27" s="1"/>
      <c r="P27" s="1"/>
      <c r="Q27" s="1"/>
      <c r="R27" s="1"/>
      <c r="S27" s="1"/>
      <c r="T27" s="1"/>
      <c r="U27" s="1"/>
      <c r="V27" s="1"/>
    </row>
    <row r="28" spans="1:22" x14ac:dyDescent="0.2">
      <c r="A28" s="97"/>
      <c r="B28" s="97"/>
      <c r="C28" s="97"/>
      <c r="D28" s="140" t="s">
        <v>196</v>
      </c>
      <c r="E28" s="141" t="str">
        <f>IF(E27&gt;=E26,"Valid","Tidak Valid")</f>
        <v>Valid</v>
      </c>
      <c r="F28" s="1"/>
      <c r="G28" s="1"/>
      <c r="H28" s="1"/>
      <c r="I28" s="1"/>
      <c r="J28" s="1"/>
      <c r="K28" s="1"/>
      <c r="L28" s="1"/>
      <c r="M28" s="1"/>
      <c r="N28" s="1"/>
      <c r="O28" s="1"/>
      <c r="P28" s="1"/>
      <c r="Q28" s="1"/>
      <c r="R28" s="1"/>
      <c r="S28" s="1"/>
      <c r="T28" s="1"/>
      <c r="U28" s="1"/>
      <c r="V28" s="1"/>
    </row>
    <row r="29" spans="1:22" x14ac:dyDescent="0.2">
      <c r="A29" s="97"/>
      <c r="B29" s="97"/>
      <c r="C29" s="97"/>
      <c r="D29" s="1"/>
      <c r="E29" s="142"/>
      <c r="F29" s="1"/>
      <c r="G29" s="1"/>
      <c r="H29" s="1"/>
      <c r="I29" s="1"/>
      <c r="J29" s="1"/>
      <c r="K29" s="1"/>
      <c r="L29" s="1"/>
      <c r="M29" s="1"/>
      <c r="N29" s="1"/>
      <c r="O29" s="1"/>
      <c r="P29" s="1"/>
      <c r="Q29" s="1"/>
      <c r="R29" s="1"/>
      <c r="S29" s="1"/>
      <c r="T29" s="1"/>
      <c r="U29" s="1"/>
      <c r="V29" s="1"/>
    </row>
    <row r="30" spans="1:22" x14ac:dyDescent="0.2">
      <c r="A30" s="97"/>
      <c r="B30" s="97"/>
      <c r="C30" s="97"/>
      <c r="D30" s="140" t="s">
        <v>138</v>
      </c>
      <c r="E30" s="141">
        <f>SUM(F5:F14)</f>
        <v>30</v>
      </c>
      <c r="F30" s="142" t="s">
        <v>271</v>
      </c>
      <c r="G30" s="1"/>
      <c r="H30" s="142">
        <f>10*3</f>
        <v>30</v>
      </c>
      <c r="I30" s="1"/>
      <c r="J30" s="1"/>
      <c r="K30" s="1"/>
      <c r="L30" s="1"/>
      <c r="M30" s="1"/>
      <c r="N30" s="1"/>
      <c r="O30" s="1"/>
      <c r="P30" s="1"/>
      <c r="Q30" s="1"/>
      <c r="R30" s="1"/>
      <c r="S30" s="1"/>
      <c r="T30" s="1"/>
      <c r="U30" s="1"/>
      <c r="V30" s="1"/>
    </row>
    <row r="31" spans="1:22" x14ac:dyDescent="0.2">
      <c r="A31" s="97"/>
      <c r="B31" s="97"/>
      <c r="C31" s="97"/>
      <c r="D31" s="143" t="s">
        <v>153</v>
      </c>
      <c r="E31" s="141">
        <f>(4*2)+(6*1)</f>
        <v>14</v>
      </c>
      <c r="F31" s="142" t="s">
        <v>170</v>
      </c>
      <c r="G31" s="1"/>
      <c r="H31" s="1"/>
      <c r="I31" s="1"/>
      <c r="J31" s="1"/>
      <c r="K31" s="1"/>
      <c r="L31" s="1"/>
      <c r="M31" s="1"/>
      <c r="N31" s="1"/>
      <c r="O31" s="1"/>
      <c r="P31" s="1"/>
      <c r="Q31" s="1"/>
      <c r="R31" s="1"/>
      <c r="S31" s="1"/>
      <c r="T31" s="1"/>
      <c r="U31" s="1"/>
      <c r="V31" s="1"/>
    </row>
    <row r="32" spans="1:22" x14ac:dyDescent="0.2">
      <c r="A32" s="97"/>
      <c r="B32" s="97"/>
      <c r="C32" s="97"/>
      <c r="D32" s="143" t="s">
        <v>154</v>
      </c>
      <c r="E32" s="141">
        <f>(10*2)</f>
        <v>20</v>
      </c>
      <c r="F32" s="142" t="s">
        <v>171</v>
      </c>
      <c r="G32" s="1"/>
      <c r="H32" s="1"/>
      <c r="I32" s="1"/>
      <c r="J32" s="1"/>
      <c r="K32" s="1"/>
      <c r="L32" s="1"/>
      <c r="M32" s="1"/>
      <c r="N32" s="1"/>
      <c r="O32" s="1"/>
      <c r="P32" s="1"/>
      <c r="Q32" s="1"/>
      <c r="R32" s="1"/>
      <c r="S32" s="1"/>
      <c r="T32" s="1"/>
      <c r="U32" s="1"/>
      <c r="V32" s="1"/>
    </row>
    <row r="33" spans="1:22" x14ac:dyDescent="0.2">
      <c r="A33" s="97"/>
      <c r="B33" s="97"/>
      <c r="C33" s="97"/>
      <c r="D33" s="140" t="s">
        <v>155</v>
      </c>
      <c r="E33" s="141" t="str">
        <f>IF(E30&gt;=E32,"II",IF(E30&gt;=E31,"I+","No"))</f>
        <v>II</v>
      </c>
      <c r="F33" s="142">
        <f>0.8*10*3</f>
        <v>24</v>
      </c>
      <c r="G33" s="142" t="s">
        <v>190</v>
      </c>
      <c r="H33" s="1"/>
      <c r="I33" s="1"/>
      <c r="J33" s="1"/>
      <c r="K33" s="1"/>
      <c r="L33" s="1"/>
      <c r="M33" s="1"/>
      <c r="N33" s="1"/>
      <c r="O33" s="1"/>
      <c r="P33" s="1"/>
      <c r="Q33" s="1"/>
      <c r="R33" s="1"/>
      <c r="S33" s="1"/>
      <c r="T33" s="1"/>
      <c r="U33" s="1"/>
      <c r="V33" s="1"/>
    </row>
    <row r="34" spans="1:22" x14ac:dyDescent="0.2">
      <c r="A34" s="97"/>
      <c r="B34" s="97"/>
      <c r="C34" s="97"/>
      <c r="D34" s="140" t="s">
        <v>139</v>
      </c>
      <c r="E34" s="141">
        <f>SUM(F15:F16)</f>
        <v>12</v>
      </c>
      <c r="F34" s="142" t="s">
        <v>164</v>
      </c>
      <c r="G34" s="1"/>
      <c r="H34" s="142">
        <f>2*6</f>
        <v>12</v>
      </c>
      <c r="I34" s="1"/>
      <c r="J34" s="1"/>
      <c r="K34" s="1"/>
      <c r="L34" s="1"/>
      <c r="M34" s="1"/>
      <c r="N34" s="1"/>
      <c r="O34" s="1"/>
      <c r="P34" s="1"/>
      <c r="Q34" s="1"/>
      <c r="R34" s="1"/>
      <c r="S34" s="1"/>
      <c r="T34" s="1"/>
      <c r="U34" s="1"/>
      <c r="V34" s="1"/>
    </row>
    <row r="35" spans="1:22" x14ac:dyDescent="0.2">
      <c r="A35" s="97"/>
      <c r="B35" s="97"/>
      <c r="C35" s="97"/>
      <c r="D35" s="143" t="s">
        <v>158</v>
      </c>
      <c r="E35" s="141" t="str">
        <f>IF(E30&gt;=F33,"Yes","No")</f>
        <v>Yes</v>
      </c>
      <c r="F35" s="142"/>
      <c r="G35" s="1"/>
      <c r="H35" s="1"/>
      <c r="I35" s="1"/>
      <c r="J35" s="1"/>
      <c r="K35" s="1"/>
      <c r="L35" s="1"/>
      <c r="M35" s="1"/>
      <c r="N35" s="1"/>
      <c r="O35" s="1"/>
      <c r="P35" s="1"/>
      <c r="Q35" s="1"/>
      <c r="R35" s="1"/>
      <c r="S35" s="1"/>
      <c r="T35" s="1"/>
      <c r="U35" s="1"/>
      <c r="V35" s="1"/>
    </row>
    <row r="36" spans="1:22" x14ac:dyDescent="0.2">
      <c r="A36" s="97"/>
      <c r="B36" s="97"/>
      <c r="C36" s="97"/>
      <c r="D36" s="143" t="s">
        <v>156</v>
      </c>
      <c r="E36" s="141">
        <f>(2*2)+(0*4)</f>
        <v>4</v>
      </c>
      <c r="F36" s="142" t="s">
        <v>198</v>
      </c>
      <c r="G36" s="1"/>
      <c r="H36" s="1"/>
      <c r="I36" s="1"/>
      <c r="J36" s="1"/>
      <c r="K36" s="1"/>
      <c r="L36" s="1"/>
      <c r="M36" s="1"/>
      <c r="N36" s="1"/>
      <c r="O36" s="1"/>
      <c r="P36" s="1"/>
      <c r="Q36" s="1"/>
      <c r="R36" s="1"/>
      <c r="S36" s="1"/>
      <c r="T36" s="1"/>
      <c r="U36" s="1"/>
      <c r="V36" s="1"/>
    </row>
    <row r="37" spans="1:22" x14ac:dyDescent="0.2">
      <c r="A37" s="97"/>
      <c r="B37" s="97"/>
      <c r="C37" s="97"/>
      <c r="D37" s="143" t="s">
        <v>157</v>
      </c>
      <c r="E37" s="141">
        <f>2*4</f>
        <v>8</v>
      </c>
      <c r="F37" s="142" t="s">
        <v>197</v>
      </c>
      <c r="G37" s="1"/>
      <c r="H37" s="1"/>
      <c r="I37" s="1"/>
      <c r="J37" s="1"/>
      <c r="K37" s="1"/>
      <c r="L37" s="1"/>
      <c r="M37" s="1"/>
      <c r="N37" s="1"/>
      <c r="O37" s="1"/>
      <c r="P37" s="1"/>
      <c r="Q37" s="1"/>
      <c r="R37" s="1"/>
      <c r="S37" s="1"/>
      <c r="T37" s="1"/>
      <c r="U37" s="1"/>
      <c r="V37" s="1"/>
    </row>
    <row r="38" spans="1:22" x14ac:dyDescent="0.2">
      <c r="A38" s="97"/>
      <c r="B38" s="97"/>
      <c r="C38" s="97"/>
      <c r="D38" s="140" t="s">
        <v>155</v>
      </c>
      <c r="E38" s="141" t="str">
        <f>IF(E35="Yes",IF(E34&gt;=E37,"III",IF(E34&gt;=E36,"II+","II")),"No")</f>
        <v>III</v>
      </c>
      <c r="F38" s="142">
        <f>(1*4)+(1*6)</f>
        <v>10</v>
      </c>
      <c r="G38" s="142" t="s">
        <v>200</v>
      </c>
      <c r="H38" s="1"/>
      <c r="I38" s="1"/>
      <c r="J38" s="1"/>
      <c r="K38" s="1"/>
      <c r="L38" s="1"/>
      <c r="M38" s="1"/>
      <c r="N38" s="1"/>
      <c r="O38" s="1"/>
      <c r="P38" s="1"/>
      <c r="Q38" s="1"/>
      <c r="R38" s="1"/>
      <c r="S38" s="1"/>
      <c r="T38" s="1"/>
      <c r="U38" s="1"/>
      <c r="V38" s="1"/>
    </row>
    <row r="39" spans="1:22" x14ac:dyDescent="0.2">
      <c r="A39" s="97"/>
      <c r="B39" s="97"/>
      <c r="C39" s="97"/>
      <c r="D39" s="140" t="s">
        <v>140</v>
      </c>
      <c r="E39" s="141">
        <f>SUM(F17:F18)</f>
        <v>12</v>
      </c>
      <c r="F39" s="142" t="s">
        <v>164</v>
      </c>
      <c r="G39" s="1"/>
      <c r="H39" s="1"/>
      <c r="I39" s="1"/>
      <c r="J39" s="1"/>
      <c r="K39" s="1"/>
      <c r="L39" s="1"/>
      <c r="M39" s="1"/>
      <c r="N39" s="1"/>
      <c r="O39" s="1"/>
      <c r="P39" s="1"/>
      <c r="Q39" s="1"/>
      <c r="R39" s="1"/>
      <c r="S39" s="1"/>
      <c r="T39" s="1"/>
      <c r="U39" s="1"/>
      <c r="V39" s="1"/>
    </row>
    <row r="40" spans="1:22" x14ac:dyDescent="0.2">
      <c r="A40" s="97"/>
      <c r="B40" s="97"/>
      <c r="C40" s="97"/>
      <c r="D40" s="143" t="s">
        <v>159</v>
      </c>
      <c r="E40" s="141" t="str">
        <f>IF(AND(E35="Yes",E34&gt;=F38),"Yes","No")</f>
        <v>Yes</v>
      </c>
      <c r="F40" s="142"/>
      <c r="G40" s="1"/>
      <c r="H40" s="1"/>
      <c r="I40" s="1"/>
      <c r="J40" s="1"/>
      <c r="K40" s="1"/>
      <c r="L40" s="1"/>
      <c r="M40" s="1"/>
      <c r="N40" s="1"/>
      <c r="O40" s="1"/>
      <c r="P40" s="1"/>
      <c r="Q40" s="1"/>
      <c r="R40" s="1"/>
      <c r="S40" s="1"/>
      <c r="T40" s="1"/>
      <c r="U40" s="1"/>
      <c r="V40" s="1"/>
    </row>
    <row r="41" spans="1:22" x14ac:dyDescent="0.2">
      <c r="A41" s="97"/>
      <c r="B41" s="97"/>
      <c r="C41" s="97"/>
      <c r="D41" s="143" t="s">
        <v>160</v>
      </c>
      <c r="E41" s="141">
        <f>2*4</f>
        <v>8</v>
      </c>
      <c r="F41" s="142" t="s">
        <v>202</v>
      </c>
      <c r="G41" s="1"/>
      <c r="H41" s="1"/>
      <c r="I41" s="1"/>
      <c r="J41" s="1"/>
      <c r="K41" s="1"/>
      <c r="L41" s="1"/>
      <c r="M41" s="1"/>
      <c r="N41" s="1"/>
      <c r="O41" s="1"/>
      <c r="P41" s="1"/>
      <c r="Q41" s="1"/>
      <c r="R41" s="1"/>
      <c r="S41" s="1"/>
      <c r="T41" s="1"/>
      <c r="U41" s="1"/>
      <c r="V41" s="1"/>
    </row>
    <row r="42" spans="1:22" x14ac:dyDescent="0.2">
      <c r="A42" s="97"/>
      <c r="B42" s="97"/>
      <c r="C42" s="97"/>
      <c r="D42" s="143" t="s">
        <v>161</v>
      </c>
      <c r="E42" s="141">
        <f>2*6</f>
        <v>12</v>
      </c>
      <c r="F42" s="142" t="s">
        <v>173</v>
      </c>
      <c r="G42" s="1"/>
      <c r="H42" s="1"/>
      <c r="I42" s="1"/>
      <c r="J42" s="1"/>
      <c r="K42" s="1"/>
      <c r="L42" s="1"/>
      <c r="M42" s="1"/>
      <c r="N42" s="1"/>
      <c r="O42" s="1"/>
      <c r="P42" s="1"/>
      <c r="Q42" s="1"/>
      <c r="R42" s="1"/>
      <c r="S42" s="1"/>
      <c r="T42" s="1"/>
      <c r="U42" s="1"/>
      <c r="V42" s="1"/>
    </row>
    <row r="43" spans="1:22" x14ac:dyDescent="0.2">
      <c r="A43" s="97"/>
      <c r="B43" s="97"/>
      <c r="C43" s="97"/>
      <c r="D43" s="140" t="s">
        <v>155</v>
      </c>
      <c r="E43" s="141" t="str">
        <f>IF(E40="Yes",IF(AND(E30=H30,E34&gt;=H34,E39&gt;=E42),"IV",IF(E39&gt;=E41,"III+","III")),"No")</f>
        <v>IV</v>
      </c>
      <c r="F43" s="142">
        <f>2*6</f>
        <v>12</v>
      </c>
      <c r="G43" s="1"/>
      <c r="H43" s="1"/>
      <c r="I43" s="1"/>
      <c r="J43" s="1"/>
      <c r="K43" s="1"/>
      <c r="L43" s="1"/>
      <c r="M43" s="1"/>
      <c r="N43" s="1"/>
      <c r="O43" s="1"/>
      <c r="P43" s="1"/>
      <c r="Q43" s="1"/>
      <c r="R43" s="1"/>
      <c r="S43" s="1"/>
      <c r="T43" s="1"/>
      <c r="U43" s="1"/>
      <c r="V43" s="1"/>
    </row>
    <row r="44" spans="1:22" x14ac:dyDescent="0.2">
      <c r="A44" s="97"/>
      <c r="B44" s="97"/>
      <c r="C44" s="97"/>
      <c r="D44" s="140" t="s">
        <v>145</v>
      </c>
      <c r="E44" s="153">
        <f>SUM(F19:F20)</f>
        <v>18</v>
      </c>
      <c r="F44" s="142" t="s">
        <v>165</v>
      </c>
      <c r="G44" s="1"/>
      <c r="H44" s="1"/>
      <c r="I44" s="1"/>
      <c r="J44" s="1"/>
      <c r="K44" s="1"/>
      <c r="L44" s="1"/>
      <c r="M44" s="1"/>
      <c r="N44" s="1"/>
      <c r="O44" s="1"/>
      <c r="P44" s="1"/>
      <c r="Q44" s="1"/>
      <c r="R44" s="1"/>
      <c r="S44" s="1"/>
      <c r="T44" s="1"/>
      <c r="U44" s="1"/>
      <c r="V44" s="1"/>
    </row>
    <row r="45" spans="1:22" x14ac:dyDescent="0.2">
      <c r="A45" s="97"/>
      <c r="B45" s="97"/>
      <c r="C45" s="97"/>
      <c r="D45" s="143" t="s">
        <v>166</v>
      </c>
      <c r="E45" s="141" t="str">
        <f>IF(AND(E40="Yes",E39&gt;=F43),"Yes","No")</f>
        <v>Yes</v>
      </c>
      <c r="F45" s="1"/>
      <c r="G45" s="1"/>
      <c r="H45" s="1"/>
      <c r="I45" s="1"/>
      <c r="J45" s="1"/>
      <c r="K45" s="1"/>
      <c r="L45" s="1"/>
      <c r="M45" s="1"/>
      <c r="N45" s="1"/>
      <c r="O45" s="1"/>
      <c r="P45" s="1"/>
      <c r="Q45" s="1"/>
      <c r="R45" s="1"/>
      <c r="S45" s="1"/>
      <c r="T45" s="1"/>
      <c r="U45" s="1"/>
      <c r="V45" s="1"/>
    </row>
    <row r="46" spans="1:22" x14ac:dyDescent="0.2">
      <c r="A46" s="97"/>
      <c r="B46" s="97"/>
      <c r="C46" s="97"/>
      <c r="D46" s="143" t="s">
        <v>167</v>
      </c>
      <c r="E46" s="141">
        <f>2*6</f>
        <v>12</v>
      </c>
      <c r="F46" s="142" t="s">
        <v>172</v>
      </c>
      <c r="G46" s="1"/>
      <c r="H46" s="1"/>
      <c r="I46" s="1"/>
      <c r="J46" s="1"/>
      <c r="K46" s="1"/>
      <c r="L46" s="1"/>
      <c r="M46" s="1"/>
      <c r="N46" s="1"/>
      <c r="O46" s="1"/>
      <c r="P46" s="1"/>
      <c r="Q46" s="1"/>
      <c r="R46" s="1"/>
      <c r="S46" s="1"/>
      <c r="T46" s="1"/>
      <c r="U46" s="1"/>
      <c r="V46" s="1"/>
    </row>
    <row r="47" spans="1:22" x14ac:dyDescent="0.2">
      <c r="A47" s="97"/>
      <c r="B47" s="97"/>
      <c r="C47" s="97"/>
      <c r="D47" s="143" t="s">
        <v>168</v>
      </c>
      <c r="E47" s="141">
        <f>2*9</f>
        <v>18</v>
      </c>
      <c r="F47" s="142" t="s">
        <v>173</v>
      </c>
      <c r="G47" s="1"/>
      <c r="H47" s="1"/>
      <c r="I47" s="1"/>
      <c r="J47" s="1"/>
      <c r="K47" s="1"/>
      <c r="L47" s="1"/>
      <c r="M47" s="1"/>
      <c r="N47" s="1"/>
      <c r="O47" s="1"/>
      <c r="P47" s="1"/>
      <c r="Q47" s="1"/>
      <c r="R47" s="1"/>
      <c r="S47" s="1"/>
      <c r="T47" s="1"/>
      <c r="U47" s="1"/>
      <c r="V47" s="1"/>
    </row>
    <row r="48" spans="1:22" x14ac:dyDescent="0.2">
      <c r="A48" s="97"/>
      <c r="B48" s="97"/>
      <c r="C48" s="97"/>
      <c r="D48" s="140" t="s">
        <v>155</v>
      </c>
      <c r="E48" s="141" t="str">
        <f>IF(E45="Yes",IF(E44&gt;=E47,"V",IF(E44&gt;=E46,"IV+","IV")),"No")</f>
        <v>V</v>
      </c>
      <c r="F48" s="142"/>
      <c r="G48" s="1"/>
      <c r="H48" s="1"/>
      <c r="I48" s="1"/>
      <c r="J48" s="1"/>
      <c r="K48" s="1"/>
      <c r="L48" s="1"/>
      <c r="M48" s="1"/>
      <c r="N48" s="1"/>
      <c r="O48" s="1"/>
      <c r="P48" s="1"/>
      <c r="Q48" s="1"/>
      <c r="R48" s="1"/>
      <c r="S48" s="1"/>
      <c r="T48" s="1"/>
      <c r="U48" s="1"/>
      <c r="V48" s="1"/>
    </row>
    <row r="49" spans="1:22" x14ac:dyDescent="0.2">
      <c r="A49" s="97"/>
      <c r="B49" s="97"/>
      <c r="C49" s="97"/>
      <c r="D49" s="1"/>
      <c r="E49" s="1"/>
      <c r="F49" s="1"/>
      <c r="G49" s="1"/>
      <c r="H49" s="1"/>
      <c r="I49" s="1"/>
      <c r="J49" s="1"/>
      <c r="K49" s="1"/>
      <c r="L49" s="1"/>
      <c r="M49" s="1"/>
      <c r="N49" s="1"/>
      <c r="O49" s="1"/>
      <c r="P49" s="1"/>
      <c r="Q49" s="1"/>
      <c r="R49" s="1"/>
      <c r="S49" s="1"/>
      <c r="T49" s="1"/>
      <c r="U49" s="1"/>
      <c r="V49" s="1"/>
    </row>
    <row r="50" spans="1:22" x14ac:dyDescent="0.2">
      <c r="A50" s="97"/>
      <c r="B50" s="97"/>
      <c r="C50" s="97"/>
      <c r="D50" s="1"/>
      <c r="E50" s="1"/>
      <c r="F50" s="1"/>
      <c r="G50" s="1"/>
      <c r="H50" s="1"/>
      <c r="I50" s="1"/>
      <c r="J50" s="1"/>
      <c r="K50" s="1"/>
      <c r="L50" s="1"/>
      <c r="M50" s="1"/>
      <c r="N50" s="1"/>
      <c r="O50" s="1"/>
      <c r="P50" s="1"/>
      <c r="Q50" s="1"/>
      <c r="R50" s="1"/>
      <c r="S50" s="1"/>
      <c r="T50" s="1"/>
      <c r="U50" s="1"/>
      <c r="V50" s="1"/>
    </row>
    <row r="51" spans="1:22" x14ac:dyDescent="0.2">
      <c r="A51" s="97"/>
      <c r="B51" s="97"/>
      <c r="C51" s="97"/>
      <c r="D51" s="1"/>
      <c r="E51" s="1"/>
      <c r="F51" s="1"/>
      <c r="G51" s="1"/>
      <c r="H51" s="1"/>
      <c r="I51" s="1"/>
      <c r="J51" s="1"/>
      <c r="K51" s="1"/>
      <c r="L51" s="1"/>
      <c r="M51" s="1"/>
      <c r="N51" s="1"/>
      <c r="O51" s="1"/>
      <c r="P51" s="1"/>
      <c r="Q51" s="1"/>
      <c r="R51" s="1"/>
      <c r="S51" s="1"/>
      <c r="T51" s="1"/>
      <c r="U51" s="1"/>
      <c r="V51" s="1"/>
    </row>
    <row r="52" spans="1:22" x14ac:dyDescent="0.2">
      <c r="A52" s="97"/>
      <c r="B52" s="97"/>
      <c r="C52" s="97"/>
      <c r="D52" s="1"/>
      <c r="E52" s="1"/>
      <c r="F52" s="1"/>
      <c r="G52" s="1"/>
      <c r="H52" s="1"/>
      <c r="I52" s="1"/>
      <c r="J52" s="1"/>
      <c r="K52" s="1"/>
      <c r="L52" s="1"/>
      <c r="M52" s="1"/>
      <c r="N52" s="1"/>
      <c r="O52" s="1"/>
      <c r="P52" s="1"/>
      <c r="Q52" s="1"/>
      <c r="R52" s="1"/>
      <c r="S52" s="1"/>
      <c r="T52" s="1"/>
      <c r="U52" s="1"/>
      <c r="V52" s="1"/>
    </row>
    <row r="53" spans="1:22" x14ac:dyDescent="0.2">
      <c r="A53" s="97"/>
      <c r="B53" s="97"/>
      <c r="C53" s="97"/>
      <c r="D53" s="1"/>
      <c r="E53" s="1"/>
      <c r="F53" s="1"/>
      <c r="G53" s="1"/>
      <c r="H53" s="1"/>
      <c r="I53" s="1"/>
      <c r="J53" s="1"/>
      <c r="K53" s="1"/>
      <c r="L53" s="1"/>
      <c r="M53" s="1"/>
      <c r="N53" s="1"/>
      <c r="O53" s="1"/>
      <c r="P53" s="1"/>
      <c r="Q53" s="1"/>
      <c r="R53" s="1"/>
      <c r="S53" s="1"/>
      <c r="T53" s="1"/>
      <c r="U53" s="1"/>
      <c r="V53" s="1"/>
    </row>
    <row r="54" spans="1:22" x14ac:dyDescent="0.2">
      <c r="A54" s="97"/>
      <c r="B54" s="97"/>
      <c r="C54" s="97"/>
      <c r="D54" s="1"/>
      <c r="E54" s="1"/>
      <c r="F54" s="1"/>
      <c r="G54" s="1"/>
      <c r="H54" s="1"/>
      <c r="I54" s="1"/>
      <c r="J54" s="1"/>
      <c r="K54" s="1"/>
      <c r="L54" s="1"/>
      <c r="M54" s="1"/>
      <c r="N54" s="1"/>
      <c r="O54" s="1"/>
      <c r="P54" s="1"/>
      <c r="Q54" s="1"/>
      <c r="R54" s="1"/>
      <c r="S54" s="1"/>
      <c r="T54" s="1"/>
      <c r="U54" s="1"/>
      <c r="V54" s="1"/>
    </row>
    <row r="55" spans="1:22" x14ac:dyDescent="0.2">
      <c r="A55" s="97"/>
      <c r="B55" s="97"/>
      <c r="C55" s="97"/>
      <c r="D55" s="1"/>
      <c r="E55" s="1"/>
      <c r="F55" s="1"/>
      <c r="G55" s="1"/>
      <c r="H55" s="1"/>
      <c r="I55" s="1"/>
      <c r="J55" s="1"/>
      <c r="K55" s="1"/>
      <c r="L55" s="1"/>
      <c r="M55" s="1"/>
      <c r="N55" s="1"/>
      <c r="O55" s="1"/>
      <c r="P55" s="1"/>
      <c r="Q55" s="1"/>
      <c r="R55" s="1"/>
      <c r="S55" s="1"/>
      <c r="T55" s="1"/>
      <c r="U55" s="1"/>
      <c r="V55" s="1"/>
    </row>
    <row r="56" spans="1:22" x14ac:dyDescent="0.2">
      <c r="A56" s="97"/>
      <c r="B56" s="97"/>
      <c r="C56" s="97"/>
      <c r="D56" s="1"/>
      <c r="E56" s="1"/>
      <c r="F56" s="1"/>
      <c r="G56" s="1"/>
      <c r="H56" s="1"/>
      <c r="I56" s="1"/>
      <c r="J56" s="1"/>
      <c r="K56" s="1"/>
      <c r="L56" s="1"/>
      <c r="M56" s="1"/>
      <c r="N56" s="1"/>
      <c r="O56" s="1"/>
      <c r="P56" s="1"/>
      <c r="Q56" s="1"/>
      <c r="R56" s="1"/>
      <c r="S56" s="1"/>
      <c r="T56" s="1"/>
      <c r="U56" s="1"/>
      <c r="V56" s="1"/>
    </row>
    <row r="57" spans="1:22" x14ac:dyDescent="0.2">
      <c r="A57" s="97"/>
      <c r="B57" s="97"/>
      <c r="C57" s="97"/>
      <c r="D57" s="1"/>
      <c r="E57" s="1"/>
      <c r="F57" s="1"/>
      <c r="G57" s="1"/>
      <c r="H57" s="1"/>
      <c r="I57" s="1"/>
      <c r="J57" s="1"/>
      <c r="K57" s="1"/>
      <c r="L57" s="1"/>
      <c r="M57" s="1"/>
      <c r="N57" s="1"/>
      <c r="O57" s="1"/>
      <c r="P57" s="1"/>
      <c r="Q57" s="1"/>
      <c r="R57" s="1"/>
      <c r="S57" s="1"/>
      <c r="T57" s="1"/>
      <c r="U57" s="1"/>
      <c r="V57" s="1"/>
    </row>
    <row r="58" spans="1:22" x14ac:dyDescent="0.2">
      <c r="A58" s="97"/>
      <c r="B58" s="97"/>
      <c r="C58" s="97"/>
      <c r="D58" s="1"/>
      <c r="E58" s="1"/>
      <c r="F58" s="1"/>
      <c r="G58" s="1"/>
      <c r="H58" s="1"/>
      <c r="I58" s="1"/>
      <c r="J58" s="1"/>
      <c r="K58" s="1"/>
      <c r="L58" s="1"/>
      <c r="M58" s="1"/>
      <c r="N58" s="1"/>
      <c r="O58" s="1"/>
      <c r="P58" s="1"/>
      <c r="Q58" s="1"/>
      <c r="R58" s="1"/>
      <c r="S58" s="1"/>
      <c r="T58" s="1"/>
      <c r="U58" s="1"/>
      <c r="V58" s="1"/>
    </row>
    <row r="59" spans="1:22" x14ac:dyDescent="0.2">
      <c r="A59" s="97"/>
      <c r="B59" s="97"/>
      <c r="C59" s="97"/>
      <c r="D59" s="1"/>
      <c r="E59" s="1"/>
      <c r="F59" s="1"/>
      <c r="G59" s="1"/>
      <c r="H59" s="1"/>
      <c r="I59" s="1"/>
      <c r="J59" s="1"/>
      <c r="K59" s="1"/>
      <c r="L59" s="1"/>
      <c r="M59" s="1"/>
      <c r="N59" s="1"/>
      <c r="O59" s="1"/>
      <c r="P59" s="1"/>
      <c r="Q59" s="1"/>
      <c r="R59" s="1"/>
      <c r="S59" s="1"/>
      <c r="T59" s="1"/>
      <c r="U59" s="1"/>
      <c r="V59" s="1"/>
    </row>
    <row r="60" spans="1:22" x14ac:dyDescent="0.2">
      <c r="A60" s="97"/>
      <c r="B60" s="97"/>
      <c r="C60" s="97"/>
      <c r="D60" s="1"/>
      <c r="E60" s="1"/>
      <c r="F60" s="1"/>
      <c r="G60" s="1"/>
      <c r="H60" s="1"/>
      <c r="I60" s="1"/>
      <c r="J60" s="1"/>
      <c r="K60" s="1"/>
      <c r="L60" s="1"/>
      <c r="M60" s="1"/>
      <c r="N60" s="1"/>
      <c r="O60" s="1"/>
      <c r="P60" s="1"/>
      <c r="Q60" s="1"/>
      <c r="R60" s="1"/>
      <c r="S60" s="1"/>
      <c r="T60" s="1"/>
      <c r="U60" s="1"/>
      <c r="V60" s="1"/>
    </row>
    <row r="61" spans="1:22" x14ac:dyDescent="0.2">
      <c r="A61" s="97"/>
      <c r="B61" s="97"/>
      <c r="C61" s="97"/>
      <c r="D61" s="1"/>
      <c r="E61" s="1"/>
      <c r="F61" s="1"/>
      <c r="G61" s="1"/>
      <c r="H61" s="1"/>
      <c r="I61" s="1"/>
      <c r="J61" s="1"/>
      <c r="K61" s="1"/>
      <c r="L61" s="1"/>
      <c r="M61" s="1"/>
      <c r="N61" s="1"/>
      <c r="O61" s="1"/>
      <c r="P61" s="1"/>
      <c r="Q61" s="1"/>
      <c r="R61" s="1"/>
      <c r="S61" s="1"/>
      <c r="T61" s="1"/>
      <c r="U61" s="1"/>
      <c r="V61" s="1"/>
    </row>
    <row r="62" spans="1:22" x14ac:dyDescent="0.2">
      <c r="A62" s="97"/>
      <c r="B62" s="97"/>
      <c r="C62" s="97"/>
      <c r="D62" s="1"/>
      <c r="E62" s="1"/>
      <c r="F62" s="1"/>
      <c r="G62" s="1"/>
      <c r="H62" s="1"/>
      <c r="I62" s="1"/>
      <c r="J62" s="1"/>
      <c r="K62" s="1"/>
      <c r="L62" s="1"/>
      <c r="M62" s="1"/>
      <c r="N62" s="1"/>
      <c r="O62" s="1"/>
      <c r="P62" s="1"/>
      <c r="Q62" s="1"/>
      <c r="R62" s="1"/>
      <c r="S62" s="1"/>
      <c r="T62" s="1"/>
      <c r="U62" s="1"/>
      <c r="V62" s="1"/>
    </row>
    <row r="63" spans="1:22" x14ac:dyDescent="0.2">
      <c r="A63" s="97"/>
      <c r="B63" s="97"/>
      <c r="C63" s="97"/>
      <c r="D63" s="1"/>
      <c r="E63" s="1"/>
      <c r="F63" s="1"/>
      <c r="G63" s="1"/>
      <c r="H63" s="1"/>
      <c r="I63" s="1"/>
      <c r="J63" s="1"/>
      <c r="K63" s="1"/>
      <c r="L63" s="1"/>
      <c r="M63" s="1"/>
      <c r="N63" s="1"/>
      <c r="O63" s="1"/>
      <c r="P63" s="1"/>
      <c r="Q63" s="1"/>
      <c r="R63" s="1"/>
      <c r="S63" s="1"/>
      <c r="T63" s="1"/>
      <c r="U63" s="1"/>
      <c r="V63" s="1"/>
    </row>
    <row r="64" spans="1:22" x14ac:dyDescent="0.2">
      <c r="A64" s="97"/>
      <c r="B64" s="97"/>
      <c r="C64" s="97"/>
      <c r="D64" s="1"/>
      <c r="E64" s="1"/>
      <c r="F64" s="1"/>
      <c r="G64" s="1"/>
      <c r="H64" s="1"/>
      <c r="I64" s="1"/>
      <c r="J64" s="1"/>
      <c r="K64" s="1"/>
      <c r="L64" s="1"/>
      <c r="M64" s="1"/>
      <c r="N64" s="1"/>
      <c r="O64" s="1"/>
      <c r="P64" s="1"/>
      <c r="Q64" s="1"/>
      <c r="R64" s="1"/>
      <c r="S64" s="1"/>
      <c r="T64" s="1"/>
      <c r="U64" s="1"/>
      <c r="V64" s="1"/>
    </row>
    <row r="65" spans="1:22" x14ac:dyDescent="0.2">
      <c r="A65" s="97"/>
      <c r="B65" s="97"/>
      <c r="C65" s="97"/>
      <c r="D65" s="1"/>
      <c r="E65" s="1"/>
      <c r="F65" s="1"/>
      <c r="G65" s="1"/>
      <c r="H65" s="1"/>
      <c r="I65" s="1"/>
      <c r="J65" s="1"/>
      <c r="K65" s="1"/>
      <c r="L65" s="1"/>
      <c r="M65" s="1"/>
      <c r="N65" s="1"/>
      <c r="O65" s="1"/>
      <c r="P65" s="1"/>
      <c r="Q65" s="1"/>
      <c r="R65" s="1"/>
      <c r="S65" s="1"/>
      <c r="T65" s="1"/>
      <c r="U65" s="1"/>
      <c r="V65" s="1"/>
    </row>
    <row r="66" spans="1:22" x14ac:dyDescent="0.2">
      <c r="A66" s="97"/>
      <c r="B66" s="97"/>
      <c r="C66" s="97"/>
      <c r="D66" s="1"/>
      <c r="E66" s="1"/>
      <c r="F66" s="1"/>
      <c r="G66" s="1"/>
      <c r="H66" s="1"/>
      <c r="I66" s="1"/>
      <c r="J66" s="1"/>
      <c r="K66" s="1"/>
      <c r="L66" s="1"/>
      <c r="M66" s="1"/>
      <c r="N66" s="1"/>
      <c r="O66" s="1"/>
      <c r="P66" s="1"/>
      <c r="Q66" s="1"/>
      <c r="R66" s="1"/>
      <c r="S66" s="1"/>
      <c r="T66" s="1"/>
      <c r="U66" s="1"/>
      <c r="V66" s="1"/>
    </row>
    <row r="67" spans="1:22" x14ac:dyDescent="0.2">
      <c r="A67" s="97"/>
      <c r="B67" s="97"/>
      <c r="C67" s="97"/>
      <c r="D67" s="1"/>
      <c r="E67" s="1"/>
      <c r="F67" s="1"/>
      <c r="G67" s="1"/>
      <c r="H67" s="1"/>
      <c r="I67" s="1"/>
      <c r="J67" s="1"/>
      <c r="K67" s="1"/>
      <c r="L67" s="1"/>
      <c r="M67" s="1"/>
      <c r="N67" s="1"/>
      <c r="O67" s="1"/>
      <c r="P67" s="1"/>
      <c r="Q67" s="1"/>
      <c r="R67" s="1"/>
      <c r="S67" s="1"/>
      <c r="T67" s="1"/>
      <c r="U67" s="1"/>
      <c r="V67" s="1"/>
    </row>
    <row r="68" spans="1:22" x14ac:dyDescent="0.2">
      <c r="A68" s="97"/>
      <c r="B68" s="97"/>
      <c r="C68" s="97"/>
      <c r="D68" s="1"/>
      <c r="E68" s="1"/>
      <c r="F68" s="1"/>
      <c r="G68" s="1"/>
      <c r="H68" s="1"/>
      <c r="I68" s="1"/>
      <c r="J68" s="1"/>
      <c r="K68" s="1"/>
      <c r="L68" s="1"/>
      <c r="M68" s="1"/>
      <c r="N68" s="1"/>
      <c r="O68" s="1"/>
      <c r="P68" s="1"/>
      <c r="Q68" s="1"/>
      <c r="R68" s="1"/>
      <c r="S68" s="1"/>
      <c r="T68" s="1"/>
      <c r="U68" s="1"/>
      <c r="V68" s="1"/>
    </row>
    <row r="69" spans="1:22" x14ac:dyDescent="0.2">
      <c r="A69" s="97"/>
      <c r="B69" s="97"/>
      <c r="C69" s="97"/>
      <c r="D69" s="1"/>
      <c r="E69" s="1"/>
      <c r="F69" s="1"/>
      <c r="G69" s="1"/>
      <c r="H69" s="1"/>
      <c r="I69" s="1"/>
      <c r="J69" s="1"/>
      <c r="K69" s="1"/>
      <c r="L69" s="1"/>
      <c r="M69" s="1"/>
      <c r="N69" s="1"/>
      <c r="O69" s="1"/>
      <c r="P69" s="1"/>
      <c r="Q69" s="1"/>
      <c r="R69" s="1"/>
      <c r="S69" s="1"/>
      <c r="T69" s="1"/>
      <c r="U69" s="1"/>
      <c r="V69" s="1"/>
    </row>
    <row r="70" spans="1:22" x14ac:dyDescent="0.2">
      <c r="A70" s="97"/>
      <c r="B70" s="97"/>
      <c r="C70" s="97"/>
      <c r="D70" s="1"/>
      <c r="E70" s="1"/>
      <c r="F70" s="1"/>
      <c r="G70" s="1"/>
      <c r="H70" s="1"/>
      <c r="I70" s="1"/>
      <c r="J70" s="1"/>
      <c r="K70" s="1"/>
      <c r="L70" s="1"/>
      <c r="M70" s="1"/>
      <c r="N70" s="1"/>
      <c r="O70" s="1"/>
      <c r="P70" s="1"/>
      <c r="Q70" s="1"/>
      <c r="R70" s="1"/>
      <c r="S70" s="1"/>
      <c r="T70" s="1"/>
      <c r="U70" s="1"/>
      <c r="V70" s="1"/>
    </row>
    <row r="71" spans="1:22" x14ac:dyDescent="0.2">
      <c r="A71" s="97"/>
      <c r="B71" s="97"/>
      <c r="C71" s="97"/>
      <c r="D71" s="1"/>
      <c r="E71" s="1"/>
      <c r="F71" s="1"/>
      <c r="G71" s="1"/>
      <c r="H71" s="1"/>
      <c r="I71" s="1"/>
      <c r="J71" s="1"/>
      <c r="K71" s="1"/>
      <c r="L71" s="1"/>
      <c r="M71" s="1"/>
      <c r="N71" s="1"/>
      <c r="O71" s="1"/>
      <c r="P71" s="1"/>
      <c r="Q71" s="1"/>
      <c r="R71" s="1"/>
      <c r="S71" s="1"/>
      <c r="T71" s="1"/>
      <c r="U71" s="1"/>
      <c r="V71" s="1"/>
    </row>
    <row r="72" spans="1:22" x14ac:dyDescent="0.2">
      <c r="A72" s="97"/>
      <c r="B72" s="97"/>
      <c r="C72" s="97"/>
      <c r="D72" s="1"/>
      <c r="E72" s="1"/>
      <c r="F72" s="1"/>
      <c r="G72" s="1"/>
      <c r="H72" s="1"/>
      <c r="I72" s="1"/>
      <c r="J72" s="1"/>
      <c r="K72" s="1"/>
      <c r="L72" s="1"/>
      <c r="M72" s="1"/>
      <c r="N72" s="1"/>
      <c r="O72" s="1"/>
      <c r="P72" s="1"/>
      <c r="Q72" s="1"/>
      <c r="R72" s="1"/>
      <c r="S72" s="1"/>
      <c r="T72" s="1"/>
      <c r="U72" s="1"/>
      <c r="V72" s="1"/>
    </row>
    <row r="73" spans="1:22" x14ac:dyDescent="0.2">
      <c r="A73" s="97"/>
      <c r="B73" s="97"/>
      <c r="C73" s="97"/>
      <c r="D73" s="1"/>
      <c r="E73" s="1"/>
      <c r="F73" s="1"/>
      <c r="G73" s="1"/>
      <c r="H73" s="1"/>
      <c r="I73" s="1"/>
      <c r="J73" s="1"/>
      <c r="K73" s="1"/>
      <c r="L73" s="1"/>
      <c r="M73" s="1"/>
      <c r="N73" s="1"/>
      <c r="O73" s="1"/>
      <c r="P73" s="1"/>
      <c r="Q73" s="1"/>
      <c r="R73" s="1"/>
      <c r="S73" s="1"/>
      <c r="T73" s="1"/>
      <c r="U73" s="1"/>
      <c r="V73" s="1"/>
    </row>
    <row r="74" spans="1:22" x14ac:dyDescent="0.2">
      <c r="A74" s="97"/>
      <c r="B74" s="97"/>
      <c r="C74" s="97"/>
      <c r="D74" s="1"/>
      <c r="E74" s="1"/>
      <c r="F74" s="1"/>
      <c r="G74" s="1"/>
      <c r="H74" s="1"/>
      <c r="I74" s="1"/>
      <c r="J74" s="1"/>
      <c r="K74" s="1"/>
      <c r="L74" s="1"/>
      <c r="M74" s="1"/>
      <c r="N74" s="1"/>
      <c r="O74" s="1"/>
      <c r="P74" s="1"/>
      <c r="Q74" s="1"/>
      <c r="R74" s="1"/>
      <c r="S74" s="1"/>
      <c r="T74" s="1"/>
      <c r="U74" s="1"/>
      <c r="V74" s="1"/>
    </row>
    <row r="75" spans="1:22" x14ac:dyDescent="0.2">
      <c r="A75" s="97"/>
      <c r="B75" s="97"/>
      <c r="C75" s="97"/>
      <c r="D75" s="1"/>
      <c r="E75" s="1"/>
      <c r="F75" s="1"/>
      <c r="G75" s="1"/>
      <c r="H75" s="1"/>
      <c r="I75" s="1"/>
      <c r="J75" s="1"/>
      <c r="K75" s="1"/>
      <c r="L75" s="1"/>
      <c r="M75" s="1"/>
      <c r="N75" s="1"/>
      <c r="O75" s="1"/>
      <c r="P75" s="1"/>
      <c r="Q75" s="1"/>
      <c r="R75" s="1"/>
      <c r="S75" s="1"/>
      <c r="T75" s="1"/>
      <c r="U75" s="1"/>
      <c r="V75" s="1"/>
    </row>
    <row r="76" spans="1:22" x14ac:dyDescent="0.2">
      <c r="A76" s="97"/>
      <c r="B76" s="97"/>
      <c r="C76" s="97"/>
      <c r="D76" s="1"/>
      <c r="E76" s="1"/>
      <c r="F76" s="1"/>
      <c r="G76" s="1"/>
      <c r="H76" s="1"/>
      <c r="I76" s="1"/>
      <c r="J76" s="1"/>
      <c r="K76" s="1"/>
      <c r="L76" s="1"/>
      <c r="M76" s="1"/>
      <c r="N76" s="1"/>
      <c r="O76" s="1"/>
      <c r="P76" s="1"/>
      <c r="Q76" s="1"/>
      <c r="R76" s="1"/>
      <c r="S76" s="1"/>
      <c r="T76" s="1"/>
      <c r="U76" s="1"/>
      <c r="V76" s="1"/>
    </row>
    <row r="77" spans="1:22" x14ac:dyDescent="0.2">
      <c r="A77" s="97"/>
      <c r="B77" s="97"/>
      <c r="C77" s="97"/>
      <c r="D77" s="1"/>
      <c r="E77" s="1"/>
      <c r="F77" s="1"/>
      <c r="G77" s="1"/>
      <c r="H77" s="1"/>
      <c r="I77" s="1"/>
      <c r="J77" s="1"/>
      <c r="K77" s="1"/>
      <c r="L77" s="1"/>
      <c r="M77" s="1"/>
      <c r="N77" s="1"/>
      <c r="O77" s="1"/>
      <c r="P77" s="1"/>
      <c r="Q77" s="1"/>
      <c r="R77" s="1"/>
      <c r="S77" s="1"/>
      <c r="T77" s="1"/>
      <c r="U77" s="1"/>
      <c r="V77" s="1"/>
    </row>
    <row r="78" spans="1:22" x14ac:dyDescent="0.2">
      <c r="A78" s="97"/>
      <c r="B78" s="97"/>
      <c r="C78" s="97"/>
      <c r="D78" s="1"/>
      <c r="E78" s="1"/>
      <c r="F78" s="1"/>
      <c r="G78" s="1"/>
      <c r="H78" s="1"/>
      <c r="I78" s="1"/>
      <c r="J78" s="1"/>
      <c r="K78" s="1"/>
      <c r="L78" s="1"/>
      <c r="M78" s="1"/>
      <c r="N78" s="1"/>
      <c r="O78" s="1"/>
      <c r="P78" s="1"/>
      <c r="Q78" s="1"/>
      <c r="R78" s="1"/>
      <c r="S78" s="1"/>
      <c r="T78" s="1"/>
      <c r="U78" s="1"/>
      <c r="V78" s="1"/>
    </row>
    <row r="79" spans="1:22" x14ac:dyDescent="0.2">
      <c r="A79" s="97"/>
      <c r="B79" s="97"/>
      <c r="C79" s="97"/>
      <c r="D79" s="1"/>
      <c r="E79" s="1"/>
      <c r="F79" s="1"/>
      <c r="G79" s="1"/>
      <c r="H79" s="1"/>
      <c r="I79" s="1"/>
      <c r="J79" s="1"/>
      <c r="K79" s="1"/>
      <c r="L79" s="1"/>
      <c r="M79" s="1"/>
      <c r="N79" s="1"/>
      <c r="O79" s="1"/>
      <c r="P79" s="1"/>
      <c r="Q79" s="1"/>
      <c r="R79" s="1"/>
      <c r="S79" s="1"/>
      <c r="T79" s="1"/>
      <c r="U79" s="1"/>
      <c r="V79" s="1"/>
    </row>
    <row r="80" spans="1:22" x14ac:dyDescent="0.2">
      <c r="A80" s="97"/>
      <c r="B80" s="97"/>
      <c r="C80" s="97"/>
      <c r="D80" s="1"/>
      <c r="E80" s="1"/>
      <c r="F80" s="1"/>
      <c r="G80" s="1"/>
      <c r="H80" s="1"/>
      <c r="I80" s="1"/>
      <c r="J80" s="1"/>
      <c r="K80" s="1"/>
      <c r="L80" s="1"/>
      <c r="M80" s="1"/>
      <c r="N80" s="1"/>
      <c r="O80" s="1"/>
      <c r="P80" s="1"/>
      <c r="Q80" s="1"/>
      <c r="R80" s="1"/>
      <c r="S80" s="1"/>
      <c r="T80" s="1"/>
      <c r="U80" s="1"/>
      <c r="V80" s="1"/>
    </row>
    <row r="81" spans="1:22" x14ac:dyDescent="0.2">
      <c r="A81" s="97"/>
      <c r="B81" s="97"/>
      <c r="C81" s="97"/>
      <c r="D81" s="1"/>
      <c r="E81" s="1"/>
      <c r="F81" s="1"/>
      <c r="G81" s="1"/>
      <c r="H81" s="1"/>
      <c r="I81" s="1"/>
      <c r="J81" s="1"/>
      <c r="K81" s="1"/>
      <c r="L81" s="1"/>
      <c r="M81" s="1"/>
      <c r="N81" s="1"/>
      <c r="O81" s="1"/>
      <c r="P81" s="1"/>
      <c r="Q81" s="1"/>
      <c r="R81" s="1"/>
      <c r="S81" s="1"/>
      <c r="T81" s="1"/>
      <c r="U81" s="1"/>
      <c r="V81" s="1"/>
    </row>
    <row r="82" spans="1:22" x14ac:dyDescent="0.2">
      <c r="A82" s="97"/>
      <c r="B82" s="97"/>
      <c r="C82" s="97"/>
      <c r="D82" s="1"/>
      <c r="E82" s="1"/>
      <c r="F82" s="1"/>
      <c r="G82" s="1"/>
      <c r="H82" s="1"/>
      <c r="I82" s="1"/>
      <c r="J82" s="1"/>
      <c r="K82" s="1"/>
      <c r="L82" s="1"/>
      <c r="M82" s="1"/>
      <c r="N82" s="1"/>
      <c r="O82" s="1"/>
      <c r="P82" s="1"/>
      <c r="Q82" s="1"/>
      <c r="R82" s="1"/>
      <c r="S82" s="1"/>
      <c r="T82" s="1"/>
      <c r="U82" s="1"/>
      <c r="V82" s="1"/>
    </row>
    <row r="83" spans="1:22" x14ac:dyDescent="0.2">
      <c r="A83" s="97"/>
      <c r="B83" s="97"/>
      <c r="C83" s="97"/>
      <c r="D83" s="1"/>
      <c r="E83" s="1"/>
      <c r="F83" s="1"/>
      <c r="G83" s="1"/>
      <c r="H83" s="1"/>
      <c r="I83" s="1"/>
      <c r="J83" s="1"/>
      <c r="K83" s="1"/>
      <c r="L83" s="1"/>
      <c r="M83" s="1"/>
      <c r="N83" s="1"/>
      <c r="O83" s="1"/>
      <c r="P83" s="1"/>
      <c r="Q83" s="1"/>
      <c r="R83" s="1"/>
      <c r="S83" s="1"/>
      <c r="T83" s="1"/>
      <c r="U83" s="1"/>
      <c r="V83" s="1"/>
    </row>
    <row r="84" spans="1:22" x14ac:dyDescent="0.2">
      <c r="A84" s="97"/>
      <c r="B84" s="97"/>
      <c r="C84" s="97"/>
      <c r="D84" s="1"/>
      <c r="E84" s="1"/>
      <c r="F84" s="1"/>
      <c r="G84" s="1"/>
      <c r="H84" s="1"/>
      <c r="I84" s="1"/>
      <c r="J84" s="1"/>
      <c r="K84" s="1"/>
      <c r="L84" s="1"/>
      <c r="M84" s="1"/>
      <c r="N84" s="1"/>
      <c r="O84" s="1"/>
      <c r="P84" s="1"/>
      <c r="Q84" s="1"/>
      <c r="R84" s="1"/>
      <c r="S84" s="1"/>
      <c r="T84" s="1"/>
      <c r="U84" s="1"/>
      <c r="V84" s="1"/>
    </row>
    <row r="85" spans="1:22" x14ac:dyDescent="0.2">
      <c r="A85" s="97"/>
      <c r="B85" s="97"/>
      <c r="C85" s="97"/>
      <c r="D85" s="1"/>
      <c r="E85" s="1"/>
      <c r="F85" s="1"/>
      <c r="G85" s="1"/>
      <c r="H85" s="1"/>
      <c r="I85" s="1"/>
      <c r="J85" s="1"/>
      <c r="K85" s="1"/>
      <c r="L85" s="1"/>
      <c r="M85" s="1"/>
      <c r="N85" s="1"/>
      <c r="O85" s="1"/>
      <c r="P85" s="1"/>
      <c r="Q85" s="1"/>
      <c r="R85" s="1"/>
      <c r="S85" s="1"/>
      <c r="T85" s="1"/>
      <c r="U85" s="1"/>
      <c r="V85" s="1"/>
    </row>
    <row r="86" spans="1:22" x14ac:dyDescent="0.2">
      <c r="A86" s="97"/>
      <c r="B86" s="97"/>
      <c r="C86" s="97"/>
      <c r="D86" s="1"/>
      <c r="E86" s="1"/>
      <c r="F86" s="1"/>
      <c r="G86" s="1"/>
      <c r="H86" s="1"/>
      <c r="I86" s="1"/>
      <c r="J86" s="1"/>
      <c r="K86" s="1"/>
      <c r="L86" s="1"/>
      <c r="M86" s="1"/>
      <c r="N86" s="1"/>
      <c r="O86" s="1"/>
      <c r="P86" s="1"/>
      <c r="Q86" s="1"/>
      <c r="R86" s="1"/>
      <c r="S86" s="1"/>
      <c r="T86" s="1"/>
      <c r="U86" s="1"/>
      <c r="V86" s="1"/>
    </row>
    <row r="87" spans="1:22" x14ac:dyDescent="0.2">
      <c r="A87" s="97"/>
      <c r="B87" s="97"/>
      <c r="C87" s="97"/>
      <c r="D87" s="1"/>
      <c r="E87" s="1"/>
      <c r="F87" s="1"/>
      <c r="G87" s="1"/>
      <c r="H87" s="1"/>
      <c r="I87" s="1"/>
      <c r="J87" s="1"/>
      <c r="K87" s="1"/>
      <c r="L87" s="1"/>
      <c r="M87" s="1"/>
      <c r="N87" s="1"/>
      <c r="O87" s="1"/>
      <c r="P87" s="1"/>
      <c r="Q87" s="1"/>
      <c r="R87" s="1"/>
      <c r="S87" s="1"/>
      <c r="T87" s="1"/>
      <c r="U87" s="1"/>
      <c r="V87" s="1"/>
    </row>
    <row r="88" spans="1:22" x14ac:dyDescent="0.2">
      <c r="A88" s="97"/>
      <c r="B88" s="97"/>
      <c r="C88" s="97"/>
      <c r="D88" s="1"/>
      <c r="E88" s="1"/>
      <c r="F88" s="1"/>
      <c r="G88" s="1"/>
      <c r="H88" s="1"/>
      <c r="I88" s="1"/>
      <c r="J88" s="1"/>
      <c r="K88" s="1"/>
      <c r="L88" s="1"/>
      <c r="M88" s="1"/>
      <c r="N88" s="1"/>
      <c r="O88" s="1"/>
      <c r="P88" s="1"/>
      <c r="Q88" s="1"/>
      <c r="R88" s="1"/>
      <c r="S88" s="1"/>
      <c r="T88" s="1"/>
      <c r="U88" s="1"/>
      <c r="V88" s="1"/>
    </row>
    <row r="89" spans="1:22" x14ac:dyDescent="0.2">
      <c r="A89" s="97"/>
      <c r="B89" s="97"/>
      <c r="C89" s="97"/>
      <c r="D89" s="1"/>
      <c r="E89" s="1"/>
      <c r="F89" s="1"/>
      <c r="G89" s="1"/>
      <c r="H89" s="1"/>
      <c r="I89" s="1"/>
      <c r="J89" s="1"/>
      <c r="K89" s="1"/>
      <c r="L89" s="1"/>
      <c r="M89" s="1"/>
      <c r="N89" s="1"/>
      <c r="O89" s="1"/>
      <c r="P89" s="1"/>
      <c r="Q89" s="1"/>
      <c r="R89" s="1"/>
      <c r="S89" s="1"/>
      <c r="T89" s="1"/>
      <c r="U89" s="1"/>
      <c r="V89" s="1"/>
    </row>
    <row r="90" spans="1:22" x14ac:dyDescent="0.2">
      <c r="A90" s="97"/>
      <c r="B90" s="97"/>
      <c r="C90" s="97"/>
      <c r="D90" s="1"/>
      <c r="E90" s="1"/>
      <c r="F90" s="1"/>
      <c r="G90" s="1"/>
      <c r="H90" s="1"/>
      <c r="I90" s="1"/>
      <c r="J90" s="1"/>
      <c r="K90" s="1"/>
      <c r="L90" s="1"/>
      <c r="M90" s="1"/>
      <c r="N90" s="1"/>
      <c r="O90" s="1"/>
      <c r="P90" s="1"/>
      <c r="Q90" s="1"/>
      <c r="R90" s="1"/>
      <c r="S90" s="1"/>
      <c r="T90" s="1"/>
      <c r="U90" s="1"/>
      <c r="V90" s="1"/>
    </row>
    <row r="91" spans="1:22" x14ac:dyDescent="0.2">
      <c r="A91" s="97"/>
      <c r="B91" s="97"/>
      <c r="C91" s="97"/>
      <c r="D91" s="1"/>
      <c r="E91" s="1"/>
      <c r="F91" s="1"/>
      <c r="G91" s="1"/>
      <c r="H91" s="1"/>
      <c r="I91" s="1"/>
      <c r="J91" s="1"/>
      <c r="K91" s="1"/>
      <c r="L91" s="1"/>
      <c r="M91" s="1"/>
      <c r="N91" s="1"/>
      <c r="O91" s="1"/>
      <c r="P91" s="1"/>
      <c r="Q91" s="1"/>
      <c r="R91" s="1"/>
      <c r="S91" s="1"/>
      <c r="T91" s="1"/>
      <c r="U91" s="1"/>
      <c r="V91" s="1"/>
    </row>
    <row r="92" spans="1:22" x14ac:dyDescent="0.2">
      <c r="A92" s="97"/>
      <c r="B92" s="97"/>
      <c r="C92" s="97"/>
      <c r="D92" s="1"/>
      <c r="E92" s="1"/>
      <c r="F92" s="1"/>
      <c r="G92" s="1"/>
      <c r="H92" s="1"/>
      <c r="I92" s="1"/>
      <c r="J92" s="1"/>
      <c r="K92" s="1"/>
      <c r="L92" s="1"/>
      <c r="M92" s="1"/>
      <c r="N92" s="1"/>
      <c r="O92" s="1"/>
      <c r="P92" s="1"/>
      <c r="Q92" s="1"/>
      <c r="R92" s="1"/>
      <c r="S92" s="1"/>
      <c r="T92" s="1"/>
      <c r="U92" s="1"/>
      <c r="V92" s="1"/>
    </row>
    <row r="93" spans="1:22" x14ac:dyDescent="0.2">
      <c r="A93" s="97"/>
      <c r="B93" s="97"/>
      <c r="C93" s="97"/>
      <c r="D93" s="1"/>
      <c r="E93" s="1"/>
      <c r="F93" s="1"/>
      <c r="G93" s="1"/>
      <c r="H93" s="1"/>
      <c r="I93" s="1"/>
      <c r="J93" s="1"/>
      <c r="K93" s="1"/>
      <c r="L93" s="1"/>
      <c r="M93" s="1"/>
      <c r="N93" s="1"/>
      <c r="O93" s="1"/>
      <c r="P93" s="1"/>
      <c r="Q93" s="1"/>
      <c r="R93" s="1"/>
      <c r="S93" s="1"/>
      <c r="T93" s="1"/>
      <c r="U93" s="1"/>
      <c r="V93" s="1"/>
    </row>
    <row r="94" spans="1:22" x14ac:dyDescent="0.2">
      <c r="A94" s="97"/>
      <c r="B94" s="97"/>
      <c r="C94" s="97"/>
      <c r="D94" s="1"/>
      <c r="E94" s="1"/>
      <c r="F94" s="1"/>
      <c r="G94" s="1"/>
      <c r="H94" s="1"/>
      <c r="I94" s="1"/>
      <c r="J94" s="1"/>
      <c r="K94" s="1"/>
      <c r="L94" s="1"/>
      <c r="M94" s="1"/>
      <c r="N94" s="1"/>
      <c r="O94" s="1"/>
      <c r="P94" s="1"/>
      <c r="Q94" s="1"/>
      <c r="R94" s="1"/>
      <c r="S94" s="1"/>
      <c r="T94" s="1"/>
      <c r="U94" s="1"/>
      <c r="V94" s="1"/>
    </row>
    <row r="95" spans="1:22" x14ac:dyDescent="0.2">
      <c r="A95" s="97"/>
      <c r="B95" s="97"/>
      <c r="C95" s="97"/>
      <c r="D95" s="1"/>
      <c r="E95" s="1"/>
      <c r="F95" s="1"/>
      <c r="G95" s="1"/>
      <c r="H95" s="1"/>
      <c r="I95" s="1"/>
      <c r="J95" s="1"/>
      <c r="K95" s="1"/>
      <c r="L95" s="1"/>
      <c r="M95" s="1"/>
      <c r="N95" s="1"/>
      <c r="O95" s="1"/>
      <c r="P95" s="1"/>
      <c r="Q95" s="1"/>
      <c r="R95" s="1"/>
      <c r="S95" s="1"/>
      <c r="T95" s="1"/>
      <c r="U95" s="1"/>
      <c r="V95" s="1"/>
    </row>
    <row r="96" spans="1:22" x14ac:dyDescent="0.2">
      <c r="A96" s="97"/>
      <c r="B96" s="97"/>
      <c r="C96" s="97"/>
      <c r="D96" s="1"/>
      <c r="E96" s="1"/>
      <c r="F96" s="1"/>
      <c r="G96" s="1"/>
      <c r="H96" s="1"/>
      <c r="I96" s="1"/>
      <c r="J96" s="1"/>
      <c r="K96" s="1"/>
      <c r="L96" s="1"/>
      <c r="M96" s="1"/>
      <c r="N96" s="1"/>
      <c r="O96" s="1"/>
      <c r="P96" s="1"/>
      <c r="Q96" s="1"/>
      <c r="R96" s="1"/>
      <c r="S96" s="1"/>
      <c r="T96" s="1"/>
      <c r="U96" s="1"/>
      <c r="V96" s="1"/>
    </row>
    <row r="97" spans="1:22" x14ac:dyDescent="0.2">
      <c r="A97" s="97"/>
      <c r="B97" s="97"/>
      <c r="C97" s="97"/>
      <c r="D97" s="1"/>
      <c r="E97" s="1"/>
      <c r="F97" s="1"/>
      <c r="G97" s="1"/>
      <c r="H97" s="1"/>
      <c r="I97" s="1"/>
      <c r="J97" s="1"/>
      <c r="K97" s="1"/>
      <c r="L97" s="1"/>
      <c r="M97" s="1"/>
      <c r="N97" s="1"/>
      <c r="O97" s="1"/>
      <c r="P97" s="1"/>
      <c r="Q97" s="1"/>
      <c r="R97" s="1"/>
      <c r="S97" s="1"/>
      <c r="T97" s="1"/>
      <c r="U97" s="1"/>
      <c r="V97" s="1"/>
    </row>
    <row r="98" spans="1:22" x14ac:dyDescent="0.2">
      <c r="A98" s="97"/>
      <c r="B98" s="97"/>
      <c r="C98" s="97"/>
      <c r="D98" s="1"/>
      <c r="E98" s="1"/>
      <c r="F98" s="1"/>
      <c r="G98" s="1"/>
      <c r="H98" s="1"/>
      <c r="I98" s="1"/>
      <c r="J98" s="1"/>
      <c r="K98" s="1"/>
      <c r="L98" s="1"/>
      <c r="M98" s="1"/>
      <c r="N98" s="1"/>
      <c r="O98" s="1"/>
      <c r="P98" s="1"/>
      <c r="Q98" s="1"/>
      <c r="R98" s="1"/>
      <c r="S98" s="1"/>
      <c r="T98" s="1"/>
      <c r="U98" s="1"/>
      <c r="V98" s="1"/>
    </row>
    <row r="99" spans="1:22" x14ac:dyDescent="0.2">
      <c r="A99" s="97"/>
      <c r="B99" s="97"/>
      <c r="C99" s="97"/>
      <c r="D99" s="1"/>
      <c r="E99" s="1"/>
      <c r="F99" s="1"/>
      <c r="G99" s="1"/>
      <c r="H99" s="1"/>
      <c r="I99" s="1"/>
      <c r="J99" s="1"/>
      <c r="K99" s="1"/>
      <c r="L99" s="1"/>
      <c r="M99" s="1"/>
      <c r="N99" s="1"/>
      <c r="O99" s="1"/>
      <c r="P99" s="1"/>
      <c r="Q99" s="1"/>
      <c r="R99" s="1"/>
      <c r="S99" s="1"/>
      <c r="T99" s="1"/>
      <c r="U99" s="1"/>
      <c r="V99" s="1"/>
    </row>
    <row r="100" spans="1:22" x14ac:dyDescent="0.2">
      <c r="A100" s="97"/>
      <c r="B100" s="97"/>
      <c r="C100" s="97"/>
      <c r="D100" s="1"/>
      <c r="E100" s="1"/>
      <c r="F100" s="1"/>
      <c r="G100" s="1"/>
      <c r="H100" s="1"/>
      <c r="I100" s="1"/>
      <c r="J100" s="1"/>
      <c r="K100" s="1"/>
      <c r="L100" s="1"/>
      <c r="M100" s="1"/>
      <c r="N100" s="1"/>
      <c r="O100" s="1"/>
      <c r="P100" s="1"/>
      <c r="Q100" s="1"/>
      <c r="R100" s="1"/>
      <c r="S100" s="1"/>
      <c r="T100" s="1"/>
      <c r="U100" s="1"/>
      <c r="V100" s="1"/>
    </row>
    <row r="101" spans="1:22" x14ac:dyDescent="0.2">
      <c r="A101" s="97"/>
      <c r="B101" s="97"/>
      <c r="C101" s="97"/>
      <c r="D101" s="1"/>
      <c r="E101" s="1"/>
      <c r="F101" s="1"/>
      <c r="G101" s="1"/>
      <c r="H101" s="1"/>
      <c r="I101" s="1"/>
      <c r="J101" s="1"/>
      <c r="K101" s="1"/>
      <c r="L101" s="1"/>
      <c r="M101" s="1"/>
      <c r="N101" s="1"/>
      <c r="O101" s="1"/>
      <c r="P101" s="1"/>
      <c r="Q101" s="1"/>
      <c r="R101" s="1"/>
      <c r="S101" s="1"/>
      <c r="T101" s="1"/>
      <c r="U101" s="1"/>
      <c r="V101" s="1"/>
    </row>
    <row r="102" spans="1:22" x14ac:dyDescent="0.2">
      <c r="A102" s="97"/>
      <c r="B102" s="97"/>
      <c r="C102" s="97"/>
      <c r="D102" s="1"/>
      <c r="E102" s="1"/>
      <c r="F102" s="1"/>
      <c r="G102" s="1"/>
      <c r="H102" s="1"/>
      <c r="I102" s="1"/>
      <c r="J102" s="1"/>
      <c r="K102" s="1"/>
      <c r="L102" s="1"/>
      <c r="M102" s="1"/>
      <c r="N102" s="1"/>
      <c r="O102" s="1"/>
      <c r="P102" s="1"/>
      <c r="Q102" s="1"/>
      <c r="R102" s="1"/>
      <c r="S102" s="1"/>
      <c r="T102" s="1"/>
      <c r="U102" s="1"/>
      <c r="V102" s="1"/>
    </row>
    <row r="103" spans="1:22" x14ac:dyDescent="0.2">
      <c r="A103" s="97"/>
      <c r="B103" s="97"/>
      <c r="C103" s="97"/>
      <c r="D103" s="1"/>
      <c r="E103" s="1"/>
      <c r="F103" s="1"/>
      <c r="G103" s="1"/>
      <c r="H103" s="1"/>
      <c r="I103" s="1"/>
      <c r="J103" s="1"/>
      <c r="K103" s="1"/>
      <c r="L103" s="1"/>
      <c r="M103" s="1"/>
      <c r="N103" s="1"/>
      <c r="O103" s="1"/>
      <c r="P103" s="1"/>
      <c r="Q103" s="1"/>
      <c r="R103" s="1"/>
      <c r="S103" s="1"/>
      <c r="T103" s="1"/>
      <c r="U103" s="1"/>
      <c r="V103" s="1"/>
    </row>
    <row r="104" spans="1:22" x14ac:dyDescent="0.2">
      <c r="A104" s="97"/>
      <c r="B104" s="97"/>
      <c r="C104" s="97"/>
      <c r="D104" s="1"/>
      <c r="E104" s="1"/>
      <c r="F104" s="4"/>
    </row>
    <row r="105" spans="1:22" x14ac:dyDescent="0.2">
      <c r="A105" s="97"/>
      <c r="B105" s="97"/>
      <c r="C105" s="97"/>
      <c r="D105" s="1"/>
      <c r="E105" s="1"/>
      <c r="F105" s="4"/>
    </row>
    <row r="106" spans="1:22" x14ac:dyDescent="0.2">
      <c r="A106" s="97"/>
      <c r="B106" s="97"/>
      <c r="C106" s="97"/>
      <c r="D106" s="1"/>
      <c r="E106" s="1"/>
      <c r="F106" s="4"/>
    </row>
    <row r="107" spans="1:22" x14ac:dyDescent="0.2">
      <c r="A107" s="97"/>
      <c r="B107" s="97"/>
      <c r="C107" s="97"/>
      <c r="D107" s="1"/>
      <c r="E107" s="1"/>
      <c r="F107" s="4"/>
    </row>
    <row r="108" spans="1:22" x14ac:dyDescent="0.2">
      <c r="A108" s="97"/>
      <c r="B108" s="97"/>
      <c r="C108" s="97"/>
      <c r="D108" s="1"/>
      <c r="E108" s="1"/>
      <c r="F108" s="4"/>
    </row>
    <row r="109" spans="1:22" x14ac:dyDescent="0.2">
      <c r="A109" s="97"/>
      <c r="B109" s="97"/>
      <c r="C109" s="97"/>
      <c r="D109" s="1"/>
      <c r="E109" s="1"/>
      <c r="F109" s="4"/>
    </row>
    <row r="110" spans="1:22" x14ac:dyDescent="0.2">
      <c r="A110" s="97"/>
      <c r="B110" s="97"/>
      <c r="C110" s="97"/>
      <c r="D110" s="1"/>
      <c r="E110" s="1"/>
      <c r="F110" s="4"/>
    </row>
    <row r="111" spans="1:22" x14ac:dyDescent="0.2">
      <c r="A111" s="97"/>
      <c r="B111" s="97"/>
      <c r="C111" s="97"/>
      <c r="D111" s="1"/>
      <c r="E111" s="1"/>
      <c r="F111" s="4"/>
    </row>
    <row r="112" spans="1:22" x14ac:dyDescent="0.2">
      <c r="A112" s="97"/>
      <c r="B112" s="97"/>
      <c r="C112" s="97"/>
      <c r="D112" s="1"/>
      <c r="E112" s="1"/>
      <c r="F112" s="4"/>
    </row>
    <row r="113" spans="1:6" x14ac:dyDescent="0.2">
      <c r="A113" s="97"/>
      <c r="B113" s="97"/>
      <c r="C113" s="97"/>
      <c r="D113" s="1"/>
      <c r="E113" s="1"/>
      <c r="F113" s="4"/>
    </row>
    <row r="114" spans="1:6" x14ac:dyDescent="0.2">
      <c r="A114" s="97"/>
      <c r="B114" s="97"/>
      <c r="C114" s="97"/>
      <c r="D114" s="1"/>
      <c r="E114" s="1"/>
      <c r="F114" s="4"/>
    </row>
    <row r="115" spans="1:6" x14ac:dyDescent="0.2">
      <c r="A115" s="97"/>
      <c r="B115" s="97"/>
      <c r="C115" s="97"/>
      <c r="D115" s="1"/>
      <c r="E115" s="1"/>
      <c r="F115" s="4"/>
    </row>
    <row r="116" spans="1:6" x14ac:dyDescent="0.2">
      <c r="A116" s="97"/>
      <c r="B116" s="97"/>
      <c r="C116" s="97"/>
      <c r="D116" s="1"/>
      <c r="E116" s="1"/>
      <c r="F116" s="4"/>
    </row>
    <row r="117" spans="1:6" x14ac:dyDescent="0.2">
      <c r="A117" s="97"/>
      <c r="B117" s="97"/>
      <c r="C117" s="97"/>
      <c r="D117" s="1"/>
      <c r="E117" s="1"/>
      <c r="F117" s="4"/>
    </row>
    <row r="118" spans="1:6" x14ac:dyDescent="0.2">
      <c r="A118" s="97"/>
      <c r="B118" s="97"/>
      <c r="C118" s="97"/>
      <c r="D118" s="1"/>
      <c r="E118" s="1"/>
      <c r="F118" s="4"/>
    </row>
    <row r="119" spans="1:6" x14ac:dyDescent="0.2">
      <c r="A119" s="97"/>
      <c r="B119" s="97"/>
      <c r="C119" s="97"/>
      <c r="D119" s="1"/>
      <c r="E119" s="1"/>
      <c r="F119" s="4"/>
    </row>
  </sheetData>
  <sheetProtection algorithmName="SHA-512" hashValue="L0dG36qe8eg3Fh92RBrxHRFQzROv2o2kkNLK4EqCEdypG02LCYn+zbfakZd4lqrH6JFCNVgjWGaQk/Yzo4PVaw==" saltValue="7QmVTbGtVpNOMj6W2GTXzg==" spinCount="100000" sheet="1" objects="1" scenarios="1"/>
  <customSheetViews>
    <customSheetView guid="{58EB2181-60CA-D84F-9BE3-6D30A91A6F68}" scale="115" showPageBreaks="1" fitToPage="1" printArea="1">
      <pane xSplit="5" ySplit="3.0285714285714285" topLeftCell="H8" activePane="bottomRight" state="frozenSplit"/>
      <selection pane="bottomRight" sqref="A1:E1"/>
      <pageMargins left="0.7" right="0.7" top="0.75" bottom="0.75" header="0.3" footer="0.3"/>
      <pageSetup paperSize="9" scale="6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 guid="{E2B8E4FB-7E5E-E744-9E59-F9CB9CC15E64}" scale="115" fitToPage="1">
      <pane xSplit="5" ySplit="3.0285714285714285" topLeftCell="H8" activePane="bottomRight" state="frozenSplit"/>
      <selection pane="bottomRight" sqref="A1:E1"/>
      <pageMargins left="0.7" right="0.7" top="0.75" bottom="0.75" header="0.3" footer="0.3"/>
      <pageSetup paperSize="9" scale="6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s>
  <mergeCells count="4">
    <mergeCell ref="A1:E1"/>
    <mergeCell ref="A3:D3"/>
    <mergeCell ref="A2:E2"/>
    <mergeCell ref="C4:E4"/>
  </mergeCells>
  <phoneticPr fontId="6" type="noConversion"/>
  <conditionalFormatting sqref="E5:E20">
    <cfRule type="cellIs" dxfId="101" priority="0" stopIfTrue="1" operator="equal">
      <formula>"Tidak Dilakukan"</formula>
    </cfRule>
    <cfRule type="cellIs" dxfId="100" priority="1" stopIfTrue="1" operator="equal">
      <formula>"Dalam Perencanaan"</formula>
    </cfRule>
    <cfRule type="cellIs" dxfId="99" priority="2" stopIfTrue="1" operator="equal">
      <formula>"Dalam Penerapan / Diterapkan Sebagian"</formula>
    </cfRule>
  </conditionalFormatting>
  <conditionalFormatting sqref="F19:F20">
    <cfRule type="cellIs" dxfId="98" priority="3" stopIfTrue="1" operator="equal">
      <formula>0</formula>
    </cfRule>
  </conditionalFormatting>
  <dataValidations count="1">
    <dataValidation type="list" allowBlank="1" showInputMessage="1" showErrorMessage="1" sqref="E5:E20" xr:uid="{00000000-0002-0000-0400-000000000000}">
      <formula1>StatusPenerapan</formula1>
    </dataValidation>
  </dataValidations>
  <pageMargins left="0.75000000000000011" right="0.75000000000000011" top="1" bottom="1" header="0.5" footer="0.5"/>
  <pageSetup paperSize="9" scale="63" orientation="portrait" horizontalDpi="4294967292" verticalDpi="4294967292"/>
  <headerFooter>
    <oddFooter>&amp;L&amp;K000000Badan Siber dan Sandi Negara&amp;R&amp;"Arial,Regular"&amp;K000000Indeks KAMI, Versi  4.0, Februari 2019</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A152"/>
  <sheetViews>
    <sheetView zoomScale="115" zoomScaleNormal="115" zoomScalePageLayoutView="115" workbookViewId="0">
      <pane xSplit="5" ySplit="3" topLeftCell="F4" activePane="bottomRight" state="frozenSplit"/>
      <selection pane="topRight" activeCell="F1" sqref="F1"/>
      <selection pane="bottomLeft" activeCell="A4" sqref="A4"/>
      <selection pane="bottomRight" activeCell="G14" sqref="G14"/>
    </sheetView>
  </sheetViews>
  <sheetFormatPr defaultColWidth="7.81640625" defaultRowHeight="12.6" x14ac:dyDescent="0.2"/>
  <cols>
    <col min="1" max="1" width="4.81640625" style="171" bestFit="1" customWidth="1"/>
    <col min="2" max="3" width="2.453125" style="98" customWidth="1"/>
    <col min="4" max="4" width="80.6328125" style="2" customWidth="1"/>
    <col min="5" max="5" width="30.6328125" style="2" customWidth="1"/>
    <col min="6" max="6" width="4.6328125" style="2" customWidth="1"/>
    <col min="7" max="7" width="22" style="2" customWidth="1"/>
    <col min="8" max="8" width="18.6328125" style="2" customWidth="1"/>
    <col min="9" max="16384" width="7.81640625" style="2"/>
  </cols>
  <sheetData>
    <row r="1" spans="1:131" s="156" customFormat="1" ht="30" customHeight="1" x14ac:dyDescent="0.2">
      <c r="A1" s="235" t="s">
        <v>59</v>
      </c>
      <c r="B1" s="236"/>
      <c r="C1" s="237"/>
      <c r="D1" s="237"/>
      <c r="E1" s="238"/>
      <c r="F1" s="154"/>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c r="AP1" s="155"/>
      <c r="AQ1" s="155"/>
      <c r="AR1" s="155"/>
      <c r="AS1" s="155"/>
      <c r="AT1" s="155"/>
      <c r="AU1" s="155"/>
      <c r="AV1" s="155"/>
      <c r="AW1" s="155"/>
      <c r="AX1" s="155"/>
      <c r="AY1" s="155"/>
      <c r="AZ1" s="155"/>
      <c r="BA1" s="155"/>
      <c r="BB1" s="155"/>
      <c r="BC1" s="155"/>
      <c r="BD1" s="155"/>
      <c r="BE1" s="155"/>
      <c r="BF1" s="155"/>
      <c r="BG1" s="155"/>
      <c r="BH1" s="155"/>
      <c r="BI1" s="155"/>
      <c r="BJ1" s="155"/>
      <c r="BK1" s="155"/>
      <c r="BL1" s="155"/>
      <c r="BM1" s="155"/>
      <c r="BN1" s="155"/>
      <c r="BO1" s="155"/>
      <c r="BP1" s="155"/>
      <c r="BQ1" s="155"/>
      <c r="BR1" s="155"/>
      <c r="BS1" s="155"/>
      <c r="BT1" s="155"/>
      <c r="BU1" s="155"/>
      <c r="BV1" s="155"/>
      <c r="BW1" s="155"/>
      <c r="BX1" s="155"/>
      <c r="BY1" s="155"/>
      <c r="BZ1" s="155"/>
      <c r="CA1" s="155"/>
      <c r="CB1" s="155"/>
      <c r="CC1" s="155"/>
      <c r="CD1" s="155"/>
      <c r="CE1" s="155"/>
      <c r="CF1" s="155"/>
      <c r="CG1" s="155"/>
      <c r="CH1" s="155"/>
      <c r="CI1" s="155"/>
      <c r="CJ1" s="155"/>
      <c r="CK1" s="155"/>
      <c r="CL1" s="155"/>
      <c r="CM1" s="155"/>
      <c r="CN1" s="155"/>
      <c r="CO1" s="155"/>
      <c r="CP1" s="155"/>
      <c r="CQ1" s="155"/>
      <c r="CR1" s="155"/>
      <c r="CS1" s="155"/>
      <c r="CT1" s="155"/>
      <c r="CU1" s="155"/>
      <c r="CV1" s="155"/>
      <c r="CW1" s="155"/>
      <c r="CX1" s="155"/>
      <c r="CY1" s="155"/>
      <c r="CZ1" s="155"/>
      <c r="DA1" s="155"/>
      <c r="DB1" s="155"/>
      <c r="DC1" s="155"/>
      <c r="DD1" s="155"/>
      <c r="DE1" s="155"/>
      <c r="DF1" s="155"/>
      <c r="DG1" s="155"/>
      <c r="DH1" s="155"/>
      <c r="DI1" s="155"/>
      <c r="DJ1" s="155"/>
      <c r="DK1" s="155"/>
      <c r="DL1" s="155"/>
      <c r="DM1" s="155"/>
      <c r="DN1" s="155"/>
      <c r="DO1" s="155"/>
      <c r="DP1" s="155"/>
      <c r="DQ1" s="155"/>
      <c r="DR1" s="155"/>
      <c r="DS1" s="155"/>
      <c r="DT1" s="155"/>
      <c r="DU1" s="155"/>
      <c r="DV1" s="155"/>
      <c r="DW1" s="155"/>
      <c r="DX1" s="155"/>
      <c r="DY1" s="155"/>
      <c r="DZ1" s="155"/>
      <c r="EA1" s="155"/>
    </row>
    <row r="2" spans="1:131" ht="30" customHeight="1" x14ac:dyDescent="0.2">
      <c r="A2" s="245" t="s">
        <v>4</v>
      </c>
      <c r="B2" s="246"/>
      <c r="C2" s="246"/>
      <c r="D2" s="246"/>
      <c r="E2" s="247"/>
      <c r="F2" s="85"/>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row>
    <row r="3" spans="1:131" ht="30" customHeight="1" x14ac:dyDescent="0.25">
      <c r="A3" s="226" t="s">
        <v>34</v>
      </c>
      <c r="B3" s="232"/>
      <c r="C3" s="233"/>
      <c r="D3" s="234"/>
      <c r="E3" s="84" t="s">
        <v>3</v>
      </c>
      <c r="F3" s="85" t="s">
        <v>95</v>
      </c>
      <c r="G3" s="119" t="s">
        <v>618</v>
      </c>
      <c r="H3" s="119" t="s">
        <v>619</v>
      </c>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row>
    <row r="4" spans="1:131" ht="13.95" customHeight="1" x14ac:dyDescent="0.2">
      <c r="A4" s="157" t="s">
        <v>93</v>
      </c>
      <c r="B4" s="121"/>
      <c r="C4" s="242" t="s">
        <v>81</v>
      </c>
      <c r="D4" s="243"/>
      <c r="E4" s="244"/>
      <c r="F4" s="118"/>
      <c r="G4" s="122"/>
      <c r="H4" s="122"/>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row>
    <row r="5" spans="1:131" ht="41.4" x14ac:dyDescent="0.2">
      <c r="A5" s="123" t="s">
        <v>573</v>
      </c>
      <c r="B5" s="158" t="s">
        <v>132</v>
      </c>
      <c r="C5" s="125">
        <v>1</v>
      </c>
      <c r="D5" s="126" t="s">
        <v>493</v>
      </c>
      <c r="E5" s="7" t="s">
        <v>624</v>
      </c>
      <c r="F5" s="88">
        <f t="shared" ref="F5:F19" si="0">INDEX(SkorAkhir, MATCH(E5,StatusPenerapanHasil,0), MATCH(C5,TingkatKematangan,0))</f>
        <v>3</v>
      </c>
      <c r="G5" s="205"/>
      <c r="H5" s="205"/>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row>
    <row r="6" spans="1:131" ht="27.6" x14ac:dyDescent="0.2">
      <c r="A6" s="127" t="s">
        <v>574</v>
      </c>
      <c r="B6" s="158" t="s">
        <v>132</v>
      </c>
      <c r="C6" s="125">
        <v>1</v>
      </c>
      <c r="D6" s="126" t="s">
        <v>309</v>
      </c>
      <c r="E6" s="7" t="s">
        <v>624</v>
      </c>
      <c r="F6" s="88">
        <f t="shared" si="0"/>
        <v>3</v>
      </c>
      <c r="G6" s="205"/>
      <c r="H6" s="205"/>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row>
    <row r="7" spans="1:131" ht="27.6" x14ac:dyDescent="0.2">
      <c r="A7" s="123" t="s">
        <v>575</v>
      </c>
      <c r="B7" s="158" t="s">
        <v>132</v>
      </c>
      <c r="C7" s="125">
        <v>1</v>
      </c>
      <c r="D7" s="126" t="s">
        <v>215</v>
      </c>
      <c r="E7" s="7" t="s">
        <v>624</v>
      </c>
      <c r="F7" s="88">
        <f t="shared" si="0"/>
        <v>3</v>
      </c>
      <c r="G7" s="205"/>
      <c r="H7" s="205"/>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row>
    <row r="8" spans="1:131" ht="41.4" x14ac:dyDescent="0.2">
      <c r="A8" s="127" t="s">
        <v>576</v>
      </c>
      <c r="B8" s="158" t="s">
        <v>132</v>
      </c>
      <c r="C8" s="125">
        <v>1</v>
      </c>
      <c r="D8" s="126" t="s">
        <v>310</v>
      </c>
      <c r="E8" s="7" t="s">
        <v>624</v>
      </c>
      <c r="F8" s="88">
        <f t="shared" si="0"/>
        <v>3</v>
      </c>
      <c r="G8" s="205"/>
      <c r="H8" s="205"/>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row>
    <row r="9" spans="1:131" ht="41.4" x14ac:dyDescent="0.2">
      <c r="A9" s="123" t="s">
        <v>577</v>
      </c>
      <c r="B9" s="158" t="s">
        <v>132</v>
      </c>
      <c r="C9" s="125">
        <v>1</v>
      </c>
      <c r="D9" s="126" t="s">
        <v>434</v>
      </c>
      <c r="E9" s="7" t="s">
        <v>624</v>
      </c>
      <c r="F9" s="88">
        <f t="shared" si="0"/>
        <v>3</v>
      </c>
      <c r="G9" s="205"/>
      <c r="H9" s="205"/>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row>
    <row r="10" spans="1:131" ht="41.4" x14ac:dyDescent="0.2">
      <c r="A10" s="127" t="s">
        <v>578</v>
      </c>
      <c r="B10" s="158" t="s">
        <v>132</v>
      </c>
      <c r="C10" s="125">
        <v>1</v>
      </c>
      <c r="D10" s="126" t="s">
        <v>217</v>
      </c>
      <c r="E10" s="7" t="s">
        <v>624</v>
      </c>
      <c r="F10" s="88">
        <f t="shared" si="0"/>
        <v>3</v>
      </c>
      <c r="G10" s="205"/>
      <c r="H10" s="205"/>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row>
    <row r="11" spans="1:131" ht="41.4" x14ac:dyDescent="0.2">
      <c r="A11" s="123" t="s">
        <v>579</v>
      </c>
      <c r="B11" s="158" t="s">
        <v>132</v>
      </c>
      <c r="C11" s="125">
        <v>1</v>
      </c>
      <c r="D11" s="126" t="s">
        <v>311</v>
      </c>
      <c r="E11" s="7" t="s">
        <v>624</v>
      </c>
      <c r="F11" s="88">
        <f t="shared" si="0"/>
        <v>3</v>
      </c>
      <c r="G11" s="205"/>
      <c r="H11" s="205"/>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row>
    <row r="12" spans="1:131" ht="27.6" x14ac:dyDescent="0.2">
      <c r="A12" s="127" t="s">
        <v>580</v>
      </c>
      <c r="B12" s="158" t="s">
        <v>132</v>
      </c>
      <c r="C12" s="130">
        <v>2</v>
      </c>
      <c r="D12" s="126" t="s">
        <v>62</v>
      </c>
      <c r="E12" s="7" t="s">
        <v>624</v>
      </c>
      <c r="F12" s="88">
        <f t="shared" si="0"/>
        <v>6</v>
      </c>
      <c r="G12" s="206"/>
      <c r="H12" s="205"/>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row>
    <row r="13" spans="1:131" ht="27.6" x14ac:dyDescent="0.2">
      <c r="A13" s="123" t="s">
        <v>581</v>
      </c>
      <c r="B13" s="158" t="s">
        <v>132</v>
      </c>
      <c r="C13" s="130">
        <v>2</v>
      </c>
      <c r="D13" s="159" t="s">
        <v>494</v>
      </c>
      <c r="E13" s="7" t="s">
        <v>624</v>
      </c>
      <c r="F13" s="88">
        <f t="shared" si="0"/>
        <v>6</v>
      </c>
      <c r="G13" s="206"/>
      <c r="H13" s="205"/>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row>
    <row r="14" spans="1:131" ht="42" x14ac:dyDescent="0.2">
      <c r="A14" s="127" t="s">
        <v>582</v>
      </c>
      <c r="B14" s="132" t="s">
        <v>133</v>
      </c>
      <c r="C14" s="130">
        <v>2</v>
      </c>
      <c r="D14" s="159" t="s">
        <v>495</v>
      </c>
      <c r="E14" s="7" t="s">
        <v>624</v>
      </c>
      <c r="F14" s="88">
        <f t="shared" si="0"/>
        <v>6</v>
      </c>
      <c r="G14" s="205"/>
      <c r="H14" s="205"/>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row>
    <row r="15" spans="1:131" ht="27.6" x14ac:dyDescent="0.2">
      <c r="A15" s="123" t="s">
        <v>583</v>
      </c>
      <c r="B15" s="132" t="s">
        <v>133</v>
      </c>
      <c r="C15" s="130">
        <v>2</v>
      </c>
      <c r="D15" s="126" t="s">
        <v>218</v>
      </c>
      <c r="E15" s="7" t="s">
        <v>624</v>
      </c>
      <c r="F15" s="88">
        <f t="shared" si="0"/>
        <v>6</v>
      </c>
      <c r="G15" s="205"/>
      <c r="H15" s="205"/>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row>
    <row r="16" spans="1:131" ht="27.6" x14ac:dyDescent="0.2">
      <c r="A16" s="127" t="s">
        <v>584</v>
      </c>
      <c r="B16" s="132" t="s">
        <v>133</v>
      </c>
      <c r="C16" s="130">
        <v>2</v>
      </c>
      <c r="D16" s="126" t="s">
        <v>67</v>
      </c>
      <c r="E16" s="7" t="s">
        <v>624</v>
      </c>
      <c r="F16" s="88">
        <f t="shared" si="0"/>
        <v>6</v>
      </c>
      <c r="G16" s="205"/>
      <c r="H16" s="205"/>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row>
    <row r="17" spans="1:131" ht="28.2" x14ac:dyDescent="0.2">
      <c r="A17" s="123" t="s">
        <v>585</v>
      </c>
      <c r="B17" s="132" t="s">
        <v>133</v>
      </c>
      <c r="C17" s="130">
        <v>2</v>
      </c>
      <c r="D17" s="160" t="s">
        <v>312</v>
      </c>
      <c r="E17" s="7" t="s">
        <v>624</v>
      </c>
      <c r="F17" s="88">
        <f t="shared" si="0"/>
        <v>6</v>
      </c>
      <c r="G17" s="205"/>
      <c r="H17" s="205"/>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row>
    <row r="18" spans="1:131" ht="42" x14ac:dyDescent="0.2">
      <c r="A18" s="127" t="s">
        <v>586</v>
      </c>
      <c r="B18" s="132" t="s">
        <v>133</v>
      </c>
      <c r="C18" s="130">
        <v>2</v>
      </c>
      <c r="D18" s="131" t="s">
        <v>83</v>
      </c>
      <c r="E18" s="7" t="s">
        <v>624</v>
      </c>
      <c r="F18" s="88">
        <f t="shared" si="0"/>
        <v>6</v>
      </c>
      <c r="G18" s="205"/>
      <c r="H18" s="205"/>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row>
    <row r="19" spans="1:131" ht="42.6" x14ac:dyDescent="0.2">
      <c r="A19" s="123" t="s">
        <v>587</v>
      </c>
      <c r="B19" s="132" t="s">
        <v>133</v>
      </c>
      <c r="C19" s="161">
        <v>2</v>
      </c>
      <c r="D19" s="162" t="s">
        <v>496</v>
      </c>
      <c r="E19" s="7" t="s">
        <v>624</v>
      </c>
      <c r="F19" s="88">
        <f t="shared" si="0"/>
        <v>6</v>
      </c>
      <c r="G19" s="205"/>
      <c r="H19" s="205"/>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row>
    <row r="20" spans="1:131" ht="28.2" x14ac:dyDescent="0.2">
      <c r="A20" s="127" t="s">
        <v>588</v>
      </c>
      <c r="B20" s="132" t="s">
        <v>133</v>
      </c>
      <c r="C20" s="163">
        <v>3</v>
      </c>
      <c r="D20" s="131" t="s">
        <v>46</v>
      </c>
      <c r="E20" s="7" t="s">
        <v>624</v>
      </c>
      <c r="F20" s="88">
        <f>IF($E$42="Valid",INDEX(SkorAkhir, MATCH(E20,StatusPenerapanHasil,0), MATCH(C20,TingkatKematangan,0)),0)</f>
        <v>9</v>
      </c>
      <c r="G20" s="205"/>
      <c r="H20" s="205"/>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row>
    <row r="21" spans="1:131" ht="28.2" x14ac:dyDescent="0.2">
      <c r="A21" s="123" t="s">
        <v>237</v>
      </c>
      <c r="B21" s="132" t="s">
        <v>133</v>
      </c>
      <c r="C21" s="163">
        <v>3</v>
      </c>
      <c r="D21" s="162" t="s">
        <v>497</v>
      </c>
      <c r="E21" s="7" t="s">
        <v>624</v>
      </c>
      <c r="F21" s="88">
        <f t="shared" ref="F21:F23" si="1">IF($E$42="Valid",INDEX(SkorAkhir, MATCH(E21,StatusPenerapanHasil,0), MATCH(C21,TingkatKematangan,0)),0)</f>
        <v>9</v>
      </c>
      <c r="G21" s="205"/>
      <c r="H21" s="205"/>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row>
    <row r="22" spans="1:131" ht="42" x14ac:dyDescent="0.2">
      <c r="A22" s="127" t="s">
        <v>238</v>
      </c>
      <c r="B22" s="148" t="s">
        <v>135</v>
      </c>
      <c r="C22" s="163">
        <v>3</v>
      </c>
      <c r="D22" s="162" t="s">
        <v>498</v>
      </c>
      <c r="E22" s="7" t="s">
        <v>624</v>
      </c>
      <c r="F22" s="88">
        <f t="shared" si="1"/>
        <v>9</v>
      </c>
      <c r="G22" s="205"/>
      <c r="H22" s="205"/>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row>
    <row r="23" spans="1:131" ht="13.8" x14ac:dyDescent="0.2">
      <c r="A23" s="123" t="s">
        <v>239</v>
      </c>
      <c r="B23" s="148" t="s">
        <v>135</v>
      </c>
      <c r="C23" s="163">
        <v>3</v>
      </c>
      <c r="D23" s="131" t="s">
        <v>48</v>
      </c>
      <c r="E23" s="7" t="s">
        <v>624</v>
      </c>
      <c r="F23" s="88">
        <f t="shared" si="1"/>
        <v>9</v>
      </c>
      <c r="G23" s="205"/>
      <c r="H23" s="205"/>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row>
    <row r="24" spans="1:131" ht="13.05" customHeight="1" x14ac:dyDescent="0.2">
      <c r="A24" s="157" t="s">
        <v>93</v>
      </c>
      <c r="B24" s="164"/>
      <c r="C24" s="242" t="s">
        <v>97</v>
      </c>
      <c r="D24" s="243"/>
      <c r="E24" s="244"/>
      <c r="F24" s="118"/>
      <c r="G24" s="205"/>
      <c r="H24" s="205"/>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row>
    <row r="25" spans="1:131" ht="27.6" x14ac:dyDescent="0.2">
      <c r="A25" s="127" t="s">
        <v>85</v>
      </c>
      <c r="B25" s="124" t="s">
        <v>132</v>
      </c>
      <c r="C25" s="125">
        <v>1</v>
      </c>
      <c r="D25" s="131" t="s">
        <v>65</v>
      </c>
      <c r="E25" s="7" t="s">
        <v>624</v>
      </c>
      <c r="F25" s="88">
        <f t="shared" ref="F25:F31" si="2">INDEX(SkorAkhir, MATCH(E25,StatusPenerapanHasil,0), MATCH(C25,TingkatKematangan,0))</f>
        <v>3</v>
      </c>
      <c r="G25" s="205"/>
      <c r="H25" s="205"/>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row>
    <row r="26" spans="1:131" ht="27.6" x14ac:dyDescent="0.2">
      <c r="A26" s="127" t="s">
        <v>589</v>
      </c>
      <c r="B26" s="124" t="s">
        <v>132</v>
      </c>
      <c r="C26" s="125">
        <v>1</v>
      </c>
      <c r="D26" s="131" t="s">
        <v>100</v>
      </c>
      <c r="E26" s="7" t="s">
        <v>624</v>
      </c>
      <c r="F26" s="88">
        <f t="shared" si="2"/>
        <v>3</v>
      </c>
      <c r="G26" s="205"/>
      <c r="H26" s="205"/>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row>
    <row r="27" spans="1:131" ht="27.6" x14ac:dyDescent="0.2">
      <c r="A27" s="127" t="s">
        <v>590</v>
      </c>
      <c r="B27" s="132" t="s">
        <v>133</v>
      </c>
      <c r="C27" s="125">
        <v>1</v>
      </c>
      <c r="D27" s="131" t="s">
        <v>84</v>
      </c>
      <c r="E27" s="7" t="s">
        <v>624</v>
      </c>
      <c r="F27" s="88">
        <f t="shared" si="2"/>
        <v>3</v>
      </c>
      <c r="G27" s="205"/>
      <c r="H27" s="205"/>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row>
    <row r="28" spans="1:131" ht="41.4" x14ac:dyDescent="0.2">
      <c r="A28" s="127" t="s">
        <v>591</v>
      </c>
      <c r="B28" s="132" t="s">
        <v>133</v>
      </c>
      <c r="C28" s="125">
        <v>1</v>
      </c>
      <c r="D28" s="131" t="s">
        <v>98</v>
      </c>
      <c r="E28" s="7" t="s">
        <v>624</v>
      </c>
      <c r="F28" s="88">
        <f t="shared" si="2"/>
        <v>3</v>
      </c>
      <c r="G28" s="205"/>
      <c r="H28" s="205"/>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row>
    <row r="29" spans="1:131" ht="27.6" x14ac:dyDescent="0.2">
      <c r="A29" s="127" t="s">
        <v>592</v>
      </c>
      <c r="B29" s="132" t="s">
        <v>133</v>
      </c>
      <c r="C29" s="125">
        <v>1</v>
      </c>
      <c r="D29" s="162" t="s">
        <v>499</v>
      </c>
      <c r="E29" s="7" t="s">
        <v>624</v>
      </c>
      <c r="F29" s="88">
        <f t="shared" si="2"/>
        <v>3</v>
      </c>
      <c r="G29" s="205"/>
      <c r="H29" s="205"/>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row>
    <row r="30" spans="1:131" ht="27.6" x14ac:dyDescent="0.2">
      <c r="A30" s="127" t="s">
        <v>240</v>
      </c>
      <c r="B30" s="132" t="s">
        <v>133</v>
      </c>
      <c r="C30" s="130">
        <v>2</v>
      </c>
      <c r="D30" s="131" t="s">
        <v>99</v>
      </c>
      <c r="E30" s="7" t="s">
        <v>624</v>
      </c>
      <c r="F30" s="88">
        <f t="shared" si="2"/>
        <v>6</v>
      </c>
      <c r="G30" s="205"/>
      <c r="H30" s="205"/>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row>
    <row r="31" spans="1:131" ht="27.6" x14ac:dyDescent="0.2">
      <c r="A31" s="127" t="s">
        <v>593</v>
      </c>
      <c r="B31" s="165" t="s">
        <v>133</v>
      </c>
      <c r="C31" s="130">
        <v>2</v>
      </c>
      <c r="D31" s="131" t="s">
        <v>61</v>
      </c>
      <c r="E31" s="7" t="s">
        <v>624</v>
      </c>
      <c r="F31" s="88">
        <f t="shared" si="2"/>
        <v>6</v>
      </c>
      <c r="G31" s="205"/>
      <c r="H31" s="205"/>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row>
    <row r="32" spans="1:131" ht="41.4" x14ac:dyDescent="0.2">
      <c r="A32" s="127" t="s">
        <v>594</v>
      </c>
      <c r="B32" s="166" t="s">
        <v>135</v>
      </c>
      <c r="C32" s="134">
        <v>3</v>
      </c>
      <c r="D32" s="131" t="s">
        <v>142</v>
      </c>
      <c r="E32" s="7" t="s">
        <v>624</v>
      </c>
      <c r="F32" s="88">
        <f t="shared" ref="F32:F34" si="3">IF($E$42="Valid",INDEX(SkorAkhir, MATCH(E32,StatusPenerapanHasil,0), MATCH(C32,TingkatKematangan,0)),0)</f>
        <v>9</v>
      </c>
      <c r="G32" s="205"/>
      <c r="H32" s="205"/>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row>
    <row r="33" spans="1:131" ht="55.2" x14ac:dyDescent="0.2">
      <c r="A33" s="127" t="s">
        <v>595</v>
      </c>
      <c r="B33" s="167" t="s">
        <v>134</v>
      </c>
      <c r="C33" s="134">
        <v>3</v>
      </c>
      <c r="D33" s="126" t="s">
        <v>313</v>
      </c>
      <c r="E33" s="7" t="s">
        <v>624</v>
      </c>
      <c r="F33" s="88">
        <f t="shared" si="3"/>
        <v>9</v>
      </c>
      <c r="G33" s="205"/>
      <c r="H33" s="205"/>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row>
    <row r="34" spans="1:131" s="3" customFormat="1" ht="27.6" x14ac:dyDescent="0.2">
      <c r="A34" s="127" t="s">
        <v>596</v>
      </c>
      <c r="B34" s="167" t="s">
        <v>134</v>
      </c>
      <c r="C34" s="134">
        <v>3</v>
      </c>
      <c r="D34" s="131" t="s">
        <v>82</v>
      </c>
      <c r="E34" s="7" t="s">
        <v>624</v>
      </c>
      <c r="F34" s="88">
        <f t="shared" si="3"/>
        <v>9</v>
      </c>
      <c r="G34" s="205"/>
      <c r="H34" s="205"/>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row>
    <row r="35" spans="1:131" s="3" customFormat="1" ht="17.399999999999999" x14ac:dyDescent="0.2">
      <c r="A35" s="168"/>
      <c r="B35" s="149"/>
      <c r="C35" s="169"/>
      <c r="D35" s="136" t="s">
        <v>51</v>
      </c>
      <c r="E35" s="150">
        <f>SUM(F5:F34)</f>
        <v>159</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row>
    <row r="36" spans="1:131" s="1" customFormat="1" x14ac:dyDescent="0.2">
      <c r="A36" s="170"/>
      <c r="B36" s="97"/>
      <c r="C36" s="97"/>
    </row>
    <row r="37" spans="1:131" s="1" customFormat="1" x14ac:dyDescent="0.2">
      <c r="A37" s="170"/>
      <c r="B37" s="97"/>
      <c r="C37" s="97"/>
      <c r="D37" s="140" t="s">
        <v>191</v>
      </c>
      <c r="E37" s="141">
        <f>COUNTIF(C5:C34,1)</f>
        <v>12</v>
      </c>
    </row>
    <row r="38" spans="1:131" s="1" customFormat="1" x14ac:dyDescent="0.2">
      <c r="A38" s="170"/>
      <c r="B38" s="97"/>
      <c r="C38" s="97"/>
      <c r="D38" s="140" t="s">
        <v>192</v>
      </c>
      <c r="E38" s="141">
        <f>COUNTIF(C5:C34,2)</f>
        <v>10</v>
      </c>
    </row>
    <row r="39" spans="1:131" s="1" customFormat="1" x14ac:dyDescent="0.2">
      <c r="A39" s="170"/>
      <c r="B39" s="97"/>
      <c r="C39" s="97"/>
      <c r="D39" s="140" t="s">
        <v>193</v>
      </c>
      <c r="E39" s="141">
        <f>COUNTIF(C5:C34,3)</f>
        <v>7</v>
      </c>
    </row>
    <row r="40" spans="1:131" s="1" customFormat="1" x14ac:dyDescent="0.2">
      <c r="A40" s="170"/>
      <c r="B40" s="97"/>
      <c r="C40" s="97"/>
      <c r="D40" s="140" t="s">
        <v>194</v>
      </c>
      <c r="E40" s="141">
        <f>(2*E37)+(4*E38)</f>
        <v>64</v>
      </c>
    </row>
    <row r="41" spans="1:131" s="1" customFormat="1" x14ac:dyDescent="0.2">
      <c r="A41" s="170"/>
      <c r="B41" s="97"/>
      <c r="C41" s="97"/>
      <c r="D41" s="140" t="s">
        <v>195</v>
      </c>
      <c r="E41" s="141">
        <f>SUM(F25:F31)+SUM(F5:F19)</f>
        <v>96</v>
      </c>
    </row>
    <row r="42" spans="1:131" s="1" customFormat="1" x14ac:dyDescent="0.2">
      <c r="A42" s="170"/>
      <c r="B42" s="97"/>
      <c r="C42" s="97"/>
      <c r="D42" s="140" t="s">
        <v>196</v>
      </c>
      <c r="E42" s="141" t="str">
        <f>IF(E41&gt;=E40,"Valid","Tidak Valid")</f>
        <v>Valid</v>
      </c>
    </row>
    <row r="43" spans="1:131" s="1" customFormat="1" x14ac:dyDescent="0.2">
      <c r="A43" s="170"/>
      <c r="B43" s="97"/>
      <c r="C43" s="97"/>
    </row>
    <row r="44" spans="1:131" s="1" customFormat="1" x14ac:dyDescent="0.2">
      <c r="A44" s="170"/>
      <c r="B44" s="97"/>
      <c r="C44" s="97"/>
      <c r="D44" s="140" t="s">
        <v>138</v>
      </c>
      <c r="E44" s="141">
        <f>SUM(F25:F26)+SUM(F5:F13)</f>
        <v>39</v>
      </c>
      <c r="F44" s="142" t="s">
        <v>285</v>
      </c>
      <c r="H44" s="142">
        <f>8*3+3*6</f>
        <v>42</v>
      </c>
    </row>
    <row r="45" spans="1:131" s="1" customFormat="1" x14ac:dyDescent="0.2">
      <c r="A45" s="170"/>
      <c r="B45" s="97"/>
      <c r="C45" s="97"/>
      <c r="D45" s="143" t="s">
        <v>153</v>
      </c>
      <c r="E45" s="141">
        <f>(4*2)+(7*1)</f>
        <v>15</v>
      </c>
      <c r="F45" s="142" t="s">
        <v>170</v>
      </c>
    </row>
    <row r="46" spans="1:131" s="1" customFormat="1" x14ac:dyDescent="0.2">
      <c r="A46" s="170"/>
      <c r="B46" s="97"/>
      <c r="C46" s="97"/>
      <c r="D46" s="143" t="s">
        <v>154</v>
      </c>
      <c r="E46" s="141">
        <f>(10*2)+(1*4)</f>
        <v>24</v>
      </c>
      <c r="F46" s="142" t="s">
        <v>171</v>
      </c>
    </row>
    <row r="47" spans="1:131" s="1" customFormat="1" x14ac:dyDescent="0.2">
      <c r="A47" s="170"/>
      <c r="B47" s="97"/>
      <c r="C47" s="97"/>
      <c r="D47" s="140" t="s">
        <v>155</v>
      </c>
      <c r="E47" s="141" t="str">
        <f>IF(E44&gt;=E46,"II",IF(E44&gt;=E45,"I+","No"))</f>
        <v>II</v>
      </c>
      <c r="F47" s="142">
        <f>0.8*((8*3)+(3*6))</f>
        <v>33.6</v>
      </c>
      <c r="G47" s="142" t="s">
        <v>190</v>
      </c>
    </row>
    <row r="48" spans="1:131" s="1" customFormat="1" x14ac:dyDescent="0.2">
      <c r="A48" s="170"/>
      <c r="B48" s="97"/>
      <c r="C48" s="97"/>
      <c r="D48" s="140" t="s">
        <v>139</v>
      </c>
      <c r="E48" s="141">
        <f>SUM(F27:F31)+SUM(F14:F21)</f>
        <v>75</v>
      </c>
      <c r="F48" s="142" t="s">
        <v>286</v>
      </c>
      <c r="H48" s="142">
        <f>4*3+6*6+3*9</f>
        <v>75</v>
      </c>
    </row>
    <row r="49" spans="1:7" s="1" customFormat="1" x14ac:dyDescent="0.2">
      <c r="A49" s="170"/>
      <c r="B49" s="97"/>
      <c r="C49" s="97"/>
      <c r="D49" s="143" t="s">
        <v>158</v>
      </c>
      <c r="E49" s="141" t="str">
        <f>IF(E44&gt;=F47,"Yes","No")</f>
        <v>Yes</v>
      </c>
    </row>
    <row r="50" spans="1:7" s="1" customFormat="1" x14ac:dyDescent="0.2">
      <c r="A50" s="170"/>
      <c r="B50" s="97"/>
      <c r="C50" s="97"/>
      <c r="D50" s="143" t="s">
        <v>156</v>
      </c>
      <c r="E50" s="141">
        <f>(4*3)+(2*2)+(5*4)+(1*3)+(1*6)</f>
        <v>45</v>
      </c>
      <c r="F50" s="142" t="s">
        <v>198</v>
      </c>
    </row>
    <row r="51" spans="1:7" s="1" customFormat="1" x14ac:dyDescent="0.2">
      <c r="A51" s="170"/>
      <c r="B51" s="97"/>
      <c r="C51" s="97"/>
      <c r="D51" s="143" t="s">
        <v>157</v>
      </c>
      <c r="E51" s="141">
        <f>(4*3)+(2*4)+(5*6)+(2*6)</f>
        <v>62</v>
      </c>
      <c r="F51" s="142" t="s">
        <v>199</v>
      </c>
    </row>
    <row r="52" spans="1:7" s="1" customFormat="1" x14ac:dyDescent="0.2">
      <c r="A52" s="170"/>
      <c r="B52" s="97"/>
      <c r="C52" s="97"/>
      <c r="D52" s="140" t="s">
        <v>155</v>
      </c>
      <c r="E52" s="141" t="str">
        <f>IF(E49="Yes",IF(E48&gt;=E51,"III",IF(E48&gt;=E50,"II+","II")),"No")</f>
        <v>III</v>
      </c>
      <c r="F52" s="142">
        <f>(4*3)+(1*4)+(5*6)+(1*6)+(2*9)</f>
        <v>70</v>
      </c>
      <c r="G52" s="142" t="s">
        <v>200</v>
      </c>
    </row>
    <row r="53" spans="1:7" s="1" customFormat="1" x14ac:dyDescent="0.2">
      <c r="A53" s="170"/>
      <c r="B53" s="97"/>
      <c r="C53" s="97"/>
      <c r="D53" s="140" t="s">
        <v>140</v>
      </c>
      <c r="E53" s="141">
        <f>F32+SUM(F22:F23)</f>
        <v>27</v>
      </c>
      <c r="F53" s="142" t="s">
        <v>169</v>
      </c>
    </row>
    <row r="54" spans="1:7" s="1" customFormat="1" x14ac:dyDescent="0.2">
      <c r="A54" s="170"/>
      <c r="B54" s="97"/>
      <c r="C54" s="97"/>
      <c r="D54" s="143" t="s">
        <v>159</v>
      </c>
      <c r="E54" s="141" t="str">
        <f>IF(AND(E49="Yes",E48&gt;=F52),"Yes","No")</f>
        <v>Yes</v>
      </c>
    </row>
    <row r="55" spans="1:7" s="1" customFormat="1" x14ac:dyDescent="0.2">
      <c r="A55" s="170"/>
      <c r="B55" s="97"/>
      <c r="C55" s="97"/>
      <c r="D55" s="143" t="s">
        <v>160</v>
      </c>
      <c r="E55" s="141">
        <f>(2*6)+(1*3)</f>
        <v>15</v>
      </c>
      <c r="F55" s="142" t="s">
        <v>172</v>
      </c>
    </row>
    <row r="56" spans="1:7" s="1" customFormat="1" x14ac:dyDescent="0.2">
      <c r="A56" s="170"/>
      <c r="B56" s="97"/>
      <c r="C56" s="97"/>
      <c r="D56" s="143" t="s">
        <v>161</v>
      </c>
      <c r="E56" s="141">
        <f>(3*9)</f>
        <v>27</v>
      </c>
      <c r="F56" s="142" t="s">
        <v>173</v>
      </c>
    </row>
    <row r="57" spans="1:7" s="1" customFormat="1" x14ac:dyDescent="0.2">
      <c r="A57" s="170"/>
      <c r="B57" s="97"/>
      <c r="C57" s="97"/>
      <c r="D57" s="140" t="s">
        <v>155</v>
      </c>
      <c r="E57" s="141" t="str">
        <f>IF(E54="Yes",IF(AND(E44=H44,E48=H48,E53&gt;=E56),"IV",IF(E53&gt;=E55,"III+","III")),"No")</f>
        <v>III+</v>
      </c>
      <c r="F57" s="142">
        <f>3*9</f>
        <v>27</v>
      </c>
    </row>
    <row r="58" spans="1:7" s="1" customFormat="1" x14ac:dyDescent="0.2">
      <c r="A58" s="170"/>
      <c r="B58" s="97"/>
      <c r="C58" s="97"/>
      <c r="D58" s="140" t="s">
        <v>145</v>
      </c>
      <c r="E58" s="141">
        <f>SUM(F33:F34)</f>
        <v>18</v>
      </c>
      <c r="F58" s="142" t="s">
        <v>165</v>
      </c>
    </row>
    <row r="59" spans="1:7" s="1" customFormat="1" x14ac:dyDescent="0.2">
      <c r="A59" s="170"/>
      <c r="B59" s="97"/>
      <c r="C59" s="97"/>
      <c r="D59" s="143" t="s">
        <v>166</v>
      </c>
      <c r="E59" s="141" t="str">
        <f>IF(AND(E54="Yes",E53&gt;=F57),"Yes","No")</f>
        <v>Yes</v>
      </c>
    </row>
    <row r="60" spans="1:7" s="1" customFormat="1" x14ac:dyDescent="0.2">
      <c r="A60" s="170"/>
      <c r="B60" s="97"/>
      <c r="C60" s="97"/>
      <c r="D60" s="143" t="s">
        <v>167</v>
      </c>
      <c r="E60" s="141">
        <f>2*6</f>
        <v>12</v>
      </c>
      <c r="F60" s="142" t="s">
        <v>172</v>
      </c>
    </row>
    <row r="61" spans="1:7" s="1" customFormat="1" x14ac:dyDescent="0.2">
      <c r="A61" s="170"/>
      <c r="B61" s="97"/>
      <c r="C61" s="97"/>
      <c r="D61" s="143" t="s">
        <v>168</v>
      </c>
      <c r="E61" s="141">
        <f>2*9</f>
        <v>18</v>
      </c>
      <c r="F61" s="142" t="s">
        <v>173</v>
      </c>
    </row>
    <row r="62" spans="1:7" s="1" customFormat="1" x14ac:dyDescent="0.2">
      <c r="A62" s="170"/>
      <c r="B62" s="97"/>
      <c r="C62" s="97"/>
      <c r="D62" s="140" t="s">
        <v>155</v>
      </c>
      <c r="E62" s="141" t="str">
        <f>IF(E59="Yes",IF(E58&gt;=E61,"V",IF(E58&gt;=E60,"IV+","IV")),"No")</f>
        <v>V</v>
      </c>
    </row>
    <row r="63" spans="1:7" s="1" customFormat="1" x14ac:dyDescent="0.2">
      <c r="A63" s="170"/>
      <c r="B63" s="97"/>
      <c r="C63" s="97"/>
      <c r="F63" s="142"/>
    </row>
    <row r="64" spans="1:7" s="1" customFormat="1" x14ac:dyDescent="0.2">
      <c r="A64" s="170"/>
      <c r="B64" s="97"/>
      <c r="C64" s="97"/>
      <c r="E64" s="142"/>
    </row>
    <row r="65" spans="1:3" s="1" customFormat="1" x14ac:dyDescent="0.2">
      <c r="A65" s="170"/>
      <c r="B65" s="97"/>
      <c r="C65" s="97"/>
    </row>
    <row r="66" spans="1:3" s="1" customFormat="1" x14ac:dyDescent="0.2">
      <c r="A66" s="170"/>
      <c r="B66" s="97"/>
      <c r="C66" s="97"/>
    </row>
    <row r="67" spans="1:3" s="1" customFormat="1" x14ac:dyDescent="0.2">
      <c r="A67" s="170"/>
      <c r="B67" s="97"/>
      <c r="C67" s="97"/>
    </row>
    <row r="68" spans="1:3" s="1" customFormat="1" x14ac:dyDescent="0.2">
      <c r="A68" s="170"/>
      <c r="B68" s="97"/>
      <c r="C68" s="97"/>
    </row>
    <row r="69" spans="1:3" s="1" customFormat="1" x14ac:dyDescent="0.2">
      <c r="A69" s="170"/>
      <c r="B69" s="97"/>
      <c r="C69" s="97"/>
    </row>
    <row r="70" spans="1:3" s="1" customFormat="1" x14ac:dyDescent="0.2">
      <c r="A70" s="170"/>
      <c r="B70" s="97"/>
      <c r="C70" s="97"/>
    </row>
    <row r="71" spans="1:3" s="1" customFormat="1" x14ac:dyDescent="0.2">
      <c r="A71" s="170"/>
      <c r="B71" s="97"/>
      <c r="C71" s="97"/>
    </row>
    <row r="72" spans="1:3" s="1" customFormat="1" x14ac:dyDescent="0.2">
      <c r="A72" s="170"/>
      <c r="B72" s="97"/>
      <c r="C72" s="97"/>
    </row>
    <row r="73" spans="1:3" s="1" customFormat="1" x14ac:dyDescent="0.2">
      <c r="A73" s="170"/>
      <c r="B73" s="97"/>
      <c r="C73" s="97"/>
    </row>
    <row r="74" spans="1:3" s="1" customFormat="1" x14ac:dyDescent="0.2">
      <c r="A74" s="170"/>
      <c r="B74" s="97"/>
      <c r="C74" s="97"/>
    </row>
    <row r="75" spans="1:3" s="1" customFormat="1" x14ac:dyDescent="0.2">
      <c r="A75" s="170"/>
      <c r="B75" s="97"/>
      <c r="C75" s="97"/>
    </row>
    <row r="76" spans="1:3" s="1" customFormat="1" x14ac:dyDescent="0.2">
      <c r="A76" s="170"/>
      <c r="B76" s="97"/>
      <c r="C76" s="97"/>
    </row>
    <row r="77" spans="1:3" s="1" customFormat="1" x14ac:dyDescent="0.2">
      <c r="A77" s="170"/>
      <c r="B77" s="97"/>
      <c r="C77" s="97"/>
    </row>
    <row r="78" spans="1:3" s="1" customFormat="1" x14ac:dyDescent="0.2">
      <c r="A78" s="170"/>
      <c r="B78" s="97"/>
      <c r="C78" s="97"/>
    </row>
    <row r="79" spans="1:3" s="1" customFormat="1" x14ac:dyDescent="0.2">
      <c r="A79" s="170"/>
      <c r="B79" s="97"/>
      <c r="C79" s="97"/>
    </row>
    <row r="80" spans="1:3" s="1" customFormat="1" x14ac:dyDescent="0.2">
      <c r="A80" s="170"/>
      <c r="B80" s="97"/>
      <c r="C80" s="97"/>
    </row>
    <row r="81" spans="1:3" s="1" customFormat="1" x14ac:dyDescent="0.2">
      <c r="A81" s="170"/>
      <c r="B81" s="97"/>
      <c r="C81" s="97"/>
    </row>
    <row r="82" spans="1:3" s="1" customFormat="1" x14ac:dyDescent="0.2">
      <c r="A82" s="170"/>
      <c r="B82" s="97"/>
      <c r="C82" s="97"/>
    </row>
    <row r="83" spans="1:3" s="1" customFormat="1" x14ac:dyDescent="0.2">
      <c r="A83" s="170"/>
      <c r="B83" s="97"/>
      <c r="C83" s="97"/>
    </row>
    <row r="84" spans="1:3" s="1" customFormat="1" x14ac:dyDescent="0.2">
      <c r="A84" s="170"/>
      <c r="B84" s="97"/>
      <c r="C84" s="97"/>
    </row>
    <row r="85" spans="1:3" s="1" customFormat="1" x14ac:dyDescent="0.2">
      <c r="A85" s="170"/>
      <c r="B85" s="97"/>
      <c r="C85" s="97"/>
    </row>
    <row r="86" spans="1:3" s="1" customFormat="1" x14ac:dyDescent="0.2">
      <c r="A86" s="170"/>
      <c r="B86" s="97"/>
      <c r="C86" s="97"/>
    </row>
    <row r="87" spans="1:3" s="1" customFormat="1" x14ac:dyDescent="0.2">
      <c r="A87" s="170"/>
      <c r="B87" s="97"/>
      <c r="C87" s="97"/>
    </row>
    <row r="88" spans="1:3" s="1" customFormat="1" x14ac:dyDescent="0.2">
      <c r="A88" s="170"/>
      <c r="B88" s="97"/>
      <c r="C88" s="97"/>
    </row>
    <row r="89" spans="1:3" s="1" customFormat="1" x14ac:dyDescent="0.2">
      <c r="A89" s="170"/>
      <c r="B89" s="97"/>
      <c r="C89" s="97"/>
    </row>
    <row r="90" spans="1:3" s="1" customFormat="1" x14ac:dyDescent="0.2">
      <c r="A90" s="170"/>
      <c r="B90" s="97"/>
      <c r="C90" s="97"/>
    </row>
    <row r="91" spans="1:3" s="1" customFormat="1" x14ac:dyDescent="0.2">
      <c r="A91" s="170"/>
      <c r="B91" s="97"/>
      <c r="C91" s="97"/>
    </row>
    <row r="92" spans="1:3" s="1" customFormat="1" x14ac:dyDescent="0.2">
      <c r="A92" s="170"/>
      <c r="B92" s="97"/>
      <c r="C92" s="97"/>
    </row>
    <row r="93" spans="1:3" s="1" customFormat="1" x14ac:dyDescent="0.2">
      <c r="A93" s="170"/>
      <c r="B93" s="97"/>
      <c r="C93" s="97"/>
    </row>
    <row r="94" spans="1:3" s="1" customFormat="1" x14ac:dyDescent="0.2">
      <c r="A94" s="170"/>
      <c r="B94" s="97"/>
      <c r="C94" s="97"/>
    </row>
    <row r="95" spans="1:3" s="1" customFormat="1" x14ac:dyDescent="0.2">
      <c r="A95" s="170"/>
      <c r="B95" s="97"/>
      <c r="C95" s="97"/>
    </row>
    <row r="96" spans="1:3" s="1" customFormat="1" x14ac:dyDescent="0.2">
      <c r="A96" s="170"/>
      <c r="B96" s="97"/>
      <c r="C96" s="97"/>
    </row>
    <row r="97" spans="1:3" s="1" customFormat="1" x14ac:dyDescent="0.2">
      <c r="A97" s="170"/>
      <c r="B97" s="97"/>
      <c r="C97" s="97"/>
    </row>
    <row r="98" spans="1:3" s="1" customFormat="1" x14ac:dyDescent="0.2">
      <c r="A98" s="170"/>
      <c r="B98" s="97"/>
      <c r="C98" s="97"/>
    </row>
    <row r="99" spans="1:3" s="1" customFormat="1" x14ac:dyDescent="0.2">
      <c r="A99" s="170"/>
      <c r="B99" s="97"/>
      <c r="C99" s="97"/>
    </row>
    <row r="100" spans="1:3" s="1" customFormat="1" x14ac:dyDescent="0.2">
      <c r="A100" s="170"/>
      <c r="B100" s="97"/>
      <c r="C100" s="97"/>
    </row>
    <row r="101" spans="1:3" s="1" customFormat="1" x14ac:dyDescent="0.2">
      <c r="A101" s="170"/>
      <c r="B101" s="97"/>
      <c r="C101" s="97"/>
    </row>
    <row r="102" spans="1:3" s="1" customFormat="1" x14ac:dyDescent="0.2">
      <c r="A102" s="170"/>
      <c r="B102" s="97"/>
      <c r="C102" s="97"/>
    </row>
    <row r="103" spans="1:3" s="1" customFormat="1" x14ac:dyDescent="0.2">
      <c r="A103" s="170"/>
      <c r="B103" s="97"/>
      <c r="C103" s="97"/>
    </row>
    <row r="104" spans="1:3" s="1" customFormat="1" x14ac:dyDescent="0.2">
      <c r="A104" s="170"/>
      <c r="B104" s="97"/>
      <c r="C104" s="97"/>
    </row>
    <row r="105" spans="1:3" s="1" customFormat="1" x14ac:dyDescent="0.2">
      <c r="A105" s="170"/>
      <c r="B105" s="97"/>
      <c r="C105" s="97"/>
    </row>
    <row r="106" spans="1:3" s="1" customFormat="1" x14ac:dyDescent="0.2">
      <c r="A106" s="170"/>
      <c r="B106" s="97"/>
      <c r="C106" s="97"/>
    </row>
    <row r="107" spans="1:3" s="1" customFormat="1" x14ac:dyDescent="0.2">
      <c r="A107" s="170"/>
      <c r="B107" s="97"/>
      <c r="C107" s="97"/>
    </row>
    <row r="108" spans="1:3" s="1" customFormat="1" x14ac:dyDescent="0.2">
      <c r="A108" s="170"/>
      <c r="B108" s="97"/>
      <c r="C108" s="97"/>
    </row>
    <row r="109" spans="1:3" s="1" customFormat="1" x14ac:dyDescent="0.2">
      <c r="A109" s="170"/>
      <c r="B109" s="97"/>
      <c r="C109" s="97"/>
    </row>
    <row r="110" spans="1:3" s="1" customFormat="1" x14ac:dyDescent="0.2">
      <c r="A110" s="170"/>
      <c r="B110" s="97"/>
      <c r="C110" s="97"/>
    </row>
    <row r="111" spans="1:3" s="1" customFormat="1" x14ac:dyDescent="0.2">
      <c r="A111" s="170"/>
      <c r="B111" s="97"/>
      <c r="C111" s="97"/>
    </row>
    <row r="112" spans="1:3" s="1" customFormat="1" x14ac:dyDescent="0.2">
      <c r="A112" s="170"/>
      <c r="B112" s="97"/>
      <c r="C112" s="97"/>
    </row>
    <row r="113" spans="1:3" s="1" customFormat="1" x14ac:dyDescent="0.2">
      <c r="A113" s="170"/>
      <c r="B113" s="97"/>
      <c r="C113" s="97"/>
    </row>
    <row r="114" spans="1:3" s="1" customFormat="1" x14ac:dyDescent="0.2">
      <c r="A114" s="170"/>
      <c r="B114" s="97"/>
      <c r="C114" s="97"/>
    </row>
    <row r="115" spans="1:3" s="1" customFormat="1" x14ac:dyDescent="0.2">
      <c r="A115" s="170"/>
      <c r="B115" s="97"/>
      <c r="C115" s="97"/>
    </row>
    <row r="116" spans="1:3" s="1" customFormat="1" x14ac:dyDescent="0.2">
      <c r="A116" s="170"/>
      <c r="B116" s="97"/>
      <c r="C116" s="97"/>
    </row>
    <row r="117" spans="1:3" s="1" customFormat="1" x14ac:dyDescent="0.2">
      <c r="A117" s="170"/>
      <c r="B117" s="97"/>
      <c r="C117" s="97"/>
    </row>
    <row r="118" spans="1:3" s="1" customFormat="1" x14ac:dyDescent="0.2">
      <c r="A118" s="170"/>
      <c r="B118" s="97"/>
      <c r="C118" s="97"/>
    </row>
    <row r="119" spans="1:3" s="1" customFormat="1" x14ac:dyDescent="0.2">
      <c r="A119" s="170"/>
      <c r="B119" s="97"/>
      <c r="C119" s="97"/>
    </row>
    <row r="120" spans="1:3" s="1" customFormat="1" x14ac:dyDescent="0.2">
      <c r="A120" s="170"/>
      <c r="B120" s="97"/>
      <c r="C120" s="97"/>
    </row>
    <row r="121" spans="1:3" s="1" customFormat="1" x14ac:dyDescent="0.2">
      <c r="A121" s="170"/>
      <c r="B121" s="97"/>
      <c r="C121" s="97"/>
    </row>
    <row r="122" spans="1:3" s="1" customFormat="1" x14ac:dyDescent="0.2">
      <c r="A122" s="170"/>
      <c r="B122" s="97"/>
      <c r="C122" s="97"/>
    </row>
    <row r="123" spans="1:3" s="1" customFormat="1" x14ac:dyDescent="0.2">
      <c r="A123" s="170"/>
      <c r="B123" s="97"/>
      <c r="C123" s="97"/>
    </row>
    <row r="124" spans="1:3" s="1" customFormat="1" x14ac:dyDescent="0.2">
      <c r="A124" s="170"/>
      <c r="B124" s="97"/>
      <c r="C124" s="97"/>
    </row>
    <row r="125" spans="1:3" s="1" customFormat="1" x14ac:dyDescent="0.2">
      <c r="A125" s="170"/>
      <c r="B125" s="97"/>
      <c r="C125" s="97"/>
    </row>
    <row r="126" spans="1:3" s="1" customFormat="1" x14ac:dyDescent="0.2">
      <c r="A126" s="170"/>
      <c r="B126" s="97"/>
      <c r="C126" s="97"/>
    </row>
    <row r="127" spans="1:3" s="1" customFormat="1" x14ac:dyDescent="0.2">
      <c r="A127" s="170"/>
      <c r="B127" s="97"/>
      <c r="C127" s="97"/>
    </row>
    <row r="128" spans="1:3" s="1" customFormat="1" x14ac:dyDescent="0.2">
      <c r="A128" s="170"/>
      <c r="B128" s="97"/>
      <c r="C128" s="97"/>
    </row>
    <row r="129" spans="1:3" s="1" customFormat="1" x14ac:dyDescent="0.2">
      <c r="A129" s="170"/>
      <c r="B129" s="97"/>
      <c r="C129" s="97"/>
    </row>
    <row r="130" spans="1:3" s="1" customFormat="1" x14ac:dyDescent="0.2">
      <c r="A130" s="170"/>
      <c r="B130" s="97"/>
      <c r="C130" s="97"/>
    </row>
    <row r="131" spans="1:3" s="1" customFormat="1" x14ac:dyDescent="0.2">
      <c r="A131" s="170"/>
      <c r="B131" s="97"/>
      <c r="C131" s="97"/>
    </row>
    <row r="132" spans="1:3" s="1" customFormat="1" x14ac:dyDescent="0.2">
      <c r="A132" s="170"/>
      <c r="B132" s="97"/>
      <c r="C132" s="97"/>
    </row>
    <row r="133" spans="1:3" s="1" customFormat="1" x14ac:dyDescent="0.2">
      <c r="A133" s="170"/>
      <c r="B133" s="97"/>
      <c r="C133" s="97"/>
    </row>
    <row r="134" spans="1:3" s="1" customFormat="1" x14ac:dyDescent="0.2">
      <c r="A134" s="170"/>
      <c r="B134" s="97"/>
      <c r="C134" s="97"/>
    </row>
    <row r="135" spans="1:3" s="1" customFormat="1" x14ac:dyDescent="0.2">
      <c r="A135" s="170"/>
      <c r="B135" s="97"/>
      <c r="C135" s="97"/>
    </row>
    <row r="136" spans="1:3" s="1" customFormat="1" x14ac:dyDescent="0.2">
      <c r="A136" s="170"/>
      <c r="B136" s="97"/>
      <c r="C136" s="97"/>
    </row>
    <row r="137" spans="1:3" s="1" customFormat="1" x14ac:dyDescent="0.2">
      <c r="A137" s="170"/>
      <c r="B137" s="97"/>
      <c r="C137" s="97"/>
    </row>
    <row r="138" spans="1:3" s="1" customFormat="1" x14ac:dyDescent="0.2">
      <c r="A138" s="170"/>
      <c r="B138" s="97"/>
      <c r="C138" s="97"/>
    </row>
    <row r="139" spans="1:3" s="1" customFormat="1" x14ac:dyDescent="0.2">
      <c r="A139" s="170"/>
      <c r="B139" s="97"/>
      <c r="C139" s="97"/>
    </row>
    <row r="140" spans="1:3" s="1" customFormat="1" x14ac:dyDescent="0.2">
      <c r="A140" s="170"/>
      <c r="B140" s="97"/>
      <c r="C140" s="97"/>
    </row>
    <row r="141" spans="1:3" s="1" customFormat="1" x14ac:dyDescent="0.2">
      <c r="A141" s="170"/>
      <c r="B141" s="97"/>
      <c r="C141" s="97"/>
    </row>
    <row r="142" spans="1:3" s="1" customFormat="1" x14ac:dyDescent="0.2">
      <c r="A142" s="170"/>
      <c r="B142" s="97"/>
      <c r="C142" s="97"/>
    </row>
    <row r="143" spans="1:3" s="1" customFormat="1" x14ac:dyDescent="0.2">
      <c r="A143" s="170"/>
      <c r="B143" s="97"/>
      <c r="C143" s="97"/>
    </row>
    <row r="144" spans="1:3" s="1" customFormat="1" x14ac:dyDescent="0.2">
      <c r="A144" s="170"/>
      <c r="B144" s="97"/>
      <c r="C144" s="97"/>
    </row>
    <row r="145" spans="1:3" s="1" customFormat="1" x14ac:dyDescent="0.2">
      <c r="A145" s="170"/>
      <c r="B145" s="97"/>
      <c r="C145" s="97"/>
    </row>
    <row r="146" spans="1:3" s="1" customFormat="1" x14ac:dyDescent="0.2">
      <c r="A146" s="170"/>
      <c r="B146" s="97"/>
      <c r="C146" s="97"/>
    </row>
    <row r="147" spans="1:3" s="1" customFormat="1" x14ac:dyDescent="0.2">
      <c r="A147" s="170"/>
      <c r="B147" s="97"/>
      <c r="C147" s="97"/>
    </row>
    <row r="148" spans="1:3" s="1" customFormat="1" x14ac:dyDescent="0.2">
      <c r="A148" s="170"/>
      <c r="B148" s="97"/>
      <c r="C148" s="97"/>
    </row>
    <row r="149" spans="1:3" s="1" customFormat="1" x14ac:dyDescent="0.2">
      <c r="A149" s="170"/>
      <c r="B149" s="97"/>
      <c r="C149" s="97"/>
    </row>
    <row r="150" spans="1:3" s="1" customFormat="1" x14ac:dyDescent="0.2">
      <c r="A150" s="170"/>
      <c r="B150" s="97"/>
      <c r="C150" s="97"/>
    </row>
    <row r="151" spans="1:3" s="1" customFormat="1" x14ac:dyDescent="0.2">
      <c r="A151" s="170"/>
      <c r="B151" s="97"/>
      <c r="C151" s="97"/>
    </row>
    <row r="152" spans="1:3" s="1" customFormat="1" x14ac:dyDescent="0.2">
      <c r="A152" s="170"/>
      <c r="B152" s="97"/>
      <c r="C152" s="97"/>
    </row>
  </sheetData>
  <sheetProtection algorithmName="SHA-512" hashValue="ah0qEjmNZzNq4FWeOke4uz20Qiz4n8tDQvVVMcxHd5o3rWBOeE6fpHOQ/MH/uqV3+ijwzj5rkrryLIctdst8/g==" saltValue="uNuBUDOEoU0U/8RMvVqACA==" spinCount="100000" sheet="1" objects="1" scenarios="1"/>
  <customSheetViews>
    <customSheetView guid="{58EB2181-60CA-D84F-9BE3-6D30A91A6F68}" scale="115" showPageBreaks="1" fitToPage="1" printArea="1">
      <pane xSplit="5" ySplit="3.0285714285714285" topLeftCell="I4" activePane="bottomRight" state="frozenSplit"/>
      <selection pane="bottomRight" activeCell="D15" sqref="D15"/>
      <pageMargins left="0.7" right="0.7" top="0.75" bottom="0.75" header="0.3" footer="0.3"/>
      <pageSetup paperSize="9" scale="6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 guid="{E2B8E4FB-7E5E-E744-9E59-F9CB9CC15E64}" scale="115" fitToPage="1">
      <pane xSplit="5" ySplit="3.0285714285714285" topLeftCell="I4" activePane="bottomRight" state="frozenSplit"/>
      <selection pane="bottomRight" activeCell="D15" sqref="D15"/>
      <pageMargins left="0.7" right="0.7" top="0.75" bottom="0.75" header="0.3" footer="0.3"/>
      <pageSetup paperSize="9" scale="62"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s>
  <mergeCells count="5">
    <mergeCell ref="C24:E24"/>
    <mergeCell ref="A2:E2"/>
    <mergeCell ref="A1:E1"/>
    <mergeCell ref="A3:D3"/>
    <mergeCell ref="C4:E4"/>
  </mergeCells>
  <phoneticPr fontId="6" type="noConversion"/>
  <conditionalFormatting sqref="E5:E23 E25:E34">
    <cfRule type="cellIs" dxfId="97" priority="0" stopIfTrue="1" operator="equal">
      <formula>"Tidak Dilakukan"</formula>
    </cfRule>
    <cfRule type="cellIs" dxfId="96" priority="1" stopIfTrue="1" operator="equal">
      <formula>"Dalam Perencanaan"</formula>
    </cfRule>
    <cfRule type="cellIs" dxfId="95" priority="2" stopIfTrue="1" operator="equal">
      <formula>"Dalam Penerapan / Diterapkan Sebagian"</formula>
    </cfRule>
  </conditionalFormatting>
  <conditionalFormatting sqref="F20:F23 F32:F34">
    <cfRule type="cellIs" dxfId="94" priority="3" stopIfTrue="1" operator="equal">
      <formula>0</formula>
    </cfRule>
  </conditionalFormatting>
  <dataValidations count="1">
    <dataValidation type="list" allowBlank="1" showInputMessage="1" showErrorMessage="1" sqref="E5:E23 E25:E34" xr:uid="{00000000-0002-0000-0500-000000000000}">
      <formula1>StatusPenerapan</formula1>
    </dataValidation>
  </dataValidations>
  <pageMargins left="0.75000000000000011" right="0.75000000000000011" top="1" bottom="1" header="0.5" footer="0.5"/>
  <pageSetup paperSize="9" scale="63" orientation="portrait" horizontalDpi="4294967292" verticalDpi="4294967292"/>
  <headerFooter>
    <oddFooter>&amp;L&amp;K000000Badan Siber dan Sandi Negara&amp;R&amp;"Arial,Regular"&amp;K000000Indeks KAMI, Versi  4.0, Februari 2019</oddFooter>
  </headerFooter>
  <ignoredErrors>
    <ignoredError sqref="A25" numberStoredAsText="1"/>
    <ignoredError sqref="E35" emptyCellReferenc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A102"/>
  <sheetViews>
    <sheetView zoomScale="75" zoomScaleNormal="115" zoomScalePageLayoutView="115" workbookViewId="0">
      <pane xSplit="5" ySplit="3" topLeftCell="F4" activePane="bottomRight" state="frozenSplit"/>
      <selection pane="topRight" activeCell="F1" sqref="F1"/>
      <selection pane="bottomLeft" activeCell="A4" sqref="A4"/>
      <selection pane="bottomRight" activeCell="E51" sqref="E51"/>
    </sheetView>
  </sheetViews>
  <sheetFormatPr defaultColWidth="7.81640625" defaultRowHeight="12.6" x14ac:dyDescent="0.2"/>
  <cols>
    <col min="1" max="1" width="4.453125" style="98" bestFit="1" customWidth="1"/>
    <col min="2" max="3" width="2.453125" style="98" customWidth="1"/>
    <col min="4" max="4" width="80.6328125" style="2" customWidth="1"/>
    <col min="5" max="5" width="30.6328125" style="2" customWidth="1"/>
    <col min="6" max="6" width="4.6328125" style="2" customWidth="1"/>
    <col min="7" max="7" width="22" style="2" customWidth="1"/>
    <col min="8" max="8" width="20.36328125" style="2" customWidth="1"/>
    <col min="9" max="16384" width="7.81640625" style="2"/>
  </cols>
  <sheetData>
    <row r="1" spans="1:131" ht="30" customHeight="1" x14ac:dyDescent="0.2">
      <c r="A1" s="235" t="s">
        <v>60</v>
      </c>
      <c r="B1" s="236"/>
      <c r="C1" s="237"/>
      <c r="D1" s="237"/>
      <c r="E1" s="238"/>
      <c r="F1" s="1"/>
      <c r="G1" s="1"/>
      <c r="H1" s="1"/>
      <c r="I1" s="1"/>
      <c r="J1" s="1"/>
      <c r="K1" s="1"/>
      <c r="L1" s="1"/>
      <c r="M1" s="1"/>
      <c r="N1" s="1"/>
      <c r="O1" s="1"/>
      <c r="P1" s="1"/>
      <c r="Q1" s="1"/>
      <c r="R1" s="1"/>
      <c r="S1" s="1"/>
      <c r="T1" s="1"/>
      <c r="U1" s="1"/>
      <c r="V1" s="1"/>
    </row>
    <row r="2" spans="1:131" s="1" customFormat="1" ht="30" customHeight="1" x14ac:dyDescent="0.2">
      <c r="A2" s="245" t="s">
        <v>5</v>
      </c>
      <c r="B2" s="246"/>
      <c r="C2" s="246"/>
      <c r="D2" s="246"/>
      <c r="E2" s="248"/>
    </row>
    <row r="3" spans="1:131" customFormat="1" ht="30" customHeight="1" x14ac:dyDescent="0.25">
      <c r="A3" s="226" t="s">
        <v>34</v>
      </c>
      <c r="B3" s="232"/>
      <c r="C3" s="233"/>
      <c r="D3" s="234"/>
      <c r="E3" s="84" t="s">
        <v>87</v>
      </c>
      <c r="F3" s="85" t="s">
        <v>95</v>
      </c>
      <c r="G3" s="172" t="s">
        <v>618</v>
      </c>
      <c r="H3" s="172" t="s">
        <v>619</v>
      </c>
    </row>
    <row r="4" spans="1:131" ht="15" customHeight="1" x14ac:dyDescent="0.2">
      <c r="A4" s="120" t="s">
        <v>93</v>
      </c>
      <c r="B4" s="121"/>
      <c r="C4" s="242" t="s">
        <v>49</v>
      </c>
      <c r="D4" s="243"/>
      <c r="E4" s="244"/>
      <c r="F4" s="1"/>
      <c r="G4" s="122"/>
      <c r="H4" s="122"/>
      <c r="I4" s="1"/>
      <c r="J4" s="1"/>
      <c r="K4" s="1"/>
      <c r="L4" s="1"/>
      <c r="M4" s="1"/>
      <c r="N4" s="1"/>
      <c r="O4" s="1"/>
      <c r="P4" s="1"/>
      <c r="Q4" s="1"/>
      <c r="R4" s="1"/>
      <c r="S4" s="1"/>
      <c r="T4" s="1"/>
      <c r="U4" s="1"/>
      <c r="V4" s="1"/>
    </row>
    <row r="5" spans="1:131" ht="27.6" x14ac:dyDescent="0.2">
      <c r="A5" s="123" t="s">
        <v>597</v>
      </c>
      <c r="B5" s="124" t="s">
        <v>132</v>
      </c>
      <c r="C5" s="125">
        <v>1</v>
      </c>
      <c r="D5" s="159" t="s">
        <v>333</v>
      </c>
      <c r="E5" s="7" t="s">
        <v>624</v>
      </c>
      <c r="F5" s="88">
        <f t="shared" ref="F5:F29" si="0">INDEX(SkorAkhir, MATCH(E5,StatusPenerapanHasil,0), MATCH(C5,TingkatKematangan,0))</f>
        <v>3</v>
      </c>
      <c r="G5" s="205"/>
      <c r="H5" s="205"/>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row>
    <row r="6" spans="1:131" ht="27.6" x14ac:dyDescent="0.2">
      <c r="A6" s="127" t="s">
        <v>598</v>
      </c>
      <c r="B6" s="124" t="s">
        <v>132</v>
      </c>
      <c r="C6" s="125">
        <v>1</v>
      </c>
      <c r="D6" s="159" t="s">
        <v>219</v>
      </c>
      <c r="E6" s="7" t="s">
        <v>624</v>
      </c>
      <c r="F6" s="88">
        <f t="shared" ref="F6" si="1">INDEX(SkorAkhir, MATCH(E6,StatusPenerapanHasil,0), MATCH(C6,TingkatKematangan,0))</f>
        <v>3</v>
      </c>
      <c r="G6" s="205"/>
      <c r="H6" s="205"/>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row>
    <row r="7" spans="1:131" ht="27.6" x14ac:dyDescent="0.2">
      <c r="A7" s="123" t="s">
        <v>599</v>
      </c>
      <c r="B7" s="124" t="s">
        <v>132</v>
      </c>
      <c r="C7" s="125">
        <v>1</v>
      </c>
      <c r="D7" s="159" t="s">
        <v>435</v>
      </c>
      <c r="E7" s="7" t="s">
        <v>624</v>
      </c>
      <c r="F7" s="88">
        <f t="shared" si="0"/>
        <v>3</v>
      </c>
      <c r="G7" s="205"/>
      <c r="H7" s="205"/>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row>
    <row r="8" spans="1:131" ht="34.049999999999997" customHeight="1" x14ac:dyDescent="0.2">
      <c r="A8" s="127" t="s">
        <v>600</v>
      </c>
      <c r="B8" s="124" t="s">
        <v>132</v>
      </c>
      <c r="C8" s="125">
        <v>1</v>
      </c>
      <c r="D8" s="159" t="s">
        <v>500</v>
      </c>
      <c r="E8" s="7" t="s">
        <v>624</v>
      </c>
      <c r="F8" s="88">
        <f t="shared" si="0"/>
        <v>3</v>
      </c>
      <c r="G8" s="205"/>
      <c r="H8" s="205"/>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row>
    <row r="9" spans="1:131" ht="27.6" x14ac:dyDescent="0.2">
      <c r="A9" s="123" t="s">
        <v>601</v>
      </c>
      <c r="B9" s="124" t="s">
        <v>132</v>
      </c>
      <c r="C9" s="125">
        <v>1</v>
      </c>
      <c r="D9" s="159" t="s">
        <v>214</v>
      </c>
      <c r="E9" s="7" t="s">
        <v>624</v>
      </c>
      <c r="F9" s="88">
        <f t="shared" si="0"/>
        <v>3</v>
      </c>
      <c r="G9" s="205"/>
      <c r="H9" s="205"/>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row>
    <row r="10" spans="1:131" ht="25.95" customHeight="1" x14ac:dyDescent="0.2">
      <c r="A10" s="127" t="s">
        <v>602</v>
      </c>
      <c r="B10" s="124" t="s">
        <v>132</v>
      </c>
      <c r="C10" s="125">
        <v>1</v>
      </c>
      <c r="D10" s="126" t="s">
        <v>36</v>
      </c>
      <c r="E10" s="7" t="s">
        <v>624</v>
      </c>
      <c r="F10" s="88">
        <f t="shared" si="0"/>
        <v>3</v>
      </c>
      <c r="G10" s="205"/>
      <c r="H10" s="205"/>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row>
    <row r="11" spans="1:131" ht="27.6" x14ac:dyDescent="0.2">
      <c r="A11" s="123" t="s">
        <v>603</v>
      </c>
      <c r="B11" s="124" t="s">
        <v>132</v>
      </c>
      <c r="C11" s="125">
        <v>1</v>
      </c>
      <c r="D11" s="126" t="s">
        <v>55</v>
      </c>
      <c r="E11" s="7" t="s">
        <v>624</v>
      </c>
      <c r="F11" s="88">
        <f t="shared" si="0"/>
        <v>3</v>
      </c>
      <c r="G11" s="205"/>
      <c r="H11" s="205"/>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row>
    <row r="12" spans="1:131" ht="27.6" x14ac:dyDescent="0.2">
      <c r="A12" s="127"/>
      <c r="B12" s="173"/>
      <c r="C12" s="174"/>
      <c r="D12" s="126" t="s">
        <v>436</v>
      </c>
      <c r="E12" s="175"/>
      <c r="F12" s="118"/>
      <c r="G12" s="212"/>
      <c r="H12" s="212"/>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row>
    <row r="13" spans="1:131" ht="27.6" x14ac:dyDescent="0.2">
      <c r="A13" s="127" t="s">
        <v>604</v>
      </c>
      <c r="B13" s="124" t="s">
        <v>132</v>
      </c>
      <c r="C13" s="125">
        <v>1</v>
      </c>
      <c r="D13" s="176" t="s">
        <v>437</v>
      </c>
      <c r="E13" s="7" t="s">
        <v>624</v>
      </c>
      <c r="F13" s="88">
        <f t="shared" si="0"/>
        <v>3</v>
      </c>
      <c r="G13" s="205"/>
      <c r="H13" s="205"/>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row>
    <row r="14" spans="1:131" ht="13.8" x14ac:dyDescent="0.2">
      <c r="A14" s="127" t="s">
        <v>605</v>
      </c>
      <c r="B14" s="124" t="s">
        <v>132</v>
      </c>
      <c r="C14" s="125">
        <v>1</v>
      </c>
      <c r="D14" s="176" t="s">
        <v>68</v>
      </c>
      <c r="E14" s="7" t="s">
        <v>624</v>
      </c>
      <c r="F14" s="88">
        <f t="shared" si="0"/>
        <v>3</v>
      </c>
      <c r="G14" s="205"/>
      <c r="H14" s="205"/>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row>
    <row r="15" spans="1:131" ht="13.8" x14ac:dyDescent="0.2">
      <c r="A15" s="127" t="s">
        <v>211</v>
      </c>
      <c r="B15" s="124" t="s">
        <v>132</v>
      </c>
      <c r="C15" s="125">
        <v>1</v>
      </c>
      <c r="D15" s="176" t="s">
        <v>438</v>
      </c>
      <c r="E15" s="7" t="s">
        <v>624</v>
      </c>
      <c r="F15" s="88">
        <f t="shared" si="0"/>
        <v>3</v>
      </c>
      <c r="G15" s="205"/>
      <c r="H15" s="205"/>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row>
    <row r="16" spans="1:131" ht="13.8" x14ac:dyDescent="0.2">
      <c r="A16" s="127" t="s">
        <v>212</v>
      </c>
      <c r="B16" s="124" t="s">
        <v>132</v>
      </c>
      <c r="C16" s="125">
        <v>1</v>
      </c>
      <c r="D16" s="176" t="s">
        <v>439</v>
      </c>
      <c r="E16" s="7" t="s">
        <v>624</v>
      </c>
      <c r="F16" s="88">
        <f t="shared" ref="F16" si="2">INDEX(SkorAkhir, MATCH(E16,StatusPenerapanHasil,0), MATCH(C16,TingkatKematangan,0))</f>
        <v>3</v>
      </c>
      <c r="G16" s="205"/>
      <c r="H16" s="205"/>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row>
    <row r="17" spans="1:131" ht="13.8" x14ac:dyDescent="0.2">
      <c r="A17" s="127" t="s">
        <v>213</v>
      </c>
      <c r="B17" s="124" t="s">
        <v>132</v>
      </c>
      <c r="C17" s="125">
        <v>1</v>
      </c>
      <c r="D17" s="176" t="s">
        <v>220</v>
      </c>
      <c r="E17" s="7" t="s">
        <v>624</v>
      </c>
      <c r="F17" s="88">
        <f t="shared" si="0"/>
        <v>3</v>
      </c>
      <c r="G17" s="205"/>
      <c r="H17" s="205"/>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row>
    <row r="18" spans="1:131" ht="28.2" x14ac:dyDescent="0.2">
      <c r="A18" s="127" t="s">
        <v>241</v>
      </c>
      <c r="B18" s="124" t="s">
        <v>132</v>
      </c>
      <c r="C18" s="125">
        <v>1</v>
      </c>
      <c r="D18" s="176" t="s">
        <v>314</v>
      </c>
      <c r="E18" s="7" t="s">
        <v>624</v>
      </c>
      <c r="F18" s="88">
        <f t="shared" si="0"/>
        <v>3</v>
      </c>
      <c r="G18" s="205"/>
      <c r="H18" s="205"/>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row>
    <row r="19" spans="1:131" ht="27.6" x14ac:dyDescent="0.2">
      <c r="A19" s="127" t="s">
        <v>242</v>
      </c>
      <c r="B19" s="124" t="s">
        <v>132</v>
      </c>
      <c r="C19" s="125">
        <v>1</v>
      </c>
      <c r="D19" s="176" t="s">
        <v>69</v>
      </c>
      <c r="E19" s="7" t="s">
        <v>624</v>
      </c>
      <c r="F19" s="88">
        <f t="shared" si="0"/>
        <v>3</v>
      </c>
      <c r="G19" s="205"/>
      <c r="H19" s="205"/>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row>
    <row r="20" spans="1:131" ht="13.8" x14ac:dyDescent="0.2">
      <c r="A20" s="127" t="s">
        <v>243</v>
      </c>
      <c r="B20" s="124" t="s">
        <v>132</v>
      </c>
      <c r="C20" s="125">
        <v>1</v>
      </c>
      <c r="D20" s="176" t="s">
        <v>63</v>
      </c>
      <c r="E20" s="7" t="s">
        <v>624</v>
      </c>
      <c r="F20" s="88">
        <f t="shared" si="0"/>
        <v>3</v>
      </c>
      <c r="G20" s="205"/>
      <c r="H20" s="205"/>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row>
    <row r="21" spans="1:131" ht="13.8" x14ac:dyDescent="0.2">
      <c r="A21" s="127" t="s">
        <v>244</v>
      </c>
      <c r="B21" s="124" t="s">
        <v>132</v>
      </c>
      <c r="C21" s="125">
        <v>1</v>
      </c>
      <c r="D21" s="176" t="s">
        <v>37</v>
      </c>
      <c r="E21" s="7" t="s">
        <v>624</v>
      </c>
      <c r="F21" s="88">
        <f t="shared" si="0"/>
        <v>3</v>
      </c>
      <c r="G21" s="205"/>
      <c r="H21" s="205"/>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row>
    <row r="22" spans="1:131" ht="13.8" x14ac:dyDescent="0.2">
      <c r="A22" s="127" t="s">
        <v>245</v>
      </c>
      <c r="B22" s="124" t="s">
        <v>132</v>
      </c>
      <c r="C22" s="125">
        <v>1</v>
      </c>
      <c r="D22" s="176" t="s">
        <v>56</v>
      </c>
      <c r="E22" s="7" t="s">
        <v>624</v>
      </c>
      <c r="F22" s="88">
        <f t="shared" si="0"/>
        <v>3</v>
      </c>
      <c r="G22" s="205"/>
      <c r="H22" s="205"/>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row>
    <row r="23" spans="1:131" ht="14.4" x14ac:dyDescent="0.2">
      <c r="A23" s="127" t="s">
        <v>246</v>
      </c>
      <c r="B23" s="124" t="s">
        <v>132</v>
      </c>
      <c r="C23" s="125">
        <v>1</v>
      </c>
      <c r="D23" s="177" t="s">
        <v>501</v>
      </c>
      <c r="E23" s="7" t="s">
        <v>624</v>
      </c>
      <c r="F23" s="88">
        <f t="shared" si="0"/>
        <v>3</v>
      </c>
      <c r="G23" s="205"/>
      <c r="H23" s="205"/>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row>
    <row r="24" spans="1:131" ht="27.6" x14ac:dyDescent="0.2">
      <c r="A24" s="127" t="s">
        <v>247</v>
      </c>
      <c r="B24" s="124" t="s">
        <v>132</v>
      </c>
      <c r="C24" s="130">
        <v>2</v>
      </c>
      <c r="D24" s="176" t="s">
        <v>70</v>
      </c>
      <c r="E24" s="7" t="s">
        <v>624</v>
      </c>
      <c r="F24" s="88">
        <f t="shared" si="0"/>
        <v>6</v>
      </c>
      <c r="G24" s="205"/>
      <c r="H24" s="205"/>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row>
    <row r="25" spans="1:131" ht="13.8" x14ac:dyDescent="0.2">
      <c r="A25" s="127" t="s">
        <v>216</v>
      </c>
      <c r="B25" s="178" t="s">
        <v>133</v>
      </c>
      <c r="C25" s="130">
        <v>2</v>
      </c>
      <c r="D25" s="176" t="s">
        <v>71</v>
      </c>
      <c r="E25" s="7" t="s">
        <v>624</v>
      </c>
      <c r="F25" s="88">
        <f t="shared" si="0"/>
        <v>6</v>
      </c>
      <c r="G25" s="205"/>
      <c r="H25" s="205"/>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row>
    <row r="26" spans="1:131" ht="13.8" x14ac:dyDescent="0.2">
      <c r="A26" s="127" t="s">
        <v>248</v>
      </c>
      <c r="B26" s="178" t="s">
        <v>133</v>
      </c>
      <c r="C26" s="130">
        <v>2</v>
      </c>
      <c r="D26" s="176" t="s">
        <v>38</v>
      </c>
      <c r="E26" s="7" t="s">
        <v>624</v>
      </c>
      <c r="F26" s="88">
        <f t="shared" si="0"/>
        <v>6</v>
      </c>
      <c r="G26" s="205"/>
      <c r="H26" s="205"/>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row>
    <row r="27" spans="1:131" ht="13.8" x14ac:dyDescent="0.2">
      <c r="A27" s="127" t="s">
        <v>249</v>
      </c>
      <c r="B27" s="178" t="s">
        <v>133</v>
      </c>
      <c r="C27" s="130">
        <v>2</v>
      </c>
      <c r="D27" s="176" t="s">
        <v>72</v>
      </c>
      <c r="E27" s="7" t="s">
        <v>624</v>
      </c>
      <c r="F27" s="88">
        <f t="shared" si="0"/>
        <v>6</v>
      </c>
      <c r="G27" s="205"/>
      <c r="H27" s="205"/>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row>
    <row r="28" spans="1:131" ht="28.8" x14ac:dyDescent="0.2">
      <c r="A28" s="127" t="s">
        <v>250</v>
      </c>
      <c r="B28" s="178" t="s">
        <v>133</v>
      </c>
      <c r="C28" s="130">
        <v>2</v>
      </c>
      <c r="D28" s="177" t="s">
        <v>502</v>
      </c>
      <c r="E28" s="7" t="s">
        <v>624</v>
      </c>
      <c r="F28" s="88">
        <f t="shared" si="0"/>
        <v>6</v>
      </c>
      <c r="G28" s="205"/>
      <c r="H28" s="205"/>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row>
    <row r="29" spans="1:131" ht="14.4" x14ac:dyDescent="0.2">
      <c r="A29" s="127" t="s">
        <v>251</v>
      </c>
      <c r="B29" s="178" t="s">
        <v>133</v>
      </c>
      <c r="C29" s="130">
        <v>2</v>
      </c>
      <c r="D29" s="176" t="s">
        <v>315</v>
      </c>
      <c r="E29" s="7" t="s">
        <v>624</v>
      </c>
      <c r="F29" s="88">
        <f t="shared" si="0"/>
        <v>6</v>
      </c>
      <c r="G29" s="205"/>
      <c r="H29" s="205"/>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row>
    <row r="30" spans="1:131" ht="28.8" x14ac:dyDescent="0.2">
      <c r="A30" s="127" t="s">
        <v>252</v>
      </c>
      <c r="B30" s="178" t="s">
        <v>133</v>
      </c>
      <c r="C30" s="134">
        <v>3</v>
      </c>
      <c r="D30" s="128" t="s">
        <v>316</v>
      </c>
      <c r="E30" s="7" t="s">
        <v>624</v>
      </c>
      <c r="F30" s="88">
        <f>IF($E$52="Valid",INDEX(SkorAkhir, MATCH(E30,StatusPenerapanHasil,0), MATCH(C30,TingkatKematangan,0)),0)</f>
        <v>9</v>
      </c>
      <c r="G30" s="205"/>
      <c r="H30" s="205"/>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row>
    <row r="31" spans="1:131" ht="27.6" x14ac:dyDescent="0.2">
      <c r="A31" s="127" t="s">
        <v>253</v>
      </c>
      <c r="B31" s="178" t="s">
        <v>133</v>
      </c>
      <c r="C31" s="134">
        <v>3</v>
      </c>
      <c r="D31" s="179" t="s">
        <v>58</v>
      </c>
      <c r="E31" s="7" t="s">
        <v>624</v>
      </c>
      <c r="F31" s="88">
        <f t="shared" ref="F31:F32" si="3">IF($E$52="Valid",INDEX(SkorAkhir, MATCH(E31,StatusPenerapanHasil,0), MATCH(C31,TingkatKematangan,0)),0)</f>
        <v>9</v>
      </c>
      <c r="G31" s="205"/>
      <c r="H31" s="205"/>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row>
    <row r="32" spans="1:131" ht="42" x14ac:dyDescent="0.2">
      <c r="A32" s="127" t="s">
        <v>254</v>
      </c>
      <c r="B32" s="178" t="s">
        <v>133</v>
      </c>
      <c r="C32" s="134">
        <v>3</v>
      </c>
      <c r="D32" s="179" t="s">
        <v>503</v>
      </c>
      <c r="E32" s="7" t="s">
        <v>624</v>
      </c>
      <c r="F32" s="88">
        <f t="shared" si="3"/>
        <v>9</v>
      </c>
      <c r="G32" s="205"/>
      <c r="H32" s="205"/>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row>
    <row r="33" spans="1:131" ht="15" customHeight="1" x14ac:dyDescent="0.2">
      <c r="A33" s="120" t="s">
        <v>93</v>
      </c>
      <c r="B33" s="164"/>
      <c r="C33" s="242" t="s">
        <v>73</v>
      </c>
      <c r="D33" s="243"/>
      <c r="E33" s="244"/>
      <c r="F33" s="118"/>
      <c r="G33" s="212"/>
      <c r="H33" s="212"/>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row>
    <row r="34" spans="1:131" ht="41.4" x14ac:dyDescent="0.2">
      <c r="A34" s="127" t="s">
        <v>255</v>
      </c>
      <c r="B34" s="124" t="s">
        <v>132</v>
      </c>
      <c r="C34" s="125">
        <v>1</v>
      </c>
      <c r="D34" s="131" t="s">
        <v>221</v>
      </c>
      <c r="E34" s="7" t="s">
        <v>624</v>
      </c>
      <c r="F34" s="88">
        <f t="shared" ref="F34:F43" si="4">INDEX(SkorAkhir, MATCH(E34,StatusPenerapanHasil,0), MATCH(C34,TingkatKematangan,0))</f>
        <v>3</v>
      </c>
      <c r="G34" s="205"/>
      <c r="H34" s="205"/>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row>
    <row r="35" spans="1:131" ht="13.8" x14ac:dyDescent="0.2">
      <c r="A35" s="127" t="s">
        <v>256</v>
      </c>
      <c r="B35" s="124" t="s">
        <v>132</v>
      </c>
      <c r="C35" s="125">
        <v>1</v>
      </c>
      <c r="D35" s="131" t="s">
        <v>64</v>
      </c>
      <c r="E35" s="7" t="s">
        <v>624</v>
      </c>
      <c r="F35" s="88">
        <f t="shared" si="4"/>
        <v>3</v>
      </c>
      <c r="G35" s="205"/>
      <c r="H35" s="205"/>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row>
    <row r="36" spans="1:131" ht="27.6" x14ac:dyDescent="0.2">
      <c r="A36" s="127" t="s">
        <v>257</v>
      </c>
      <c r="B36" s="124" t="s">
        <v>132</v>
      </c>
      <c r="C36" s="125">
        <v>1</v>
      </c>
      <c r="D36" s="131" t="s">
        <v>20</v>
      </c>
      <c r="E36" s="7" t="s">
        <v>624</v>
      </c>
      <c r="F36" s="88">
        <f t="shared" si="4"/>
        <v>3</v>
      </c>
      <c r="G36" s="206"/>
      <c r="H36" s="205"/>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row>
    <row r="37" spans="1:131" ht="27.6" x14ac:dyDescent="0.2">
      <c r="A37" s="127" t="s">
        <v>258</v>
      </c>
      <c r="B37" s="124" t="s">
        <v>132</v>
      </c>
      <c r="C37" s="125">
        <v>1</v>
      </c>
      <c r="D37" s="131" t="s">
        <v>47</v>
      </c>
      <c r="E37" s="7" t="s">
        <v>624</v>
      </c>
      <c r="F37" s="88">
        <f t="shared" si="4"/>
        <v>3</v>
      </c>
      <c r="G37" s="205"/>
      <c r="H37" s="205"/>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row>
    <row r="38" spans="1:131" ht="27.6" x14ac:dyDescent="0.2">
      <c r="A38" s="127" t="s">
        <v>259</v>
      </c>
      <c r="B38" s="124" t="s">
        <v>132</v>
      </c>
      <c r="C38" s="125">
        <v>1</v>
      </c>
      <c r="D38" s="162" t="s">
        <v>440</v>
      </c>
      <c r="E38" s="7" t="s">
        <v>624</v>
      </c>
      <c r="F38" s="88">
        <f t="shared" si="4"/>
        <v>3</v>
      </c>
      <c r="G38" s="206"/>
      <c r="H38" s="205"/>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row>
    <row r="39" spans="1:131" ht="27.6" x14ac:dyDescent="0.2">
      <c r="A39" s="127" t="s">
        <v>260</v>
      </c>
      <c r="B39" s="124" t="s">
        <v>132</v>
      </c>
      <c r="C39" s="125">
        <v>1</v>
      </c>
      <c r="D39" s="180" t="s">
        <v>504</v>
      </c>
      <c r="E39" s="7" t="s">
        <v>624</v>
      </c>
      <c r="F39" s="88">
        <f t="shared" si="4"/>
        <v>3</v>
      </c>
      <c r="G39" s="205"/>
      <c r="H39" s="205"/>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row>
    <row r="40" spans="1:131" ht="41.4" x14ac:dyDescent="0.2">
      <c r="A40" s="127" t="s">
        <v>261</v>
      </c>
      <c r="B40" s="124" t="s">
        <v>132</v>
      </c>
      <c r="C40" s="130">
        <v>2</v>
      </c>
      <c r="D40" s="131" t="s">
        <v>222</v>
      </c>
      <c r="E40" s="7" t="s">
        <v>624</v>
      </c>
      <c r="F40" s="88">
        <f t="shared" si="4"/>
        <v>6</v>
      </c>
      <c r="G40" s="205"/>
      <c r="H40" s="20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row>
    <row r="41" spans="1:131" ht="27.6" x14ac:dyDescent="0.2">
      <c r="A41" s="127" t="s">
        <v>262</v>
      </c>
      <c r="B41" s="124" t="s">
        <v>132</v>
      </c>
      <c r="C41" s="130">
        <v>2</v>
      </c>
      <c r="D41" s="131" t="s">
        <v>21</v>
      </c>
      <c r="E41" s="7" t="s">
        <v>624</v>
      </c>
      <c r="F41" s="88">
        <f t="shared" si="4"/>
        <v>6</v>
      </c>
      <c r="G41" s="205"/>
      <c r="H41" s="205"/>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row>
    <row r="42" spans="1:131" ht="27.6" x14ac:dyDescent="0.2">
      <c r="A42" s="127" t="s">
        <v>263</v>
      </c>
      <c r="B42" s="124" t="s">
        <v>132</v>
      </c>
      <c r="C42" s="130">
        <v>2</v>
      </c>
      <c r="D42" s="131" t="s">
        <v>33</v>
      </c>
      <c r="E42" s="7" t="s">
        <v>624</v>
      </c>
      <c r="F42" s="88">
        <f t="shared" si="4"/>
        <v>6</v>
      </c>
      <c r="G42" s="205"/>
      <c r="H42" s="20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row>
    <row r="43" spans="1:131" ht="55.2" x14ac:dyDescent="0.2">
      <c r="A43" s="127" t="s">
        <v>264</v>
      </c>
      <c r="B43" s="124" t="s">
        <v>132</v>
      </c>
      <c r="C43" s="130">
        <v>2</v>
      </c>
      <c r="D43" s="131" t="s">
        <v>57</v>
      </c>
      <c r="E43" s="7" t="s">
        <v>624</v>
      </c>
      <c r="F43" s="88">
        <f t="shared" si="4"/>
        <v>6</v>
      </c>
      <c r="G43" s="205"/>
      <c r="H43" s="20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row>
    <row r="44" spans="1:131" ht="27.6" x14ac:dyDescent="0.2">
      <c r="A44" s="127" t="s">
        <v>265</v>
      </c>
      <c r="B44" s="178" t="s">
        <v>133</v>
      </c>
      <c r="C44" s="134">
        <v>3</v>
      </c>
      <c r="D44" s="131" t="s">
        <v>441</v>
      </c>
      <c r="E44" s="7" t="s">
        <v>624</v>
      </c>
      <c r="F44" s="88">
        <f>IF(E52="Valid",INDEX(SkorAkhir, MATCH(E44,StatusPenerapanHasil,0), MATCH(C44,TingkatKematangan,0)),0)</f>
        <v>9</v>
      </c>
      <c r="G44" s="205"/>
      <c r="H44" s="205"/>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row>
    <row r="45" spans="1:131" ht="18.600000000000001" x14ac:dyDescent="0.2">
      <c r="A45" s="135"/>
      <c r="B45" s="135"/>
      <c r="C45" s="135"/>
      <c r="D45" s="136" t="s">
        <v>50</v>
      </c>
      <c r="E45" s="150">
        <f>SUM(F5:F44)</f>
        <v>168</v>
      </c>
      <c r="F45" s="1"/>
      <c r="G45" s="1"/>
      <c r="H45" s="1"/>
      <c r="I45" s="1"/>
      <c r="J45" s="1"/>
      <c r="K45" s="1"/>
      <c r="L45" s="1"/>
      <c r="M45" s="1"/>
      <c r="N45" s="1"/>
      <c r="O45" s="1"/>
      <c r="P45" s="1"/>
      <c r="Q45" s="1"/>
      <c r="R45" s="1"/>
      <c r="S45" s="1"/>
      <c r="T45" s="1"/>
      <c r="U45" s="1"/>
      <c r="V45" s="1"/>
    </row>
    <row r="46" spans="1:131" x14ac:dyDescent="0.2">
      <c r="A46" s="97"/>
      <c r="B46" s="97"/>
      <c r="C46" s="97"/>
      <c r="D46" s="1"/>
      <c r="E46" s="1"/>
      <c r="F46" s="1"/>
      <c r="G46" s="1"/>
      <c r="H46" s="1"/>
      <c r="I46" s="1"/>
      <c r="J46" s="1"/>
      <c r="K46" s="1"/>
      <c r="L46" s="1"/>
      <c r="M46" s="1"/>
      <c r="N46" s="1"/>
      <c r="O46" s="1"/>
      <c r="P46" s="1"/>
      <c r="Q46" s="1"/>
      <c r="R46" s="1"/>
      <c r="S46" s="1"/>
      <c r="T46" s="1"/>
      <c r="U46" s="1"/>
      <c r="V46" s="1"/>
    </row>
    <row r="47" spans="1:131" x14ac:dyDescent="0.2">
      <c r="A47" s="97"/>
      <c r="B47" s="97"/>
      <c r="C47" s="97"/>
      <c r="D47" s="140" t="s">
        <v>191</v>
      </c>
      <c r="E47" s="141">
        <f>COUNTIF(C5:C44,1)</f>
        <v>24</v>
      </c>
      <c r="F47" s="1"/>
      <c r="G47" s="1"/>
      <c r="H47" s="1"/>
      <c r="I47" s="1"/>
      <c r="J47" s="1"/>
      <c r="K47" s="1"/>
      <c r="L47" s="1"/>
      <c r="M47" s="1"/>
      <c r="N47" s="1"/>
      <c r="O47" s="1"/>
      <c r="P47" s="1"/>
      <c r="Q47" s="1"/>
      <c r="R47" s="1"/>
      <c r="S47" s="1"/>
      <c r="T47" s="1"/>
      <c r="U47" s="1"/>
      <c r="V47" s="1"/>
    </row>
    <row r="48" spans="1:131" x14ac:dyDescent="0.2">
      <c r="A48" s="97"/>
      <c r="B48" s="97"/>
      <c r="C48" s="97"/>
      <c r="D48" s="140" t="s">
        <v>192</v>
      </c>
      <c r="E48" s="141">
        <f>COUNTIF(C5:C44,2)</f>
        <v>10</v>
      </c>
      <c r="F48" s="1"/>
      <c r="G48" s="1"/>
      <c r="H48" s="1"/>
      <c r="I48" s="1"/>
      <c r="J48" s="1"/>
      <c r="K48" s="1"/>
      <c r="L48" s="1"/>
      <c r="M48" s="1"/>
      <c r="N48" s="1"/>
      <c r="O48" s="1"/>
      <c r="P48" s="1"/>
      <c r="Q48" s="1"/>
      <c r="R48" s="1"/>
      <c r="S48" s="1"/>
      <c r="T48" s="1"/>
      <c r="U48" s="1"/>
      <c r="V48" s="1"/>
    </row>
    <row r="49" spans="1:22" x14ac:dyDescent="0.2">
      <c r="A49" s="97"/>
      <c r="B49" s="97"/>
      <c r="C49" s="97"/>
      <c r="D49" s="140" t="s">
        <v>193</v>
      </c>
      <c r="E49" s="141">
        <f>COUNTIF(C5:C44,3)</f>
        <v>4</v>
      </c>
      <c r="F49" s="1"/>
      <c r="G49" s="1"/>
      <c r="H49" s="1"/>
      <c r="I49" s="1"/>
      <c r="J49" s="1"/>
      <c r="K49" s="1"/>
      <c r="L49" s="1"/>
      <c r="M49" s="1"/>
      <c r="N49" s="1"/>
      <c r="O49" s="1"/>
      <c r="P49" s="1"/>
      <c r="Q49" s="1"/>
      <c r="R49" s="1"/>
      <c r="S49" s="1"/>
      <c r="T49" s="1"/>
      <c r="U49" s="1"/>
      <c r="V49" s="1"/>
    </row>
    <row r="50" spans="1:22" x14ac:dyDescent="0.2">
      <c r="A50" s="97"/>
      <c r="B50" s="97"/>
      <c r="C50" s="97"/>
      <c r="D50" s="140" t="s">
        <v>194</v>
      </c>
      <c r="E50" s="141">
        <f>(2*E47)+(4*E48)</f>
        <v>88</v>
      </c>
      <c r="F50" s="1"/>
      <c r="G50" s="1"/>
      <c r="H50" s="1"/>
      <c r="I50" s="1"/>
      <c r="J50" s="1"/>
      <c r="K50" s="1"/>
      <c r="L50" s="1"/>
      <c r="M50" s="1"/>
      <c r="N50" s="1"/>
      <c r="O50" s="1"/>
      <c r="P50" s="1"/>
      <c r="Q50" s="1"/>
      <c r="R50" s="1"/>
      <c r="S50" s="1"/>
      <c r="T50" s="1"/>
      <c r="U50" s="1"/>
      <c r="V50" s="1"/>
    </row>
    <row r="51" spans="1:22" x14ac:dyDescent="0.2">
      <c r="A51" s="97"/>
      <c r="B51" s="97"/>
      <c r="C51" s="97"/>
      <c r="D51" s="140" t="s">
        <v>195</v>
      </c>
      <c r="E51" s="141">
        <f>SUM(F34:F43)+SUM(F5:F29)</f>
        <v>132</v>
      </c>
      <c r="F51" s="1"/>
      <c r="G51" s="1"/>
      <c r="H51" s="1"/>
      <c r="I51" s="1"/>
      <c r="J51" s="1"/>
      <c r="K51" s="1"/>
      <c r="L51" s="1"/>
      <c r="M51" s="1"/>
      <c r="N51" s="1"/>
      <c r="O51" s="1"/>
      <c r="P51" s="1"/>
      <c r="Q51" s="1"/>
      <c r="R51" s="1"/>
      <c r="S51" s="1"/>
      <c r="T51" s="1"/>
      <c r="U51" s="1"/>
      <c r="V51" s="1"/>
    </row>
    <row r="52" spans="1:22" x14ac:dyDescent="0.2">
      <c r="A52" s="97"/>
      <c r="B52" s="97"/>
      <c r="C52" s="97"/>
      <c r="D52" s="140" t="s">
        <v>196</v>
      </c>
      <c r="E52" s="141" t="str">
        <f>IF(E51&gt;=E50,"Valid","Tidak Valid")</f>
        <v>Valid</v>
      </c>
      <c r="F52" s="1"/>
      <c r="G52" s="1"/>
      <c r="H52" s="1"/>
      <c r="I52" s="1"/>
      <c r="J52" s="1"/>
      <c r="K52" s="1"/>
      <c r="L52" s="1"/>
      <c r="M52" s="1"/>
      <c r="N52" s="1"/>
      <c r="O52" s="1"/>
      <c r="P52" s="1"/>
      <c r="Q52" s="1"/>
      <c r="R52" s="1"/>
      <c r="S52" s="1"/>
      <c r="T52" s="1"/>
      <c r="U52" s="1"/>
      <c r="V52" s="1"/>
    </row>
    <row r="53" spans="1:22" x14ac:dyDescent="0.2">
      <c r="A53" s="97"/>
      <c r="B53" s="97"/>
      <c r="C53" s="97"/>
      <c r="D53" s="1"/>
      <c r="E53" s="1"/>
      <c r="F53" s="1"/>
      <c r="G53" s="1"/>
      <c r="H53" s="1"/>
      <c r="I53" s="1"/>
      <c r="J53" s="1"/>
      <c r="K53" s="1"/>
      <c r="L53" s="1"/>
      <c r="M53" s="1"/>
      <c r="N53" s="1"/>
      <c r="O53" s="1"/>
      <c r="P53" s="1"/>
      <c r="Q53" s="1"/>
      <c r="R53" s="1"/>
      <c r="S53" s="1"/>
      <c r="T53" s="1"/>
      <c r="U53" s="1"/>
      <c r="V53" s="1"/>
    </row>
    <row r="54" spans="1:22" x14ac:dyDescent="0.2">
      <c r="A54" s="97"/>
      <c r="B54" s="97"/>
      <c r="C54" s="97"/>
      <c r="D54" s="140" t="s">
        <v>138</v>
      </c>
      <c r="E54" s="181">
        <f>SUM(F5:F11)+SUM(F13:F24)+SUM(F34:F43)</f>
        <v>102</v>
      </c>
      <c r="F54" s="142" t="s">
        <v>325</v>
      </c>
      <c r="G54" s="1"/>
      <c r="H54" s="142">
        <f>20*3+6*6</f>
        <v>96</v>
      </c>
      <c r="I54" s="1"/>
      <c r="J54" s="1"/>
      <c r="K54" s="1"/>
      <c r="L54" s="1"/>
      <c r="M54" s="1"/>
      <c r="N54" s="1"/>
      <c r="O54" s="1"/>
      <c r="P54" s="1"/>
      <c r="Q54" s="1"/>
      <c r="R54" s="1"/>
      <c r="S54" s="1"/>
      <c r="T54" s="1"/>
      <c r="U54" s="1"/>
      <c r="V54" s="1"/>
    </row>
    <row r="55" spans="1:22" x14ac:dyDescent="0.2">
      <c r="A55" s="97"/>
      <c r="B55" s="97"/>
      <c r="C55" s="97"/>
      <c r="D55" s="143" t="s">
        <v>153</v>
      </c>
      <c r="E55" s="181">
        <f>(4*2)+(17*1)</f>
        <v>25</v>
      </c>
      <c r="F55" s="142" t="s">
        <v>170</v>
      </c>
      <c r="G55" s="1"/>
      <c r="H55" s="1"/>
      <c r="I55" s="1"/>
      <c r="J55" s="1"/>
      <c r="K55" s="1"/>
      <c r="L55" s="1"/>
      <c r="M55" s="1"/>
      <c r="N55" s="1"/>
      <c r="O55" s="1"/>
      <c r="P55" s="1"/>
      <c r="Q55" s="1"/>
      <c r="R55" s="1"/>
      <c r="S55" s="1"/>
      <c r="T55" s="1"/>
      <c r="U55" s="1"/>
      <c r="V55" s="1"/>
    </row>
    <row r="56" spans="1:22" x14ac:dyDescent="0.2">
      <c r="A56" s="97"/>
      <c r="B56" s="97"/>
      <c r="C56" s="97"/>
      <c r="D56" s="143" t="s">
        <v>154</v>
      </c>
      <c r="E56" s="181">
        <f>(21*2)+(5*4)</f>
        <v>62</v>
      </c>
      <c r="F56" s="142" t="s">
        <v>171</v>
      </c>
      <c r="G56" s="1"/>
      <c r="H56" s="1"/>
      <c r="I56" s="1"/>
      <c r="J56" s="1"/>
      <c r="K56" s="1"/>
      <c r="L56" s="1"/>
      <c r="M56" s="1"/>
      <c r="N56" s="1"/>
      <c r="O56" s="1"/>
      <c r="P56" s="1"/>
      <c r="Q56" s="1"/>
      <c r="R56" s="1"/>
      <c r="S56" s="1"/>
      <c r="T56" s="1"/>
      <c r="U56" s="1"/>
      <c r="V56" s="1"/>
    </row>
    <row r="57" spans="1:22" x14ac:dyDescent="0.2">
      <c r="A57" s="97"/>
      <c r="B57" s="97"/>
      <c r="C57" s="97"/>
      <c r="D57" s="140" t="s">
        <v>155</v>
      </c>
      <c r="E57" s="141" t="str">
        <f>IF(E54&gt;=E56,"II",IF(E54&gt;=E55,"I+","No"))</f>
        <v>II</v>
      </c>
      <c r="F57" s="142">
        <f>0.8*((23*3)+(6*6))</f>
        <v>84</v>
      </c>
      <c r="G57" s="142" t="s">
        <v>190</v>
      </c>
      <c r="H57" s="1"/>
      <c r="I57" s="1"/>
      <c r="J57" s="1"/>
      <c r="K57" s="1"/>
      <c r="L57" s="1"/>
      <c r="M57" s="1"/>
      <c r="N57" s="1"/>
      <c r="O57" s="1"/>
      <c r="P57" s="1"/>
      <c r="Q57" s="1"/>
      <c r="R57" s="1"/>
      <c r="S57" s="1"/>
      <c r="T57" s="1"/>
      <c r="U57" s="1"/>
      <c r="V57" s="1"/>
    </row>
    <row r="58" spans="1:22" x14ac:dyDescent="0.2">
      <c r="A58" s="97"/>
      <c r="B58" s="97"/>
      <c r="C58" s="97"/>
      <c r="D58" s="140" t="s">
        <v>139</v>
      </c>
      <c r="E58" s="141">
        <f>SUM(F25:F32)+SUM(F44)</f>
        <v>66</v>
      </c>
      <c r="F58" s="142" t="s">
        <v>287</v>
      </c>
      <c r="G58" s="1"/>
      <c r="H58" s="142">
        <f>5*6+4*9</f>
        <v>66</v>
      </c>
      <c r="I58" s="1"/>
      <c r="J58" s="1"/>
      <c r="K58" s="1"/>
      <c r="L58" s="1"/>
      <c r="M58" s="1"/>
      <c r="N58" s="1"/>
      <c r="O58" s="1"/>
      <c r="P58" s="1"/>
      <c r="Q58" s="1"/>
      <c r="R58" s="1"/>
      <c r="S58" s="1"/>
      <c r="T58" s="1"/>
      <c r="U58" s="1"/>
      <c r="V58" s="1"/>
    </row>
    <row r="59" spans="1:22" x14ac:dyDescent="0.2">
      <c r="A59" s="97"/>
      <c r="B59" s="97"/>
      <c r="C59" s="97"/>
      <c r="D59" s="143" t="s">
        <v>158</v>
      </c>
      <c r="E59" s="141" t="str">
        <f>IF(E54&gt;=F57,"Yes","No")</f>
        <v>Yes</v>
      </c>
      <c r="F59" s="1"/>
      <c r="G59" s="1"/>
      <c r="H59" s="1"/>
      <c r="I59" s="1"/>
      <c r="J59" s="1"/>
      <c r="K59" s="1"/>
      <c r="L59" s="1"/>
      <c r="M59" s="1"/>
      <c r="N59" s="1"/>
      <c r="O59" s="1"/>
      <c r="P59" s="1"/>
      <c r="Q59" s="1"/>
      <c r="R59" s="1"/>
      <c r="S59" s="1"/>
      <c r="T59" s="1"/>
      <c r="U59" s="1"/>
      <c r="V59" s="1"/>
    </row>
    <row r="60" spans="1:22" x14ac:dyDescent="0.2">
      <c r="A60" s="97"/>
      <c r="B60" s="97"/>
      <c r="C60" s="97"/>
      <c r="D60" s="143" t="s">
        <v>156</v>
      </c>
      <c r="E60" s="141">
        <f>(3*2)+(2*4)+(1*3)+(3*6)</f>
        <v>35</v>
      </c>
      <c r="F60" s="142" t="s">
        <v>198</v>
      </c>
      <c r="G60" s="1"/>
      <c r="H60" s="1"/>
      <c r="I60" s="1"/>
      <c r="J60" s="1"/>
      <c r="K60" s="1"/>
      <c r="L60" s="1"/>
      <c r="M60" s="1"/>
      <c r="N60" s="1"/>
      <c r="O60" s="1"/>
      <c r="P60" s="1"/>
      <c r="Q60" s="1"/>
      <c r="R60" s="1"/>
      <c r="S60" s="1"/>
      <c r="T60" s="1"/>
      <c r="U60" s="1"/>
      <c r="V60" s="1"/>
    </row>
    <row r="61" spans="1:22" x14ac:dyDescent="0.2">
      <c r="A61" s="97"/>
      <c r="B61" s="97"/>
      <c r="C61" s="97"/>
      <c r="D61" s="143" t="s">
        <v>157</v>
      </c>
      <c r="E61" s="141">
        <f>(2*4)+(3*6)+(4*6)</f>
        <v>50</v>
      </c>
      <c r="F61" s="142" t="s">
        <v>199</v>
      </c>
      <c r="G61" s="1"/>
      <c r="H61" s="1"/>
      <c r="I61" s="1"/>
      <c r="J61" s="1"/>
      <c r="K61" s="1"/>
      <c r="L61" s="1"/>
      <c r="M61" s="1"/>
      <c r="N61" s="1"/>
      <c r="O61" s="1"/>
      <c r="P61" s="1"/>
      <c r="Q61" s="1"/>
      <c r="R61" s="1"/>
      <c r="S61" s="1"/>
      <c r="T61" s="1"/>
      <c r="U61" s="1"/>
      <c r="V61" s="1"/>
    </row>
    <row r="62" spans="1:22" x14ac:dyDescent="0.2">
      <c r="A62" s="97"/>
      <c r="B62" s="97"/>
      <c r="C62" s="97"/>
      <c r="D62" s="140" t="s">
        <v>155</v>
      </c>
      <c r="E62" s="141" t="str">
        <f>IF(E59="Yes",IF(E58&gt;=E61,"III",IF(E58&gt;=E60,"II+","II")),"No")</f>
        <v>III</v>
      </c>
      <c r="F62" s="142">
        <f>(1*4)+(4*6)+(1*6)+(3*9)</f>
        <v>61</v>
      </c>
      <c r="G62" s="142" t="s">
        <v>200</v>
      </c>
      <c r="H62" s="1"/>
      <c r="I62" s="1"/>
      <c r="J62" s="1"/>
      <c r="K62" s="1"/>
      <c r="L62" s="1"/>
      <c r="M62" s="1"/>
      <c r="N62" s="1"/>
      <c r="O62" s="1"/>
      <c r="P62" s="1"/>
      <c r="Q62" s="1"/>
      <c r="R62" s="1"/>
      <c r="S62" s="1"/>
      <c r="T62" s="1"/>
      <c r="U62" s="1"/>
      <c r="V62" s="1"/>
    </row>
    <row r="63" spans="1:22" x14ac:dyDescent="0.2">
      <c r="A63" s="97"/>
      <c r="B63" s="97"/>
      <c r="C63" s="97"/>
      <c r="D63" s="1"/>
      <c r="E63" s="1"/>
      <c r="F63" s="1"/>
      <c r="G63" s="1"/>
      <c r="H63" s="1"/>
      <c r="I63" s="1"/>
      <c r="J63" s="1"/>
      <c r="K63" s="1"/>
      <c r="L63" s="1"/>
      <c r="M63" s="1"/>
      <c r="N63" s="1"/>
      <c r="O63" s="1"/>
      <c r="P63" s="1"/>
      <c r="Q63" s="1"/>
      <c r="R63" s="1"/>
      <c r="S63" s="1"/>
      <c r="T63" s="1"/>
      <c r="U63" s="1"/>
      <c r="V63" s="1"/>
    </row>
    <row r="64" spans="1:22" x14ac:dyDescent="0.2">
      <c r="A64" s="97"/>
      <c r="B64" s="97"/>
      <c r="C64" s="97"/>
      <c r="D64" s="1"/>
      <c r="E64" s="1"/>
      <c r="F64" s="1"/>
      <c r="G64" s="1"/>
      <c r="H64" s="1"/>
      <c r="I64" s="1"/>
      <c r="J64" s="1"/>
      <c r="K64" s="1"/>
      <c r="L64" s="1"/>
      <c r="M64" s="1"/>
      <c r="N64" s="1"/>
      <c r="O64" s="1"/>
      <c r="P64" s="1"/>
      <c r="Q64" s="1"/>
      <c r="R64" s="1"/>
      <c r="S64" s="1"/>
      <c r="T64" s="1"/>
      <c r="U64" s="1"/>
      <c r="V64" s="1"/>
    </row>
    <row r="65" spans="1:22" x14ac:dyDescent="0.2">
      <c r="A65" s="97"/>
      <c r="B65" s="97"/>
      <c r="C65" s="97"/>
      <c r="D65" s="1"/>
      <c r="E65" s="1"/>
      <c r="F65" s="1"/>
      <c r="G65" s="1"/>
      <c r="H65" s="1"/>
      <c r="I65" s="1"/>
      <c r="J65" s="1"/>
      <c r="K65" s="1"/>
      <c r="L65" s="1"/>
      <c r="M65" s="1"/>
      <c r="N65" s="1"/>
      <c r="O65" s="1"/>
      <c r="P65" s="1"/>
      <c r="Q65" s="1"/>
      <c r="R65" s="1"/>
      <c r="S65" s="1"/>
      <c r="T65" s="1"/>
      <c r="U65" s="1"/>
      <c r="V65" s="1"/>
    </row>
    <row r="66" spans="1:22" x14ac:dyDescent="0.2">
      <c r="A66" s="97"/>
      <c r="B66" s="97"/>
      <c r="C66" s="97"/>
      <c r="D66" s="1"/>
      <c r="E66" s="1"/>
      <c r="F66" s="1"/>
      <c r="G66" s="1"/>
      <c r="H66" s="1"/>
      <c r="I66" s="1"/>
      <c r="J66" s="1"/>
      <c r="K66" s="1"/>
      <c r="L66" s="1"/>
      <c r="M66" s="1"/>
      <c r="N66" s="1"/>
      <c r="O66" s="1"/>
      <c r="P66" s="1"/>
      <c r="Q66" s="1"/>
      <c r="R66" s="1"/>
      <c r="S66" s="1"/>
      <c r="T66" s="1"/>
      <c r="U66" s="1"/>
      <c r="V66" s="1"/>
    </row>
    <row r="67" spans="1:22" x14ac:dyDescent="0.2">
      <c r="A67" s="97"/>
      <c r="B67" s="97"/>
      <c r="C67" s="97"/>
      <c r="D67" s="1"/>
      <c r="E67" s="1"/>
      <c r="F67" s="1"/>
      <c r="G67" s="1"/>
      <c r="H67" s="1"/>
      <c r="I67" s="1"/>
      <c r="J67" s="1"/>
      <c r="K67" s="1"/>
      <c r="L67" s="1"/>
      <c r="M67" s="1"/>
      <c r="N67" s="1"/>
      <c r="O67" s="1"/>
      <c r="P67" s="1"/>
      <c r="Q67" s="1"/>
      <c r="R67" s="1"/>
      <c r="S67" s="1"/>
      <c r="T67" s="1"/>
      <c r="U67" s="1"/>
      <c r="V67" s="1"/>
    </row>
    <row r="68" spans="1:22" x14ac:dyDescent="0.2">
      <c r="A68" s="97"/>
      <c r="B68" s="97"/>
      <c r="C68" s="97"/>
      <c r="D68" s="1"/>
      <c r="E68" s="1"/>
      <c r="F68" s="1"/>
      <c r="G68" s="1"/>
      <c r="H68" s="1"/>
      <c r="I68" s="1"/>
      <c r="J68" s="1"/>
      <c r="K68" s="1"/>
      <c r="L68" s="1"/>
      <c r="M68" s="1"/>
      <c r="N68" s="1"/>
      <c r="O68" s="1"/>
      <c r="P68" s="1"/>
      <c r="Q68" s="1"/>
      <c r="R68" s="1"/>
      <c r="S68" s="1"/>
      <c r="T68" s="1"/>
      <c r="U68" s="1"/>
      <c r="V68" s="1"/>
    </row>
    <row r="69" spans="1:22" x14ac:dyDescent="0.2">
      <c r="A69" s="97"/>
      <c r="B69" s="97"/>
      <c r="C69" s="97"/>
      <c r="D69" s="1"/>
      <c r="E69" s="1"/>
      <c r="F69" s="1"/>
      <c r="G69" s="1"/>
      <c r="H69" s="1"/>
      <c r="I69" s="1"/>
      <c r="J69" s="1"/>
      <c r="K69" s="1"/>
      <c r="L69" s="1"/>
      <c r="M69" s="1"/>
      <c r="N69" s="1"/>
      <c r="O69" s="1"/>
      <c r="P69" s="1"/>
      <c r="Q69" s="1"/>
      <c r="R69" s="1"/>
      <c r="S69" s="1"/>
      <c r="T69" s="1"/>
      <c r="U69" s="1"/>
      <c r="V69" s="1"/>
    </row>
    <row r="70" spans="1:22" x14ac:dyDescent="0.2">
      <c r="A70" s="97"/>
      <c r="B70" s="97"/>
      <c r="C70" s="97"/>
      <c r="D70" s="1"/>
      <c r="E70" s="1"/>
      <c r="F70" s="1"/>
      <c r="G70" s="1"/>
      <c r="H70" s="1"/>
      <c r="I70" s="1"/>
      <c r="J70" s="1"/>
      <c r="K70" s="1"/>
      <c r="L70" s="1"/>
      <c r="M70" s="1"/>
      <c r="N70" s="1"/>
      <c r="O70" s="1"/>
      <c r="P70" s="1"/>
      <c r="Q70" s="1"/>
      <c r="R70" s="1"/>
      <c r="S70" s="1"/>
      <c r="T70" s="1"/>
      <c r="U70" s="1"/>
      <c r="V70" s="1"/>
    </row>
    <row r="71" spans="1:22" x14ac:dyDescent="0.2">
      <c r="A71" s="97"/>
      <c r="B71" s="97"/>
      <c r="C71" s="97"/>
      <c r="D71" s="1"/>
      <c r="E71" s="1"/>
      <c r="F71" s="1"/>
      <c r="G71" s="1"/>
      <c r="H71" s="1"/>
      <c r="I71" s="1"/>
      <c r="J71" s="1"/>
      <c r="K71" s="1"/>
      <c r="L71" s="1"/>
      <c r="M71" s="1"/>
      <c r="N71" s="1"/>
      <c r="O71" s="1"/>
      <c r="P71" s="1"/>
      <c r="Q71" s="1"/>
      <c r="R71" s="1"/>
      <c r="S71" s="1"/>
      <c r="T71" s="1"/>
      <c r="U71" s="1"/>
      <c r="V71" s="1"/>
    </row>
    <row r="72" spans="1:22" x14ac:dyDescent="0.2">
      <c r="A72" s="97"/>
      <c r="B72" s="97"/>
      <c r="C72" s="97"/>
      <c r="D72" s="1"/>
      <c r="E72" s="1"/>
      <c r="F72" s="1"/>
      <c r="G72" s="1"/>
      <c r="H72" s="1"/>
      <c r="I72" s="1"/>
      <c r="J72" s="1"/>
      <c r="K72" s="1"/>
      <c r="L72" s="1"/>
      <c r="M72" s="1"/>
      <c r="N72" s="1"/>
      <c r="O72" s="1"/>
      <c r="P72" s="1"/>
      <c r="Q72" s="1"/>
      <c r="R72" s="1"/>
      <c r="S72" s="1"/>
      <c r="T72" s="1"/>
      <c r="U72" s="1"/>
      <c r="V72" s="1"/>
    </row>
    <row r="73" spans="1:22" x14ac:dyDescent="0.2">
      <c r="A73" s="97"/>
      <c r="B73" s="97"/>
      <c r="C73" s="97"/>
      <c r="D73" s="1"/>
      <c r="E73" s="1"/>
      <c r="F73" s="1"/>
      <c r="G73" s="1"/>
      <c r="H73" s="1"/>
      <c r="I73" s="1"/>
      <c r="J73" s="1"/>
      <c r="K73" s="1"/>
      <c r="L73" s="1"/>
      <c r="M73" s="1"/>
      <c r="N73" s="1"/>
      <c r="O73" s="1"/>
      <c r="P73" s="1"/>
      <c r="Q73" s="1"/>
      <c r="R73" s="1"/>
      <c r="S73" s="1"/>
      <c r="T73" s="1"/>
      <c r="U73" s="1"/>
      <c r="V73" s="1"/>
    </row>
    <row r="74" spans="1:22" x14ac:dyDescent="0.2">
      <c r="A74" s="97"/>
      <c r="B74" s="97"/>
      <c r="C74" s="97"/>
      <c r="D74" s="1"/>
      <c r="E74" s="1"/>
      <c r="F74" s="1"/>
      <c r="G74" s="1"/>
      <c r="H74" s="1"/>
      <c r="I74" s="1"/>
      <c r="J74" s="1"/>
      <c r="K74" s="1"/>
      <c r="L74" s="1"/>
      <c r="M74" s="1"/>
      <c r="N74" s="1"/>
      <c r="O74" s="1"/>
      <c r="P74" s="1"/>
      <c r="Q74" s="1"/>
      <c r="R74" s="1"/>
      <c r="S74" s="1"/>
      <c r="T74" s="1"/>
      <c r="U74" s="1"/>
      <c r="V74" s="1"/>
    </row>
    <row r="75" spans="1:22" x14ac:dyDescent="0.2">
      <c r="A75" s="97"/>
      <c r="B75" s="97"/>
      <c r="C75" s="97"/>
      <c r="D75" s="1"/>
      <c r="E75" s="1"/>
      <c r="F75" s="1"/>
      <c r="G75" s="1"/>
      <c r="H75" s="1"/>
      <c r="I75" s="1"/>
      <c r="J75" s="1"/>
      <c r="K75" s="1"/>
      <c r="L75" s="1"/>
      <c r="M75" s="1"/>
      <c r="N75" s="1"/>
      <c r="O75" s="1"/>
      <c r="P75" s="1"/>
      <c r="Q75" s="1"/>
      <c r="R75" s="1"/>
      <c r="S75" s="1"/>
      <c r="T75" s="1"/>
      <c r="U75" s="1"/>
      <c r="V75" s="1"/>
    </row>
    <row r="76" spans="1:22" x14ac:dyDescent="0.2">
      <c r="A76" s="97"/>
      <c r="B76" s="97"/>
      <c r="C76" s="97"/>
      <c r="D76" s="1"/>
      <c r="E76" s="1"/>
      <c r="F76" s="1"/>
      <c r="G76" s="1"/>
      <c r="H76" s="1"/>
      <c r="I76" s="1"/>
      <c r="J76" s="1"/>
      <c r="K76" s="1"/>
      <c r="L76" s="1"/>
      <c r="M76" s="1"/>
      <c r="N76" s="1"/>
      <c r="O76" s="1"/>
      <c r="P76" s="1"/>
      <c r="Q76" s="1"/>
      <c r="R76" s="1"/>
      <c r="S76" s="1"/>
      <c r="T76" s="1"/>
      <c r="U76" s="1"/>
      <c r="V76" s="1"/>
    </row>
    <row r="77" spans="1:22" x14ac:dyDescent="0.2">
      <c r="A77" s="97"/>
      <c r="B77" s="97"/>
      <c r="C77" s="97"/>
      <c r="D77" s="1"/>
      <c r="E77" s="1"/>
      <c r="F77" s="1"/>
      <c r="G77" s="1"/>
      <c r="H77" s="1"/>
      <c r="I77" s="1"/>
      <c r="J77" s="1"/>
      <c r="K77" s="1"/>
      <c r="L77" s="1"/>
      <c r="M77" s="1"/>
      <c r="N77" s="1"/>
      <c r="O77" s="1"/>
      <c r="P77" s="1"/>
      <c r="Q77" s="1"/>
      <c r="R77" s="1"/>
      <c r="S77" s="1"/>
      <c r="T77" s="1"/>
      <c r="U77" s="1"/>
      <c r="V77" s="1"/>
    </row>
    <row r="78" spans="1:22" x14ac:dyDescent="0.2">
      <c r="A78" s="97"/>
      <c r="B78" s="97"/>
      <c r="C78" s="97"/>
      <c r="D78" s="1"/>
      <c r="E78" s="1"/>
      <c r="F78" s="1"/>
      <c r="G78" s="1"/>
      <c r="H78" s="1"/>
      <c r="I78" s="1"/>
      <c r="J78" s="1"/>
      <c r="K78" s="1"/>
      <c r="L78" s="1"/>
      <c r="M78" s="1"/>
      <c r="N78" s="1"/>
      <c r="O78" s="1"/>
      <c r="P78" s="1"/>
      <c r="Q78" s="1"/>
      <c r="R78" s="1"/>
      <c r="S78" s="1"/>
      <c r="T78" s="1"/>
      <c r="U78" s="1"/>
      <c r="V78" s="1"/>
    </row>
    <row r="79" spans="1:22" x14ac:dyDescent="0.2">
      <c r="A79" s="97"/>
      <c r="B79" s="97"/>
      <c r="C79" s="97"/>
      <c r="D79" s="1"/>
      <c r="E79" s="1"/>
      <c r="F79" s="1"/>
      <c r="G79" s="1"/>
      <c r="H79" s="1"/>
      <c r="I79" s="1"/>
      <c r="J79" s="1"/>
      <c r="K79" s="1"/>
      <c r="L79" s="1"/>
      <c r="M79" s="1"/>
      <c r="N79" s="1"/>
      <c r="O79" s="1"/>
      <c r="P79" s="1"/>
      <c r="Q79" s="1"/>
      <c r="R79" s="1"/>
      <c r="S79" s="1"/>
      <c r="T79" s="1"/>
      <c r="U79" s="1"/>
      <c r="V79" s="1"/>
    </row>
    <row r="80" spans="1:22" x14ac:dyDescent="0.2">
      <c r="A80" s="97"/>
      <c r="B80" s="97"/>
      <c r="C80" s="97"/>
      <c r="D80" s="1"/>
      <c r="E80" s="1"/>
      <c r="F80" s="1"/>
      <c r="G80" s="1"/>
      <c r="H80" s="1"/>
      <c r="I80" s="1"/>
      <c r="J80" s="1"/>
      <c r="K80" s="1"/>
      <c r="L80" s="1"/>
      <c r="M80" s="1"/>
      <c r="N80" s="1"/>
      <c r="O80" s="1"/>
      <c r="P80" s="1"/>
      <c r="Q80" s="1"/>
      <c r="R80" s="1"/>
      <c r="S80" s="1"/>
      <c r="T80" s="1"/>
      <c r="U80" s="1"/>
      <c r="V80" s="1"/>
    </row>
    <row r="81" spans="1:22" x14ac:dyDescent="0.2">
      <c r="A81" s="97"/>
      <c r="B81" s="97"/>
      <c r="C81" s="97"/>
      <c r="D81" s="1"/>
      <c r="E81" s="1"/>
      <c r="F81" s="1"/>
      <c r="G81" s="1"/>
      <c r="H81" s="1"/>
      <c r="I81" s="1"/>
      <c r="J81" s="1"/>
      <c r="K81" s="1"/>
      <c r="L81" s="1"/>
      <c r="M81" s="1"/>
      <c r="N81" s="1"/>
      <c r="O81" s="1"/>
      <c r="P81" s="1"/>
      <c r="Q81" s="1"/>
      <c r="R81" s="1"/>
      <c r="S81" s="1"/>
      <c r="T81" s="1"/>
      <c r="U81" s="1"/>
      <c r="V81" s="1"/>
    </row>
    <row r="82" spans="1:22" x14ac:dyDescent="0.2">
      <c r="A82" s="97"/>
      <c r="B82" s="97"/>
      <c r="C82" s="97"/>
      <c r="D82" s="1"/>
      <c r="E82" s="1"/>
      <c r="F82" s="1"/>
      <c r="G82" s="1"/>
      <c r="H82" s="1"/>
      <c r="I82" s="1"/>
      <c r="J82" s="1"/>
      <c r="K82" s="1"/>
      <c r="L82" s="1"/>
      <c r="M82" s="1"/>
      <c r="N82" s="1"/>
      <c r="O82" s="1"/>
      <c r="P82" s="1"/>
      <c r="Q82" s="1"/>
      <c r="R82" s="1"/>
      <c r="S82" s="1"/>
      <c r="T82" s="1"/>
      <c r="U82" s="1"/>
      <c r="V82" s="1"/>
    </row>
    <row r="83" spans="1:22" x14ac:dyDescent="0.2">
      <c r="A83" s="97"/>
      <c r="B83" s="97"/>
      <c r="C83" s="97"/>
      <c r="D83" s="1"/>
      <c r="E83" s="1"/>
      <c r="F83" s="1"/>
      <c r="G83" s="1"/>
      <c r="H83" s="1"/>
      <c r="I83" s="1"/>
      <c r="J83" s="1"/>
      <c r="K83" s="1"/>
      <c r="L83" s="1"/>
      <c r="M83" s="1"/>
      <c r="N83" s="1"/>
      <c r="O83" s="1"/>
      <c r="P83" s="1"/>
      <c r="Q83" s="1"/>
      <c r="R83" s="1"/>
      <c r="S83" s="1"/>
      <c r="T83" s="1"/>
      <c r="U83" s="1"/>
      <c r="V83" s="1"/>
    </row>
    <row r="84" spans="1:22" x14ac:dyDescent="0.2">
      <c r="A84" s="97"/>
      <c r="B84" s="97"/>
      <c r="C84" s="97"/>
      <c r="D84" s="1"/>
      <c r="E84" s="1"/>
      <c r="F84" s="1"/>
      <c r="G84" s="1"/>
      <c r="H84" s="1"/>
      <c r="I84" s="1"/>
      <c r="J84" s="1"/>
      <c r="K84" s="1"/>
      <c r="L84" s="1"/>
      <c r="M84" s="1"/>
      <c r="N84" s="1"/>
      <c r="O84" s="1"/>
      <c r="P84" s="1"/>
      <c r="Q84" s="1"/>
      <c r="R84" s="1"/>
      <c r="S84" s="1"/>
      <c r="T84" s="1"/>
      <c r="U84" s="1"/>
      <c r="V84" s="1"/>
    </row>
    <row r="85" spans="1:22" x14ac:dyDescent="0.2">
      <c r="A85" s="97"/>
      <c r="B85" s="97"/>
      <c r="C85" s="97"/>
      <c r="D85" s="1"/>
      <c r="E85" s="1"/>
      <c r="F85" s="1"/>
      <c r="G85" s="1"/>
      <c r="H85" s="1"/>
      <c r="I85" s="1"/>
      <c r="J85" s="1"/>
      <c r="K85" s="1"/>
      <c r="L85" s="1"/>
      <c r="M85" s="1"/>
      <c r="N85" s="1"/>
      <c r="O85" s="1"/>
      <c r="P85" s="1"/>
      <c r="Q85" s="1"/>
      <c r="R85" s="1"/>
      <c r="S85" s="1"/>
      <c r="T85" s="1"/>
      <c r="U85" s="1"/>
      <c r="V85" s="1"/>
    </row>
    <row r="86" spans="1:22" x14ac:dyDescent="0.2">
      <c r="A86" s="97"/>
      <c r="B86" s="97"/>
      <c r="C86" s="97"/>
      <c r="D86" s="1"/>
      <c r="E86" s="1"/>
      <c r="F86" s="1"/>
      <c r="G86" s="1"/>
      <c r="H86" s="1"/>
      <c r="I86" s="1"/>
      <c r="J86" s="1"/>
      <c r="K86" s="1"/>
      <c r="L86" s="1"/>
      <c r="M86" s="1"/>
      <c r="N86" s="1"/>
      <c r="O86" s="1"/>
      <c r="P86" s="1"/>
      <c r="Q86" s="1"/>
      <c r="R86" s="1"/>
      <c r="S86" s="1"/>
      <c r="T86" s="1"/>
      <c r="U86" s="1"/>
      <c r="V86" s="1"/>
    </row>
    <row r="87" spans="1:22" x14ac:dyDescent="0.2">
      <c r="A87" s="97"/>
      <c r="B87" s="97"/>
      <c r="C87" s="97"/>
      <c r="D87" s="1"/>
      <c r="E87" s="1"/>
      <c r="F87" s="4"/>
    </row>
    <row r="88" spans="1:22" x14ac:dyDescent="0.2">
      <c r="A88" s="97"/>
      <c r="B88" s="97"/>
      <c r="C88" s="97"/>
      <c r="D88" s="1"/>
      <c r="E88" s="1"/>
      <c r="F88" s="4"/>
    </row>
    <row r="89" spans="1:22" x14ac:dyDescent="0.2">
      <c r="A89" s="97"/>
      <c r="B89" s="97"/>
      <c r="C89" s="97"/>
      <c r="D89" s="1"/>
      <c r="E89" s="1"/>
      <c r="F89" s="4"/>
    </row>
    <row r="90" spans="1:22" x14ac:dyDescent="0.2">
      <c r="A90" s="97"/>
      <c r="B90" s="97"/>
      <c r="C90" s="97"/>
      <c r="D90" s="1"/>
      <c r="E90" s="1"/>
      <c r="F90" s="4"/>
    </row>
    <row r="91" spans="1:22" x14ac:dyDescent="0.2">
      <c r="A91" s="97"/>
      <c r="B91" s="97"/>
      <c r="C91" s="97"/>
      <c r="D91" s="1"/>
      <c r="E91" s="1"/>
      <c r="F91" s="4"/>
    </row>
    <row r="92" spans="1:22" x14ac:dyDescent="0.2">
      <c r="A92" s="97"/>
      <c r="B92" s="97"/>
      <c r="C92" s="97"/>
      <c r="D92" s="1"/>
      <c r="E92" s="1"/>
      <c r="F92" s="4"/>
    </row>
    <row r="93" spans="1:22" x14ac:dyDescent="0.2">
      <c r="A93" s="97"/>
      <c r="B93" s="97"/>
      <c r="C93" s="97"/>
      <c r="D93" s="1"/>
      <c r="E93" s="1"/>
      <c r="F93" s="4"/>
    </row>
    <row r="94" spans="1:22" x14ac:dyDescent="0.2">
      <c r="A94" s="97"/>
      <c r="B94" s="97"/>
      <c r="C94" s="97"/>
      <c r="D94" s="1"/>
      <c r="E94" s="1"/>
      <c r="F94" s="4"/>
    </row>
    <row r="95" spans="1:22" x14ac:dyDescent="0.2">
      <c r="A95" s="97"/>
      <c r="B95" s="97"/>
      <c r="C95" s="97"/>
      <c r="D95" s="1"/>
      <c r="E95" s="1"/>
      <c r="F95" s="4"/>
    </row>
    <row r="96" spans="1:22" x14ac:dyDescent="0.2">
      <c r="A96" s="97"/>
      <c r="B96" s="97"/>
      <c r="C96" s="97"/>
      <c r="D96" s="1"/>
      <c r="E96" s="1"/>
      <c r="F96" s="4"/>
    </row>
    <row r="97" spans="1:6" x14ac:dyDescent="0.2">
      <c r="A97" s="97"/>
      <c r="B97" s="97"/>
      <c r="C97" s="97"/>
      <c r="D97" s="1"/>
      <c r="E97" s="1"/>
      <c r="F97" s="4"/>
    </row>
    <row r="98" spans="1:6" x14ac:dyDescent="0.2">
      <c r="A98" s="97"/>
      <c r="B98" s="97"/>
      <c r="C98" s="97"/>
      <c r="D98" s="1"/>
      <c r="E98" s="1"/>
      <c r="F98" s="4"/>
    </row>
    <row r="99" spans="1:6" x14ac:dyDescent="0.2">
      <c r="A99" s="97"/>
      <c r="B99" s="97"/>
      <c r="C99" s="97"/>
      <c r="D99" s="1"/>
      <c r="E99" s="1"/>
      <c r="F99" s="4"/>
    </row>
    <row r="100" spans="1:6" x14ac:dyDescent="0.2">
      <c r="A100" s="97"/>
      <c r="B100" s="97"/>
      <c r="C100" s="97"/>
      <c r="D100" s="1"/>
      <c r="E100" s="1"/>
      <c r="F100" s="4"/>
    </row>
    <row r="101" spans="1:6" x14ac:dyDescent="0.2">
      <c r="A101" s="97"/>
      <c r="B101" s="97"/>
      <c r="C101" s="97"/>
      <c r="D101" s="1"/>
      <c r="E101" s="1"/>
      <c r="F101" s="4"/>
    </row>
    <row r="102" spans="1:6" x14ac:dyDescent="0.2">
      <c r="A102" s="97"/>
      <c r="B102" s="97"/>
      <c r="C102" s="97"/>
      <c r="D102" s="1"/>
      <c r="E102" s="1"/>
      <c r="F102" s="4"/>
    </row>
  </sheetData>
  <sheetProtection algorithmName="SHA-512" hashValue="1likY7tNiXW46aP12yS0rODWo8caZoGjCFwEfWxufEn+XehXq0EnfwHB5jaHQPoIsdtsbzuX3/EbyVqlSDlHSA==" saltValue="fOPyAltojKLwTV1D3ZX3SQ==" spinCount="100000" sheet="1" objects="1" scenarios="1"/>
  <customSheetViews>
    <customSheetView guid="{58EB2181-60CA-D84F-9BE3-6D30A91A6F68}" scale="115" showPageBreaks="1" fitToPage="1" printArea="1">
      <pane xSplit="5" ySplit="3.0285714285714285" topLeftCell="I4" activePane="bottomRight" state="frozenSplit"/>
      <selection pane="bottomRight" sqref="A1:E1"/>
      <pageMargins left="0.7" right="0.7" top="0.75" bottom="0.75" header="0.3" footer="0.3"/>
      <pageSetup paperSize="9" scale="6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 guid="{E2B8E4FB-7E5E-E744-9E59-F9CB9CC15E64}" scale="115" fitToPage="1">
      <pane xSplit="5" ySplit="3.0285714285714285" topLeftCell="I4" activePane="bottomRight" state="frozenSplit"/>
      <selection pane="bottomRight" sqref="A1:E1"/>
      <pageMargins left="0.7" right="0.7" top="0.75" bottom="0.75" header="0.3" footer="0.3"/>
      <pageSetup paperSize="9" scale="6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s>
  <mergeCells count="5">
    <mergeCell ref="C33:E33"/>
    <mergeCell ref="A1:E1"/>
    <mergeCell ref="A3:D3"/>
    <mergeCell ref="A2:E2"/>
    <mergeCell ref="C4:E4"/>
  </mergeCells>
  <phoneticPr fontId="6" type="noConversion"/>
  <conditionalFormatting sqref="F30:F32 F44">
    <cfRule type="cellIs" dxfId="93" priority="102" stopIfTrue="1" operator="equal">
      <formula>0</formula>
    </cfRule>
  </conditionalFormatting>
  <conditionalFormatting sqref="E5">
    <cfRule type="cellIs" dxfId="92" priority="46" stopIfTrue="1" operator="equal">
      <formula>"Tidak Dilakukan"</formula>
    </cfRule>
    <cfRule type="cellIs" dxfId="91" priority="47" stopIfTrue="1" operator="equal">
      <formula>"Dalam Penerapan / Diterapkan Sebagian"</formula>
    </cfRule>
    <cfRule type="cellIs" dxfId="90" priority="105" stopIfTrue="1" operator="equal">
      <formula>"Dalam Perencanaan"</formula>
    </cfRule>
  </conditionalFormatting>
  <conditionalFormatting sqref="E6:E11">
    <cfRule type="cellIs" dxfId="89" priority="16" stopIfTrue="1" operator="equal">
      <formula>"Tidak Dilakukan"</formula>
    </cfRule>
    <cfRule type="cellIs" dxfId="88" priority="17" stopIfTrue="1" operator="equal">
      <formula>"Dalam Penerapan / Diterapkan Sebagian"</formula>
    </cfRule>
    <cfRule type="cellIs" dxfId="87" priority="18" stopIfTrue="1" operator="equal">
      <formula>"Dalam Perencanaan"</formula>
    </cfRule>
  </conditionalFormatting>
  <conditionalFormatting sqref="E13:E23">
    <cfRule type="cellIs" dxfId="86" priority="13" stopIfTrue="1" operator="equal">
      <formula>"Tidak Dilakukan"</formula>
    </cfRule>
    <cfRule type="cellIs" dxfId="85" priority="14" stopIfTrue="1" operator="equal">
      <formula>"Dalam Penerapan / Diterapkan Sebagian"</formula>
    </cfRule>
    <cfRule type="cellIs" dxfId="84" priority="15" stopIfTrue="1" operator="equal">
      <formula>"Dalam Perencanaan"</formula>
    </cfRule>
  </conditionalFormatting>
  <conditionalFormatting sqref="E24:E31">
    <cfRule type="cellIs" dxfId="83" priority="10" stopIfTrue="1" operator="equal">
      <formula>"Tidak Dilakukan"</formula>
    </cfRule>
    <cfRule type="cellIs" dxfId="82" priority="11" stopIfTrue="1" operator="equal">
      <formula>"Dalam Penerapan / Diterapkan Sebagian"</formula>
    </cfRule>
    <cfRule type="cellIs" dxfId="81" priority="12" stopIfTrue="1" operator="equal">
      <formula>"Dalam Perencanaan"</formula>
    </cfRule>
  </conditionalFormatting>
  <conditionalFormatting sqref="E32">
    <cfRule type="cellIs" dxfId="80" priority="7" stopIfTrue="1" operator="equal">
      <formula>"Tidak Dilakukan"</formula>
    </cfRule>
    <cfRule type="cellIs" dxfId="79" priority="8" stopIfTrue="1" operator="equal">
      <formula>"Dalam Penerapan / Diterapkan Sebagian"</formula>
    </cfRule>
    <cfRule type="cellIs" dxfId="78" priority="9" stopIfTrue="1" operator="equal">
      <formula>"Dalam Perencanaan"</formula>
    </cfRule>
  </conditionalFormatting>
  <conditionalFormatting sqref="E34:E41">
    <cfRule type="cellIs" dxfId="77" priority="4" stopIfTrue="1" operator="equal">
      <formula>"Tidak Dilakukan"</formula>
    </cfRule>
    <cfRule type="cellIs" dxfId="76" priority="5" stopIfTrue="1" operator="equal">
      <formula>"Dalam Penerapan / Diterapkan Sebagian"</formula>
    </cfRule>
    <cfRule type="cellIs" dxfId="75" priority="6" stopIfTrue="1" operator="equal">
      <formula>"Dalam Perencanaan"</formula>
    </cfRule>
  </conditionalFormatting>
  <conditionalFormatting sqref="E42:E44">
    <cfRule type="cellIs" dxfId="74" priority="1" stopIfTrue="1" operator="equal">
      <formula>"Tidak Dilakukan"</formula>
    </cfRule>
    <cfRule type="cellIs" dxfId="73" priority="2" stopIfTrue="1" operator="equal">
      <formula>"Dalam Penerapan / Diterapkan Sebagian"</formula>
    </cfRule>
    <cfRule type="cellIs" dxfId="72" priority="3" stopIfTrue="1" operator="equal">
      <formula>"Dalam Perencanaan"</formula>
    </cfRule>
  </conditionalFormatting>
  <dataValidations count="1">
    <dataValidation type="list" allowBlank="1" showInputMessage="1" showErrorMessage="1" sqref="E5:E11 E13:E32 E34:E44" xr:uid="{00000000-0002-0000-0600-000000000000}">
      <formula1>StatusPenerapan</formula1>
    </dataValidation>
  </dataValidations>
  <pageMargins left="0.75000000000000011" right="0.75000000000000011" top="1" bottom="1" header="0.5" footer="0.5"/>
  <pageSetup paperSize="9" scale="63" orientation="portrait" horizontalDpi="4294967292" verticalDpi="4294967292"/>
  <headerFooter>
    <oddFooter>&amp;L&amp;K000000Badan Siber dan Sandi Negara&amp;R&amp;"Arial,Regular"&amp;K000000Indeks KAMI, Versi  4.0, Februari 2019</oddFooter>
  </headerFooter>
  <ignoredErrors>
    <ignoredError sqref="A34:A35" numberStoredAsText="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F130"/>
  <sheetViews>
    <sheetView zoomScale="115" zoomScaleNormal="115" zoomScalePageLayoutView="115" workbookViewId="0">
      <pane xSplit="5" ySplit="3" topLeftCell="F4" activePane="bottomRight" state="frozenSplit"/>
      <selection pane="topRight" activeCell="F1" sqref="F1"/>
      <selection pane="bottomLeft" activeCell="A4" sqref="A4"/>
      <selection pane="bottomRight" activeCell="E60" sqref="E60"/>
    </sheetView>
  </sheetViews>
  <sheetFormatPr defaultColWidth="7.81640625" defaultRowHeight="12.6" x14ac:dyDescent="0.2"/>
  <cols>
    <col min="1" max="1" width="4.6328125" style="98" bestFit="1" customWidth="1"/>
    <col min="2" max="3" width="2.453125" style="98" customWidth="1"/>
    <col min="4" max="4" width="80.6328125" style="2" customWidth="1"/>
    <col min="5" max="5" width="30.6328125" style="2" customWidth="1"/>
    <col min="6" max="6" width="4.6328125" style="2" customWidth="1"/>
    <col min="7" max="7" width="21.1796875" style="2" customWidth="1"/>
    <col min="8" max="8" width="20.36328125" style="2" customWidth="1"/>
    <col min="9" max="16384" width="7.81640625" style="2"/>
  </cols>
  <sheetData>
    <row r="1" spans="1:22" ht="30" customHeight="1" x14ac:dyDescent="0.2">
      <c r="A1" s="235" t="s">
        <v>39</v>
      </c>
      <c r="B1" s="236"/>
      <c r="C1" s="237"/>
      <c r="D1" s="237"/>
      <c r="E1" s="238"/>
      <c r="F1" s="118"/>
      <c r="G1" s="1"/>
      <c r="H1" s="1"/>
      <c r="I1" s="1"/>
      <c r="J1" s="1"/>
      <c r="K1" s="1"/>
      <c r="L1" s="1"/>
      <c r="M1" s="1"/>
      <c r="N1" s="1"/>
      <c r="O1" s="1"/>
      <c r="P1" s="1"/>
      <c r="Q1" s="1"/>
      <c r="R1" s="1"/>
      <c r="S1" s="1"/>
      <c r="T1" s="1"/>
      <c r="U1" s="1"/>
      <c r="V1" s="1"/>
    </row>
    <row r="2" spans="1:22" ht="30" customHeight="1" x14ac:dyDescent="0.2">
      <c r="A2" s="245" t="s">
        <v>6</v>
      </c>
      <c r="B2" s="246"/>
      <c r="C2" s="246"/>
      <c r="D2" s="246"/>
      <c r="E2" s="248"/>
      <c r="F2" s="1"/>
      <c r="G2" s="1"/>
      <c r="H2" s="1"/>
      <c r="I2" s="1"/>
      <c r="J2" s="1"/>
      <c r="K2" s="1"/>
      <c r="L2" s="1"/>
      <c r="M2" s="1"/>
      <c r="N2" s="1"/>
      <c r="O2" s="1"/>
      <c r="P2" s="1"/>
      <c r="Q2" s="1"/>
      <c r="R2" s="1"/>
      <c r="S2" s="1"/>
      <c r="T2" s="1"/>
      <c r="U2" s="1"/>
      <c r="V2" s="1"/>
    </row>
    <row r="3" spans="1:22" ht="28.95" customHeight="1" x14ac:dyDescent="0.25">
      <c r="A3" s="226" t="s">
        <v>34</v>
      </c>
      <c r="B3" s="232"/>
      <c r="C3" s="233"/>
      <c r="D3" s="234"/>
      <c r="E3" s="84" t="s">
        <v>87</v>
      </c>
      <c r="F3" s="85" t="s">
        <v>95</v>
      </c>
      <c r="G3" s="119" t="s">
        <v>618</v>
      </c>
      <c r="H3" s="119" t="s">
        <v>619</v>
      </c>
      <c r="I3" s="1"/>
      <c r="J3" s="1"/>
      <c r="K3" s="1"/>
      <c r="L3" s="1"/>
      <c r="M3" s="1"/>
      <c r="N3" s="1"/>
      <c r="O3" s="1"/>
      <c r="P3" s="1"/>
      <c r="Q3" s="1"/>
      <c r="R3" s="1"/>
      <c r="S3" s="1"/>
      <c r="T3" s="1"/>
      <c r="U3" s="1"/>
      <c r="V3" s="1"/>
    </row>
    <row r="4" spans="1:22" ht="13.8" x14ac:dyDescent="0.2">
      <c r="A4" s="120" t="s">
        <v>93</v>
      </c>
      <c r="B4" s="121"/>
      <c r="C4" s="242" t="s">
        <v>40</v>
      </c>
      <c r="D4" s="243"/>
      <c r="E4" s="244"/>
      <c r="F4" s="118"/>
      <c r="G4" s="122"/>
      <c r="H4" s="122"/>
      <c r="I4" s="1"/>
      <c r="J4" s="1"/>
      <c r="K4" s="1"/>
      <c r="L4" s="1"/>
      <c r="M4" s="1"/>
      <c r="N4" s="1"/>
      <c r="O4" s="1"/>
      <c r="P4" s="1"/>
      <c r="Q4" s="1"/>
      <c r="R4" s="1"/>
      <c r="S4" s="1"/>
      <c r="T4" s="1"/>
      <c r="U4" s="1"/>
      <c r="V4" s="1"/>
    </row>
    <row r="5" spans="1:22" ht="27.6" x14ac:dyDescent="0.2">
      <c r="A5" s="123" t="s">
        <v>606</v>
      </c>
      <c r="B5" s="124" t="s">
        <v>132</v>
      </c>
      <c r="C5" s="125">
        <v>1</v>
      </c>
      <c r="D5" s="126" t="s">
        <v>104</v>
      </c>
      <c r="E5" s="7" t="s">
        <v>624</v>
      </c>
      <c r="F5" s="88">
        <f>INDEX(SkorAkhir, MATCH(E5,StatusPenerapanHasil,0), MATCH(C5,TingkatKematangan,0))</f>
        <v>3</v>
      </c>
      <c r="G5" s="205"/>
      <c r="H5" s="205"/>
      <c r="I5" s="1"/>
      <c r="J5" s="1"/>
      <c r="K5" s="1"/>
      <c r="L5" s="1"/>
      <c r="M5" s="1"/>
      <c r="N5" s="1"/>
      <c r="O5" s="1"/>
      <c r="P5" s="1"/>
      <c r="Q5" s="1"/>
      <c r="R5" s="1"/>
      <c r="S5" s="1"/>
      <c r="T5" s="1"/>
      <c r="U5" s="1"/>
      <c r="V5" s="1"/>
    </row>
    <row r="6" spans="1:22" ht="27.6" x14ac:dyDescent="0.2">
      <c r="A6" s="127" t="s">
        <v>607</v>
      </c>
      <c r="B6" s="124" t="s">
        <v>132</v>
      </c>
      <c r="C6" s="125">
        <v>1</v>
      </c>
      <c r="D6" s="126" t="s">
        <v>442</v>
      </c>
      <c r="E6" s="7" t="s">
        <v>624</v>
      </c>
      <c r="F6" s="88">
        <f t="shared" ref="F6:F28" si="0">INDEX(SkorAkhir, MATCH(E6,StatusPenerapanHasil,0), MATCH(C6,TingkatKematangan,0))</f>
        <v>3</v>
      </c>
      <c r="G6" s="205"/>
      <c r="H6" s="205"/>
      <c r="I6" s="1"/>
      <c r="J6" s="1"/>
      <c r="K6" s="1"/>
      <c r="L6" s="1"/>
      <c r="M6" s="1"/>
      <c r="N6" s="1"/>
      <c r="O6" s="1"/>
      <c r="P6" s="1"/>
      <c r="Q6" s="1"/>
      <c r="R6" s="1"/>
      <c r="S6" s="1"/>
      <c r="T6" s="1"/>
      <c r="U6" s="1"/>
      <c r="V6" s="1"/>
    </row>
    <row r="7" spans="1:22" ht="27.6" x14ac:dyDescent="0.2">
      <c r="A7" s="123" t="s">
        <v>608</v>
      </c>
      <c r="B7" s="124" t="s">
        <v>132</v>
      </c>
      <c r="C7" s="125">
        <v>1</v>
      </c>
      <c r="D7" s="126" t="s">
        <v>300</v>
      </c>
      <c r="E7" s="7" t="s">
        <v>624</v>
      </c>
      <c r="F7" s="88">
        <f t="shared" si="0"/>
        <v>3</v>
      </c>
      <c r="G7" s="205"/>
      <c r="H7" s="205"/>
      <c r="I7" s="1"/>
      <c r="J7" s="1"/>
      <c r="K7" s="1"/>
      <c r="L7" s="1"/>
      <c r="M7" s="1"/>
      <c r="N7" s="1"/>
      <c r="O7" s="1"/>
      <c r="P7" s="1"/>
      <c r="Q7" s="1"/>
      <c r="R7" s="1"/>
      <c r="S7" s="1"/>
      <c r="T7" s="1"/>
      <c r="U7" s="1"/>
      <c r="V7" s="1"/>
    </row>
    <row r="8" spans="1:22" ht="27.6" x14ac:dyDescent="0.2">
      <c r="A8" s="127" t="s">
        <v>609</v>
      </c>
      <c r="B8" s="182" t="s">
        <v>132</v>
      </c>
      <c r="C8" s="125">
        <v>1</v>
      </c>
      <c r="D8" s="183" t="s">
        <v>443</v>
      </c>
      <c r="E8" s="7" t="s">
        <v>624</v>
      </c>
      <c r="F8" s="88">
        <f t="shared" si="0"/>
        <v>3</v>
      </c>
      <c r="G8" s="205"/>
      <c r="H8" s="205"/>
      <c r="I8" s="1"/>
      <c r="J8" s="1"/>
      <c r="K8" s="1"/>
      <c r="L8" s="1"/>
      <c r="M8" s="1"/>
      <c r="N8" s="1"/>
      <c r="O8" s="1"/>
      <c r="P8" s="1"/>
      <c r="Q8" s="1"/>
      <c r="R8" s="1"/>
      <c r="S8" s="1"/>
      <c r="T8" s="1"/>
      <c r="U8" s="1"/>
      <c r="V8" s="1"/>
    </row>
    <row r="9" spans="1:22" ht="27.6" x14ac:dyDescent="0.2">
      <c r="A9" s="123" t="s">
        <v>610</v>
      </c>
      <c r="B9" s="182" t="s">
        <v>132</v>
      </c>
      <c r="C9" s="125">
        <v>1</v>
      </c>
      <c r="D9" s="131" t="s">
        <v>299</v>
      </c>
      <c r="E9" s="7" t="s">
        <v>624</v>
      </c>
      <c r="F9" s="88">
        <f t="shared" si="0"/>
        <v>3</v>
      </c>
      <c r="G9" s="205"/>
      <c r="H9" s="205"/>
      <c r="I9" s="1"/>
      <c r="J9" s="1"/>
      <c r="K9" s="1"/>
      <c r="L9" s="1"/>
      <c r="M9" s="1"/>
      <c r="N9" s="1"/>
      <c r="O9" s="1"/>
      <c r="P9" s="1"/>
      <c r="Q9" s="1"/>
      <c r="R9" s="1"/>
      <c r="S9" s="1"/>
      <c r="T9" s="1"/>
      <c r="U9" s="1"/>
      <c r="V9" s="1"/>
    </row>
    <row r="10" spans="1:22" ht="27.6" x14ac:dyDescent="0.2">
      <c r="A10" s="127" t="s">
        <v>611</v>
      </c>
      <c r="B10" s="182" t="s">
        <v>132</v>
      </c>
      <c r="C10" s="125">
        <v>1</v>
      </c>
      <c r="D10" s="126" t="s">
        <v>301</v>
      </c>
      <c r="E10" s="7" t="s">
        <v>624</v>
      </c>
      <c r="F10" s="88">
        <f t="shared" ref="F10" si="1">INDEX(SkorAkhir, MATCH(E10,StatusPenerapanHasil,0), MATCH(C10,TingkatKematangan,0))</f>
        <v>3</v>
      </c>
      <c r="G10" s="205"/>
      <c r="H10" s="205"/>
      <c r="I10" s="1"/>
      <c r="J10" s="1"/>
      <c r="K10" s="1"/>
      <c r="L10" s="1"/>
      <c r="M10" s="1"/>
      <c r="N10" s="1"/>
      <c r="O10" s="1"/>
      <c r="P10" s="1"/>
      <c r="Q10" s="1"/>
      <c r="R10" s="1"/>
      <c r="S10" s="1"/>
      <c r="T10" s="1"/>
      <c r="U10" s="1"/>
      <c r="V10" s="1"/>
    </row>
    <row r="11" spans="1:22" ht="27.6" x14ac:dyDescent="0.2">
      <c r="A11" s="123" t="s">
        <v>612</v>
      </c>
      <c r="B11" s="182" t="s">
        <v>132</v>
      </c>
      <c r="C11" s="125">
        <v>1</v>
      </c>
      <c r="D11" s="131" t="s">
        <v>302</v>
      </c>
      <c r="E11" s="7" t="s">
        <v>624</v>
      </c>
      <c r="F11" s="88">
        <f t="shared" si="0"/>
        <v>3</v>
      </c>
      <c r="G11" s="205"/>
      <c r="H11" s="205"/>
      <c r="I11" s="1"/>
      <c r="J11" s="1"/>
      <c r="K11" s="1"/>
      <c r="L11" s="1"/>
      <c r="M11" s="1"/>
      <c r="N11" s="1"/>
      <c r="O11" s="1"/>
      <c r="P11" s="1"/>
      <c r="Q11" s="1"/>
      <c r="R11" s="1"/>
      <c r="S11" s="1"/>
      <c r="T11" s="1"/>
      <c r="U11" s="1"/>
      <c r="V11" s="1"/>
    </row>
    <row r="12" spans="1:22" ht="15" customHeight="1" x14ac:dyDescent="0.2">
      <c r="A12" s="127" t="s">
        <v>613</v>
      </c>
      <c r="B12" s="182" t="s">
        <v>132</v>
      </c>
      <c r="C12" s="125">
        <v>1</v>
      </c>
      <c r="D12" s="131" t="s">
        <v>53</v>
      </c>
      <c r="E12" s="7" t="s">
        <v>624</v>
      </c>
      <c r="F12" s="88">
        <f t="shared" si="0"/>
        <v>3</v>
      </c>
      <c r="G12" s="205"/>
      <c r="H12" s="205"/>
      <c r="I12" s="1"/>
      <c r="J12" s="1"/>
      <c r="K12" s="1"/>
      <c r="L12" s="1"/>
      <c r="M12" s="1"/>
      <c r="N12" s="1"/>
      <c r="O12" s="1"/>
      <c r="P12" s="1"/>
      <c r="Q12" s="1"/>
      <c r="R12" s="1"/>
      <c r="S12" s="1"/>
      <c r="T12" s="1"/>
      <c r="U12" s="1"/>
      <c r="V12" s="1"/>
    </row>
    <row r="13" spans="1:22" ht="13.8" x14ac:dyDescent="0.2">
      <c r="A13" s="123" t="s">
        <v>614</v>
      </c>
      <c r="B13" s="182" t="s">
        <v>132</v>
      </c>
      <c r="C13" s="125">
        <v>1</v>
      </c>
      <c r="D13" s="131" t="s">
        <v>54</v>
      </c>
      <c r="E13" s="7" t="s">
        <v>624</v>
      </c>
      <c r="F13" s="88">
        <f t="shared" si="0"/>
        <v>3</v>
      </c>
      <c r="G13" s="205"/>
      <c r="H13" s="205"/>
      <c r="I13" s="1"/>
      <c r="J13" s="1"/>
      <c r="K13" s="1"/>
      <c r="L13" s="1"/>
      <c r="M13" s="1"/>
      <c r="N13" s="1"/>
      <c r="O13" s="1"/>
      <c r="P13" s="1"/>
      <c r="Q13" s="1"/>
      <c r="R13" s="1"/>
      <c r="S13" s="1"/>
      <c r="T13" s="1"/>
      <c r="U13" s="1"/>
      <c r="V13" s="1"/>
    </row>
    <row r="14" spans="1:22" ht="27.6" x14ac:dyDescent="0.2">
      <c r="A14" s="127" t="s">
        <v>75</v>
      </c>
      <c r="B14" s="182" t="s">
        <v>132</v>
      </c>
      <c r="C14" s="125">
        <v>1</v>
      </c>
      <c r="D14" s="131" t="s">
        <v>35</v>
      </c>
      <c r="E14" s="7" t="s">
        <v>624</v>
      </c>
      <c r="F14" s="88">
        <f t="shared" si="0"/>
        <v>3</v>
      </c>
      <c r="G14" s="205"/>
      <c r="H14" s="205"/>
      <c r="I14" s="1"/>
      <c r="J14" s="1"/>
      <c r="K14" s="1"/>
      <c r="L14" s="1"/>
      <c r="M14" s="1"/>
      <c r="N14" s="1"/>
      <c r="O14" s="1"/>
      <c r="P14" s="1"/>
      <c r="Q14" s="1"/>
      <c r="R14" s="1"/>
      <c r="S14" s="1"/>
      <c r="T14" s="1"/>
      <c r="U14" s="1"/>
      <c r="V14" s="1"/>
    </row>
    <row r="15" spans="1:22" ht="27.6" x14ac:dyDescent="0.2">
      <c r="A15" s="123" t="s">
        <v>76</v>
      </c>
      <c r="B15" s="182" t="s">
        <v>132</v>
      </c>
      <c r="C15" s="125">
        <v>1</v>
      </c>
      <c r="D15" s="131" t="s">
        <v>444</v>
      </c>
      <c r="E15" s="7" t="s">
        <v>624</v>
      </c>
      <c r="F15" s="88">
        <f t="shared" si="0"/>
        <v>3</v>
      </c>
      <c r="G15" s="205"/>
      <c r="H15" s="205"/>
      <c r="I15" s="1"/>
      <c r="J15" s="1"/>
      <c r="K15" s="1"/>
      <c r="L15" s="1"/>
      <c r="M15" s="1"/>
      <c r="N15" s="1"/>
      <c r="O15" s="1"/>
      <c r="P15" s="1"/>
      <c r="Q15" s="1"/>
      <c r="R15" s="1"/>
      <c r="S15" s="1"/>
      <c r="T15" s="1"/>
      <c r="U15" s="1"/>
      <c r="V15" s="1"/>
    </row>
    <row r="16" spans="1:22" ht="13.8" x14ac:dyDescent="0.2">
      <c r="A16" s="127" t="s">
        <v>77</v>
      </c>
      <c r="B16" s="178" t="s">
        <v>133</v>
      </c>
      <c r="C16" s="130">
        <v>2</v>
      </c>
      <c r="D16" s="131" t="s">
        <v>445</v>
      </c>
      <c r="E16" s="7" t="s">
        <v>624</v>
      </c>
      <c r="F16" s="88">
        <f t="shared" si="0"/>
        <v>6</v>
      </c>
      <c r="G16" s="205"/>
      <c r="H16" s="205"/>
      <c r="I16" s="1"/>
      <c r="J16" s="1"/>
      <c r="K16" s="1"/>
      <c r="L16" s="1"/>
      <c r="M16" s="1"/>
      <c r="N16" s="1"/>
      <c r="O16" s="1"/>
      <c r="P16" s="1"/>
      <c r="Q16" s="1"/>
      <c r="R16" s="1"/>
      <c r="S16" s="1"/>
      <c r="T16" s="1"/>
      <c r="U16" s="1"/>
      <c r="V16" s="1"/>
    </row>
    <row r="17" spans="1:32" ht="27.6" x14ac:dyDescent="0.2">
      <c r="A17" s="123" t="s">
        <v>78</v>
      </c>
      <c r="B17" s="178" t="s">
        <v>133</v>
      </c>
      <c r="C17" s="130">
        <v>2</v>
      </c>
      <c r="D17" s="131" t="s">
        <v>446</v>
      </c>
      <c r="E17" s="7" t="s">
        <v>624</v>
      </c>
      <c r="F17" s="88">
        <f t="shared" si="0"/>
        <v>6</v>
      </c>
      <c r="G17" s="205"/>
      <c r="H17" s="205"/>
      <c r="I17" s="1"/>
      <c r="J17" s="1"/>
      <c r="K17" s="1"/>
      <c r="L17" s="1"/>
      <c r="M17" s="1"/>
      <c r="N17" s="1"/>
      <c r="O17" s="1"/>
      <c r="P17" s="1"/>
      <c r="Q17" s="1"/>
      <c r="R17" s="1"/>
      <c r="S17" s="1"/>
      <c r="T17" s="1"/>
      <c r="U17" s="1"/>
      <c r="V17" s="1"/>
    </row>
    <row r="18" spans="1:32" ht="43.2" x14ac:dyDescent="0.2">
      <c r="A18" s="127" t="s">
        <v>79</v>
      </c>
      <c r="B18" s="178" t="s">
        <v>133</v>
      </c>
      <c r="C18" s="130">
        <v>2</v>
      </c>
      <c r="D18" s="131" t="s">
        <v>28</v>
      </c>
      <c r="E18" s="7" t="s">
        <v>624</v>
      </c>
      <c r="F18" s="88">
        <f t="shared" si="0"/>
        <v>6</v>
      </c>
      <c r="G18" s="205"/>
      <c r="H18" s="205"/>
      <c r="I18" s="1"/>
      <c r="J18" s="1"/>
      <c r="K18" s="1"/>
      <c r="L18" s="1"/>
      <c r="M18" s="1"/>
      <c r="N18" s="1"/>
      <c r="O18" s="1"/>
      <c r="P18" s="1"/>
      <c r="Q18" s="1"/>
      <c r="R18" s="1"/>
      <c r="S18" s="1"/>
      <c r="T18" s="1"/>
      <c r="U18" s="1"/>
      <c r="V18" s="1"/>
    </row>
    <row r="19" spans="1:32" ht="27.6" x14ac:dyDescent="0.2">
      <c r="A19" s="123" t="s">
        <v>80</v>
      </c>
      <c r="B19" s="178" t="s">
        <v>133</v>
      </c>
      <c r="C19" s="130">
        <v>2</v>
      </c>
      <c r="D19" s="131" t="s">
        <v>29</v>
      </c>
      <c r="E19" s="7" t="s">
        <v>624</v>
      </c>
      <c r="F19" s="88">
        <f t="shared" si="0"/>
        <v>6</v>
      </c>
      <c r="G19" s="206"/>
      <c r="H19" s="206"/>
      <c r="I19" s="1"/>
      <c r="J19" s="1"/>
      <c r="K19" s="1"/>
      <c r="L19" s="1"/>
      <c r="M19" s="1"/>
      <c r="N19" s="1"/>
      <c r="O19" s="1"/>
      <c r="P19" s="1"/>
      <c r="Q19" s="1"/>
      <c r="R19" s="1"/>
      <c r="S19" s="1"/>
      <c r="T19" s="1"/>
      <c r="U19" s="1"/>
      <c r="V19" s="1"/>
    </row>
    <row r="20" spans="1:32" ht="28.2" x14ac:dyDescent="0.2">
      <c r="A20" s="127" t="s">
        <v>107</v>
      </c>
      <c r="B20" s="178" t="s">
        <v>133</v>
      </c>
      <c r="C20" s="130">
        <v>2</v>
      </c>
      <c r="D20" s="131" t="s">
        <v>52</v>
      </c>
      <c r="E20" s="7" t="s">
        <v>624</v>
      </c>
      <c r="F20" s="88">
        <f t="shared" si="0"/>
        <v>6</v>
      </c>
      <c r="G20" s="205"/>
      <c r="H20" s="205"/>
      <c r="I20" s="1"/>
      <c r="J20" s="1"/>
      <c r="K20" s="1"/>
      <c r="L20" s="1"/>
      <c r="M20" s="1"/>
      <c r="N20" s="1"/>
      <c r="O20" s="1"/>
      <c r="P20" s="1"/>
      <c r="Q20" s="1"/>
      <c r="R20" s="1"/>
      <c r="S20" s="1"/>
      <c r="T20" s="1"/>
      <c r="U20" s="1"/>
      <c r="V20" s="1"/>
    </row>
    <row r="21" spans="1:32" ht="27.6" x14ac:dyDescent="0.2">
      <c r="A21" s="123" t="s">
        <v>108</v>
      </c>
      <c r="B21" s="178" t="s">
        <v>133</v>
      </c>
      <c r="C21" s="130">
        <v>2</v>
      </c>
      <c r="D21" s="131" t="s">
        <v>447</v>
      </c>
      <c r="E21" s="7" t="s">
        <v>624</v>
      </c>
      <c r="F21" s="88">
        <f t="shared" si="0"/>
        <v>6</v>
      </c>
      <c r="G21" s="206"/>
      <c r="H21" s="206"/>
      <c r="I21" s="1"/>
      <c r="J21" s="1"/>
      <c r="K21" s="1"/>
      <c r="L21" s="1"/>
      <c r="M21" s="1"/>
      <c r="N21" s="1"/>
      <c r="O21" s="1"/>
      <c r="P21" s="1"/>
      <c r="Q21" s="1"/>
      <c r="R21" s="1"/>
      <c r="S21" s="1"/>
      <c r="T21" s="1"/>
      <c r="U21" s="1"/>
      <c r="V21" s="1"/>
    </row>
    <row r="22" spans="1:32" ht="27.6" x14ac:dyDescent="0.2">
      <c r="A22" s="127" t="s">
        <v>109</v>
      </c>
      <c r="B22" s="182" t="s">
        <v>132</v>
      </c>
      <c r="C22" s="125">
        <v>1</v>
      </c>
      <c r="D22" s="131" t="s">
        <v>448</v>
      </c>
      <c r="E22" s="7" t="s">
        <v>624</v>
      </c>
      <c r="F22" s="88">
        <f t="shared" si="0"/>
        <v>3</v>
      </c>
      <c r="G22" s="205"/>
      <c r="H22" s="206"/>
      <c r="I22" s="1"/>
      <c r="J22" s="1"/>
      <c r="K22" s="1"/>
      <c r="L22" s="1"/>
      <c r="M22" s="1"/>
      <c r="N22" s="1"/>
      <c r="O22" s="1"/>
      <c r="P22" s="1"/>
      <c r="Q22" s="1"/>
      <c r="R22" s="1"/>
      <c r="S22" s="1"/>
      <c r="T22" s="1"/>
      <c r="U22" s="1"/>
      <c r="V22" s="1"/>
    </row>
    <row r="23" spans="1:32" ht="14.4" x14ac:dyDescent="0.2">
      <c r="A23" s="123" t="s">
        <v>110</v>
      </c>
      <c r="B23" s="182" t="s">
        <v>132</v>
      </c>
      <c r="C23" s="125">
        <v>1</v>
      </c>
      <c r="D23" s="131" t="s">
        <v>44</v>
      </c>
      <c r="E23" s="7" t="s">
        <v>624</v>
      </c>
      <c r="F23" s="88">
        <f t="shared" si="0"/>
        <v>3</v>
      </c>
      <c r="G23" s="205"/>
      <c r="H23" s="205"/>
      <c r="I23" s="1"/>
      <c r="J23" s="1"/>
      <c r="K23" s="1"/>
      <c r="L23" s="1"/>
      <c r="M23" s="1"/>
      <c r="N23" s="1"/>
      <c r="O23" s="1"/>
      <c r="P23" s="1"/>
      <c r="Q23" s="1"/>
      <c r="R23" s="1"/>
      <c r="S23" s="1"/>
      <c r="T23" s="1"/>
      <c r="U23" s="1"/>
      <c r="V23" s="1"/>
    </row>
    <row r="24" spans="1:32" ht="14.4" x14ac:dyDescent="0.2">
      <c r="A24" s="127" t="s">
        <v>111</v>
      </c>
      <c r="B24" s="182" t="s">
        <v>132</v>
      </c>
      <c r="C24" s="125">
        <v>1</v>
      </c>
      <c r="D24" s="131" t="s">
        <v>45</v>
      </c>
      <c r="E24" s="7" t="s">
        <v>624</v>
      </c>
      <c r="F24" s="88">
        <f t="shared" si="0"/>
        <v>3</v>
      </c>
      <c r="G24" s="206"/>
      <c r="H24" s="205"/>
      <c r="I24" s="1"/>
      <c r="J24" s="1"/>
      <c r="K24" s="1"/>
      <c r="L24" s="1"/>
      <c r="M24" s="1"/>
      <c r="N24" s="1"/>
      <c r="O24" s="1"/>
      <c r="P24" s="1"/>
      <c r="Q24" s="1"/>
      <c r="R24" s="1"/>
      <c r="S24" s="1"/>
      <c r="T24" s="1"/>
      <c r="U24" s="1"/>
      <c r="V24" s="1"/>
    </row>
    <row r="25" spans="1:32" ht="28.2" x14ac:dyDescent="0.2">
      <c r="A25" s="123" t="s">
        <v>112</v>
      </c>
      <c r="B25" s="178" t="s">
        <v>133</v>
      </c>
      <c r="C25" s="130">
        <v>2</v>
      </c>
      <c r="D25" s="126" t="s">
        <v>318</v>
      </c>
      <c r="E25" s="7" t="s">
        <v>624</v>
      </c>
      <c r="F25" s="88">
        <f t="shared" si="0"/>
        <v>6</v>
      </c>
      <c r="G25" s="205"/>
      <c r="H25" s="205"/>
      <c r="I25" s="1"/>
      <c r="J25" s="1"/>
      <c r="K25" s="1"/>
      <c r="L25" s="1"/>
      <c r="M25" s="1"/>
      <c r="N25" s="1"/>
      <c r="O25" s="1"/>
      <c r="P25" s="1"/>
      <c r="Q25" s="1"/>
      <c r="R25" s="1"/>
      <c r="S25" s="1"/>
      <c r="T25" s="1"/>
      <c r="U25" s="1"/>
      <c r="V25" s="1"/>
    </row>
    <row r="26" spans="1:32" ht="13.8" x14ac:dyDescent="0.2">
      <c r="A26" s="127" t="s">
        <v>113</v>
      </c>
      <c r="B26" s="178" t="s">
        <v>133</v>
      </c>
      <c r="C26" s="130">
        <v>2</v>
      </c>
      <c r="D26" s="159" t="s">
        <v>317</v>
      </c>
      <c r="E26" s="7" t="s">
        <v>624</v>
      </c>
      <c r="F26" s="88">
        <f t="shared" si="0"/>
        <v>6</v>
      </c>
      <c r="G26" s="205"/>
      <c r="H26" s="205"/>
      <c r="I26" s="1"/>
      <c r="J26" s="1"/>
      <c r="K26" s="1"/>
      <c r="L26" s="1"/>
      <c r="M26" s="1"/>
      <c r="N26" s="1"/>
      <c r="O26" s="1"/>
      <c r="P26" s="1"/>
      <c r="Q26" s="1"/>
      <c r="R26" s="1"/>
      <c r="S26" s="1"/>
      <c r="T26" s="1"/>
      <c r="U26" s="1"/>
      <c r="V26" s="1"/>
    </row>
    <row r="27" spans="1:32" ht="27.6" x14ac:dyDescent="0.2">
      <c r="A27" s="123" t="s">
        <v>114</v>
      </c>
      <c r="B27" s="178" t="s">
        <v>133</v>
      </c>
      <c r="C27" s="184">
        <v>2</v>
      </c>
      <c r="D27" s="159" t="s">
        <v>303</v>
      </c>
      <c r="E27" s="7" t="s">
        <v>624</v>
      </c>
      <c r="F27" s="88">
        <f t="shared" si="0"/>
        <v>6</v>
      </c>
      <c r="G27" s="205"/>
      <c r="H27" s="205"/>
      <c r="I27" s="1"/>
      <c r="J27" s="1"/>
      <c r="K27" s="1"/>
      <c r="L27" s="1"/>
      <c r="M27" s="1"/>
      <c r="N27" s="1"/>
      <c r="O27" s="1"/>
      <c r="P27" s="1"/>
      <c r="Q27" s="1"/>
      <c r="R27" s="1"/>
      <c r="S27" s="1"/>
      <c r="T27" s="1"/>
      <c r="U27" s="1"/>
      <c r="V27" s="1"/>
    </row>
    <row r="28" spans="1:32" ht="27.6" x14ac:dyDescent="0.2">
      <c r="A28" s="127" t="s">
        <v>115</v>
      </c>
      <c r="B28" s="178" t="s">
        <v>133</v>
      </c>
      <c r="C28" s="184">
        <v>2</v>
      </c>
      <c r="D28" s="159" t="s">
        <v>505</v>
      </c>
      <c r="E28" s="7" t="s">
        <v>624</v>
      </c>
      <c r="F28" s="88">
        <f t="shared" si="0"/>
        <v>6</v>
      </c>
      <c r="G28" s="205"/>
      <c r="H28" s="205"/>
      <c r="I28" s="1"/>
      <c r="J28" s="1"/>
      <c r="K28" s="1"/>
      <c r="L28" s="1"/>
      <c r="M28" s="1"/>
      <c r="N28" s="1"/>
      <c r="O28" s="1"/>
      <c r="P28" s="1"/>
      <c r="Q28" s="1"/>
      <c r="R28" s="1"/>
      <c r="S28" s="1"/>
      <c r="T28" s="1"/>
      <c r="U28" s="1"/>
      <c r="V28" s="1"/>
    </row>
    <row r="29" spans="1:32" s="3" customFormat="1" ht="41.4" x14ac:dyDescent="0.2">
      <c r="A29" s="123" t="s">
        <v>266</v>
      </c>
      <c r="B29" s="178" t="s">
        <v>133</v>
      </c>
      <c r="C29" s="185">
        <v>3</v>
      </c>
      <c r="D29" s="159" t="s">
        <v>506</v>
      </c>
      <c r="E29" s="7" t="s">
        <v>624</v>
      </c>
      <c r="F29" s="88">
        <f t="shared" ref="F29" si="2">INDEX(SkorAkhir, MATCH(E29,StatusPenerapanHasil,0), MATCH(C29,TingkatKematangan,0))</f>
        <v>9</v>
      </c>
      <c r="G29" s="205"/>
      <c r="H29" s="205"/>
      <c r="I29" s="1"/>
      <c r="J29" s="1"/>
      <c r="K29" s="1"/>
      <c r="L29" s="1"/>
      <c r="M29" s="1"/>
      <c r="N29" s="1"/>
      <c r="O29" s="1"/>
      <c r="P29" s="1"/>
      <c r="Q29" s="1"/>
      <c r="R29" s="1"/>
      <c r="S29" s="1"/>
      <c r="T29" s="1"/>
      <c r="U29" s="1"/>
      <c r="V29" s="1"/>
    </row>
    <row r="30" spans="1:32" s="3" customFormat="1" ht="27.6" x14ac:dyDescent="0.2">
      <c r="A30" s="127" t="s">
        <v>267</v>
      </c>
      <c r="B30" s="166" t="s">
        <v>135</v>
      </c>
      <c r="C30" s="134">
        <v>3</v>
      </c>
      <c r="D30" s="131" t="s">
        <v>449</v>
      </c>
      <c r="E30" s="7" t="s">
        <v>624</v>
      </c>
      <c r="F30" s="88">
        <f>IF(E38="Valid",INDEX(SkorAkhir, MATCH(E30,StatusPenerapanHasil,0), MATCH(C30,TingkatKematangan,0)),0)</f>
        <v>9</v>
      </c>
      <c r="G30" s="205"/>
      <c r="H30" s="205"/>
      <c r="I30" s="1"/>
      <c r="J30" s="1"/>
      <c r="K30" s="1"/>
      <c r="L30" s="1"/>
      <c r="M30" s="1"/>
      <c r="N30" s="1"/>
      <c r="O30" s="1"/>
      <c r="P30" s="1"/>
      <c r="Q30" s="1"/>
      <c r="R30" s="1"/>
      <c r="S30" s="1"/>
      <c r="T30" s="1"/>
      <c r="U30" s="1"/>
      <c r="V30" s="1"/>
    </row>
    <row r="31" spans="1:32" s="3" customFormat="1" ht="17.399999999999999" x14ac:dyDescent="0.2">
      <c r="A31" s="149"/>
      <c r="B31" s="149"/>
      <c r="C31" s="149"/>
      <c r="D31" s="136" t="s">
        <v>11</v>
      </c>
      <c r="E31" s="150">
        <f>SUM(F5:F30)</f>
        <v>120</v>
      </c>
      <c r="F31" s="118"/>
      <c r="G31" s="1"/>
      <c r="H31" s="1"/>
      <c r="I31" s="1"/>
      <c r="J31" s="1"/>
      <c r="K31" s="1"/>
      <c r="L31" s="1"/>
      <c r="M31" s="1"/>
      <c r="N31" s="1"/>
      <c r="O31" s="1"/>
      <c r="P31" s="1"/>
      <c r="Q31" s="1"/>
      <c r="R31" s="1"/>
      <c r="S31" s="1"/>
      <c r="T31" s="1"/>
      <c r="U31" s="1"/>
      <c r="V31" s="1"/>
    </row>
    <row r="32" spans="1:32" s="139" customFormat="1" x14ac:dyDescent="0.2">
      <c r="A32" s="138"/>
      <c r="B32" s="138"/>
      <c r="C32" s="138"/>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spans="1:8" s="1" customFormat="1" x14ac:dyDescent="0.2">
      <c r="A33" s="97"/>
      <c r="B33" s="97"/>
      <c r="C33" s="97"/>
      <c r="D33" s="140" t="s">
        <v>191</v>
      </c>
      <c r="E33" s="141">
        <f>COUNTIF($C$5:$C$30,1)</f>
        <v>14</v>
      </c>
    </row>
    <row r="34" spans="1:8" s="1" customFormat="1" x14ac:dyDescent="0.2">
      <c r="A34" s="97"/>
      <c r="B34" s="97"/>
      <c r="C34" s="97"/>
      <c r="D34" s="140" t="s">
        <v>192</v>
      </c>
      <c r="E34" s="141">
        <f>COUNTIF($C$5:$C$30,2)</f>
        <v>10</v>
      </c>
    </row>
    <row r="35" spans="1:8" s="1" customFormat="1" x14ac:dyDescent="0.2">
      <c r="A35" s="97"/>
      <c r="B35" s="97"/>
      <c r="C35" s="97"/>
      <c r="D35" s="140" t="s">
        <v>193</v>
      </c>
      <c r="E35" s="141">
        <f>COUNTIF($C$5:$C$30,3)</f>
        <v>2</v>
      </c>
    </row>
    <row r="36" spans="1:8" s="1" customFormat="1" x14ac:dyDescent="0.2">
      <c r="A36" s="97"/>
      <c r="B36" s="97"/>
      <c r="C36" s="97"/>
      <c r="D36" s="140" t="s">
        <v>194</v>
      </c>
      <c r="E36" s="141">
        <f>(2*E33)+(4*E34)</f>
        <v>68</v>
      </c>
    </row>
    <row r="37" spans="1:8" s="1" customFormat="1" x14ac:dyDescent="0.2">
      <c r="A37" s="97"/>
      <c r="B37" s="97"/>
      <c r="C37" s="97"/>
      <c r="D37" s="140" t="s">
        <v>195</v>
      </c>
      <c r="E37" s="141">
        <f>SUM(F5:F28)</f>
        <v>102</v>
      </c>
    </row>
    <row r="38" spans="1:8" s="1" customFormat="1" x14ac:dyDescent="0.2">
      <c r="A38" s="97"/>
      <c r="B38" s="97"/>
      <c r="C38" s="97"/>
      <c r="D38" s="140" t="s">
        <v>196</v>
      </c>
      <c r="E38" s="141" t="str">
        <f>IF(E37&gt;=E36,"Valid","Tidak Valid")</f>
        <v>Valid</v>
      </c>
    </row>
    <row r="39" spans="1:8" s="1" customFormat="1" x14ac:dyDescent="0.2">
      <c r="A39" s="97"/>
      <c r="B39" s="97"/>
      <c r="C39" s="97"/>
    </row>
    <row r="40" spans="1:8" s="1" customFormat="1" x14ac:dyDescent="0.2">
      <c r="A40" s="97"/>
      <c r="B40" s="97"/>
      <c r="C40" s="97"/>
      <c r="D40" s="140" t="s">
        <v>138</v>
      </c>
      <c r="E40" s="141">
        <f>SUM(F5:F15)+SUM(F22:F24)</f>
        <v>42</v>
      </c>
      <c r="F40" s="142" t="s">
        <v>272</v>
      </c>
      <c r="H40" s="142">
        <f>14*3</f>
        <v>42</v>
      </c>
    </row>
    <row r="41" spans="1:8" s="1" customFormat="1" x14ac:dyDescent="0.2">
      <c r="A41" s="97"/>
      <c r="B41" s="97"/>
      <c r="C41" s="97"/>
      <c r="D41" s="143" t="s">
        <v>153</v>
      </c>
      <c r="E41" s="141">
        <f>(4*2)+(10*1)</f>
        <v>18</v>
      </c>
      <c r="F41" s="142" t="s">
        <v>170</v>
      </c>
    </row>
    <row r="42" spans="1:8" s="1" customFormat="1" x14ac:dyDescent="0.2">
      <c r="A42" s="97"/>
      <c r="B42" s="97"/>
      <c r="C42" s="97"/>
      <c r="D42" s="143" t="s">
        <v>154</v>
      </c>
      <c r="E42" s="141">
        <f>14*2</f>
        <v>28</v>
      </c>
      <c r="F42" s="142" t="s">
        <v>171</v>
      </c>
    </row>
    <row r="43" spans="1:8" s="1" customFormat="1" x14ac:dyDescent="0.2">
      <c r="A43" s="97"/>
      <c r="B43" s="97"/>
      <c r="C43" s="97"/>
      <c r="D43" s="140" t="s">
        <v>155</v>
      </c>
      <c r="E43" s="141" t="str">
        <f>IF(E40&gt;=E42,"II",IF(E40&gt;=E41,"I+","No"))</f>
        <v>II</v>
      </c>
      <c r="F43" s="142">
        <f>0.8*14*3</f>
        <v>33.6</v>
      </c>
      <c r="G43" s="142" t="s">
        <v>190</v>
      </c>
    </row>
    <row r="44" spans="1:8" s="1" customFormat="1" x14ac:dyDescent="0.2">
      <c r="A44" s="97"/>
      <c r="B44" s="97"/>
      <c r="C44" s="97"/>
      <c r="D44" s="140" t="s">
        <v>139</v>
      </c>
      <c r="E44" s="141">
        <f>SUM(F16:F21)+SUM(F25:F29)</f>
        <v>69</v>
      </c>
      <c r="F44" s="142" t="s">
        <v>288</v>
      </c>
      <c r="H44" s="142">
        <f>11*6</f>
        <v>66</v>
      </c>
    </row>
    <row r="45" spans="1:8" s="1" customFormat="1" x14ac:dyDescent="0.2">
      <c r="A45" s="97"/>
      <c r="B45" s="97"/>
      <c r="C45" s="97"/>
      <c r="D45" s="143" t="s">
        <v>158</v>
      </c>
      <c r="E45" s="141" t="str">
        <f>IF(E40&gt;=F43,"Yes","No")</f>
        <v>Yes</v>
      </c>
    </row>
    <row r="46" spans="1:8" s="1" customFormat="1" x14ac:dyDescent="0.2">
      <c r="A46" s="97"/>
      <c r="B46" s="97"/>
      <c r="C46" s="97"/>
      <c r="D46" s="143" t="s">
        <v>156</v>
      </c>
      <c r="E46" s="141">
        <f>(2*2)+(9*4)</f>
        <v>40</v>
      </c>
      <c r="F46" s="142" t="s">
        <v>198</v>
      </c>
    </row>
    <row r="47" spans="1:8" s="1" customFormat="1" x14ac:dyDescent="0.2">
      <c r="A47" s="97"/>
      <c r="B47" s="97"/>
      <c r="C47" s="97"/>
      <c r="D47" s="143" t="s">
        <v>157</v>
      </c>
      <c r="E47" s="141">
        <f>(2*4)+(9*6)</f>
        <v>62</v>
      </c>
      <c r="F47" s="142" t="s">
        <v>199</v>
      </c>
    </row>
    <row r="48" spans="1:8" s="1" customFormat="1" x14ac:dyDescent="0.2">
      <c r="A48" s="97"/>
      <c r="B48" s="97"/>
      <c r="C48" s="97"/>
      <c r="D48" s="140" t="s">
        <v>155</v>
      </c>
      <c r="E48" s="141" t="str">
        <f>IF(E45="Yes",IF(E44&gt;=E47,"III",IF(E44&gt;=E46,"II+","II")),"No")</f>
        <v>III</v>
      </c>
      <c r="F48" s="142">
        <f>(1*4)+(10*6)</f>
        <v>64</v>
      </c>
      <c r="G48" s="142" t="s">
        <v>200</v>
      </c>
    </row>
    <row r="49" spans="1:6" s="1" customFormat="1" x14ac:dyDescent="0.2">
      <c r="A49" s="97"/>
      <c r="B49" s="97"/>
      <c r="C49" s="97"/>
      <c r="D49" s="140" t="s">
        <v>140</v>
      </c>
      <c r="E49" s="141">
        <f>F30</f>
        <v>9</v>
      </c>
      <c r="F49" s="142" t="s">
        <v>175</v>
      </c>
    </row>
    <row r="50" spans="1:6" s="1" customFormat="1" x14ac:dyDescent="0.2">
      <c r="A50" s="97"/>
      <c r="B50" s="97"/>
      <c r="C50" s="97"/>
      <c r="D50" s="143" t="s">
        <v>159</v>
      </c>
      <c r="E50" s="141" t="str">
        <f>IF(AND(E45="Yes",E44&gt;=F48),"Yes","No")</f>
        <v>Yes</v>
      </c>
      <c r="F50" s="142"/>
    </row>
    <row r="51" spans="1:6" s="1" customFormat="1" x14ac:dyDescent="0.2">
      <c r="A51" s="97"/>
      <c r="B51" s="97"/>
      <c r="C51" s="97"/>
      <c r="D51" s="143" t="s">
        <v>160</v>
      </c>
      <c r="E51" s="141">
        <f>1*6</f>
        <v>6</v>
      </c>
      <c r="F51" s="142" t="s">
        <v>172</v>
      </c>
    </row>
    <row r="52" spans="1:6" s="1" customFormat="1" x14ac:dyDescent="0.2">
      <c r="A52" s="97"/>
      <c r="B52" s="97"/>
      <c r="C52" s="97"/>
      <c r="D52" s="143" t="s">
        <v>161</v>
      </c>
      <c r="E52" s="141">
        <f>1*9</f>
        <v>9</v>
      </c>
      <c r="F52" s="142" t="s">
        <v>173</v>
      </c>
    </row>
    <row r="53" spans="1:6" s="1" customFormat="1" x14ac:dyDescent="0.2">
      <c r="A53" s="97"/>
      <c r="B53" s="97"/>
      <c r="C53" s="97"/>
      <c r="D53" s="140" t="s">
        <v>155</v>
      </c>
      <c r="E53" s="141" t="str">
        <f>IF(E50="Yes",IF(AND(E40=H40,E44&gt;=H44,E49&gt;=E52),"IV",IF(E49&gt;=E51,"III+","III")),"No")</f>
        <v>IV</v>
      </c>
      <c r="F53" s="142">
        <f>1*9</f>
        <v>9</v>
      </c>
    </row>
    <row r="54" spans="1:6" s="1" customFormat="1" x14ac:dyDescent="0.2">
      <c r="A54" s="97"/>
      <c r="B54" s="97"/>
      <c r="C54" s="97"/>
    </row>
    <row r="55" spans="1:6" s="1" customFormat="1" x14ac:dyDescent="0.2">
      <c r="A55" s="97"/>
      <c r="B55" s="97"/>
      <c r="C55" s="97"/>
    </row>
    <row r="56" spans="1:6" s="1" customFormat="1" x14ac:dyDescent="0.2">
      <c r="A56" s="97"/>
      <c r="B56" s="97"/>
      <c r="C56" s="97"/>
    </row>
    <row r="57" spans="1:6" s="1" customFormat="1" x14ac:dyDescent="0.2">
      <c r="A57" s="97"/>
      <c r="B57" s="97"/>
      <c r="C57" s="97"/>
    </row>
    <row r="58" spans="1:6" s="1" customFormat="1" x14ac:dyDescent="0.2">
      <c r="A58" s="97"/>
      <c r="B58" s="97"/>
      <c r="C58" s="97"/>
    </row>
    <row r="59" spans="1:6" s="1" customFormat="1" x14ac:dyDescent="0.2">
      <c r="A59" s="97"/>
      <c r="B59" s="97"/>
      <c r="C59" s="97"/>
    </row>
    <row r="60" spans="1:6" s="1" customFormat="1" x14ac:dyDescent="0.2">
      <c r="A60" s="97"/>
      <c r="B60" s="97"/>
      <c r="C60" s="97"/>
    </row>
    <row r="61" spans="1:6" s="1" customFormat="1" x14ac:dyDescent="0.2">
      <c r="A61" s="97"/>
      <c r="B61" s="97"/>
      <c r="C61" s="97"/>
    </row>
    <row r="62" spans="1:6" s="1" customFormat="1" x14ac:dyDescent="0.2">
      <c r="A62" s="97"/>
      <c r="B62" s="97"/>
      <c r="C62" s="97"/>
    </row>
    <row r="63" spans="1:6" s="1" customFormat="1" x14ac:dyDescent="0.2">
      <c r="A63" s="97"/>
      <c r="B63" s="97"/>
      <c r="C63" s="97"/>
    </row>
    <row r="64" spans="1:6" s="1" customFormat="1" x14ac:dyDescent="0.2">
      <c r="A64" s="97"/>
      <c r="B64" s="97"/>
      <c r="C64" s="97"/>
    </row>
    <row r="65" spans="1:3" s="1" customFormat="1" x14ac:dyDescent="0.2">
      <c r="A65" s="97"/>
      <c r="B65" s="97"/>
      <c r="C65" s="97"/>
    </row>
    <row r="66" spans="1:3" s="1" customFormat="1" x14ac:dyDescent="0.2">
      <c r="A66" s="97"/>
      <c r="B66" s="97"/>
      <c r="C66" s="97"/>
    </row>
    <row r="67" spans="1:3" s="1" customFormat="1" x14ac:dyDescent="0.2">
      <c r="A67" s="97"/>
      <c r="B67" s="97"/>
      <c r="C67" s="97"/>
    </row>
    <row r="68" spans="1:3" s="1" customFormat="1" x14ac:dyDescent="0.2">
      <c r="A68" s="97"/>
      <c r="B68" s="97"/>
      <c r="C68" s="97"/>
    </row>
    <row r="69" spans="1:3" s="1" customFormat="1" x14ac:dyDescent="0.2">
      <c r="A69" s="97"/>
      <c r="B69" s="97"/>
      <c r="C69" s="97"/>
    </row>
    <row r="70" spans="1:3" s="1" customFormat="1" x14ac:dyDescent="0.2">
      <c r="A70" s="97"/>
      <c r="B70" s="97"/>
      <c r="C70" s="97"/>
    </row>
    <row r="71" spans="1:3" s="1" customFormat="1" x14ac:dyDescent="0.2">
      <c r="A71" s="97"/>
      <c r="B71" s="97"/>
      <c r="C71" s="97"/>
    </row>
    <row r="72" spans="1:3" s="1" customFormat="1" x14ac:dyDescent="0.2">
      <c r="A72" s="97"/>
      <c r="B72" s="97"/>
      <c r="C72" s="97"/>
    </row>
    <row r="73" spans="1:3" s="1" customFormat="1" x14ac:dyDescent="0.2">
      <c r="A73" s="97"/>
      <c r="B73" s="97"/>
      <c r="C73" s="97"/>
    </row>
    <row r="74" spans="1:3" s="1" customFormat="1" x14ac:dyDescent="0.2">
      <c r="A74" s="97"/>
      <c r="B74" s="97"/>
      <c r="C74" s="97"/>
    </row>
    <row r="75" spans="1:3" s="1" customFormat="1" x14ac:dyDescent="0.2">
      <c r="A75" s="97"/>
      <c r="B75" s="97"/>
      <c r="C75" s="97"/>
    </row>
    <row r="76" spans="1:3" s="1" customFormat="1" x14ac:dyDescent="0.2">
      <c r="A76" s="97"/>
      <c r="B76" s="97"/>
      <c r="C76" s="97"/>
    </row>
    <row r="77" spans="1:3" s="1" customFormat="1" x14ac:dyDescent="0.2">
      <c r="A77" s="97"/>
      <c r="B77" s="97"/>
      <c r="C77" s="97"/>
    </row>
    <row r="78" spans="1:3" s="1" customFormat="1" x14ac:dyDescent="0.2">
      <c r="A78" s="97"/>
      <c r="B78" s="97"/>
      <c r="C78" s="97"/>
    </row>
    <row r="79" spans="1:3" s="1" customFormat="1" x14ac:dyDescent="0.2">
      <c r="A79" s="97"/>
      <c r="B79" s="97"/>
      <c r="C79" s="97"/>
    </row>
    <row r="80" spans="1:3" s="1" customFormat="1" x14ac:dyDescent="0.2">
      <c r="A80" s="97"/>
      <c r="B80" s="97"/>
      <c r="C80" s="97"/>
    </row>
    <row r="81" spans="1:3" s="1" customFormat="1" x14ac:dyDescent="0.2">
      <c r="A81" s="97"/>
      <c r="B81" s="97"/>
      <c r="C81" s="97"/>
    </row>
    <row r="82" spans="1:3" s="1" customFormat="1" x14ac:dyDescent="0.2">
      <c r="A82" s="97"/>
      <c r="B82" s="97"/>
      <c r="C82" s="97"/>
    </row>
    <row r="83" spans="1:3" s="1" customFormat="1" x14ac:dyDescent="0.2">
      <c r="A83" s="97"/>
      <c r="B83" s="97"/>
      <c r="C83" s="97"/>
    </row>
    <row r="84" spans="1:3" s="1" customFormat="1" x14ac:dyDescent="0.2">
      <c r="A84" s="97"/>
      <c r="B84" s="97"/>
      <c r="C84" s="97"/>
    </row>
    <row r="85" spans="1:3" s="1" customFormat="1" x14ac:dyDescent="0.2">
      <c r="A85" s="97"/>
      <c r="B85" s="97"/>
      <c r="C85" s="97"/>
    </row>
    <row r="86" spans="1:3" s="1" customFormat="1" x14ac:dyDescent="0.2">
      <c r="A86" s="97"/>
      <c r="B86" s="97"/>
      <c r="C86" s="97"/>
    </row>
    <row r="87" spans="1:3" s="1" customFormat="1" x14ac:dyDescent="0.2">
      <c r="A87" s="97"/>
      <c r="B87" s="97"/>
      <c r="C87" s="97"/>
    </row>
    <row r="88" spans="1:3" s="1" customFormat="1" x14ac:dyDescent="0.2">
      <c r="A88" s="97"/>
      <c r="B88" s="97"/>
      <c r="C88" s="97"/>
    </row>
    <row r="89" spans="1:3" s="1" customFormat="1" x14ac:dyDescent="0.2">
      <c r="A89" s="97"/>
      <c r="B89" s="97"/>
      <c r="C89" s="97"/>
    </row>
    <row r="90" spans="1:3" s="1" customFormat="1" x14ac:dyDescent="0.2">
      <c r="A90" s="97"/>
      <c r="B90" s="97"/>
      <c r="C90" s="97"/>
    </row>
    <row r="91" spans="1:3" s="1" customFormat="1" x14ac:dyDescent="0.2">
      <c r="A91" s="97"/>
      <c r="B91" s="97"/>
      <c r="C91" s="97"/>
    </row>
    <row r="92" spans="1:3" s="1" customFormat="1" x14ac:dyDescent="0.2">
      <c r="A92" s="97"/>
      <c r="B92" s="97"/>
      <c r="C92" s="97"/>
    </row>
    <row r="93" spans="1:3" s="1" customFormat="1" x14ac:dyDescent="0.2">
      <c r="A93" s="97"/>
      <c r="B93" s="97"/>
      <c r="C93" s="97"/>
    </row>
    <row r="94" spans="1:3" s="1" customFormat="1" x14ac:dyDescent="0.2">
      <c r="A94" s="97"/>
      <c r="B94" s="97"/>
      <c r="C94" s="97"/>
    </row>
    <row r="95" spans="1:3" s="1" customFormat="1" x14ac:dyDescent="0.2">
      <c r="A95" s="97"/>
      <c r="B95" s="97"/>
      <c r="C95" s="97"/>
    </row>
    <row r="96" spans="1:3" s="1" customFormat="1" x14ac:dyDescent="0.2">
      <c r="A96" s="97"/>
      <c r="B96" s="97"/>
      <c r="C96" s="97"/>
    </row>
    <row r="97" spans="1:3" s="1" customFormat="1" x14ac:dyDescent="0.2">
      <c r="A97" s="97"/>
      <c r="B97" s="97"/>
      <c r="C97" s="97"/>
    </row>
    <row r="98" spans="1:3" s="1" customFormat="1" x14ac:dyDescent="0.2">
      <c r="A98" s="97"/>
      <c r="B98" s="97"/>
      <c r="C98" s="97"/>
    </row>
    <row r="99" spans="1:3" s="1" customFormat="1" x14ac:dyDescent="0.2">
      <c r="A99" s="97"/>
      <c r="B99" s="97"/>
      <c r="C99" s="97"/>
    </row>
    <row r="100" spans="1:3" s="1" customFormat="1" x14ac:dyDescent="0.2">
      <c r="A100" s="97"/>
      <c r="B100" s="97"/>
      <c r="C100" s="97"/>
    </row>
    <row r="101" spans="1:3" s="1" customFormat="1" x14ac:dyDescent="0.2">
      <c r="A101" s="97"/>
      <c r="B101" s="97"/>
      <c r="C101" s="97"/>
    </row>
    <row r="102" spans="1:3" s="1" customFormat="1" x14ac:dyDescent="0.2">
      <c r="A102" s="97"/>
      <c r="B102" s="97"/>
      <c r="C102" s="97"/>
    </row>
    <row r="103" spans="1:3" s="1" customFormat="1" x14ac:dyDescent="0.2">
      <c r="A103" s="97"/>
      <c r="B103" s="97"/>
      <c r="C103" s="97"/>
    </row>
    <row r="104" spans="1:3" s="1" customFormat="1" x14ac:dyDescent="0.2">
      <c r="A104" s="97"/>
      <c r="B104" s="97"/>
      <c r="C104" s="97"/>
    </row>
    <row r="105" spans="1:3" s="1" customFormat="1" x14ac:dyDescent="0.2">
      <c r="A105" s="97"/>
      <c r="B105" s="97"/>
      <c r="C105" s="97"/>
    </row>
    <row r="106" spans="1:3" s="1" customFormat="1" x14ac:dyDescent="0.2">
      <c r="A106" s="97"/>
      <c r="B106" s="97"/>
      <c r="C106" s="97"/>
    </row>
    <row r="107" spans="1:3" s="1" customFormat="1" x14ac:dyDescent="0.2">
      <c r="A107" s="97"/>
      <c r="B107" s="97"/>
      <c r="C107" s="97"/>
    </row>
    <row r="108" spans="1:3" s="1" customFormat="1" x14ac:dyDescent="0.2">
      <c r="A108" s="97"/>
      <c r="B108" s="97"/>
      <c r="C108" s="97"/>
    </row>
    <row r="109" spans="1:3" s="1" customFormat="1" x14ac:dyDescent="0.2">
      <c r="A109" s="97"/>
      <c r="B109" s="97"/>
      <c r="C109" s="97"/>
    </row>
    <row r="110" spans="1:3" s="1" customFormat="1" x14ac:dyDescent="0.2">
      <c r="A110" s="97"/>
      <c r="B110" s="97"/>
      <c r="C110" s="97"/>
    </row>
    <row r="111" spans="1:3" s="1" customFormat="1" x14ac:dyDescent="0.2">
      <c r="A111" s="97"/>
      <c r="B111" s="97"/>
      <c r="C111" s="97"/>
    </row>
    <row r="112" spans="1:3" s="1" customFormat="1" x14ac:dyDescent="0.2">
      <c r="A112" s="97"/>
      <c r="B112" s="97"/>
      <c r="C112" s="97"/>
    </row>
    <row r="113" spans="1:22" s="1" customFormat="1" x14ac:dyDescent="0.2">
      <c r="A113" s="97"/>
      <c r="B113" s="97"/>
      <c r="C113" s="97"/>
    </row>
    <row r="114" spans="1:22" s="1" customFormat="1" x14ac:dyDescent="0.2">
      <c r="A114" s="97"/>
      <c r="B114" s="97"/>
      <c r="C114" s="97"/>
    </row>
    <row r="115" spans="1:22" s="1" customFormat="1" x14ac:dyDescent="0.2">
      <c r="A115" s="97"/>
      <c r="B115" s="97"/>
      <c r="C115" s="97"/>
    </row>
    <row r="116" spans="1:22" s="1" customFormat="1" x14ac:dyDescent="0.2">
      <c r="A116" s="97"/>
      <c r="B116" s="97"/>
      <c r="C116" s="97"/>
    </row>
    <row r="117" spans="1:22" s="1" customFormat="1" x14ac:dyDescent="0.2">
      <c r="A117" s="97"/>
      <c r="B117" s="97"/>
      <c r="C117" s="97"/>
    </row>
    <row r="118" spans="1:22" s="1" customFormat="1" x14ac:dyDescent="0.2">
      <c r="A118" s="97"/>
      <c r="B118" s="97"/>
      <c r="C118" s="97"/>
    </row>
    <row r="119" spans="1:22" s="1" customFormat="1" x14ac:dyDescent="0.2">
      <c r="A119" s="97"/>
      <c r="B119" s="97"/>
      <c r="C119" s="97"/>
    </row>
    <row r="120" spans="1:22" s="1" customFormat="1" x14ac:dyDescent="0.2">
      <c r="A120" s="97"/>
      <c r="B120" s="97"/>
      <c r="C120" s="97"/>
    </row>
    <row r="121" spans="1:22" s="187" customFormat="1" x14ac:dyDescent="0.2">
      <c r="A121" s="186"/>
      <c r="B121" s="186"/>
      <c r="C121" s="186"/>
      <c r="F121" s="118"/>
      <c r="G121" s="1"/>
      <c r="H121" s="1"/>
      <c r="I121" s="1"/>
      <c r="J121" s="1"/>
      <c r="K121" s="1"/>
      <c r="L121" s="1"/>
      <c r="M121" s="1"/>
      <c r="N121" s="1"/>
      <c r="O121" s="1"/>
      <c r="P121" s="1"/>
      <c r="Q121" s="1"/>
      <c r="R121" s="1"/>
      <c r="S121" s="1"/>
      <c r="T121" s="1"/>
      <c r="U121" s="1"/>
      <c r="V121" s="1"/>
    </row>
    <row r="122" spans="1:22" x14ac:dyDescent="0.2">
      <c r="F122" s="118"/>
      <c r="G122" s="1"/>
      <c r="H122" s="1"/>
      <c r="I122" s="1"/>
      <c r="J122" s="1"/>
      <c r="K122" s="1"/>
      <c r="L122" s="1"/>
      <c r="M122" s="1"/>
      <c r="N122" s="1"/>
      <c r="O122" s="1"/>
      <c r="P122" s="1"/>
      <c r="Q122" s="1"/>
      <c r="R122" s="1"/>
      <c r="S122" s="1"/>
      <c r="T122" s="1"/>
      <c r="U122" s="1"/>
      <c r="V122" s="1"/>
    </row>
    <row r="123" spans="1:22" x14ac:dyDescent="0.2">
      <c r="F123" s="118"/>
      <c r="G123" s="1"/>
      <c r="H123" s="1"/>
      <c r="I123" s="1"/>
      <c r="J123" s="1"/>
      <c r="K123" s="1"/>
      <c r="L123" s="1"/>
      <c r="M123" s="1"/>
      <c r="N123" s="1"/>
      <c r="O123" s="1"/>
      <c r="P123" s="1"/>
      <c r="Q123" s="1"/>
      <c r="R123" s="1"/>
      <c r="S123" s="1"/>
      <c r="T123" s="1"/>
      <c r="U123" s="1"/>
      <c r="V123" s="1"/>
    </row>
    <row r="124" spans="1:22" x14ac:dyDescent="0.2">
      <c r="F124" s="118"/>
      <c r="G124" s="1"/>
      <c r="H124" s="1"/>
      <c r="I124" s="1"/>
      <c r="J124" s="1"/>
      <c r="K124" s="1"/>
      <c r="L124" s="1"/>
      <c r="M124" s="1"/>
      <c r="N124" s="1"/>
      <c r="O124" s="1"/>
      <c r="P124" s="1"/>
      <c r="Q124" s="1"/>
      <c r="R124" s="1"/>
      <c r="S124" s="1"/>
      <c r="T124" s="1"/>
      <c r="U124" s="1"/>
      <c r="V124" s="1"/>
    </row>
    <row r="125" spans="1:22" x14ac:dyDescent="0.2">
      <c r="F125" s="118"/>
      <c r="G125" s="1"/>
      <c r="H125" s="1"/>
      <c r="I125" s="1"/>
      <c r="J125" s="1"/>
      <c r="K125" s="1"/>
      <c r="L125" s="1"/>
      <c r="M125" s="1"/>
      <c r="N125" s="1"/>
      <c r="O125" s="1"/>
      <c r="P125" s="1"/>
      <c r="Q125" s="1"/>
      <c r="R125" s="1"/>
      <c r="S125" s="1"/>
      <c r="T125" s="1"/>
      <c r="U125" s="1"/>
      <c r="V125" s="1"/>
    </row>
    <row r="126" spans="1:22" x14ac:dyDescent="0.2">
      <c r="F126" s="118"/>
      <c r="G126" s="1"/>
      <c r="H126" s="1"/>
      <c r="I126" s="1"/>
      <c r="J126" s="1"/>
      <c r="K126" s="1"/>
      <c r="L126" s="1"/>
      <c r="M126" s="1"/>
      <c r="N126" s="1"/>
      <c r="O126" s="1"/>
      <c r="P126" s="1"/>
      <c r="Q126" s="1"/>
      <c r="R126" s="1"/>
      <c r="S126" s="1"/>
      <c r="T126" s="1"/>
      <c r="U126" s="1"/>
      <c r="V126" s="1"/>
    </row>
    <row r="127" spans="1:22" x14ac:dyDescent="0.2">
      <c r="F127" s="118"/>
      <c r="G127" s="1"/>
      <c r="H127" s="1"/>
      <c r="I127" s="1"/>
      <c r="J127" s="1"/>
      <c r="K127" s="1"/>
      <c r="L127" s="1"/>
      <c r="M127" s="1"/>
      <c r="N127" s="1"/>
      <c r="O127" s="1"/>
      <c r="P127" s="1"/>
      <c r="Q127" s="1"/>
      <c r="R127" s="1"/>
      <c r="S127" s="1"/>
      <c r="T127" s="1"/>
      <c r="U127" s="1"/>
      <c r="V127" s="1"/>
    </row>
    <row r="128" spans="1:22" x14ac:dyDescent="0.2">
      <c r="F128" s="118"/>
      <c r="G128" s="1"/>
      <c r="H128" s="1"/>
      <c r="I128" s="1"/>
      <c r="J128" s="1"/>
      <c r="K128" s="1"/>
      <c r="L128" s="1"/>
      <c r="M128" s="1"/>
      <c r="N128" s="1"/>
      <c r="O128" s="1"/>
      <c r="P128" s="1"/>
      <c r="Q128" s="1"/>
      <c r="R128" s="1"/>
      <c r="S128" s="1"/>
      <c r="T128" s="1"/>
      <c r="U128" s="1"/>
      <c r="V128" s="1"/>
    </row>
    <row r="129" spans="6:22" x14ac:dyDescent="0.2">
      <c r="F129" s="118"/>
      <c r="G129" s="1"/>
      <c r="H129" s="1"/>
      <c r="I129" s="1"/>
      <c r="J129" s="1"/>
      <c r="K129" s="1"/>
      <c r="L129" s="1"/>
      <c r="M129" s="1"/>
      <c r="N129" s="1"/>
      <c r="O129" s="1"/>
      <c r="P129" s="1"/>
      <c r="Q129" s="1"/>
      <c r="R129" s="1"/>
      <c r="S129" s="1"/>
      <c r="T129" s="1"/>
      <c r="U129" s="1"/>
      <c r="V129" s="1"/>
    </row>
    <row r="130" spans="6:22" x14ac:dyDescent="0.2">
      <c r="F130" s="118"/>
      <c r="G130" s="1"/>
      <c r="H130" s="1"/>
      <c r="I130" s="1"/>
      <c r="J130" s="1"/>
      <c r="K130" s="1"/>
      <c r="L130" s="1"/>
      <c r="M130" s="1"/>
      <c r="N130" s="1"/>
      <c r="O130" s="1"/>
      <c r="P130" s="1"/>
      <c r="Q130" s="1"/>
      <c r="R130" s="1"/>
      <c r="S130" s="1"/>
      <c r="T130" s="1"/>
      <c r="U130" s="1"/>
      <c r="V130" s="1"/>
    </row>
  </sheetData>
  <sheetProtection algorithmName="SHA-512" hashValue="RlDhBnUocKeCgPFONFo47QdTVHbBr6KsgapIp7DnEdQXIYjXWaWxcilJC1XnOwDizQ0Ve+ItiWiw0KLK+Pkc9g==" saltValue="5nbBXafLQelgrEe8jX3/9A==" spinCount="100000" sheet="1" objects="1" scenarios="1"/>
  <customSheetViews>
    <customSheetView guid="{58EB2181-60CA-D84F-9BE3-6D30A91A6F68}" scale="115" showPageBreaks="1" fitToPage="1" printArea="1">
      <pane xSplit="5" ySplit="3.0303030303030303" topLeftCell="F4" activePane="bottomRight" state="frozenSplit"/>
      <selection pane="bottomRight" activeCell="C4" sqref="C4:E4"/>
      <pageMargins left="0.7" right="0.7" top="0.75" bottom="0.75" header="0.3" footer="0.3"/>
      <pageSetup paperSize="9" scale="63" fitToHeight="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 guid="{E2B8E4FB-7E5E-E744-9E59-F9CB9CC15E64}" scale="115" fitToPage="1">
      <pane xSplit="5" ySplit="3.0303030303030303" topLeftCell="F4" activePane="bottomRight" state="frozenSplit"/>
      <selection pane="bottomRight" sqref="A1:E1"/>
      <pageMargins left="0.7" right="0.7" top="0.75" bottom="0.75" header="0.3" footer="0.3"/>
      <pageSetup paperSize="9" scale="62" fitToHeight="3" orientation="portrait" horizontalDpi="4294967292" verticalDpi="4294967292"/>
      <headerFooter>
        <oddFooter>&amp;L&amp;"Arial,Regular"&amp;K000000Direktorat Keamanan Informasi&amp;C&amp;"Arial,Regular"&amp;K000000Kementerian Komunikasi dan Informasi&amp;R&amp;"Arial,Regular"&amp;K000000Indeks KAMI, Versi  3.1, 15 April 2015</oddFooter>
      </headerFooter>
    </customSheetView>
  </customSheetViews>
  <mergeCells count="4">
    <mergeCell ref="A1:E1"/>
    <mergeCell ref="A3:D3"/>
    <mergeCell ref="A2:E2"/>
    <mergeCell ref="C4:E4"/>
  </mergeCells>
  <phoneticPr fontId="6" type="noConversion"/>
  <conditionalFormatting sqref="F30">
    <cfRule type="cellIs" dxfId="71" priority="48" stopIfTrue="1" operator="equal">
      <formula>0</formula>
    </cfRule>
  </conditionalFormatting>
  <conditionalFormatting sqref="E5">
    <cfRule type="cellIs" dxfId="70" priority="13" stopIfTrue="1" operator="equal">
      <formula>"Tidak Dilakukan"</formula>
    </cfRule>
    <cfRule type="cellIs" dxfId="69" priority="14" stopIfTrue="1" operator="equal">
      <formula>"Dalam Penerapan / Diterapkan Sebagian"</formula>
    </cfRule>
    <cfRule type="cellIs" dxfId="68" priority="15" stopIfTrue="1" operator="equal">
      <formula>"Dalam Perencanaan"</formula>
    </cfRule>
  </conditionalFormatting>
  <conditionalFormatting sqref="E6:E16">
    <cfRule type="cellIs" dxfId="67" priority="7" stopIfTrue="1" operator="equal">
      <formula>"Tidak Dilakukan"</formula>
    </cfRule>
    <cfRule type="cellIs" dxfId="66" priority="8" stopIfTrue="1" operator="equal">
      <formula>"Dalam Penerapan / Diterapkan Sebagian"</formula>
    </cfRule>
    <cfRule type="cellIs" dxfId="65" priority="9" stopIfTrue="1" operator="equal">
      <formula>"Dalam Perencanaan"</formula>
    </cfRule>
  </conditionalFormatting>
  <conditionalFormatting sqref="E17:E26">
    <cfRule type="cellIs" dxfId="64" priority="4" stopIfTrue="1" operator="equal">
      <formula>"Tidak Dilakukan"</formula>
    </cfRule>
    <cfRule type="cellIs" dxfId="63" priority="5" stopIfTrue="1" operator="equal">
      <formula>"Dalam Penerapan / Diterapkan Sebagian"</formula>
    </cfRule>
    <cfRule type="cellIs" dxfId="62" priority="6" stopIfTrue="1" operator="equal">
      <formula>"Dalam Perencanaan"</formula>
    </cfRule>
  </conditionalFormatting>
  <conditionalFormatting sqref="E27:E30">
    <cfRule type="cellIs" dxfId="61" priority="1" stopIfTrue="1" operator="equal">
      <formula>"Tidak Dilakukan"</formula>
    </cfRule>
    <cfRule type="cellIs" dxfId="60" priority="2" stopIfTrue="1" operator="equal">
      <formula>"Dalam Penerapan / Diterapkan Sebagian"</formula>
    </cfRule>
    <cfRule type="cellIs" dxfId="59" priority="3" stopIfTrue="1" operator="equal">
      <formula>"Dalam Perencanaan"</formula>
    </cfRule>
  </conditionalFormatting>
  <dataValidations count="1">
    <dataValidation type="list" allowBlank="1" showInputMessage="1" showErrorMessage="1" sqref="E5:E30" xr:uid="{00000000-0002-0000-0700-000000000000}">
      <formula1>StatusPenerapan</formula1>
    </dataValidation>
  </dataValidations>
  <pageMargins left="0.75000000000000011" right="0.75000000000000011" top="1" bottom="1" header="0.5" footer="0.5"/>
  <pageSetup paperSize="9" scale="63" fitToHeight="3" orientation="portrait" horizontalDpi="4294967292" verticalDpi="4294967292"/>
  <headerFooter>
    <oddFooter>&amp;L&amp;"Arial,Regular"&amp;K000000Badan Siber dan Sandi Negara&amp;R&amp;"Arial,Regular"&amp;K000000Indeks KAMI, Versi  4.0, Februari 2019</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4"/>
  <sheetViews>
    <sheetView topLeftCell="A12" zoomScale="62" zoomScaleNormal="115" zoomScalePageLayoutView="115" workbookViewId="0">
      <selection activeCell="E6" sqref="E6"/>
    </sheetView>
  </sheetViews>
  <sheetFormatPr defaultColWidth="10.81640625" defaultRowHeight="12.6" x14ac:dyDescent="0.2"/>
  <cols>
    <col min="1" max="1" width="5.6328125" customWidth="1"/>
    <col min="2" max="3" width="2.453125" customWidth="1"/>
    <col min="4" max="4" width="80.6328125" customWidth="1"/>
    <col min="5" max="5" width="30.6328125" customWidth="1"/>
    <col min="6" max="6" width="5.1796875" style="188" bestFit="1" customWidth="1"/>
    <col min="7" max="7" width="21" customWidth="1"/>
    <col min="8" max="8" width="20" customWidth="1"/>
  </cols>
  <sheetData>
    <row r="1" spans="1:8" ht="30" customHeight="1" x14ac:dyDescent="0.2">
      <c r="A1" s="235" t="s">
        <v>337</v>
      </c>
      <c r="B1" s="236"/>
      <c r="C1" s="236"/>
      <c r="D1" s="236"/>
      <c r="E1" s="249"/>
    </row>
    <row r="2" spans="1:8" ht="30" customHeight="1" x14ac:dyDescent="0.2">
      <c r="A2" s="250" t="s">
        <v>510</v>
      </c>
      <c r="B2" s="251"/>
      <c r="C2" s="251"/>
      <c r="D2" s="251"/>
      <c r="E2" s="252"/>
    </row>
    <row r="3" spans="1:8" ht="28.95" customHeight="1" x14ac:dyDescent="0.2">
      <c r="A3" s="226" t="s">
        <v>338</v>
      </c>
      <c r="B3" s="232"/>
      <c r="C3" s="232"/>
      <c r="D3" s="253"/>
      <c r="E3" s="84" t="s">
        <v>87</v>
      </c>
      <c r="F3" s="85" t="s">
        <v>399</v>
      </c>
      <c r="G3" s="172" t="s">
        <v>618</v>
      </c>
      <c r="H3" s="172" t="s">
        <v>619</v>
      </c>
    </row>
    <row r="4" spans="1:8" ht="13.95" customHeight="1" x14ac:dyDescent="0.2">
      <c r="A4" s="189">
        <v>7.1</v>
      </c>
      <c r="B4" s="190"/>
      <c r="C4" s="191"/>
      <c r="D4" s="192" t="s">
        <v>468</v>
      </c>
      <c r="E4" s="193"/>
      <c r="F4" s="194">
        <f>(SUM(F6:F12)+SUM(F14:F16)+SUM(F18:F25)+SUM(F27:F28)+SUM(F30:F31)+SUM(F33:F34)+SUM(F36:F38))/27</f>
        <v>2.8888888888888888</v>
      </c>
      <c r="G4" s="195"/>
      <c r="H4" s="195"/>
    </row>
    <row r="5" spans="1:8" ht="13.8" x14ac:dyDescent="0.2">
      <c r="A5" s="196" t="s">
        <v>361</v>
      </c>
      <c r="B5" s="197"/>
      <c r="C5" s="197"/>
      <c r="D5" s="254" t="s">
        <v>473</v>
      </c>
      <c r="E5" s="255"/>
      <c r="G5" s="213"/>
      <c r="H5" s="213"/>
    </row>
    <row r="6" spans="1:8" ht="27.6" x14ac:dyDescent="0.2">
      <c r="A6" s="198" t="s">
        <v>344</v>
      </c>
      <c r="B6" s="198"/>
      <c r="C6" s="199">
        <v>1</v>
      </c>
      <c r="D6" s="200" t="s">
        <v>469</v>
      </c>
      <c r="E6" s="7" t="s">
        <v>629</v>
      </c>
      <c r="F6" s="85">
        <f t="shared" ref="F6:F12" si="0">INDEX(SkorAkhir, MATCH(E6,StatusPenerapanHasil,0), MATCH(C6,TingkatKematangan,0))</f>
        <v>0</v>
      </c>
      <c r="G6" s="214"/>
      <c r="H6" s="214"/>
    </row>
    <row r="7" spans="1:8" ht="27.6" x14ac:dyDescent="0.2">
      <c r="A7" s="198" t="s">
        <v>345</v>
      </c>
      <c r="B7" s="198"/>
      <c r="C7" s="199">
        <v>1</v>
      </c>
      <c r="D7" s="200" t="s">
        <v>470</v>
      </c>
      <c r="E7" s="7" t="s">
        <v>624</v>
      </c>
      <c r="F7" s="85">
        <f t="shared" si="0"/>
        <v>3</v>
      </c>
      <c r="G7" s="214"/>
      <c r="H7" s="214"/>
    </row>
    <row r="8" spans="1:8" ht="27.6" x14ac:dyDescent="0.2">
      <c r="A8" s="198" t="s">
        <v>346</v>
      </c>
      <c r="B8" s="198"/>
      <c r="C8" s="199">
        <v>1</v>
      </c>
      <c r="D8" s="200" t="s">
        <v>471</v>
      </c>
      <c r="E8" s="7" t="s">
        <v>624</v>
      </c>
      <c r="F8" s="85">
        <f t="shared" si="0"/>
        <v>3</v>
      </c>
      <c r="G8" s="214"/>
      <c r="H8" s="214"/>
    </row>
    <row r="9" spans="1:8" ht="27.6" x14ac:dyDescent="0.2">
      <c r="A9" s="198" t="s">
        <v>347</v>
      </c>
      <c r="B9" s="198"/>
      <c r="C9" s="199">
        <v>1</v>
      </c>
      <c r="D9" s="200" t="s">
        <v>472</v>
      </c>
      <c r="E9" s="7" t="s">
        <v>624</v>
      </c>
      <c r="F9" s="85">
        <f t="shared" si="0"/>
        <v>3</v>
      </c>
      <c r="G9" s="214"/>
      <c r="H9" s="214"/>
    </row>
    <row r="10" spans="1:8" ht="41.4" x14ac:dyDescent="0.2">
      <c r="A10" s="198" t="s">
        <v>358</v>
      </c>
      <c r="B10" s="198"/>
      <c r="C10" s="199">
        <v>1</v>
      </c>
      <c r="D10" s="200" t="s">
        <v>474</v>
      </c>
      <c r="E10" s="7" t="s">
        <v>624</v>
      </c>
      <c r="F10" s="85">
        <f t="shared" si="0"/>
        <v>3</v>
      </c>
      <c r="G10" s="214"/>
      <c r="H10" s="214"/>
    </row>
    <row r="11" spans="1:8" ht="27.6" x14ac:dyDescent="0.2">
      <c r="A11" s="198" t="s">
        <v>359</v>
      </c>
      <c r="B11" s="198"/>
      <c r="C11" s="199">
        <v>1</v>
      </c>
      <c r="D11" s="200" t="s">
        <v>535</v>
      </c>
      <c r="E11" s="7" t="s">
        <v>624</v>
      </c>
      <c r="F11" s="85">
        <f t="shared" si="0"/>
        <v>3</v>
      </c>
      <c r="G11" s="214"/>
      <c r="H11" s="214"/>
    </row>
    <row r="12" spans="1:8" ht="55.2" x14ac:dyDescent="0.2">
      <c r="A12" s="198" t="s">
        <v>360</v>
      </c>
      <c r="B12" s="198"/>
      <c r="C12" s="199">
        <v>1</v>
      </c>
      <c r="D12" s="200" t="s">
        <v>536</v>
      </c>
      <c r="E12" s="7" t="s">
        <v>624</v>
      </c>
      <c r="F12" s="85">
        <f t="shared" si="0"/>
        <v>3</v>
      </c>
      <c r="G12" s="214"/>
      <c r="H12" s="214"/>
    </row>
    <row r="13" spans="1:8" ht="13.8" x14ac:dyDescent="0.2">
      <c r="A13" s="196" t="s">
        <v>365</v>
      </c>
      <c r="B13" s="197"/>
      <c r="C13" s="197"/>
      <c r="D13" s="254" t="s">
        <v>466</v>
      </c>
      <c r="E13" s="255"/>
      <c r="F13" s="85"/>
      <c r="G13" s="213"/>
      <c r="H13" s="213"/>
    </row>
    <row r="14" spans="1:8" ht="27.6" x14ac:dyDescent="0.2">
      <c r="A14" s="198" t="s">
        <v>366</v>
      </c>
      <c r="B14" s="198"/>
      <c r="C14" s="199">
        <v>1</v>
      </c>
      <c r="D14" s="200" t="s">
        <v>524</v>
      </c>
      <c r="E14" s="7" t="s">
        <v>624</v>
      </c>
      <c r="F14" s="85">
        <f>INDEX(SkorAkhir, MATCH(E14,StatusPenerapanHasil,0), MATCH(C14,TingkatKematangan,0))</f>
        <v>3</v>
      </c>
      <c r="G14" s="214"/>
      <c r="H14" s="214"/>
    </row>
    <row r="15" spans="1:8" ht="27.6" x14ac:dyDescent="0.2">
      <c r="A15" s="198" t="s">
        <v>367</v>
      </c>
      <c r="B15" s="198"/>
      <c r="C15" s="199">
        <v>1</v>
      </c>
      <c r="D15" s="200" t="s">
        <v>467</v>
      </c>
      <c r="E15" s="7" t="s">
        <v>624</v>
      </c>
      <c r="F15" s="85">
        <f>INDEX(SkorAkhir, MATCH(E15,StatusPenerapanHasil,0), MATCH(C15,TingkatKematangan,0))</f>
        <v>3</v>
      </c>
      <c r="G15" s="214"/>
      <c r="H15" s="214"/>
    </row>
    <row r="16" spans="1:8" ht="27.6" x14ac:dyDescent="0.2">
      <c r="A16" s="198" t="s">
        <v>368</v>
      </c>
      <c r="B16" s="198"/>
      <c r="C16" s="199">
        <v>1</v>
      </c>
      <c r="D16" s="200" t="s">
        <v>511</v>
      </c>
      <c r="E16" s="7" t="s">
        <v>624</v>
      </c>
      <c r="F16" s="85">
        <f>INDEX(SkorAkhir, MATCH(E16,StatusPenerapanHasil,0), MATCH(C16,TingkatKematangan,0))</f>
        <v>3</v>
      </c>
      <c r="G16" s="214"/>
      <c r="H16" s="214"/>
    </row>
    <row r="17" spans="1:8" ht="13.8" x14ac:dyDescent="0.2">
      <c r="A17" s="196" t="s">
        <v>369</v>
      </c>
      <c r="B17" s="197"/>
      <c r="C17" s="197"/>
      <c r="D17" s="254" t="s">
        <v>483</v>
      </c>
      <c r="E17" s="255"/>
      <c r="F17" s="85"/>
      <c r="G17" s="213"/>
      <c r="H17" s="213"/>
    </row>
    <row r="18" spans="1:8" ht="41.4" x14ac:dyDescent="0.2">
      <c r="A18" s="198" t="s">
        <v>370</v>
      </c>
      <c r="B18" s="198"/>
      <c r="C18" s="199">
        <v>1</v>
      </c>
      <c r="D18" s="200" t="s">
        <v>529</v>
      </c>
      <c r="E18" s="7" t="s">
        <v>624</v>
      </c>
      <c r="F18" s="85">
        <f t="shared" ref="F18:F25" si="1">INDEX(SkorAkhir, MATCH(E18,StatusPenerapanHasil,0), MATCH(C18,TingkatKematangan,0))</f>
        <v>3</v>
      </c>
      <c r="G18" s="214"/>
      <c r="H18" s="214"/>
    </row>
    <row r="19" spans="1:8" ht="27.6" x14ac:dyDescent="0.2">
      <c r="A19" s="198" t="s">
        <v>371</v>
      </c>
      <c r="B19" s="198"/>
      <c r="C19" s="199">
        <v>1</v>
      </c>
      <c r="D19" s="200" t="s">
        <v>475</v>
      </c>
      <c r="E19" s="7" t="s">
        <v>624</v>
      </c>
      <c r="F19" s="85">
        <f t="shared" si="1"/>
        <v>3</v>
      </c>
      <c r="G19" s="214"/>
      <c r="H19" s="214"/>
    </row>
    <row r="20" spans="1:8" ht="27.6" x14ac:dyDescent="0.2">
      <c r="A20" s="198" t="s">
        <v>372</v>
      </c>
      <c r="B20" s="198"/>
      <c r="C20" s="199">
        <v>1</v>
      </c>
      <c r="D20" s="200" t="s">
        <v>339</v>
      </c>
      <c r="E20" s="7" t="s">
        <v>624</v>
      </c>
      <c r="F20" s="85">
        <f t="shared" si="1"/>
        <v>3</v>
      </c>
      <c r="G20" s="214"/>
      <c r="H20" s="214"/>
    </row>
    <row r="21" spans="1:8" ht="27.6" x14ac:dyDescent="0.2">
      <c r="A21" s="198" t="s">
        <v>373</v>
      </c>
      <c r="B21" s="198"/>
      <c r="C21" s="199">
        <v>1</v>
      </c>
      <c r="D21" s="200" t="s">
        <v>512</v>
      </c>
      <c r="E21" s="7" t="s">
        <v>624</v>
      </c>
      <c r="F21" s="85">
        <f t="shared" si="1"/>
        <v>3</v>
      </c>
      <c r="G21" s="214"/>
      <c r="H21" s="214"/>
    </row>
    <row r="22" spans="1:8" ht="41.4" x14ac:dyDescent="0.2">
      <c r="A22" s="198" t="s">
        <v>374</v>
      </c>
      <c r="B22" s="198"/>
      <c r="C22" s="199">
        <v>1</v>
      </c>
      <c r="D22" s="200" t="s">
        <v>526</v>
      </c>
      <c r="E22" s="7" t="s">
        <v>624</v>
      </c>
      <c r="F22" s="85">
        <f t="shared" si="1"/>
        <v>3</v>
      </c>
      <c r="G22" s="214"/>
      <c r="H22" s="214"/>
    </row>
    <row r="23" spans="1:8" ht="27.6" x14ac:dyDescent="0.2">
      <c r="A23" s="198" t="s">
        <v>375</v>
      </c>
      <c r="B23" s="198"/>
      <c r="C23" s="199">
        <v>1</v>
      </c>
      <c r="D23" s="200" t="s">
        <v>476</v>
      </c>
      <c r="E23" s="7" t="s">
        <v>624</v>
      </c>
      <c r="F23" s="85">
        <f t="shared" si="1"/>
        <v>3</v>
      </c>
      <c r="G23" s="214"/>
      <c r="H23" s="214"/>
    </row>
    <row r="24" spans="1:8" ht="27.6" x14ac:dyDescent="0.2">
      <c r="A24" s="198" t="s">
        <v>376</v>
      </c>
      <c r="B24" s="198"/>
      <c r="C24" s="199">
        <v>1</v>
      </c>
      <c r="D24" s="200" t="s">
        <v>477</v>
      </c>
      <c r="E24" s="7" t="s">
        <v>624</v>
      </c>
      <c r="F24" s="85">
        <f t="shared" si="1"/>
        <v>3</v>
      </c>
      <c r="G24" s="214"/>
      <c r="H24" s="214"/>
    </row>
    <row r="25" spans="1:8" ht="49.95" customHeight="1" x14ac:dyDescent="0.2">
      <c r="A25" s="198" t="s">
        <v>377</v>
      </c>
      <c r="B25" s="198"/>
      <c r="C25" s="199">
        <v>1</v>
      </c>
      <c r="D25" s="200" t="s">
        <v>334</v>
      </c>
      <c r="E25" s="7" t="s">
        <v>624</v>
      </c>
      <c r="F25" s="85">
        <f t="shared" si="1"/>
        <v>3</v>
      </c>
      <c r="G25" s="214"/>
      <c r="H25" s="214"/>
    </row>
    <row r="26" spans="1:8" ht="13.8" x14ac:dyDescent="0.2">
      <c r="A26" s="196" t="s">
        <v>378</v>
      </c>
      <c r="B26" s="197"/>
      <c r="C26" s="197"/>
      <c r="D26" s="254" t="s">
        <v>484</v>
      </c>
      <c r="E26" s="255"/>
      <c r="F26" s="85"/>
      <c r="G26" s="213"/>
      <c r="H26" s="213"/>
    </row>
    <row r="27" spans="1:8" ht="69.75" customHeight="1" x14ac:dyDescent="0.2">
      <c r="A27" s="198" t="s">
        <v>379</v>
      </c>
      <c r="B27" s="198"/>
      <c r="C27" s="199">
        <v>1</v>
      </c>
      <c r="D27" s="200" t="s">
        <v>478</v>
      </c>
      <c r="E27" s="7" t="s">
        <v>624</v>
      </c>
      <c r="F27" s="85">
        <f>INDEX(SkorAkhir, MATCH(E27,StatusPenerapanHasil,0), MATCH(C27,TingkatKematangan,0))</f>
        <v>3</v>
      </c>
      <c r="G27" s="214"/>
      <c r="H27" s="214"/>
    </row>
    <row r="28" spans="1:8" ht="27.6" x14ac:dyDescent="0.2">
      <c r="A28" s="198" t="s">
        <v>380</v>
      </c>
      <c r="B28" s="198"/>
      <c r="C28" s="199">
        <v>1</v>
      </c>
      <c r="D28" s="200" t="s">
        <v>335</v>
      </c>
      <c r="E28" s="7" t="s">
        <v>624</v>
      </c>
      <c r="F28" s="85">
        <f>INDEX(SkorAkhir, MATCH(E28,StatusPenerapanHasil,0), MATCH(C28,TingkatKematangan,0))</f>
        <v>3</v>
      </c>
      <c r="G28" s="214"/>
      <c r="H28" s="214"/>
    </row>
    <row r="29" spans="1:8" ht="13.8" x14ac:dyDescent="0.2">
      <c r="A29" s="196" t="s">
        <v>381</v>
      </c>
      <c r="B29" s="197"/>
      <c r="C29" s="197"/>
      <c r="D29" s="254" t="s">
        <v>336</v>
      </c>
      <c r="E29" s="255"/>
      <c r="F29" s="85"/>
      <c r="G29" s="213"/>
      <c r="H29" s="213"/>
    </row>
    <row r="30" spans="1:8" ht="27.6" x14ac:dyDescent="0.2">
      <c r="A30" s="198" t="s">
        <v>382</v>
      </c>
      <c r="B30" s="198"/>
      <c r="C30" s="199">
        <v>1</v>
      </c>
      <c r="D30" s="200" t="s">
        <v>479</v>
      </c>
      <c r="E30" s="7" t="s">
        <v>624</v>
      </c>
      <c r="F30" s="85">
        <f>INDEX(SkorAkhir, MATCH(E30,StatusPenerapanHasil,0), MATCH(C30,TingkatKematangan,0))</f>
        <v>3</v>
      </c>
      <c r="G30" s="214"/>
      <c r="H30" s="214"/>
    </row>
    <row r="31" spans="1:8" ht="27.6" x14ac:dyDescent="0.2">
      <c r="A31" s="198" t="s">
        <v>383</v>
      </c>
      <c r="B31" s="198"/>
      <c r="C31" s="199">
        <v>1</v>
      </c>
      <c r="D31" s="200" t="s">
        <v>528</v>
      </c>
      <c r="E31" s="7" t="s">
        <v>624</v>
      </c>
      <c r="F31" s="85">
        <f>INDEX(SkorAkhir, MATCH(E31,StatusPenerapanHasil,0), MATCH(C31,TingkatKematangan,0))</f>
        <v>3</v>
      </c>
      <c r="G31" s="214"/>
      <c r="H31" s="214"/>
    </row>
    <row r="32" spans="1:8" ht="13.8" x14ac:dyDescent="0.2">
      <c r="A32" s="196" t="s">
        <v>402</v>
      </c>
      <c r="B32" s="197"/>
      <c r="C32" s="197"/>
      <c r="D32" s="254" t="s">
        <v>513</v>
      </c>
      <c r="E32" s="255"/>
      <c r="F32" s="85"/>
      <c r="G32" s="213"/>
      <c r="H32" s="213"/>
    </row>
    <row r="33" spans="1:8" ht="27.6" x14ac:dyDescent="0.2">
      <c r="A33" s="198" t="s">
        <v>403</v>
      </c>
      <c r="B33" s="198"/>
      <c r="C33" s="199">
        <v>1</v>
      </c>
      <c r="D33" s="200" t="s">
        <v>514</v>
      </c>
      <c r="E33" s="7" t="s">
        <v>624</v>
      </c>
      <c r="F33" s="85">
        <f>INDEX(SkorAkhir, MATCH(E33,StatusPenerapanHasil,0), MATCH(C33,TingkatKematangan,0))</f>
        <v>3</v>
      </c>
      <c r="G33" s="214"/>
      <c r="H33" s="214"/>
    </row>
    <row r="34" spans="1:8" ht="27.6" x14ac:dyDescent="0.2">
      <c r="A34" s="198" t="s">
        <v>404</v>
      </c>
      <c r="B34" s="198"/>
      <c r="C34" s="199">
        <v>1</v>
      </c>
      <c r="D34" s="200" t="s">
        <v>480</v>
      </c>
      <c r="E34" s="7" t="s">
        <v>624</v>
      </c>
      <c r="F34" s="85">
        <f>INDEX(SkorAkhir, MATCH(E34,StatusPenerapanHasil,0), MATCH(C34,TingkatKematangan,0))</f>
        <v>3</v>
      </c>
      <c r="G34" s="214"/>
      <c r="H34" s="214"/>
    </row>
    <row r="35" spans="1:8" ht="13.8" x14ac:dyDescent="0.2">
      <c r="A35" s="196" t="s">
        <v>405</v>
      </c>
      <c r="B35" s="197"/>
      <c r="C35" s="197"/>
      <c r="D35" s="254" t="s">
        <v>485</v>
      </c>
      <c r="E35" s="255"/>
      <c r="F35" s="85"/>
      <c r="G35" s="213"/>
      <c r="H35" s="213"/>
    </row>
    <row r="36" spans="1:8" ht="27.6" x14ac:dyDescent="0.2">
      <c r="A36" s="198" t="s">
        <v>406</v>
      </c>
      <c r="B36" s="198"/>
      <c r="C36" s="199">
        <v>1</v>
      </c>
      <c r="D36" s="200" t="s">
        <v>481</v>
      </c>
      <c r="E36" s="7" t="s">
        <v>624</v>
      </c>
      <c r="F36" s="85">
        <f>INDEX(SkorAkhir, MATCH(E36,StatusPenerapanHasil,0), MATCH(C36,TingkatKematangan,0))</f>
        <v>3</v>
      </c>
      <c r="G36" s="214"/>
      <c r="H36" s="214"/>
    </row>
    <row r="37" spans="1:8" ht="27.6" x14ac:dyDescent="0.2">
      <c r="A37" s="198" t="s">
        <v>407</v>
      </c>
      <c r="B37" s="198"/>
      <c r="C37" s="199">
        <v>1</v>
      </c>
      <c r="D37" s="200" t="s">
        <v>525</v>
      </c>
      <c r="E37" s="7" t="s">
        <v>624</v>
      </c>
      <c r="F37" s="85">
        <f>INDEX(SkorAkhir, MATCH(E37,StatusPenerapanHasil,0), MATCH(C37,TingkatKematangan,0))</f>
        <v>3</v>
      </c>
      <c r="G37" s="214"/>
      <c r="H37" s="214"/>
    </row>
    <row r="38" spans="1:8" ht="27.6" x14ac:dyDescent="0.2">
      <c r="A38" s="198" t="s">
        <v>408</v>
      </c>
      <c r="B38" s="198"/>
      <c r="C38" s="199">
        <v>1</v>
      </c>
      <c r="D38" s="200" t="s">
        <v>482</v>
      </c>
      <c r="E38" s="7" t="s">
        <v>624</v>
      </c>
      <c r="F38" s="85">
        <f>INDEX(SkorAkhir, MATCH(E38,StatusPenerapanHasil,0), MATCH(C38,TingkatKematangan,0))</f>
        <v>3</v>
      </c>
      <c r="G38" s="214"/>
      <c r="H38" s="214"/>
    </row>
    <row r="39" spans="1:8" ht="13.8" x14ac:dyDescent="0.2">
      <c r="A39" s="189">
        <v>7.2</v>
      </c>
      <c r="B39" s="190"/>
      <c r="C39" s="191"/>
      <c r="D39" s="192" t="s">
        <v>340</v>
      </c>
      <c r="E39" s="193"/>
      <c r="F39" s="194">
        <f>(SUM(F40:F49))/10</f>
        <v>3</v>
      </c>
      <c r="G39" s="215"/>
      <c r="H39" s="215"/>
    </row>
    <row r="40" spans="1:8" ht="28.2" x14ac:dyDescent="0.2">
      <c r="A40" s="198" t="s">
        <v>348</v>
      </c>
      <c r="B40" s="198"/>
      <c r="C40" s="199">
        <v>1</v>
      </c>
      <c r="D40" s="201" t="s">
        <v>537</v>
      </c>
      <c r="E40" s="7" t="s">
        <v>624</v>
      </c>
      <c r="F40" s="85">
        <f t="shared" ref="F40:F49" si="2">INDEX(SkorAkhir, MATCH(E40,StatusPenerapanHasil,0), MATCH(C40,TingkatKematangan,0))</f>
        <v>3</v>
      </c>
      <c r="G40" s="214"/>
      <c r="H40" s="214"/>
    </row>
    <row r="41" spans="1:8" ht="28.2" x14ac:dyDescent="0.2">
      <c r="A41" s="198" t="s">
        <v>349</v>
      </c>
      <c r="B41" s="198"/>
      <c r="C41" s="199">
        <v>1</v>
      </c>
      <c r="D41" s="201" t="s">
        <v>515</v>
      </c>
      <c r="E41" s="7" t="s">
        <v>624</v>
      </c>
      <c r="F41" s="85">
        <f t="shared" si="2"/>
        <v>3</v>
      </c>
      <c r="G41" s="214"/>
      <c r="H41" s="214"/>
    </row>
    <row r="42" spans="1:8" ht="28.2" x14ac:dyDescent="0.2">
      <c r="A42" s="198" t="s">
        <v>350</v>
      </c>
      <c r="B42" s="198"/>
      <c r="C42" s="199">
        <v>1</v>
      </c>
      <c r="D42" s="201" t="s">
        <v>516</v>
      </c>
      <c r="E42" s="7" t="s">
        <v>624</v>
      </c>
      <c r="F42" s="85">
        <f t="shared" si="2"/>
        <v>3</v>
      </c>
      <c r="G42" s="214"/>
      <c r="H42" s="214"/>
    </row>
    <row r="43" spans="1:8" ht="28.2" x14ac:dyDescent="0.2">
      <c r="A43" s="198" t="s">
        <v>351</v>
      </c>
      <c r="B43" s="198"/>
      <c r="C43" s="199">
        <v>1</v>
      </c>
      <c r="D43" s="201" t="s">
        <v>538</v>
      </c>
      <c r="E43" s="7" t="s">
        <v>624</v>
      </c>
      <c r="F43" s="85">
        <f t="shared" si="2"/>
        <v>3</v>
      </c>
      <c r="G43" s="214"/>
      <c r="H43" s="214"/>
    </row>
    <row r="44" spans="1:8" ht="28.2" x14ac:dyDescent="0.2">
      <c r="A44" s="198" t="s">
        <v>352</v>
      </c>
      <c r="B44" s="198"/>
      <c r="C44" s="199">
        <v>1</v>
      </c>
      <c r="D44" s="201" t="s">
        <v>517</v>
      </c>
      <c r="E44" s="7" t="s">
        <v>624</v>
      </c>
      <c r="F44" s="85">
        <f t="shared" si="2"/>
        <v>3</v>
      </c>
      <c r="G44" s="214"/>
      <c r="H44" s="214"/>
    </row>
    <row r="45" spans="1:8" ht="28.2" x14ac:dyDescent="0.2">
      <c r="A45" s="198" t="s">
        <v>353</v>
      </c>
      <c r="B45" s="198"/>
      <c r="C45" s="199">
        <v>1</v>
      </c>
      <c r="D45" s="162" t="s">
        <v>518</v>
      </c>
      <c r="E45" s="7" t="s">
        <v>624</v>
      </c>
      <c r="F45" s="85">
        <f t="shared" si="2"/>
        <v>3</v>
      </c>
      <c r="G45" s="214"/>
      <c r="H45" s="214"/>
    </row>
    <row r="46" spans="1:8" ht="28.2" x14ac:dyDescent="0.2">
      <c r="A46" s="198" t="s">
        <v>354</v>
      </c>
      <c r="B46" s="198"/>
      <c r="C46" s="199">
        <v>1</v>
      </c>
      <c r="D46" s="162" t="s">
        <v>534</v>
      </c>
      <c r="E46" s="7" t="s">
        <v>624</v>
      </c>
      <c r="F46" s="85">
        <f t="shared" si="2"/>
        <v>3</v>
      </c>
      <c r="G46" s="214"/>
      <c r="H46" s="214"/>
    </row>
    <row r="47" spans="1:8" ht="28.2" x14ac:dyDescent="0.2">
      <c r="A47" s="198" t="s">
        <v>355</v>
      </c>
      <c r="B47" s="198"/>
      <c r="C47" s="199">
        <v>1</v>
      </c>
      <c r="D47" s="162" t="s">
        <v>519</v>
      </c>
      <c r="E47" s="7" t="s">
        <v>624</v>
      </c>
      <c r="F47" s="85">
        <f t="shared" si="2"/>
        <v>3</v>
      </c>
      <c r="G47" s="214"/>
      <c r="H47" s="214"/>
    </row>
    <row r="48" spans="1:8" ht="16.05" customHeight="1" x14ac:dyDescent="0.2">
      <c r="A48" s="198" t="s">
        <v>356</v>
      </c>
      <c r="B48" s="198"/>
      <c r="C48" s="199">
        <v>1</v>
      </c>
      <c r="D48" s="162" t="s">
        <v>520</v>
      </c>
      <c r="E48" s="7" t="s">
        <v>624</v>
      </c>
      <c r="F48" s="85">
        <f t="shared" si="2"/>
        <v>3</v>
      </c>
      <c r="G48" s="214"/>
      <c r="H48" s="214"/>
    </row>
    <row r="49" spans="1:8" ht="28.2" x14ac:dyDescent="0.2">
      <c r="A49" s="198" t="s">
        <v>357</v>
      </c>
      <c r="B49" s="198"/>
      <c r="C49" s="199">
        <v>1</v>
      </c>
      <c r="D49" s="162" t="s">
        <v>521</v>
      </c>
      <c r="E49" s="7" t="s">
        <v>624</v>
      </c>
      <c r="F49" s="85">
        <f t="shared" si="2"/>
        <v>3</v>
      </c>
      <c r="G49" s="214"/>
      <c r="H49" s="214"/>
    </row>
    <row r="50" spans="1:8" ht="13.8" x14ac:dyDescent="0.2">
      <c r="A50" s="189">
        <v>7.3</v>
      </c>
      <c r="B50" s="190"/>
      <c r="C50" s="191"/>
      <c r="D50" s="192" t="s">
        <v>341</v>
      </c>
      <c r="E50" s="193"/>
      <c r="F50" s="194">
        <f>(SUM(F51:F66))/16</f>
        <v>3</v>
      </c>
      <c r="G50" s="215"/>
      <c r="H50" s="215"/>
    </row>
    <row r="51" spans="1:8" ht="45" customHeight="1" x14ac:dyDescent="0.2">
      <c r="A51" s="198" t="s">
        <v>384</v>
      </c>
      <c r="B51" s="198"/>
      <c r="C51" s="199">
        <v>1</v>
      </c>
      <c r="D51" s="162" t="s">
        <v>508</v>
      </c>
      <c r="E51" s="7" t="s">
        <v>624</v>
      </c>
      <c r="F51" s="85">
        <f t="shared" ref="F51:F66" si="3">INDEX(SkorAkhir, MATCH(E51,StatusPenerapanHasil,0), MATCH(C51,TingkatKematangan,0))</f>
        <v>3</v>
      </c>
      <c r="G51" s="214"/>
      <c r="H51" s="214"/>
    </row>
    <row r="52" spans="1:8" ht="43.95" customHeight="1" x14ac:dyDescent="0.2">
      <c r="A52" s="198" t="s">
        <v>385</v>
      </c>
      <c r="B52" s="198"/>
      <c r="C52" s="199">
        <v>1</v>
      </c>
      <c r="D52" s="162" t="s">
        <v>450</v>
      </c>
      <c r="E52" s="7" t="s">
        <v>624</v>
      </c>
      <c r="F52" s="85">
        <f t="shared" si="3"/>
        <v>3</v>
      </c>
      <c r="G52" s="214"/>
      <c r="H52" s="214"/>
    </row>
    <row r="53" spans="1:8" ht="27.6" x14ac:dyDescent="0.2">
      <c r="A53" s="198" t="s">
        <v>386</v>
      </c>
      <c r="B53" s="198"/>
      <c r="C53" s="199">
        <v>1</v>
      </c>
      <c r="D53" s="162" t="s">
        <v>451</v>
      </c>
      <c r="E53" s="7" t="s">
        <v>624</v>
      </c>
      <c r="F53" s="85">
        <f t="shared" si="3"/>
        <v>3</v>
      </c>
      <c r="G53" s="214"/>
      <c r="H53" s="214"/>
    </row>
    <row r="54" spans="1:8" ht="27.6" x14ac:dyDescent="0.2">
      <c r="A54" s="198" t="s">
        <v>387</v>
      </c>
      <c r="B54" s="198"/>
      <c r="C54" s="199">
        <v>1</v>
      </c>
      <c r="D54" s="162" t="s">
        <v>539</v>
      </c>
      <c r="E54" s="7" t="s">
        <v>624</v>
      </c>
      <c r="F54" s="85">
        <f t="shared" si="3"/>
        <v>3</v>
      </c>
      <c r="G54" s="214"/>
      <c r="H54" s="214"/>
    </row>
    <row r="55" spans="1:8" ht="42.6" x14ac:dyDescent="0.2">
      <c r="A55" s="198" t="s">
        <v>388</v>
      </c>
      <c r="B55" s="198"/>
      <c r="C55" s="199">
        <v>1</v>
      </c>
      <c r="D55" s="162" t="s">
        <v>507</v>
      </c>
      <c r="E55" s="7" t="s">
        <v>624</v>
      </c>
      <c r="F55" s="85">
        <f t="shared" si="3"/>
        <v>3</v>
      </c>
      <c r="G55" s="214"/>
      <c r="H55" s="214"/>
    </row>
    <row r="56" spans="1:8" ht="27.6" x14ac:dyDescent="0.2">
      <c r="A56" s="198" t="s">
        <v>389</v>
      </c>
      <c r="B56" s="198"/>
      <c r="C56" s="199">
        <v>1</v>
      </c>
      <c r="D56" s="162" t="s">
        <v>452</v>
      </c>
      <c r="E56" s="7" t="s">
        <v>624</v>
      </c>
      <c r="F56" s="85">
        <f t="shared" si="3"/>
        <v>3</v>
      </c>
      <c r="G56" s="214"/>
      <c r="H56" s="214"/>
    </row>
    <row r="57" spans="1:8" ht="27.6" x14ac:dyDescent="0.2">
      <c r="A57" s="198" t="s">
        <v>390</v>
      </c>
      <c r="B57" s="198"/>
      <c r="C57" s="199">
        <v>1</v>
      </c>
      <c r="D57" s="162" t="s">
        <v>453</v>
      </c>
      <c r="E57" s="7" t="s">
        <v>624</v>
      </c>
      <c r="F57" s="85">
        <f t="shared" si="3"/>
        <v>3</v>
      </c>
      <c r="G57" s="214"/>
      <c r="H57" s="214"/>
    </row>
    <row r="58" spans="1:8" ht="27.6" x14ac:dyDescent="0.2">
      <c r="A58" s="198" t="s">
        <v>391</v>
      </c>
      <c r="B58" s="198"/>
      <c r="C58" s="199">
        <v>1</v>
      </c>
      <c r="D58" s="162" t="s">
        <v>410</v>
      </c>
      <c r="E58" s="7" t="s">
        <v>624</v>
      </c>
      <c r="F58" s="85">
        <f t="shared" si="3"/>
        <v>3</v>
      </c>
      <c r="G58" s="214"/>
      <c r="H58" s="214"/>
    </row>
    <row r="59" spans="1:8" ht="28.95" customHeight="1" x14ac:dyDescent="0.2">
      <c r="A59" s="198" t="s">
        <v>392</v>
      </c>
      <c r="B59" s="198"/>
      <c r="C59" s="199">
        <v>1</v>
      </c>
      <c r="D59" s="162" t="s">
        <v>533</v>
      </c>
      <c r="E59" s="7" t="s">
        <v>624</v>
      </c>
      <c r="F59" s="85">
        <f t="shared" si="3"/>
        <v>3</v>
      </c>
      <c r="G59" s="214"/>
      <c r="H59" s="214"/>
    </row>
    <row r="60" spans="1:8" ht="41.4" x14ac:dyDescent="0.2">
      <c r="A60" s="198" t="s">
        <v>393</v>
      </c>
      <c r="B60" s="198"/>
      <c r="C60" s="199">
        <v>1</v>
      </c>
      <c r="D60" s="162" t="s">
        <v>454</v>
      </c>
      <c r="E60" s="7" t="s">
        <v>624</v>
      </c>
      <c r="F60" s="85">
        <f t="shared" si="3"/>
        <v>3</v>
      </c>
      <c r="G60" s="214"/>
      <c r="H60" s="214"/>
    </row>
    <row r="61" spans="1:8" ht="27.6" x14ac:dyDescent="0.2">
      <c r="A61" s="198" t="s">
        <v>394</v>
      </c>
      <c r="B61" s="198"/>
      <c r="C61" s="199">
        <v>1</v>
      </c>
      <c r="D61" s="162" t="s">
        <v>455</v>
      </c>
      <c r="E61" s="7" t="s">
        <v>624</v>
      </c>
      <c r="F61" s="85">
        <f t="shared" si="3"/>
        <v>3</v>
      </c>
      <c r="G61" s="214"/>
      <c r="H61" s="214"/>
    </row>
    <row r="62" spans="1:8" ht="27.6" x14ac:dyDescent="0.2">
      <c r="A62" s="198" t="s">
        <v>395</v>
      </c>
      <c r="B62" s="198"/>
      <c r="C62" s="199">
        <v>1</v>
      </c>
      <c r="D62" s="162" t="s">
        <v>456</v>
      </c>
      <c r="E62" s="7" t="s">
        <v>624</v>
      </c>
      <c r="F62" s="85">
        <f t="shared" si="3"/>
        <v>3</v>
      </c>
      <c r="G62" s="214"/>
      <c r="H62" s="214"/>
    </row>
    <row r="63" spans="1:8" ht="27.6" x14ac:dyDescent="0.2">
      <c r="A63" s="198" t="s">
        <v>396</v>
      </c>
      <c r="B63" s="198"/>
      <c r="C63" s="199">
        <v>1</v>
      </c>
      <c r="D63" s="162" t="s">
        <v>457</v>
      </c>
      <c r="E63" s="7" t="s">
        <v>624</v>
      </c>
      <c r="F63" s="85">
        <f t="shared" si="3"/>
        <v>3</v>
      </c>
      <c r="G63" s="214"/>
      <c r="H63" s="214"/>
    </row>
    <row r="64" spans="1:8" ht="27.6" x14ac:dyDescent="0.2">
      <c r="A64" s="198" t="s">
        <v>397</v>
      </c>
      <c r="B64" s="198"/>
      <c r="C64" s="199">
        <v>1</v>
      </c>
      <c r="D64" s="162" t="s">
        <v>532</v>
      </c>
      <c r="E64" s="7" t="s">
        <v>624</v>
      </c>
      <c r="F64" s="85">
        <f t="shared" si="3"/>
        <v>3</v>
      </c>
      <c r="G64" s="214"/>
      <c r="H64" s="214"/>
    </row>
    <row r="65" spans="1:8" ht="41.4" x14ac:dyDescent="0.2">
      <c r="A65" s="198" t="s">
        <v>398</v>
      </c>
      <c r="B65" s="198"/>
      <c r="C65" s="199">
        <v>1</v>
      </c>
      <c r="D65" s="162" t="s">
        <v>531</v>
      </c>
      <c r="E65" s="7" t="s">
        <v>624</v>
      </c>
      <c r="F65" s="85">
        <f t="shared" si="3"/>
        <v>3</v>
      </c>
      <c r="G65" s="214"/>
      <c r="H65" s="214"/>
    </row>
    <row r="66" spans="1:8" ht="27.6" x14ac:dyDescent="0.2">
      <c r="A66" s="198" t="s">
        <v>409</v>
      </c>
      <c r="B66" s="198"/>
      <c r="C66" s="199">
        <v>1</v>
      </c>
      <c r="D66" s="162" t="s">
        <v>458</v>
      </c>
      <c r="E66" s="7" t="s">
        <v>624</v>
      </c>
      <c r="F66" s="85">
        <f t="shared" si="3"/>
        <v>3</v>
      </c>
      <c r="G66" s="214"/>
      <c r="H66" s="214"/>
    </row>
    <row r="67" spans="1:8" ht="13.8" x14ac:dyDescent="0.25">
      <c r="A67" s="202"/>
      <c r="B67" s="202"/>
      <c r="C67" s="202"/>
      <c r="D67" s="203"/>
      <c r="E67" s="202"/>
    </row>
    <row r="68" spans="1:8" ht="13.8" x14ac:dyDescent="0.25">
      <c r="A68" s="202"/>
      <c r="B68" s="202"/>
      <c r="C68" s="202"/>
      <c r="D68" s="203"/>
      <c r="E68" s="202"/>
    </row>
    <row r="69" spans="1:8" ht="13.8" x14ac:dyDescent="0.25">
      <c r="A69" s="202"/>
      <c r="B69" s="202"/>
      <c r="C69" s="202"/>
      <c r="D69" s="203"/>
      <c r="E69" s="202"/>
    </row>
    <row r="70" spans="1:8" ht="13.8" x14ac:dyDescent="0.25">
      <c r="A70" s="202"/>
      <c r="B70" s="202"/>
      <c r="C70" s="202"/>
      <c r="D70" s="203"/>
      <c r="E70" s="202"/>
    </row>
    <row r="71" spans="1:8" ht="13.8" x14ac:dyDescent="0.25">
      <c r="A71" s="202"/>
      <c r="B71" s="202"/>
      <c r="C71" s="202"/>
      <c r="D71" s="203"/>
      <c r="E71" s="202"/>
    </row>
    <row r="72" spans="1:8" ht="13.2" x14ac:dyDescent="0.25">
      <c r="A72" s="202"/>
      <c r="B72" s="202"/>
      <c r="C72" s="202"/>
      <c r="D72" s="202"/>
      <c r="E72" s="202"/>
    </row>
    <row r="73" spans="1:8" ht="13.2" x14ac:dyDescent="0.25">
      <c r="A73" s="202"/>
      <c r="B73" s="202"/>
      <c r="C73" s="202"/>
      <c r="D73" s="202"/>
      <c r="E73" s="202"/>
    </row>
    <row r="74" spans="1:8" ht="13.2" x14ac:dyDescent="0.25">
      <c r="A74" s="202"/>
      <c r="B74" s="202"/>
      <c r="C74" s="202"/>
      <c r="D74" s="202"/>
      <c r="E74" s="202"/>
    </row>
    <row r="75" spans="1:8" ht="13.2" x14ac:dyDescent="0.25">
      <c r="A75" s="202"/>
      <c r="B75" s="202"/>
      <c r="C75" s="202"/>
      <c r="D75" s="202"/>
      <c r="E75" s="202"/>
    </row>
    <row r="76" spans="1:8" ht="13.2" x14ac:dyDescent="0.25">
      <c r="A76" s="202"/>
      <c r="B76" s="202"/>
      <c r="C76" s="202"/>
      <c r="D76" s="202"/>
      <c r="E76" s="202"/>
    </row>
    <row r="77" spans="1:8" ht="13.2" x14ac:dyDescent="0.25">
      <c r="A77" s="202"/>
      <c r="B77" s="202"/>
      <c r="C77" s="202"/>
      <c r="D77" s="202"/>
      <c r="E77" s="202"/>
    </row>
    <row r="78" spans="1:8" ht="13.2" x14ac:dyDescent="0.25">
      <c r="A78" s="202"/>
      <c r="B78" s="202"/>
      <c r="C78" s="202"/>
      <c r="D78" s="202"/>
      <c r="E78" s="202"/>
    </row>
    <row r="79" spans="1:8" ht="13.2" x14ac:dyDescent="0.25">
      <c r="A79" s="202"/>
      <c r="B79" s="202"/>
      <c r="C79" s="202"/>
      <c r="D79" s="202"/>
      <c r="E79" s="202"/>
    </row>
    <row r="80" spans="1:8" ht="13.2" x14ac:dyDescent="0.25">
      <c r="A80" s="202"/>
      <c r="B80" s="202"/>
      <c r="C80" s="202"/>
      <c r="D80" s="202"/>
      <c r="E80" s="202"/>
    </row>
    <row r="81" spans="1:5" ht="13.2" x14ac:dyDescent="0.25">
      <c r="A81" s="202"/>
      <c r="B81" s="202"/>
      <c r="C81" s="202"/>
      <c r="D81" s="202"/>
      <c r="E81" s="202"/>
    </row>
    <row r="82" spans="1:5" ht="13.2" x14ac:dyDescent="0.25">
      <c r="A82" s="202"/>
      <c r="B82" s="202"/>
      <c r="C82" s="202"/>
      <c r="D82" s="202"/>
      <c r="E82" s="202"/>
    </row>
    <row r="83" spans="1:5" ht="13.2" x14ac:dyDescent="0.25">
      <c r="A83" s="202"/>
      <c r="B83" s="202"/>
      <c r="C83" s="202"/>
      <c r="D83" s="202"/>
      <c r="E83" s="202"/>
    </row>
    <row r="84" spans="1:5" ht="13.2" x14ac:dyDescent="0.25">
      <c r="A84" s="202"/>
      <c r="B84" s="202"/>
      <c r="C84" s="202"/>
      <c r="D84" s="202"/>
      <c r="E84" s="202"/>
    </row>
    <row r="85" spans="1:5" ht="13.2" x14ac:dyDescent="0.25">
      <c r="A85" s="202"/>
      <c r="B85" s="202"/>
      <c r="C85" s="202"/>
      <c r="D85" s="202"/>
      <c r="E85" s="202"/>
    </row>
    <row r="86" spans="1:5" ht="13.2" x14ac:dyDescent="0.25">
      <c r="A86" s="202"/>
      <c r="B86" s="202"/>
      <c r="C86" s="202"/>
      <c r="D86" s="202"/>
      <c r="E86" s="202"/>
    </row>
    <row r="87" spans="1:5" ht="13.2" x14ac:dyDescent="0.25">
      <c r="A87" s="202"/>
      <c r="B87" s="202"/>
      <c r="C87" s="202"/>
      <c r="D87" s="202"/>
      <c r="E87" s="202"/>
    </row>
    <row r="88" spans="1:5" ht="13.2" x14ac:dyDescent="0.25">
      <c r="A88" s="202"/>
      <c r="B88" s="202"/>
      <c r="C88" s="202"/>
      <c r="D88" s="202"/>
      <c r="E88" s="202"/>
    </row>
    <row r="89" spans="1:5" ht="13.2" x14ac:dyDescent="0.25">
      <c r="A89" s="202"/>
      <c r="B89" s="202"/>
      <c r="C89" s="202"/>
      <c r="D89" s="202"/>
      <c r="E89" s="202"/>
    </row>
    <row r="90" spans="1:5" ht="13.2" x14ac:dyDescent="0.25">
      <c r="A90" s="202"/>
      <c r="B90" s="202"/>
      <c r="C90" s="202"/>
      <c r="D90" s="202"/>
      <c r="E90" s="202"/>
    </row>
    <row r="91" spans="1:5" ht="13.2" x14ac:dyDescent="0.25">
      <c r="A91" s="202"/>
      <c r="B91" s="202"/>
      <c r="C91" s="202"/>
      <c r="D91" s="202"/>
      <c r="E91" s="202"/>
    </row>
    <row r="92" spans="1:5" ht="13.2" x14ac:dyDescent="0.25">
      <c r="A92" s="202"/>
      <c r="B92" s="202"/>
      <c r="C92" s="202"/>
      <c r="D92" s="202"/>
      <c r="E92" s="202"/>
    </row>
    <row r="93" spans="1:5" ht="13.2" x14ac:dyDescent="0.25">
      <c r="A93" s="202"/>
      <c r="B93" s="202"/>
      <c r="C93" s="202"/>
      <c r="D93" s="202"/>
      <c r="E93" s="202"/>
    </row>
    <row r="94" spans="1:5" ht="13.2" x14ac:dyDescent="0.25">
      <c r="A94" s="202"/>
      <c r="B94" s="202"/>
      <c r="C94" s="202"/>
      <c r="D94" s="202"/>
      <c r="E94" s="202"/>
    </row>
  </sheetData>
  <sheetProtection algorithmName="SHA-512" hashValue="ADXtPdUWvk8GXWPyb1Ekrqhlw+SOGsmfey3MUkHF87L8TCD1IqKIKz6NAn4u1YCv4zMA9tU6P2TV49SXPBey4w==" saltValue="TlgLhM9G800S5TkOE+J48w==" spinCount="100000" sheet="1" objects="1" scenarios="1"/>
  <customSheetViews>
    <customSheetView guid="{58EB2181-60CA-D84F-9BE3-6D30A91A6F68}" scale="115" topLeftCell="A4">
      <selection activeCell="A13" sqref="A13:XFD13"/>
      <pageMargins left="0.7" right="0.7" top="0.75" bottom="0.75" header="0.3" footer="0.3"/>
      <pageSetup paperSize="9" orientation="portrait" horizontalDpi="4294967292" verticalDpi="4294967292"/>
    </customSheetView>
  </customSheetViews>
  <mergeCells count="10">
    <mergeCell ref="A1:E1"/>
    <mergeCell ref="A2:E2"/>
    <mergeCell ref="A3:D3"/>
    <mergeCell ref="D35:E35"/>
    <mergeCell ref="D32:E32"/>
    <mergeCell ref="D5:E5"/>
    <mergeCell ref="D13:E13"/>
    <mergeCell ref="D17:E17"/>
    <mergeCell ref="D26:E26"/>
    <mergeCell ref="D29:E29"/>
  </mergeCells>
  <phoneticPr fontId="6" type="noConversion"/>
  <conditionalFormatting sqref="E6:E12 E30:E31">
    <cfRule type="cellIs" dxfId="58" priority="145" stopIfTrue="1" operator="equal">
      <formula>"Dalam Perencanaan"</formula>
    </cfRule>
    <cfRule type="cellIs" dxfId="57" priority="169" stopIfTrue="1" operator="equal">
      <formula>"Tidak Dilakukan"</formula>
    </cfRule>
    <cfRule type="cellIs" dxfId="56" priority="170" stopIfTrue="1" operator="equal">
      <formula>"Dalam Penerapan / Diterapkan Sebagian"</formula>
    </cfRule>
  </conditionalFormatting>
  <conditionalFormatting sqref="E14">
    <cfRule type="cellIs" dxfId="55" priority="28" stopIfTrue="1" operator="equal">
      <formula>"Dalam Perencanaan"</formula>
    </cfRule>
    <cfRule type="cellIs" dxfId="54" priority="29" stopIfTrue="1" operator="equal">
      <formula>"Tidak Dilakukan"</formula>
    </cfRule>
    <cfRule type="cellIs" dxfId="53" priority="30" stopIfTrue="1" operator="equal">
      <formula>"Dalam Penerapan / Diterapkan Sebagian"</formula>
    </cfRule>
  </conditionalFormatting>
  <conditionalFormatting sqref="E15:E16">
    <cfRule type="cellIs" dxfId="52" priority="25" stopIfTrue="1" operator="equal">
      <formula>"Dalam Perencanaan"</formula>
    </cfRule>
    <cfRule type="cellIs" dxfId="51" priority="26" stopIfTrue="1" operator="equal">
      <formula>"Tidak Dilakukan"</formula>
    </cfRule>
    <cfRule type="cellIs" dxfId="50" priority="27" stopIfTrue="1" operator="equal">
      <formula>"Dalam Penerapan / Diterapkan Sebagian"</formula>
    </cfRule>
  </conditionalFormatting>
  <conditionalFormatting sqref="E18:E25">
    <cfRule type="cellIs" dxfId="49" priority="22" stopIfTrue="1" operator="equal">
      <formula>"Dalam Perencanaan"</formula>
    </cfRule>
    <cfRule type="cellIs" dxfId="48" priority="23" stopIfTrue="1" operator="equal">
      <formula>"Tidak Dilakukan"</formula>
    </cfRule>
    <cfRule type="cellIs" dxfId="47" priority="24" stopIfTrue="1" operator="equal">
      <formula>"Dalam Penerapan / Diterapkan Sebagian"</formula>
    </cfRule>
  </conditionalFormatting>
  <conditionalFormatting sqref="E27:E28">
    <cfRule type="cellIs" dxfId="46" priority="19" stopIfTrue="1" operator="equal">
      <formula>"Dalam Perencanaan"</formula>
    </cfRule>
    <cfRule type="cellIs" dxfId="45" priority="20" stopIfTrue="1" operator="equal">
      <formula>"Tidak Dilakukan"</formula>
    </cfRule>
    <cfRule type="cellIs" dxfId="44" priority="21" stopIfTrue="1" operator="equal">
      <formula>"Dalam Penerapan / Diterapkan Sebagian"</formula>
    </cfRule>
  </conditionalFormatting>
  <conditionalFormatting sqref="E33:E34">
    <cfRule type="cellIs" dxfId="43" priority="16" stopIfTrue="1" operator="equal">
      <formula>"Dalam Perencanaan"</formula>
    </cfRule>
    <cfRule type="cellIs" dxfId="42" priority="17" stopIfTrue="1" operator="equal">
      <formula>"Tidak Dilakukan"</formula>
    </cfRule>
    <cfRule type="cellIs" dxfId="41" priority="18" stopIfTrue="1" operator="equal">
      <formula>"Dalam Penerapan / Diterapkan Sebagian"</formula>
    </cfRule>
  </conditionalFormatting>
  <conditionalFormatting sqref="E36:E38">
    <cfRule type="cellIs" dxfId="40" priority="13" stopIfTrue="1" operator="equal">
      <formula>"Dalam Perencanaan"</formula>
    </cfRule>
    <cfRule type="cellIs" dxfId="39" priority="14" stopIfTrue="1" operator="equal">
      <formula>"Tidak Dilakukan"</formula>
    </cfRule>
    <cfRule type="cellIs" dxfId="38" priority="15" stopIfTrue="1" operator="equal">
      <formula>"Dalam Penerapan / Diterapkan Sebagian"</formula>
    </cfRule>
  </conditionalFormatting>
  <conditionalFormatting sqref="E40:E48">
    <cfRule type="cellIs" dxfId="37" priority="10" stopIfTrue="1" operator="equal">
      <formula>"Dalam Perencanaan"</formula>
    </cfRule>
    <cfRule type="cellIs" dxfId="36" priority="11" stopIfTrue="1" operator="equal">
      <formula>"Tidak Dilakukan"</formula>
    </cfRule>
    <cfRule type="cellIs" dxfId="35" priority="12" stopIfTrue="1" operator="equal">
      <formula>"Dalam Penerapan / Diterapkan Sebagian"</formula>
    </cfRule>
  </conditionalFormatting>
  <conditionalFormatting sqref="E49">
    <cfRule type="cellIs" dxfId="34" priority="7" stopIfTrue="1" operator="equal">
      <formula>"Dalam Perencanaan"</formula>
    </cfRule>
    <cfRule type="cellIs" dxfId="33" priority="8" stopIfTrue="1" operator="equal">
      <formula>"Tidak Dilakukan"</formula>
    </cfRule>
    <cfRule type="cellIs" dxfId="32" priority="9" stopIfTrue="1" operator="equal">
      <formula>"Dalam Penerapan / Diterapkan Sebagian"</formula>
    </cfRule>
  </conditionalFormatting>
  <conditionalFormatting sqref="E51:E61">
    <cfRule type="cellIs" dxfId="31" priority="4" stopIfTrue="1" operator="equal">
      <formula>"Dalam Perencanaan"</formula>
    </cfRule>
    <cfRule type="cellIs" dxfId="30" priority="5" stopIfTrue="1" operator="equal">
      <formula>"Tidak Dilakukan"</formula>
    </cfRule>
    <cfRule type="cellIs" dxfId="29" priority="6" stopIfTrue="1" operator="equal">
      <formula>"Dalam Penerapan / Diterapkan Sebagian"</formula>
    </cfRule>
  </conditionalFormatting>
  <conditionalFormatting sqref="E62:E66">
    <cfRule type="cellIs" dxfId="28" priority="1" stopIfTrue="1" operator="equal">
      <formula>"Dalam Perencanaan"</formula>
    </cfRule>
    <cfRule type="cellIs" dxfId="27" priority="2" stopIfTrue="1" operator="equal">
      <formula>"Tidak Dilakukan"</formula>
    </cfRule>
    <cfRule type="cellIs" dxfId="26" priority="3" stopIfTrue="1" operator="equal">
      <formula>"Dalam Penerapan / Diterapkan Sebagian"</formula>
    </cfRule>
  </conditionalFormatting>
  <dataValidations count="1">
    <dataValidation type="list" allowBlank="1" showInputMessage="1" showErrorMessage="1" sqref="E33:E34 E36:E38 E40:E49 E6:E12 E14:E16 E18:E25 E27:E28 E51:E66 E30:E31" xr:uid="{00000000-0002-0000-0800-000000000000}">
      <formula1>StatusPenerapan</formula1>
    </dataValidation>
  </dataValidations>
  <pageMargins left="0.75000000000000011" right="0.75000000000000011" top="1" bottom="1" header="0.5" footer="0.5"/>
  <pageSetup paperSize="9" orientation="portrait" horizontalDpi="4294967292" verticalDpi="4294967292"/>
  <headerFooter>
    <oddFooter>&amp;L&amp;K000000Badan Siber dan Sandi Negara&amp;R&amp;"Arial,Regular"&amp;K000000Indeks KAMI, Versi  4.0, Februari 2019</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18</vt:i4>
      </vt:variant>
    </vt:vector>
  </HeadingPairs>
  <TitlesOfParts>
    <vt:vector size="30" baseType="lpstr">
      <vt:lpstr>Pengantar</vt:lpstr>
      <vt:lpstr>Identitas Responden</vt:lpstr>
      <vt:lpstr>I Kategori SE</vt:lpstr>
      <vt:lpstr>II Tata Kelola</vt:lpstr>
      <vt:lpstr>III Risiko</vt:lpstr>
      <vt:lpstr>IV Kerangka Kerja</vt:lpstr>
      <vt:lpstr>V Pengelolaan Aset</vt:lpstr>
      <vt:lpstr>VI Teknologi</vt:lpstr>
      <vt:lpstr>VII Suplemen</vt:lpstr>
      <vt:lpstr>Dashboard</vt:lpstr>
      <vt:lpstr>Referensi</vt:lpstr>
      <vt:lpstr>Catatan Perubahan</vt:lpstr>
      <vt:lpstr>KategoriSE</vt:lpstr>
      <vt:lpstr>PeranTIK</vt:lpstr>
      <vt:lpstr>Dashboard!Print_Area</vt:lpstr>
      <vt:lpstr>'I Kategori SE'!Print_Area</vt:lpstr>
      <vt:lpstr>'Identitas Responden'!Print_Area</vt:lpstr>
      <vt:lpstr>'II Tata Kelola'!Print_Area</vt:lpstr>
      <vt:lpstr>'III Risiko'!Print_Area</vt:lpstr>
      <vt:lpstr>'IV Kerangka Kerja'!Print_Area</vt:lpstr>
      <vt:lpstr>'V Pengelolaan Aset'!Print_Area</vt:lpstr>
      <vt:lpstr>'VI Teknologi'!Print_Area</vt:lpstr>
      <vt:lpstr>Skor</vt:lpstr>
      <vt:lpstr>SkorAkhir</vt:lpstr>
      <vt:lpstr>SkorPeranTIK</vt:lpstr>
      <vt:lpstr>StatusPenerapan</vt:lpstr>
      <vt:lpstr>StatusPenerapanHasil</vt:lpstr>
      <vt:lpstr>TingkatKematangan</vt:lpstr>
      <vt:lpstr>TingkatKematangan2</vt:lpstr>
      <vt:lpstr>TKM</vt:lpstr>
    </vt:vector>
  </TitlesOfParts>
  <Manager/>
  <Company>Badan Siber dan Sandi Negara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Indeks KAMI Versi 4.0</dc:title>
  <dc:subject/>
  <dc:creator>Tim Indeks KAMI</dc:creator>
  <cp:keywords/>
  <dc:description>Revisi 4.0 dengan perubahan:_x000d_Penyesuaian istilah_x000d_Penambahan area evaluasi</dc:description>
  <cp:lastModifiedBy>diah sulistyowati</cp:lastModifiedBy>
  <cp:lastPrinted>2015-04-19T07:15:46Z</cp:lastPrinted>
  <dcterms:created xsi:type="dcterms:W3CDTF">2009-02-20T00:17:41Z</dcterms:created>
  <dcterms:modified xsi:type="dcterms:W3CDTF">2022-10-24T08:19:54Z</dcterms:modified>
  <cp:category/>
</cp:coreProperties>
</file>