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FAF4E1E0-F294-41DC-ABDA-03CAF89B2EC0}" xr6:coauthVersionLast="47" xr6:coauthVersionMax="47" xr10:uidLastSave="{00000000-0000-0000-0000-000000000000}"/>
  <bookViews>
    <workbookView xWindow="-120" yWindow="-120" windowWidth="29040" windowHeight="15720" xr2:uid="{47A06081-2E6C-41C1-927E-5A16DD29C2F5}"/>
  </bookViews>
  <sheets>
    <sheet name="МЕНЮ" sheetId="1" r:id="rId1"/>
    <sheet name="ПРОЕКТ" sheetId="7" r:id="rId2"/>
    <sheet name="ПРОСТАЯ СМЕТА" sheetId="2" r:id="rId3"/>
    <sheet name="ПОДРОБНАЯ СМЕТА" sheetId="3" r:id="rId4"/>
    <sheet name="ОПЦИИ" sheetId="4" r:id="rId5"/>
    <sheet name="О НАС" sheetId="5" r:id="rId6"/>
    <sheet name="В" sheetId="6" state="veryHidden" r:id="rId7"/>
  </sheets>
  <externalReferences>
    <externalReference r:id="rId8"/>
  </externalReferences>
  <definedNames>
    <definedName name="_xlnm.Print_Area" localSheetId="0">МЕНЮ!$C$3:$F$31</definedName>
    <definedName name="_xlnm.Print_Area" localSheetId="5">'О НАС'!$B$1:$H$178</definedName>
    <definedName name="_xlnm.Print_Area" localSheetId="4">ОПЦИИ!$B$1:$I$51</definedName>
    <definedName name="_xlnm.Print_Area" localSheetId="3">'ПОДРОБНАЯ СМЕТА'!$A$2:$I$488</definedName>
    <definedName name="_xlnm.Print_Area" localSheetId="2">'ПРОСТАЯ СМЕТА'!$A$1:$C$49</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6" l="1"/>
  <c r="E1" i="6"/>
  <c r="I1" i="6" s="1"/>
  <c r="C473" i="6"/>
  <c r="B473" i="6"/>
  <c r="B472" i="6"/>
  <c r="B470" i="6"/>
  <c r="B469" i="6"/>
  <c r="B465" i="6"/>
  <c r="C464" i="6"/>
  <c r="B464" i="6"/>
  <c r="C457" i="6"/>
  <c r="B457" i="6"/>
  <c r="C452" i="6"/>
  <c r="C166" i="6" s="1"/>
  <c r="B434" i="6"/>
  <c r="B442" i="6" s="1"/>
  <c r="B352" i="6"/>
  <c r="C352" i="6" s="1"/>
  <c r="B351" i="6"/>
  <c r="C351" i="6" s="1"/>
  <c r="B350" i="6"/>
  <c r="C350" i="6" s="1"/>
  <c r="B349" i="6"/>
  <c r="C349" i="6" s="1"/>
  <c r="B348" i="6"/>
  <c r="C348" i="6" s="1"/>
  <c r="B347" i="6"/>
  <c r="C347" i="6" s="1"/>
  <c r="B345" i="6"/>
  <c r="C345" i="6" s="1"/>
  <c r="B344" i="6"/>
  <c r="C344" i="6" s="1"/>
  <c r="B333" i="6"/>
  <c r="B332" i="6"/>
  <c r="B330" i="6"/>
  <c r="B329" i="6"/>
  <c r="B327" i="6"/>
  <c r="B326" i="6"/>
  <c r="B324" i="6"/>
  <c r="B322" i="6"/>
  <c r="C322" i="6" s="1"/>
  <c r="B321" i="6"/>
  <c r="C321" i="6" s="1"/>
  <c r="B320" i="6"/>
  <c r="C320" i="6" s="1"/>
  <c r="C319" i="6"/>
  <c r="B318" i="6"/>
  <c r="C318" i="6" s="1"/>
  <c r="B317" i="6"/>
  <c r="C317" i="6" s="1"/>
  <c r="B316" i="6"/>
  <c r="C316" i="6" s="1"/>
  <c r="C315" i="6"/>
  <c r="B314" i="6"/>
  <c r="B313" i="6"/>
  <c r="B301" i="6"/>
  <c r="B300" i="6"/>
  <c r="B299" i="6"/>
  <c r="B298" i="6"/>
  <c r="B297" i="6"/>
  <c r="B296" i="6"/>
  <c r="B295" i="6"/>
  <c r="B294" i="6"/>
  <c r="B293" i="6"/>
  <c r="B292" i="6"/>
  <c r="B291" i="6"/>
  <c r="B288" i="6"/>
  <c r="B289" i="6" s="1"/>
  <c r="B276" i="6"/>
  <c r="B277" i="6" s="1"/>
  <c r="B270" i="6"/>
  <c r="B272" i="6" s="1"/>
  <c r="B269" i="6"/>
  <c r="B268" i="6"/>
  <c r="B267" i="6"/>
  <c r="B258" i="6"/>
  <c r="B252" i="6"/>
  <c r="B257" i="6" s="1"/>
  <c r="C250" i="6"/>
  <c r="B243" i="6"/>
  <c r="B248" i="6" s="1"/>
  <c r="B237" i="6"/>
  <c r="B242" i="6" s="1"/>
  <c r="B233" i="6"/>
  <c r="B236" i="6" s="1"/>
  <c r="C231" i="6"/>
  <c r="B231" i="6"/>
  <c r="B232" i="6" s="1"/>
  <c r="B230" i="6"/>
  <c r="B219" i="6"/>
  <c r="B221" i="6" s="1"/>
  <c r="B218" i="6"/>
  <c r="B217" i="6"/>
  <c r="B215" i="6"/>
  <c r="B213" i="6"/>
  <c r="B216" i="6" s="1"/>
  <c r="B212" i="6"/>
  <c r="C197" i="6"/>
  <c r="C196" i="6"/>
  <c r="C195" i="6"/>
  <c r="C194" i="6"/>
  <c r="C193" i="6"/>
  <c r="C192" i="6"/>
  <c r="C190" i="6"/>
  <c r="B188" i="6"/>
  <c r="B189" i="6" s="1"/>
  <c r="C183" i="6"/>
  <c r="B183" i="6"/>
  <c r="B184" i="6" s="1"/>
  <c r="C173" i="6"/>
  <c r="C170" i="6"/>
  <c r="C168" i="6"/>
  <c r="B168" i="6"/>
  <c r="B169" i="6" s="1"/>
  <c r="C163" i="6"/>
  <c r="B156" i="6"/>
  <c r="B162" i="6" s="1"/>
  <c r="B152" i="6"/>
  <c r="B155" i="6" s="1"/>
  <c r="C148" i="6"/>
  <c r="C147" i="6"/>
  <c r="C146" i="6"/>
  <c r="B145" i="6"/>
  <c r="B149" i="6" s="1"/>
  <c r="C143" i="6"/>
  <c r="C139" i="6"/>
  <c r="B132" i="6"/>
  <c r="B101" i="6"/>
  <c r="B100" i="6"/>
  <c r="B99" i="6"/>
  <c r="B98" i="6"/>
  <c r="B97" i="6"/>
  <c r="B96" i="6"/>
  <c r="B95" i="6"/>
  <c r="C94" i="6"/>
  <c r="B58" i="6"/>
  <c r="B59" i="6" s="1"/>
  <c r="D36" i="6"/>
  <c r="D35" i="6"/>
  <c r="C34" i="6"/>
  <c r="C32" i="6"/>
  <c r="B13" i="6"/>
  <c r="B14" i="6" s="1"/>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G453" i="3"/>
  <c r="G476" i="3" s="1"/>
  <c r="F377" i="3"/>
  <c r="F363" i="3"/>
  <c r="C217" i="3"/>
  <c r="C211" i="3"/>
  <c r="D211" i="6" s="1"/>
  <c r="C210" i="3"/>
  <c r="C168" i="3"/>
  <c r="C151" i="3"/>
  <c r="D151" i="6" s="1"/>
  <c r="C132" i="3"/>
  <c r="C118" i="3"/>
  <c r="D118" i="6" s="1"/>
  <c r="C73" i="3"/>
  <c r="C35" i="3"/>
  <c r="C42" i="2"/>
  <c r="D13" i="1"/>
  <c r="B250" i="6" l="1"/>
  <c r="B251" i="6"/>
  <c r="B190" i="6"/>
  <c r="B290" i="6"/>
  <c r="B223" i="6"/>
  <c r="B224" i="6"/>
  <c r="B170" i="6"/>
  <c r="B172" i="6" s="1"/>
  <c r="B227" i="6"/>
  <c r="B249" i="6"/>
  <c r="B222" i="6"/>
  <c r="B225" i="6"/>
  <c r="B226" i="6"/>
  <c r="B228" i="6"/>
  <c r="B173" i="6"/>
  <c r="B174" i="6" s="1"/>
  <c r="B176" i="6" s="1"/>
  <c r="B229" i="6"/>
  <c r="B346" i="6"/>
  <c r="C346" i="6" s="1"/>
  <c r="B147" i="6"/>
  <c r="B148" i="6"/>
  <c r="C148" i="3" s="1"/>
  <c r="B435" i="6"/>
  <c r="B436" i="6"/>
  <c r="B439" i="6"/>
  <c r="B254" i="6"/>
  <c r="B440" i="6"/>
  <c r="C84" i="6"/>
  <c r="C141" i="6"/>
  <c r="C42" i="6"/>
  <c r="C215" i="6"/>
  <c r="C155" i="6"/>
  <c r="C155" i="3" s="1"/>
  <c r="C214" i="6"/>
  <c r="C154" i="6"/>
  <c r="B419" i="6"/>
  <c r="C115" i="6"/>
  <c r="C153" i="6"/>
  <c r="C109" i="6"/>
  <c r="B396" i="6"/>
  <c r="B363" i="6"/>
  <c r="B425" i="6"/>
  <c r="C242" i="6"/>
  <c r="C216" i="6"/>
  <c r="C43" i="6"/>
  <c r="C43" i="3" s="1"/>
  <c r="B265" i="6"/>
  <c r="B264" i="6"/>
  <c r="B263" i="6"/>
  <c r="B260" i="6"/>
  <c r="B261" i="6"/>
  <c r="B262" i="6"/>
  <c r="B171" i="6"/>
  <c r="B182" i="6"/>
  <c r="B181" i="6"/>
  <c r="B180" i="6"/>
  <c r="B179" i="6"/>
  <c r="B178" i="6"/>
  <c r="B177" i="6"/>
  <c r="B146" i="6"/>
  <c r="C146" i="3" s="1"/>
  <c r="B234" i="6"/>
  <c r="B235" i="6"/>
  <c r="B437" i="6"/>
  <c r="B438" i="6"/>
  <c r="B253" i="6"/>
  <c r="B255" i="6"/>
  <c r="B441" i="6"/>
  <c r="B256" i="6"/>
  <c r="C167" i="6"/>
  <c r="B259" i="6"/>
  <c r="B377" i="6"/>
  <c r="C142" i="6"/>
  <c r="B133" i="6"/>
  <c r="B157" i="6"/>
  <c r="B185" i="6"/>
  <c r="B273" i="6"/>
  <c r="B158" i="6"/>
  <c r="C158" i="3" s="1"/>
  <c r="B186" i="6"/>
  <c r="B274" i="6"/>
  <c r="B159" i="6"/>
  <c r="C159" i="3" s="1"/>
  <c r="B187" i="6"/>
  <c r="B244" i="6"/>
  <c r="B275" i="6"/>
  <c r="B139" i="6"/>
  <c r="B160" i="6"/>
  <c r="C160" i="3" s="1"/>
  <c r="B245" i="6"/>
  <c r="B161" i="6"/>
  <c r="B220" i="6"/>
  <c r="B246" i="6"/>
  <c r="B247" i="6"/>
  <c r="B163" i="6"/>
  <c r="B164" i="6" s="1"/>
  <c r="B153" i="6"/>
  <c r="B238" i="6"/>
  <c r="B239" i="6"/>
  <c r="B154" i="6"/>
  <c r="B214" i="6"/>
  <c r="C214" i="3" s="1"/>
  <c r="B240" i="6"/>
  <c r="B241" i="6"/>
  <c r="B271" i="6"/>
  <c r="C145" i="3"/>
  <c r="C166" i="3"/>
  <c r="C156" i="3"/>
  <c r="C152" i="3"/>
  <c r="C96" i="3"/>
  <c r="D96" i="6" s="1"/>
  <c r="C85" i="3"/>
  <c r="C212" i="3"/>
  <c r="A1" i="3"/>
  <c r="C349" i="3"/>
  <c r="C102" i="3"/>
  <c r="C267" i="3"/>
  <c r="C86" i="3"/>
  <c r="D86" i="6" s="1"/>
  <c r="C40" i="3"/>
  <c r="D40" i="6" s="1"/>
  <c r="C80" i="3"/>
  <c r="C77" i="3"/>
  <c r="C87" i="3"/>
  <c r="C135" i="3"/>
  <c r="C292" i="3"/>
  <c r="F301" i="3"/>
  <c r="C272" i="3"/>
  <c r="C470" i="6" s="1"/>
  <c r="C270" i="3"/>
  <c r="G168" i="3"/>
  <c r="C134" i="3"/>
  <c r="C235" i="3"/>
  <c r="H235" i="3" s="1"/>
  <c r="C150" i="3"/>
  <c r="C256" i="3"/>
  <c r="F396" i="3"/>
  <c r="C293" i="3"/>
  <c r="D293" i="6" s="1"/>
  <c r="C169" i="3"/>
  <c r="C351" i="3"/>
  <c r="C237" i="3"/>
  <c r="F434" i="3"/>
  <c r="F425" i="3"/>
  <c r="B175" i="6" l="1"/>
  <c r="B191" i="6"/>
  <c r="B198" i="6"/>
  <c r="B197" i="6"/>
  <c r="B194" i="6"/>
  <c r="B192" i="6"/>
  <c r="B196" i="6"/>
  <c r="B195" i="6"/>
  <c r="B193" i="6"/>
  <c r="C346" i="3"/>
  <c r="B432" i="6"/>
  <c r="B431" i="6"/>
  <c r="B430" i="6"/>
  <c r="B429" i="6"/>
  <c r="B428" i="6"/>
  <c r="B427" i="6"/>
  <c r="B426" i="6"/>
  <c r="B433" i="6"/>
  <c r="B368" i="6"/>
  <c r="B367" i="6"/>
  <c r="B366" i="6"/>
  <c r="B365" i="6"/>
  <c r="B364" i="6"/>
  <c r="B375" i="6"/>
  <c r="B374" i="6"/>
  <c r="B372" i="6"/>
  <c r="B371" i="6"/>
  <c r="B376" i="6"/>
  <c r="B373" i="6"/>
  <c r="B370" i="6"/>
  <c r="B369" i="6"/>
  <c r="B400" i="6"/>
  <c r="B399" i="6"/>
  <c r="B418" i="6"/>
  <c r="B417" i="6"/>
  <c r="B416" i="6"/>
  <c r="B415" i="6"/>
  <c r="B398" i="6"/>
  <c r="B397" i="6"/>
  <c r="B406" i="6"/>
  <c r="B405" i="6"/>
  <c r="B404" i="6"/>
  <c r="B401" i="6"/>
  <c r="B413" i="6"/>
  <c r="B412" i="6"/>
  <c r="B411" i="6"/>
  <c r="B409" i="6"/>
  <c r="B403" i="6"/>
  <c r="B402" i="6"/>
  <c r="B414" i="6"/>
  <c r="B410" i="6"/>
  <c r="B408" i="6"/>
  <c r="B407" i="6"/>
  <c r="B391" i="6"/>
  <c r="B390" i="6"/>
  <c r="B389" i="6"/>
  <c r="B388" i="6"/>
  <c r="B387" i="6"/>
  <c r="B386" i="6"/>
  <c r="B385" i="6"/>
  <c r="B384" i="6"/>
  <c r="B383" i="6"/>
  <c r="B395" i="6"/>
  <c r="B394" i="6"/>
  <c r="B393" i="6"/>
  <c r="B392" i="6"/>
  <c r="B380" i="6"/>
  <c r="B378" i="6"/>
  <c r="B382" i="6"/>
  <c r="B381" i="6"/>
  <c r="B379" i="6"/>
  <c r="B423" i="6"/>
  <c r="B422" i="6"/>
  <c r="B421" i="6"/>
  <c r="B420" i="6"/>
  <c r="B424" i="6"/>
  <c r="B142" i="6"/>
  <c r="B141" i="6"/>
  <c r="B140" i="6"/>
  <c r="B144" i="6"/>
  <c r="B143" i="6"/>
  <c r="C348" i="3"/>
  <c r="G237" i="3"/>
  <c r="C34" i="3"/>
  <c r="C30" i="3"/>
  <c r="C161" i="3"/>
  <c r="C162" i="3"/>
  <c r="C45" i="3"/>
  <c r="G45" i="3" s="1"/>
  <c r="C44" i="3"/>
  <c r="D44" i="6" s="1"/>
  <c r="F419" i="3"/>
  <c r="C45" i="2"/>
  <c r="C58" i="3"/>
  <c r="C157" i="3"/>
  <c r="C95" i="3"/>
  <c r="C41" i="3"/>
  <c r="D41" i="6" s="1"/>
  <c r="C33" i="3"/>
  <c r="C133" i="3"/>
  <c r="C98" i="3"/>
  <c r="C75" i="3"/>
  <c r="C29" i="3"/>
  <c r="C99" i="3"/>
  <c r="C147" i="3"/>
  <c r="H147" i="3" s="1"/>
  <c r="C89" i="3"/>
  <c r="C31" i="3"/>
  <c r="C79" i="3"/>
  <c r="G152" i="3"/>
  <c r="C471" i="3"/>
  <c r="C176" i="3"/>
  <c r="C187" i="3"/>
  <c r="C230" i="3"/>
  <c r="D230" i="6" s="1"/>
  <c r="C46" i="3"/>
  <c r="C344" i="3"/>
  <c r="G132" i="3"/>
  <c r="C119" i="3"/>
  <c r="D119" i="6" s="1"/>
  <c r="C117" i="3"/>
  <c r="D117" i="6" s="1"/>
  <c r="C268" i="3"/>
  <c r="C103" i="3"/>
  <c r="D103" i="6" s="1"/>
  <c r="C350" i="3"/>
  <c r="C352" i="3"/>
  <c r="C72" i="3"/>
  <c r="C218" i="3"/>
  <c r="C223" i="3"/>
  <c r="C457" i="3"/>
  <c r="C345" i="3"/>
  <c r="C473" i="3"/>
  <c r="C216" i="3"/>
  <c r="C252" i="3"/>
  <c r="C90" i="3"/>
  <c r="C227" i="3"/>
  <c r="G270" i="3"/>
  <c r="C175" i="3"/>
  <c r="G212" i="3"/>
  <c r="I212" i="3" s="1"/>
  <c r="C225" i="3"/>
  <c r="C88" i="3"/>
  <c r="D88" i="6" s="1"/>
  <c r="C174" i="3"/>
  <c r="C164" i="3"/>
  <c r="C163" i="3"/>
  <c r="C154" i="3"/>
  <c r="C56" i="3"/>
  <c r="C32" i="3"/>
  <c r="C221" i="3"/>
  <c r="C243" i="3"/>
  <c r="C57" i="3"/>
  <c r="C236" i="3"/>
  <c r="C51" i="3"/>
  <c r="C111" i="3"/>
  <c r="C49" i="3"/>
  <c r="C112" i="3"/>
  <c r="C28" i="3"/>
  <c r="C234" i="3"/>
  <c r="C144" i="3"/>
  <c r="D144" i="6" s="1"/>
  <c r="C140" i="3"/>
  <c r="C141" i="3"/>
  <c r="C143" i="3"/>
  <c r="C139" i="3"/>
  <c r="G139" i="3" s="1"/>
  <c r="G58" i="3"/>
  <c r="C213" i="3"/>
  <c r="H148" i="3"/>
  <c r="C238" i="3"/>
  <c r="C121" i="3"/>
  <c r="G150" i="3"/>
  <c r="C137" i="3"/>
  <c r="G137" i="3" s="1"/>
  <c r="C55" i="3"/>
  <c r="G55" i="3" s="1"/>
  <c r="C470" i="3"/>
  <c r="C257" i="3"/>
  <c r="C347" i="3"/>
  <c r="C224" i="3"/>
  <c r="C226" i="3"/>
  <c r="G102" i="3"/>
  <c r="C220" i="3"/>
  <c r="D220" i="6" s="1"/>
  <c r="C136" i="3"/>
  <c r="D136" i="6" s="1"/>
  <c r="G73" i="3"/>
  <c r="C254" i="3"/>
  <c r="C74" i="3"/>
  <c r="D74" i="6" s="1"/>
  <c r="C186" i="3"/>
  <c r="C194" i="3"/>
  <c r="C197" i="3"/>
  <c r="C190" i="3"/>
  <c r="G190" i="3" s="1"/>
  <c r="C193" i="3"/>
  <c r="C192" i="3"/>
  <c r="C195" i="3"/>
  <c r="C196" i="3"/>
  <c r="H80" i="3"/>
  <c r="C37" i="3"/>
  <c r="H155" i="3"/>
  <c r="G156" i="3"/>
  <c r="H166" i="3"/>
  <c r="G85" i="3"/>
  <c r="C271" i="3"/>
  <c r="C153" i="3"/>
  <c r="C60" i="3"/>
  <c r="C39" i="3"/>
  <c r="D39" i="6" s="1"/>
  <c r="C179" i="3"/>
  <c r="C222" i="3"/>
  <c r="C171" i="3"/>
  <c r="C27" i="3"/>
  <c r="G27" i="3" s="1"/>
  <c r="G347" i="3" l="1"/>
  <c r="C91" i="3"/>
  <c r="C233" i="3"/>
  <c r="F233" i="3" s="1"/>
  <c r="C138" i="3"/>
  <c r="D138" i="6" s="1"/>
  <c r="G79" i="3"/>
  <c r="C113" i="3"/>
  <c r="C92" i="3"/>
  <c r="C244" i="3"/>
  <c r="H196" i="3"/>
  <c r="C191" i="3"/>
  <c r="C468" i="6" s="1"/>
  <c r="C149" i="3"/>
  <c r="D149" i="6" s="1"/>
  <c r="F152" i="3"/>
  <c r="G49" i="3"/>
  <c r="H141" i="3"/>
  <c r="C215" i="3"/>
  <c r="C82" i="3"/>
  <c r="H82" i="3" s="1"/>
  <c r="C97" i="3"/>
  <c r="D97" i="6" s="1"/>
  <c r="C101" i="3"/>
  <c r="D101" i="6" s="1"/>
  <c r="C42" i="3"/>
  <c r="H42" i="3" s="1"/>
  <c r="C100" i="3"/>
  <c r="C81" i="3"/>
  <c r="H81" i="3" s="1"/>
  <c r="C83" i="3"/>
  <c r="D83" i="6" s="1"/>
  <c r="G51" i="3"/>
  <c r="G243" i="3"/>
  <c r="H154" i="3"/>
  <c r="H225" i="3"/>
  <c r="C315" i="3"/>
  <c r="G315" i="3" s="1"/>
  <c r="C428" i="3"/>
  <c r="H143" i="3"/>
  <c r="H90" i="3"/>
  <c r="C295" i="3"/>
  <c r="H32" i="3"/>
  <c r="C219" i="3"/>
  <c r="I27" i="3"/>
  <c r="F60" i="3"/>
  <c r="C426" i="3"/>
  <c r="C273" i="3"/>
  <c r="H187" i="3"/>
  <c r="H113" i="3"/>
  <c r="C120" i="3"/>
  <c r="H218" i="3"/>
  <c r="C38" i="3"/>
  <c r="C269" i="3"/>
  <c r="H268" i="3"/>
  <c r="H293" i="3"/>
  <c r="C116" i="3"/>
  <c r="C325" i="3"/>
  <c r="C266" i="3"/>
  <c r="C319" i="3"/>
  <c r="H352" i="3"/>
  <c r="C71" i="3"/>
  <c r="G71" i="3" s="1"/>
  <c r="H43" i="3"/>
  <c r="C239" i="3"/>
  <c r="C52" i="3"/>
  <c r="C231" i="3"/>
  <c r="H119" i="3"/>
  <c r="G95" i="3"/>
  <c r="F323" i="3"/>
  <c r="C50" i="3"/>
  <c r="C259" i="3"/>
  <c r="C454" i="6" s="1"/>
  <c r="C198" i="3"/>
  <c r="D198" i="6" s="1"/>
  <c r="G111" i="3"/>
  <c r="C264" i="3"/>
  <c r="C182" i="3"/>
  <c r="H91" i="3"/>
  <c r="H176" i="3"/>
  <c r="G344" i="3"/>
  <c r="C36" i="3"/>
  <c r="H194" i="3"/>
  <c r="H40" i="3"/>
  <c r="H146" i="3"/>
  <c r="C106" i="3"/>
  <c r="C184" i="3"/>
  <c r="C265" i="3"/>
  <c r="C331" i="3"/>
  <c r="G331" i="3" s="1"/>
  <c r="H136" i="3"/>
  <c r="F231" i="3"/>
  <c r="C110" i="3"/>
  <c r="C455" i="6" s="1"/>
  <c r="C381" i="3"/>
  <c r="C328" i="3"/>
  <c r="C183" i="3"/>
  <c r="C258" i="3"/>
  <c r="G258" i="3" s="1"/>
  <c r="H186" i="3"/>
  <c r="C253" i="3"/>
  <c r="C469" i="6" s="1"/>
  <c r="H230" i="3"/>
  <c r="C108" i="3"/>
  <c r="C377" i="3"/>
  <c r="C404" i="3"/>
  <c r="H272" i="3"/>
  <c r="H34" i="3"/>
  <c r="H112" i="3"/>
  <c r="H161" i="3"/>
  <c r="C59" i="3"/>
  <c r="H223" i="3"/>
  <c r="H57" i="3"/>
  <c r="C275" i="3"/>
  <c r="C274" i="3"/>
  <c r="C413" i="3"/>
  <c r="H39" i="3"/>
  <c r="G134" i="3"/>
  <c r="H224" i="3"/>
  <c r="H195" i="3"/>
  <c r="F71" i="3"/>
  <c r="C53" i="3"/>
  <c r="H192" i="3"/>
  <c r="H350" i="3"/>
  <c r="H222" i="3"/>
  <c r="G75" i="3"/>
  <c r="C422" i="3"/>
  <c r="H292" i="3"/>
  <c r="C107" i="3"/>
  <c r="G60" i="3"/>
  <c r="I60" i="3" s="1"/>
  <c r="C185" i="3"/>
  <c r="C261" i="3"/>
  <c r="C188" i="3"/>
  <c r="H31" i="3"/>
  <c r="C363" i="3"/>
  <c r="F27" i="3"/>
  <c r="F73" i="3"/>
  <c r="H216" i="3"/>
  <c r="H174" i="3"/>
  <c r="C229" i="3"/>
  <c r="C411" i="3"/>
  <c r="H37" i="3"/>
  <c r="H144" i="3"/>
  <c r="C425" i="3"/>
  <c r="H88" i="3"/>
  <c r="C434" i="3"/>
  <c r="G163" i="3"/>
  <c r="G89" i="3"/>
  <c r="F344" i="3"/>
  <c r="H175" i="3"/>
  <c r="C389" i="3"/>
  <c r="H153" i="3"/>
  <c r="C392" i="3"/>
  <c r="H392" i="3" s="1"/>
  <c r="H349" i="3"/>
  <c r="C431" i="3"/>
  <c r="H121" i="3"/>
  <c r="C382" i="3"/>
  <c r="C48" i="3"/>
  <c r="H44" i="3"/>
  <c r="G213" i="3"/>
  <c r="H118" i="3"/>
  <c r="H158" i="3"/>
  <c r="C312" i="3"/>
  <c r="C178" i="3"/>
  <c r="G252" i="3"/>
  <c r="C232" i="3"/>
  <c r="G266" i="3"/>
  <c r="H254" i="3"/>
  <c r="H221" i="3"/>
  <c r="F58" i="3"/>
  <c r="G145" i="3"/>
  <c r="H234" i="3"/>
  <c r="C419" i="3"/>
  <c r="H103" i="3"/>
  <c r="G28" i="3"/>
  <c r="H226" i="3"/>
  <c r="H30" i="3"/>
  <c r="H217" i="3"/>
  <c r="C189" i="3"/>
  <c r="D189" i="6" s="1"/>
  <c r="C180" i="3"/>
  <c r="H197" i="3"/>
  <c r="H160" i="3"/>
  <c r="C170" i="3"/>
  <c r="C262" i="3"/>
  <c r="C410" i="3"/>
  <c r="H410" i="3" s="1"/>
  <c r="H41" i="3"/>
  <c r="H179" i="3"/>
  <c r="C263" i="3"/>
  <c r="C255" i="3"/>
  <c r="H162" i="3"/>
  <c r="H473" i="3"/>
  <c r="H351" i="3"/>
  <c r="G345" i="3"/>
  <c r="C396" i="3"/>
  <c r="C440" i="3"/>
  <c r="C383" i="3"/>
  <c r="H140" i="3"/>
  <c r="C142" i="3"/>
  <c r="H142" i="3" s="1"/>
  <c r="C172" i="3"/>
  <c r="H220" i="3"/>
  <c r="C47" i="3"/>
  <c r="H227" i="3"/>
  <c r="H236" i="3"/>
  <c r="H159" i="3"/>
  <c r="H33" i="3"/>
  <c r="H87" i="3"/>
  <c r="H471" i="3"/>
  <c r="H257" i="3"/>
  <c r="C228" i="3"/>
  <c r="G210" i="3"/>
  <c r="H77" i="3"/>
  <c r="H470" i="3"/>
  <c r="C177" i="3"/>
  <c r="H267" i="3"/>
  <c r="H457" i="3"/>
  <c r="C104" i="3"/>
  <c r="D104" i="6" s="1"/>
  <c r="H193" i="3"/>
  <c r="C323" i="3"/>
  <c r="C260" i="3"/>
  <c r="C379" i="3"/>
  <c r="C402" i="3"/>
  <c r="H256" i="3"/>
  <c r="H35" i="3"/>
  <c r="C467" i="6" l="1"/>
  <c r="H152" i="3"/>
  <c r="I152" i="3" s="1"/>
  <c r="H97" i="3"/>
  <c r="B468" i="6"/>
  <c r="H101" i="3"/>
  <c r="C454" i="3"/>
  <c r="H454" i="3" s="1"/>
  <c r="F270" i="3"/>
  <c r="G233" i="3"/>
  <c r="C432" i="3"/>
  <c r="H432" i="3" s="1"/>
  <c r="H83" i="3"/>
  <c r="G219" i="3"/>
  <c r="F139" i="3"/>
  <c r="C401" i="3"/>
  <c r="F55" i="3"/>
  <c r="C403" i="3"/>
  <c r="H403" i="3" s="1"/>
  <c r="F183" i="3"/>
  <c r="C415" i="3"/>
  <c r="C84" i="3"/>
  <c r="H84" i="3" s="1"/>
  <c r="C414" i="3"/>
  <c r="H414" i="3" s="1"/>
  <c r="C378" i="3"/>
  <c r="F331" i="3"/>
  <c r="C395" i="3"/>
  <c r="H395" i="3" s="1"/>
  <c r="C420" i="3"/>
  <c r="H420" i="3" s="1"/>
  <c r="H215" i="3"/>
  <c r="C78" i="3"/>
  <c r="D78" i="6" s="1"/>
  <c r="C424" i="3"/>
  <c r="H93" i="3"/>
  <c r="F116" i="3"/>
  <c r="H149" i="3"/>
  <c r="H145" i="3" s="1"/>
  <c r="I145" i="3" s="1"/>
  <c r="C114" i="3"/>
  <c r="D114" i="6" s="1"/>
  <c r="C427" i="3"/>
  <c r="H427" i="3" s="1"/>
  <c r="H92" i="3"/>
  <c r="F170" i="3"/>
  <c r="H233" i="3"/>
  <c r="C388" i="3"/>
  <c r="H100" i="3"/>
  <c r="C397" i="3"/>
  <c r="C416" i="3"/>
  <c r="H416" i="3" s="1"/>
  <c r="C76" i="3"/>
  <c r="D76" i="6" s="1"/>
  <c r="C93" i="3"/>
  <c r="D93" i="6" s="1"/>
  <c r="G116" i="3"/>
  <c r="C398" i="3"/>
  <c r="H398" i="3" s="1"/>
  <c r="C245" i="3"/>
  <c r="H245" i="3" s="1"/>
  <c r="F188" i="3"/>
  <c r="F137" i="3"/>
  <c r="F252" i="3"/>
  <c r="H172" i="3"/>
  <c r="H117" i="3"/>
  <c r="G188" i="3"/>
  <c r="H271" i="3"/>
  <c r="C380" i="3"/>
  <c r="F132" i="3"/>
  <c r="H133" i="3"/>
  <c r="H132" i="3" s="1"/>
  <c r="I132" i="3" s="1"/>
  <c r="H274" i="3"/>
  <c r="H178" i="3"/>
  <c r="H36" i="3"/>
  <c r="H96" i="3"/>
  <c r="H327" i="3"/>
  <c r="C435" i="3"/>
  <c r="C394" i="3"/>
  <c r="C301" i="3"/>
  <c r="C387" i="3"/>
  <c r="F145" i="3"/>
  <c r="H255" i="3"/>
  <c r="H434" i="3"/>
  <c r="G434" i="3"/>
  <c r="I434" i="3"/>
  <c r="C408" i="3"/>
  <c r="H261" i="3"/>
  <c r="C407" i="3"/>
  <c r="H381" i="3"/>
  <c r="H273" i="3"/>
  <c r="C441" i="3"/>
  <c r="C318" i="3"/>
  <c r="H318" i="3" s="1"/>
  <c r="C332" i="3"/>
  <c r="H332" i="3" s="1"/>
  <c r="H177" i="3"/>
  <c r="H76" i="3"/>
  <c r="C438" i="3"/>
  <c r="C418" i="3"/>
  <c r="F258" i="3"/>
  <c r="C455" i="3"/>
  <c r="H313" i="3"/>
  <c r="H182" i="3"/>
  <c r="H259" i="3"/>
  <c r="G231" i="3"/>
  <c r="C317" i="3"/>
  <c r="H317" i="3" s="1"/>
  <c r="C365" i="3"/>
  <c r="H428" i="3"/>
  <c r="H382" i="3"/>
  <c r="C370" i="3"/>
  <c r="H411" i="3"/>
  <c r="C375" i="3"/>
  <c r="H265" i="3"/>
  <c r="H440" i="3"/>
  <c r="H189" i="3"/>
  <c r="H188" i="3" s="1"/>
  <c r="C173" i="3"/>
  <c r="C326" i="3"/>
  <c r="C330" i="3"/>
  <c r="C376" i="3"/>
  <c r="C316" i="3"/>
  <c r="H316" i="3" s="1"/>
  <c r="F315" i="3"/>
  <c r="H232" i="3"/>
  <c r="H231" i="3" s="1"/>
  <c r="F312" i="3"/>
  <c r="H426" i="3"/>
  <c r="C367" i="3"/>
  <c r="G53" i="3"/>
  <c r="C329" i="3"/>
  <c r="H329" i="3" s="1"/>
  <c r="H228" i="3"/>
  <c r="C400" i="3"/>
  <c r="G319" i="3"/>
  <c r="H389" i="3"/>
  <c r="G425" i="3"/>
  <c r="H425" i="3"/>
  <c r="I425" i="3"/>
  <c r="H422" i="3"/>
  <c r="C54" i="3"/>
  <c r="H52" i="3"/>
  <c r="F319" i="3"/>
  <c r="H56" i="3"/>
  <c r="H55" i="3" s="1"/>
  <c r="I55" i="3" s="1"/>
  <c r="H47" i="3"/>
  <c r="H262" i="3"/>
  <c r="H169" i="3"/>
  <c r="F328" i="3"/>
  <c r="G325" i="3"/>
  <c r="H260" i="3"/>
  <c r="H107" i="3"/>
  <c r="C327" i="3"/>
  <c r="D327" i="6" s="1"/>
  <c r="H59" i="3"/>
  <c r="H58" i="3" s="1"/>
  <c r="I58" i="3" s="1"/>
  <c r="F45" i="3"/>
  <c r="F325" i="3"/>
  <c r="H46" i="3"/>
  <c r="C374" i="3"/>
  <c r="C386" i="3"/>
  <c r="C390" i="3"/>
  <c r="C393" i="3"/>
  <c r="C313" i="3"/>
  <c r="H404" i="3"/>
  <c r="C412" i="3"/>
  <c r="C364" i="3"/>
  <c r="H180" i="3"/>
  <c r="C333" i="3"/>
  <c r="D333" i="6" s="1"/>
  <c r="C385" i="3"/>
  <c r="H184" i="3"/>
  <c r="C240" i="3"/>
  <c r="D240" i="6" s="1"/>
  <c r="H295" i="3"/>
  <c r="H48" i="3"/>
  <c r="H239" i="3"/>
  <c r="C406" i="3"/>
  <c r="C324" i="3"/>
  <c r="C181" i="3"/>
  <c r="H348" i="3"/>
  <c r="H347" i="3" s="1"/>
  <c r="I347" i="3" s="1"/>
  <c r="F347" i="3"/>
  <c r="C423" i="3"/>
  <c r="H74" i="3"/>
  <c r="H73" i="3" s="1"/>
  <c r="I73" i="3" s="1"/>
  <c r="H383" i="3"/>
  <c r="C409" i="3"/>
  <c r="H229" i="3"/>
  <c r="H413" i="3"/>
  <c r="C399" i="3"/>
  <c r="H164" i="3"/>
  <c r="H163" i="3" s="1"/>
  <c r="I163" i="3" s="1"/>
  <c r="F163" i="3"/>
  <c r="C322" i="3"/>
  <c r="H322" i="3" s="1"/>
  <c r="F134" i="3"/>
  <c r="H135" i="3"/>
  <c r="H134" i="3" s="1"/>
  <c r="I134" i="3" s="1"/>
  <c r="C405" i="3"/>
  <c r="C321" i="3"/>
  <c r="G98" i="3"/>
  <c r="C288" i="3"/>
  <c r="F212" i="3"/>
  <c r="F28" i="3"/>
  <c r="H29" i="3"/>
  <c r="H269" i="3"/>
  <c r="H266" i="3" s="1"/>
  <c r="I266" i="3" s="1"/>
  <c r="C439" i="3"/>
  <c r="I419" i="3"/>
  <c r="H419" i="3"/>
  <c r="G419" i="3"/>
  <c r="C366" i="3"/>
  <c r="H275" i="3"/>
  <c r="C384" i="3"/>
  <c r="H171" i="3"/>
  <c r="H110" i="3"/>
  <c r="G355" i="3"/>
  <c r="I344" i="3"/>
  <c r="H72" i="3"/>
  <c r="H71" i="3" s="1"/>
  <c r="I71" i="3" s="1"/>
  <c r="F219" i="3"/>
  <c r="H402" i="3"/>
  <c r="C165" i="3"/>
  <c r="H151" i="3"/>
  <c r="H150" i="3" s="1"/>
  <c r="I150" i="3" s="1"/>
  <c r="F150" i="3"/>
  <c r="H139" i="3"/>
  <c r="I139" i="3" s="1"/>
  <c r="H263" i="3"/>
  <c r="G170" i="3"/>
  <c r="H157" i="3"/>
  <c r="H156" i="3" s="1"/>
  <c r="I156" i="3" s="1"/>
  <c r="F156" i="3"/>
  <c r="H401" i="3"/>
  <c r="H138" i="3"/>
  <c r="H137" i="3" s="1"/>
  <c r="I137" i="3" s="1"/>
  <c r="C320" i="3"/>
  <c r="H320" i="3" s="1"/>
  <c r="C291" i="3"/>
  <c r="G291" i="3" s="1"/>
  <c r="F291" i="3"/>
  <c r="F79" i="3"/>
  <c r="G323" i="3"/>
  <c r="H253" i="3"/>
  <c r="C469" i="3"/>
  <c r="G106" i="3"/>
  <c r="G183" i="3"/>
  <c r="C368" i="3"/>
  <c r="F190" i="3"/>
  <c r="C433" i="3"/>
  <c r="H185" i="3"/>
  <c r="H191" i="3"/>
  <c r="G377" i="3"/>
  <c r="I377" i="3"/>
  <c r="H377" i="3"/>
  <c r="H198" i="3"/>
  <c r="H120" i="3"/>
  <c r="H104" i="3"/>
  <c r="H431" i="3"/>
  <c r="C372" i="3"/>
  <c r="C371" i="3"/>
  <c r="C314" i="3"/>
  <c r="H314" i="3" s="1"/>
  <c r="F210" i="3"/>
  <c r="H211" i="3"/>
  <c r="H210" i="3" s="1"/>
  <c r="I210" i="3" s="1"/>
  <c r="C369" i="3"/>
  <c r="H346" i="3"/>
  <c r="H345" i="3" s="1"/>
  <c r="I345" i="3" s="1"/>
  <c r="F345" i="3"/>
  <c r="C105" i="3"/>
  <c r="C437" i="3"/>
  <c r="C442" i="3"/>
  <c r="F213" i="3"/>
  <c r="H214" i="3"/>
  <c r="C421" i="3"/>
  <c r="C417" i="3"/>
  <c r="C290" i="3"/>
  <c r="F85" i="3"/>
  <c r="H86" i="3"/>
  <c r="H291" i="3"/>
  <c r="H238" i="3"/>
  <c r="H264" i="3"/>
  <c r="G396" i="3"/>
  <c r="I396" i="3"/>
  <c r="H396" i="3"/>
  <c r="G328" i="3"/>
  <c r="C429" i="3"/>
  <c r="G363" i="3"/>
  <c r="H363" i="3"/>
  <c r="I363" i="3"/>
  <c r="H50" i="3"/>
  <c r="H38" i="3"/>
  <c r="C430" i="3"/>
  <c r="C436" i="3"/>
  <c r="H379" i="3"/>
  <c r="C289" i="3"/>
  <c r="H244" i="3"/>
  <c r="F98" i="3"/>
  <c r="H99" i="3"/>
  <c r="C391" i="3"/>
  <c r="H108" i="3"/>
  <c r="G312" i="3"/>
  <c r="C109" i="3"/>
  <c r="F266" i="3"/>
  <c r="C373" i="3"/>
  <c r="H116" i="3" l="1"/>
  <c r="I116" i="3" s="1"/>
  <c r="H190" i="3"/>
  <c r="I190" i="3" s="1"/>
  <c r="H219" i="3"/>
  <c r="I219" i="3" s="1"/>
  <c r="I233" i="3"/>
  <c r="H213" i="3"/>
  <c r="I213" i="3" s="1"/>
  <c r="I291" i="3"/>
  <c r="C456" i="6"/>
  <c r="B456" i="6" s="1"/>
  <c r="H79" i="3"/>
  <c r="I79" i="3" s="1"/>
  <c r="H330" i="3"/>
  <c r="H328" i="3" s="1"/>
  <c r="I328" i="3" s="1"/>
  <c r="D330" i="6"/>
  <c r="H258" i="3"/>
  <c r="I258" i="3" s="1"/>
  <c r="H95" i="3"/>
  <c r="I95" i="3" s="1"/>
  <c r="F95" i="3"/>
  <c r="H114" i="3"/>
  <c r="H378" i="3"/>
  <c r="H388" i="3"/>
  <c r="H424" i="3"/>
  <c r="H397" i="3"/>
  <c r="G124" i="3"/>
  <c r="F4" i="6" s="1"/>
  <c r="H315" i="3"/>
  <c r="I315" i="3" s="1"/>
  <c r="F75" i="3"/>
  <c r="F288" i="3"/>
  <c r="H415" i="3"/>
  <c r="H78" i="3"/>
  <c r="H75" i="3" s="1"/>
  <c r="I75" i="3" s="1"/>
  <c r="C246" i="3"/>
  <c r="C463" i="3"/>
  <c r="H98" i="3"/>
  <c r="I98" i="3" s="1"/>
  <c r="I445" i="3"/>
  <c r="F173" i="3"/>
  <c r="H252" i="3"/>
  <c r="I252" i="3" s="1"/>
  <c r="H433" i="3"/>
  <c r="H109" i="3"/>
  <c r="H106" i="3" s="1"/>
  <c r="I106" i="3" s="1"/>
  <c r="H387" i="3"/>
  <c r="G336" i="3"/>
  <c r="H240" i="3"/>
  <c r="C472" i="3"/>
  <c r="H373" i="3"/>
  <c r="H394" i="3"/>
  <c r="F102" i="3"/>
  <c r="H439" i="3"/>
  <c r="H181" i="3"/>
  <c r="H173" i="3" s="1"/>
  <c r="H364" i="3"/>
  <c r="H386" i="3"/>
  <c r="H436" i="3"/>
  <c r="H405" i="3"/>
  <c r="H399" i="3"/>
  <c r="H455" i="3"/>
  <c r="F106" i="3"/>
  <c r="H372" i="3"/>
  <c r="H423" i="3"/>
  <c r="H430" i="3"/>
  <c r="H170" i="3"/>
  <c r="C294" i="3"/>
  <c r="H183" i="3"/>
  <c r="I183" i="3" s="1"/>
  <c r="H390" i="3"/>
  <c r="H441" i="3"/>
  <c r="H49" i="3"/>
  <c r="I49" i="3" s="1"/>
  <c r="F49" i="3"/>
  <c r="H105" i="3"/>
  <c r="H102" i="3" s="1"/>
  <c r="I102" i="3" s="1"/>
  <c r="H371" i="3"/>
  <c r="H400" i="3"/>
  <c r="G301" i="3"/>
  <c r="I301" i="3" s="1"/>
  <c r="H45" i="3"/>
  <c r="I45" i="3" s="1"/>
  <c r="H409" i="3"/>
  <c r="C167" i="3"/>
  <c r="H375" i="3"/>
  <c r="H429" i="3"/>
  <c r="H368" i="3"/>
  <c r="H290" i="3"/>
  <c r="H374" i="3"/>
  <c r="H289" i="3"/>
  <c r="H312" i="3"/>
  <c r="I312" i="3" s="1"/>
  <c r="G288" i="3"/>
  <c r="H417" i="3"/>
  <c r="C467" i="3"/>
  <c r="H324" i="3"/>
  <c r="H323" i="3" s="1"/>
  <c r="I323" i="3" s="1"/>
  <c r="H54" i="3"/>
  <c r="H384" i="3"/>
  <c r="H376" i="3"/>
  <c r="H333" i="3"/>
  <c r="H331" i="3" s="1"/>
  <c r="I331" i="3" s="1"/>
  <c r="I231" i="3"/>
  <c r="H393" i="3"/>
  <c r="H370" i="3"/>
  <c r="H385" i="3"/>
  <c r="H406" i="3"/>
  <c r="H412" i="3"/>
  <c r="H418" i="3"/>
  <c r="H469" i="3"/>
  <c r="I170" i="3"/>
  <c r="H438" i="3"/>
  <c r="G445" i="3"/>
  <c r="H442" i="3"/>
  <c r="G173" i="3"/>
  <c r="H407" i="3"/>
  <c r="H85" i="3"/>
  <c r="I85" i="3" s="1"/>
  <c r="I355" i="3"/>
  <c r="C298" i="3"/>
  <c r="I356" i="3"/>
  <c r="I357" i="3"/>
  <c r="H391" i="3"/>
  <c r="C300" i="3"/>
  <c r="H408" i="3"/>
  <c r="H380" i="3"/>
  <c r="H270" i="3"/>
  <c r="I270" i="3" s="1"/>
  <c r="C297" i="3"/>
  <c r="H168" i="3"/>
  <c r="I168" i="3" s="1"/>
  <c r="F168" i="3"/>
  <c r="H437" i="3"/>
  <c r="H51" i="3"/>
  <c r="I51" i="3" s="1"/>
  <c r="F51" i="3"/>
  <c r="H321" i="3"/>
  <c r="H319" i="3" s="1"/>
  <c r="I319" i="3" s="1"/>
  <c r="H367" i="3"/>
  <c r="H365" i="3"/>
  <c r="H435" i="3"/>
  <c r="F165" i="3"/>
  <c r="G165" i="3"/>
  <c r="H326" i="3"/>
  <c r="H325" i="3" s="1"/>
  <c r="I325" i="3" s="1"/>
  <c r="H421" i="3"/>
  <c r="H369" i="3"/>
  <c r="H28" i="3"/>
  <c r="I28" i="3" s="1"/>
  <c r="I188" i="3"/>
  <c r="H366" i="3"/>
  <c r="H445" i="3" l="1"/>
  <c r="I125" i="3"/>
  <c r="I126" i="3"/>
  <c r="G63" i="3"/>
  <c r="F3" i="6" s="1"/>
  <c r="H463" i="3"/>
  <c r="H246" i="3"/>
  <c r="C247" i="3"/>
  <c r="C94" i="3"/>
  <c r="F89" i="3"/>
  <c r="C115" i="3"/>
  <c r="F111" i="3"/>
  <c r="C296" i="3"/>
  <c r="C241" i="3"/>
  <c r="D241" i="6" s="1"/>
  <c r="C242" i="3"/>
  <c r="C299" i="3"/>
  <c r="H53" i="3"/>
  <c r="I53" i="3" s="1"/>
  <c r="F53" i="3"/>
  <c r="I338" i="3"/>
  <c r="I337" i="3"/>
  <c r="H355" i="3"/>
  <c r="I358" i="3"/>
  <c r="H472" i="3"/>
  <c r="I173" i="3"/>
  <c r="C456" i="3"/>
  <c r="H298" i="3"/>
  <c r="C460" i="3"/>
  <c r="H288" i="3"/>
  <c r="I288" i="3" s="1"/>
  <c r="G294" i="3"/>
  <c r="H300" i="3"/>
  <c r="I447" i="3"/>
  <c r="I446" i="3"/>
  <c r="I448" i="3" s="1"/>
  <c r="F294" i="3"/>
  <c r="G297" i="3"/>
  <c r="H467" i="3"/>
  <c r="H167" i="3"/>
  <c r="H165" i="3" s="1"/>
  <c r="I165" i="3" s="1"/>
  <c r="I336" i="3"/>
  <c r="I64" i="3" l="1"/>
  <c r="I65" i="3"/>
  <c r="H115" i="3"/>
  <c r="H111" i="3" s="1"/>
  <c r="I111" i="3" s="1"/>
  <c r="I63" i="3"/>
  <c r="H94" i="3"/>
  <c r="H89" i="3" s="1"/>
  <c r="I89" i="3" s="1"/>
  <c r="C249" i="3"/>
  <c r="D249" i="6" s="1"/>
  <c r="C466" i="6" s="1"/>
  <c r="H247" i="3"/>
  <c r="C248" i="3"/>
  <c r="H456" i="3"/>
  <c r="H299" i="3"/>
  <c r="H297" i="3" s="1"/>
  <c r="I297" i="3" s="1"/>
  <c r="H336" i="3"/>
  <c r="I339" i="3"/>
  <c r="H460" i="3"/>
  <c r="H296" i="3"/>
  <c r="H294" i="3" s="1"/>
  <c r="I294" i="3" s="1"/>
  <c r="H242" i="3"/>
  <c r="C465" i="3"/>
  <c r="C459" i="6" s="1"/>
  <c r="C468" i="3"/>
  <c r="F237" i="3"/>
  <c r="H241" i="3"/>
  <c r="F297" i="3"/>
  <c r="H248" i="3" l="1"/>
  <c r="C250" i="3"/>
  <c r="H249" i="3"/>
  <c r="I124" i="3"/>
  <c r="H63" i="3"/>
  <c r="I66" i="3"/>
  <c r="I127" i="3"/>
  <c r="H124" i="3"/>
  <c r="H468" i="3"/>
  <c r="H465" i="3"/>
  <c r="G201" i="3"/>
  <c r="F5" i="6" s="1"/>
  <c r="I304" i="3"/>
  <c r="C466" i="3"/>
  <c r="G304" i="3"/>
  <c r="C464" i="3"/>
  <c r="C458" i="3"/>
  <c r="H237" i="3"/>
  <c r="I237" i="3" s="1"/>
  <c r="H250" i="3" l="1"/>
  <c r="C22" i="2"/>
  <c r="H304" i="3"/>
  <c r="C13" i="3"/>
  <c r="H458" i="3"/>
  <c r="H464" i="3"/>
  <c r="I305" i="3"/>
  <c r="I306" i="3"/>
  <c r="H466" i="3"/>
  <c r="C15" i="3"/>
  <c r="I202" i="3"/>
  <c r="I203" i="3"/>
  <c r="I201" i="3"/>
  <c r="I307" i="3" l="1"/>
  <c r="C34" i="2" s="1"/>
  <c r="C251" i="3"/>
  <c r="F243" i="3"/>
  <c r="C14" i="3"/>
  <c r="G13" i="3"/>
  <c r="F13" i="3"/>
  <c r="C16" i="3"/>
  <c r="D16" i="6" s="1"/>
  <c r="C209" i="6" s="1"/>
  <c r="I204" i="3"/>
  <c r="H201" i="3"/>
  <c r="G15" i="3"/>
  <c r="F15" i="3"/>
  <c r="C277" i="6" l="1"/>
  <c r="C276" i="6"/>
  <c r="C39" i="2"/>
  <c r="H251" i="3"/>
  <c r="H243" i="3" s="1"/>
  <c r="I243" i="3" s="1"/>
  <c r="H16" i="3"/>
  <c r="H15" i="3" s="1"/>
  <c r="I15" i="3" s="1"/>
  <c r="C461" i="3"/>
  <c r="G19" i="3"/>
  <c r="C459" i="3"/>
  <c r="H14" i="3"/>
  <c r="H13" i="3" s="1"/>
  <c r="I13" i="3" s="1"/>
  <c r="F2" i="6" l="1"/>
  <c r="I21" i="3"/>
  <c r="I20" i="3"/>
  <c r="H459" i="3"/>
  <c r="H461" i="3"/>
  <c r="I19" i="3"/>
  <c r="C462" i="3"/>
  <c r="C276" i="3" l="1"/>
  <c r="C277" i="3"/>
  <c r="C209" i="3"/>
  <c r="H19" i="3"/>
  <c r="I22" i="3"/>
  <c r="H462" i="3"/>
  <c r="H453" i="3" s="1"/>
  <c r="I453" i="3" s="1"/>
  <c r="I476" i="3" s="1"/>
  <c r="I479" i="3" l="1"/>
  <c r="H476" i="3"/>
  <c r="G276" i="3"/>
  <c r="F209" i="3"/>
  <c r="G209" i="3"/>
  <c r="H277" i="3"/>
  <c r="H276" i="3" s="1"/>
  <c r="G280" i="3" l="1"/>
  <c r="F6" i="6" s="1"/>
  <c r="I209" i="3"/>
  <c r="F276" i="3"/>
  <c r="I276" i="3"/>
  <c r="C453" i="3"/>
  <c r="F453" i="3" s="1"/>
  <c r="I280" i="3" l="1"/>
  <c r="I282" i="3"/>
  <c r="I484" i="3" s="1"/>
  <c r="I281" i="3"/>
  <c r="I483" i="3" s="1"/>
  <c r="G482" i="3"/>
  <c r="H280" i="3" l="1"/>
  <c r="I283" i="3"/>
  <c r="I482" i="3"/>
  <c r="I485" i="3" s="1"/>
  <c r="G4" i="6" l="1"/>
  <c r="G3" i="6"/>
  <c r="G5" i="6"/>
  <c r="G2" i="6"/>
  <c r="G6" i="6"/>
  <c r="I488" i="3"/>
  <c r="H2" i="4"/>
  <c r="C44" i="2"/>
  <c r="C46" i="2" s="1"/>
  <c r="H482" i="3"/>
  <c r="H1" i="3"/>
  <c r="H2" i="6" l="1"/>
  <c r="I2" i="6"/>
  <c r="E2" i="6" s="1"/>
  <c r="H3" i="6"/>
  <c r="H4" i="6"/>
  <c r="H5" i="6" s="1"/>
  <c r="H6" i="6" s="1"/>
  <c r="R2" i="4" s="1"/>
  <c r="C10" i="2"/>
  <c r="I3" i="6" l="1"/>
  <c r="C9" i="2"/>
  <c r="E3" i="6" l="1"/>
  <c r="I4" i="6"/>
  <c r="E4" i="6" l="1"/>
  <c r="I5" i="6"/>
  <c r="E5" i="6" l="1"/>
  <c r="I6" i="6"/>
  <c r="E6" i="6" s="1"/>
  <c r="F8" i="4" l="1"/>
  <c r="C4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Private-Stroy</author>
  </authors>
  <commentList>
    <comment ref="A13" authorId="0" shapeId="0" xr:uid="{93783664-F640-428A-835B-6CC8756648B0}">
      <text>
        <r>
          <rPr>
            <b/>
            <sz val="12"/>
            <color indexed="81"/>
            <rFont val="Arial Narrow"/>
            <family val="2"/>
            <charset val="204"/>
          </rPr>
          <t>Включайте/выключайте</t>
        </r>
        <r>
          <rPr>
            <sz val="12"/>
            <color indexed="81"/>
            <rFont val="Arial Narrow"/>
            <family val="2"/>
            <charset val="204"/>
          </rPr>
          <t xml:space="preserve"> нужные Вам пункты сметы путем установки/снятия галочки</t>
        </r>
        <r>
          <rPr>
            <sz val="16"/>
            <color indexed="81"/>
            <rFont val="Tahoma"/>
            <family val="2"/>
            <charset val="204"/>
          </rPr>
          <t xml:space="preserve"> </t>
        </r>
        <r>
          <rPr>
            <sz val="16"/>
            <color indexed="81"/>
            <rFont val="Wingdings"/>
            <charset val="2"/>
          </rPr>
          <t xml:space="preserve">þ </t>
        </r>
        <r>
          <rPr>
            <sz val="9"/>
            <color indexed="81"/>
            <rFont val="Wingdings"/>
            <charset val="2"/>
          </rPr>
          <t xml:space="preserve"> </t>
        </r>
      </text>
    </comment>
    <comment ref="A28" authorId="0" shapeId="0" xr:uid="{EF34B6C2-6A13-4DA1-B8E6-9E8509FC920A}">
      <text>
        <r>
          <rPr>
            <sz val="9"/>
            <color indexed="81"/>
            <rFont val="Tahoma"/>
            <family val="2"/>
            <charset val="204"/>
          </rPr>
          <t xml:space="preserve">
</t>
        </r>
      </text>
    </comment>
    <comment ref="A58" authorId="0" shapeId="0" xr:uid="{B91C9559-1A8B-4F9A-AB41-9E2791304316}">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95" authorId="0" shapeId="0" xr:uid="{CEEA6EC9-334A-45F2-B653-81FE70BCCD81}">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132" authorId="0" shapeId="0" xr:uid="{BC6D64E5-6ADB-400D-9D20-58D64158DCB2}">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139" authorId="0" shapeId="0" xr:uid="{00B8A7AF-EE0A-4A17-B4ED-F8C523CC7153}">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163" authorId="0" shapeId="0" xr:uid="{01368E46-3A80-4A18-8596-E149CA07047B}">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168" authorId="0" shapeId="0" xr:uid="{50158BF4-9EA0-400C-9C36-2C8DB0AB3F2C}">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170" authorId="0" shapeId="0" xr:uid="{2F363D2B-E951-4BE9-BC35-DE6F5CDFBC02}">
      <text>
        <r>
          <rPr>
            <sz val="10"/>
            <color indexed="81"/>
            <rFont val="Arial Narrow"/>
            <family val="2"/>
            <charset val="204"/>
          </rPr>
          <t>Этот пункт сметы можно включать/выключать  путем установки/снятия галочки</t>
        </r>
        <r>
          <rPr>
            <sz val="9"/>
            <color indexed="81"/>
            <rFont val="Tahoma"/>
            <family val="2"/>
            <charset val="204"/>
          </rPr>
          <t xml:space="preserve"> </t>
        </r>
        <r>
          <rPr>
            <sz val="9"/>
            <color indexed="81"/>
            <rFont val="Wingdings"/>
            <charset val="2"/>
          </rPr>
          <t>þ</t>
        </r>
        <r>
          <rPr>
            <sz val="9"/>
            <color indexed="81"/>
            <rFont val="Tahoma"/>
            <family val="2"/>
            <charset val="204"/>
          </rPr>
          <t xml:space="preserve"> </t>
        </r>
      </text>
    </comment>
    <comment ref="A173" authorId="0" shapeId="0" xr:uid="{866AA572-B7EC-4AD8-AB5F-1276A0E2185B}">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183" authorId="0" shapeId="0" xr:uid="{B718DF1D-8B3F-425D-8D1D-0A3CA01F4433}">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188" authorId="0" shapeId="0" xr:uid="{53D499BD-DD1C-4F91-8A96-13DBD2A1E62B}">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190" authorId="0" shapeId="0" xr:uid="{E370F504-E9C7-4005-8C6F-3A59C8F7DB6B}">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212" authorId="0" shapeId="0" xr:uid="{734F044B-8955-4229-B381-4D3AF4FF8D91}">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213" authorId="0" shapeId="0" xr:uid="{3A9C19BA-981C-48FB-8B72-33DE7F4AD508}">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219" authorId="0" shapeId="0" xr:uid="{6F411748-B00F-43C3-BE73-514D8D1DC305}">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233" authorId="0" shapeId="0" xr:uid="{85CA9B0F-E5FE-40C9-8E60-986D63D98EAB}">
      <text/>
    </comment>
    <comment ref="A237" authorId="0" shapeId="0" xr:uid="{18BBA19D-4CB9-4A27-B540-0D37912C0EAF}">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243" authorId="0" shapeId="0" xr:uid="{A8BF5B56-9F05-4B0F-B07F-E71758260BC4}">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252" authorId="0" shapeId="0" xr:uid="{BDB16CEC-5144-4DBC-828F-2C3EB7E8C5FB}">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258" authorId="0" shapeId="0" xr:uid="{7B4385AE-92DB-4D9E-8020-62B6CD2ECAC3}">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266" authorId="0" shapeId="0" xr:uid="{7AF50767-ABD6-43EA-A7BD-8F4F7D88BE51}">
      <text/>
    </comment>
    <comment ref="A270" authorId="0" shapeId="0" xr:uid="{B2EA11DB-51CE-41FA-8CF7-50F69DC86315}">
      <text/>
    </comment>
    <comment ref="A276" authorId="0" shapeId="0" xr:uid="{6B724396-7AB4-4058-BECC-084FAE03C578}">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288" authorId="0" shapeId="0" xr:uid="{D350CF4A-7A10-4891-B08B-A6950B2F9DF9}">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291" authorId="0" shapeId="0" xr:uid="{CF6E415D-8772-4BCA-972F-839A48C956E2}">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 xml:space="preserve">þ </t>
        </r>
      </text>
    </comment>
    <comment ref="A294" authorId="0" shapeId="0" xr:uid="{6D90572F-A01C-49D5-87CE-A57123A77AD8}">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 xml:space="preserve">þ </t>
        </r>
      </text>
    </comment>
    <comment ref="A297" authorId="0" shapeId="0" xr:uid="{F3445A76-574F-44A4-861B-B33E8CE61580}">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 xml:space="preserve">þ </t>
        </r>
      </text>
    </comment>
    <comment ref="A312" authorId="0" shapeId="0" xr:uid="{97AE0572-5571-4DC0-B148-D0ACF4A4FC71}">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315" authorId="0" shapeId="0" xr:uid="{A7547E6C-1413-48F2-B728-35A22075EDFA}">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319" authorId="0" shapeId="0" xr:uid="{E9920039-ED23-4773-8EA0-53EB84D3C4DD}">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323" authorId="0" shapeId="0" xr:uid="{8D5D316C-2159-4EF5-9463-64F79C26D731}">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325" authorId="0" shapeId="0" xr:uid="{7CD37927-A7FD-49FB-9EA6-9D082ED1B730}">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328" authorId="0" shapeId="0" xr:uid="{0D32F2AE-2F23-4078-B56E-9671BEA06D65}">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331" authorId="0" shapeId="0" xr:uid="{005601E7-A55B-4324-8B9F-E7E7F6923200}">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344" authorId="0" shapeId="0" xr:uid="{73E24996-7638-4D3C-A075-9E51B5D87FE9}">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345" authorId="0" shapeId="0" xr:uid="{11C9016A-87DC-4244-B01A-26B6217A4939}">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 ref="A347" authorId="0" shapeId="0" xr:uid="{81050374-39FA-4E62-9DC8-2890FA3B26D0}">
      <text>
        <r>
          <rPr>
            <sz val="10"/>
            <color indexed="81"/>
            <rFont val="Arial Narrow"/>
            <family val="2"/>
            <charset val="204"/>
          </rPr>
          <t xml:space="preserve">Этот пункт сметы можно включать/выключать  путем установки/снятия галочки </t>
        </r>
        <r>
          <rPr>
            <sz val="10"/>
            <color indexed="81"/>
            <rFont val="Wingdings"/>
            <charset val="2"/>
          </rPr>
          <t>þ</t>
        </r>
        <r>
          <rPr>
            <sz val="10"/>
            <color indexed="81"/>
            <rFont val="Arial Narrow"/>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Private-Stroy</author>
  </authors>
  <commentList>
    <comment ref="D14" authorId="0" shapeId="0" xr:uid="{50D915B1-A706-4187-8723-A41FF5838047}">
      <text>
        <r>
          <rPr>
            <b/>
            <sz val="9"/>
            <color indexed="81"/>
            <rFont val="Tahoma"/>
            <family val="2"/>
            <charset val="204"/>
          </rPr>
          <t>ОРГАНИЗАЦИЯ ПРОЖИВАНИЯ РАБОЧИХ</t>
        </r>
        <r>
          <rPr>
            <sz val="9"/>
            <color indexed="81"/>
            <rFont val="Tahoma"/>
            <family val="2"/>
            <charset val="204"/>
          </rPr>
          <t xml:space="preserve">
Если на момент строительства нужно организовать проживание рабочих, то мы возьмем это на себя. Будет завезена и обутроена строительная бытовка, которая останется у Вас и пригодится на всех последующих этапах строительных и отделочных работ.</t>
        </r>
      </text>
    </comment>
    <comment ref="D15" authorId="0" shapeId="0" xr:uid="{0C94A13D-0B06-4F39-BA18-A083D1CA240C}">
      <text>
        <r>
          <rPr>
            <b/>
            <sz val="9"/>
            <color indexed="81"/>
            <rFont val="Tahoma"/>
            <family val="2"/>
            <charset val="204"/>
          </rPr>
          <t>ОРГАНИЗАЦИЯ РЕЗЕРВНЫХ ЗАКЛАДНЫХ</t>
        </r>
        <r>
          <rPr>
            <sz val="9"/>
            <color indexed="81"/>
            <rFont val="Tahoma"/>
            <family val="2"/>
            <charset val="204"/>
          </rPr>
          <t xml:space="preserve">
Рекомендуем добавить резервные закладные, через которые в любой момент можно будет ввести/вывести такие коммуникации как: отопление, водоснабжение, электрику и т.п. Например, на отопление и водоснабжение бани или гостевого дома.</t>
        </r>
      </text>
    </comment>
    <comment ref="D16" authorId="0" shapeId="0" xr:uid="{1469192B-3BA7-4064-83C5-A9CD39E46D0C}">
      <text>
        <r>
          <rPr>
            <b/>
            <sz val="9"/>
            <color indexed="81"/>
            <rFont val="Tahoma"/>
            <family val="2"/>
            <charset val="204"/>
          </rPr>
          <t>МОНТАЖ ЛЕГКИХ ВНУТРЕННИХ ПЕРЕГОРОДОК</t>
        </r>
        <r>
          <rPr>
            <sz val="9"/>
            <color indexed="81"/>
            <rFont val="Tahoma"/>
            <family val="2"/>
            <charset val="204"/>
          </rPr>
          <t xml:space="preserve">
Если планируется возведение легких, не несущих перегородок (например из гипсокартона) на этапе производства отделочных работ или с целью экономии средств на первом этапе строительства, то данный пункт сметы можно отключить.</t>
        </r>
      </text>
    </comment>
    <comment ref="D17" authorId="0" shapeId="0" xr:uid="{1A2F689A-37E5-450E-83A9-BCB5975AA01B}">
      <text>
        <r>
          <rPr>
            <b/>
            <sz val="9"/>
            <color indexed="81"/>
            <rFont val="Tahoma"/>
            <family val="2"/>
            <charset val="204"/>
          </rPr>
          <t>УТЕПЛЕНИЕ ВНЕШНИХ СТЕН</t>
        </r>
        <r>
          <rPr>
            <sz val="9"/>
            <color indexed="81"/>
            <rFont val="Tahoma"/>
            <family val="2"/>
            <charset val="204"/>
          </rPr>
          <t xml:space="preserve">
Мы настоятельно рекомендуем не пренебрегать утеплением фасада, чтобы дом отвечал современным требованиям по термическому сопротивлению стен, был долговечным и энергоэффективным.</t>
        </r>
      </text>
    </comment>
    <comment ref="D18" authorId="0" shapeId="0" xr:uid="{FB83370B-D507-4333-B9E2-743117D4D0CA}">
      <text>
        <r>
          <rPr>
            <b/>
            <sz val="9"/>
            <color indexed="81"/>
            <rFont val="Tahoma"/>
            <family val="2"/>
            <charset val="204"/>
          </rPr>
          <t xml:space="preserve">ОТДЕЛКА ФАСАДА
</t>
        </r>
        <r>
          <rPr>
            <sz val="9"/>
            <color indexed="81"/>
            <rFont val="Tahoma"/>
            <family val="2"/>
            <charset val="204"/>
          </rPr>
          <t>Данная опция включает пункты сметы, которые относятся к отделке фасада, например, облицовка кирпичом, штукатурка или другая предусмотренная сметой отделка.</t>
        </r>
      </text>
    </comment>
    <comment ref="C19" authorId="0" shapeId="0" xr:uid="{806EE51E-DFE7-4F20-83D6-A4AE9214CD46}">
      <text>
        <r>
          <rPr>
            <b/>
            <sz val="9"/>
            <color indexed="81"/>
            <rFont val="Tahoma"/>
            <family val="2"/>
            <charset val="204"/>
          </rPr>
          <t xml:space="preserve">ВНИМАНИЕ!
</t>
        </r>
        <r>
          <rPr>
            <sz val="9"/>
            <color indexed="81"/>
            <rFont val="Tahoma"/>
            <family val="2"/>
            <charset val="204"/>
          </rPr>
          <t>Включение данной позиции принудительно исключит из расчета все опции, которые относятся к чистовой кровле, даже если галочки там будут установлены.</t>
        </r>
      </text>
    </comment>
    <comment ref="D19" authorId="0" shapeId="0" xr:uid="{15D76DD7-933F-4A41-ABC0-2447D203BF10}">
      <text>
        <r>
          <rPr>
            <b/>
            <sz val="9"/>
            <color indexed="81"/>
            <rFont val="Tahoma"/>
            <family val="2"/>
            <charset val="204"/>
          </rPr>
          <t>МОНТАЖ ВРЕМЕННОЙ КРОВЛИ ПОД РУБЕРОИД</t>
        </r>
        <r>
          <rPr>
            <sz val="9"/>
            <color indexed="81"/>
            <rFont val="Tahoma"/>
            <family val="2"/>
            <charset val="204"/>
          </rPr>
          <t xml:space="preserve">
Включение этой опции отключит все пункты сметы, которые относятся к чистовой кровле, даже если эти опции останутся включены. Данная опция в основном нужна для деревянного домостроения при строительстве из материалов естественной влажности, когда в процессе усадки строения меняется и геометрия кровли. Или есть пожелание перенести работы по кровле на более поздние этапы строительства.</t>
        </r>
      </text>
    </comment>
    <comment ref="D20" authorId="0" shapeId="0" xr:uid="{B3EA953D-E962-465A-B90E-983802777DB4}">
      <text>
        <r>
          <rPr>
            <b/>
            <sz val="9"/>
            <color indexed="81"/>
            <rFont val="Tahoma"/>
            <family val="2"/>
            <charset val="204"/>
          </rPr>
          <t>УТЕПЛЕНИЕ КРОВЛИ</t>
        </r>
        <r>
          <rPr>
            <sz val="9"/>
            <color indexed="81"/>
            <rFont val="Tahoma"/>
            <family val="2"/>
            <charset val="204"/>
          </rPr>
          <t xml:space="preserve">
Если Вы хотите на первом этапе утеплить кровлю, то можно включить эту опцию.</t>
        </r>
      </text>
    </comment>
    <comment ref="D21" authorId="0" shapeId="0" xr:uid="{1A70F405-1D93-415F-8C2E-FE01406489A6}">
      <text>
        <r>
          <rPr>
            <b/>
            <sz val="9"/>
            <color indexed="81"/>
            <rFont val="Tahoma"/>
            <family val="2"/>
            <charset val="204"/>
          </rPr>
          <t>МОНТАЖ МАНСАРДНЫХ ОКОН</t>
        </r>
        <r>
          <rPr>
            <sz val="9"/>
            <color indexed="81"/>
            <rFont val="Tahoma"/>
            <family val="2"/>
            <charset val="204"/>
          </rPr>
          <t xml:space="preserve">
Если по проекту предумотрены мансардные окна, то можете включить эту опцию.  С выключенной оцией мансардные окна считаться не будут</t>
        </r>
      </text>
    </comment>
    <comment ref="D22" authorId="0" shapeId="0" xr:uid="{28277841-8821-4C7F-9851-0EAA12FD41E9}">
      <text>
        <r>
          <rPr>
            <b/>
            <sz val="9"/>
            <color indexed="81"/>
            <rFont val="Tahoma"/>
            <family val="2"/>
            <charset val="204"/>
          </rPr>
          <t>МОНТАЖ ВОДОСТОЧНЫХ КРЮКОВ</t>
        </r>
        <r>
          <rPr>
            <sz val="9"/>
            <color indexed="81"/>
            <rFont val="Tahoma"/>
            <family val="2"/>
            <charset val="204"/>
          </rPr>
          <t xml:space="preserve">
Поскольку мы применяем удлиненные кронштейны для крепления желобов водосточной системы, то они монтируются в кровельный пирог и обеспечивают более надежное крепление и не мешают подшиву кровельных карнизов. Данный пункт сметы лучше оставить включенным.</t>
        </r>
      </text>
    </comment>
    <comment ref="D23" authorId="0" shapeId="0" xr:uid="{B3C6332E-EC13-4374-9096-B82D614168FC}">
      <text>
        <r>
          <rPr>
            <b/>
            <sz val="9"/>
            <color indexed="81"/>
            <rFont val="Tahoma"/>
            <family val="2"/>
            <charset val="204"/>
          </rPr>
          <t>МОНТАЖ ВОДОСТОЧНОЙ СИСТЕМЫ</t>
        </r>
        <r>
          <rPr>
            <sz val="9"/>
            <color indexed="81"/>
            <rFont val="Tahoma"/>
            <family val="2"/>
            <charset val="204"/>
          </rPr>
          <t xml:space="preserve">
Водосточная система Grand Line позволяет упорядочить отведение ливнёвых вод с кровли</t>
        </r>
      </text>
    </comment>
    <comment ref="D24" authorId="0" shapeId="0" xr:uid="{D0C461E9-D000-44BD-9DCD-4417C9F2B4AF}">
      <text>
        <r>
          <rPr>
            <b/>
            <sz val="9"/>
            <color indexed="81"/>
            <rFont val="Tahoma"/>
            <family val="2"/>
            <charset val="204"/>
          </rPr>
          <t>УСТАНОВКА СИСТЕМЫ СНЕГОЗАДЕРЖАНИЯ</t>
        </r>
        <r>
          <rPr>
            <sz val="9"/>
            <color indexed="81"/>
            <rFont val="Tahoma"/>
            <family val="2"/>
            <charset val="204"/>
          </rPr>
          <t xml:space="preserve">
Чтобы исключить лавинный сход снега с кровли, можно установить систему снегозадержания.</t>
        </r>
      </text>
    </comment>
    <comment ref="D25" authorId="0" shapeId="0" xr:uid="{5F6B7E38-7BF6-491D-B19A-48A01301C35F}">
      <text>
        <r>
          <rPr>
            <b/>
            <sz val="9"/>
            <color indexed="81"/>
            <rFont val="Tahoma"/>
            <family val="2"/>
            <charset val="204"/>
          </rPr>
          <t xml:space="preserve">ПОДШИВ СВЕСОВ КРОВЛИ
</t>
        </r>
        <r>
          <rPr>
            <sz val="9"/>
            <color indexed="81"/>
            <rFont val="Tahoma"/>
            <family val="2"/>
            <charset val="204"/>
          </rPr>
          <t xml:space="preserve">Данная опция включает отделку карнизных свесов кровли 
</t>
        </r>
      </text>
    </comment>
    <comment ref="D26" authorId="0" shapeId="0" xr:uid="{021BE67B-D783-4FC9-A92D-755C61602371}">
      <text>
        <r>
          <rPr>
            <b/>
            <sz val="9"/>
            <color indexed="81"/>
            <rFont val="Tahoma"/>
            <family val="2"/>
            <charset val="204"/>
          </rPr>
          <t xml:space="preserve">МОНТАЖ ПОТОЛОЧНЫХ БАЛОК </t>
        </r>
        <r>
          <rPr>
            <sz val="9"/>
            <color indexed="81"/>
            <rFont val="Tahoma"/>
            <family val="2"/>
            <charset val="204"/>
          </rPr>
          <t xml:space="preserve">
В некоторых проекиах допускается отделка по стропилам и не дребуется организация ровных потолков. Например, на террасах, крыльцах или мансардных этажах. Поэтому данный пункт является опциональным и Вы его можете включать на свое усмотрение.</t>
        </r>
      </text>
    </comment>
    <comment ref="D27" authorId="0" shapeId="0" xr:uid="{9222B235-598A-435C-A412-A08262AD9020}">
      <text>
        <r>
          <rPr>
            <b/>
            <sz val="9"/>
            <color indexed="81"/>
            <rFont val="Tahoma"/>
            <family val="2"/>
            <charset val="204"/>
          </rPr>
          <t xml:space="preserve">УТЕПЛЕНИЕ МЕЖЭТАЖНЫХ И ЧЕРДАЧНЫХ ПЕРЕКРЫТИЙ
</t>
        </r>
        <r>
          <rPr>
            <sz val="9"/>
            <color indexed="81"/>
            <rFont val="Tahoma"/>
            <family val="2"/>
            <charset val="204"/>
          </rPr>
          <t xml:space="preserve">Утепление для отсечки холодных зон, например чердак. Или звукоизоляция внутри деревянных межэтажных перекрытий
</t>
        </r>
      </text>
    </comment>
    <comment ref="D28" authorId="0" shapeId="0" xr:uid="{4A4A8A48-5A0F-4DA4-A145-7C5BAAE82F4E}">
      <text>
        <r>
          <rPr>
            <b/>
            <sz val="9"/>
            <color indexed="81"/>
            <rFont val="Tahoma"/>
            <family val="2"/>
            <charset val="204"/>
          </rPr>
          <t>ДЕМОНТАЖ ЛЕСОВ</t>
        </r>
        <r>
          <rPr>
            <sz val="9"/>
            <color indexed="81"/>
            <rFont val="Tahoma"/>
            <family val="2"/>
            <charset val="204"/>
          </rPr>
          <t xml:space="preserve">
Если закончены все работы по кровле и фасаду, то леса нужно демонтировать, чтобы дать возможность продолжить работы по утеплению цоколя, устройству отмостки и дренажа</t>
        </r>
      </text>
    </comment>
    <comment ref="D29" authorId="0" shapeId="0" xr:uid="{59459860-05E3-4C4B-AE5C-6C1C912DD3FC}">
      <text>
        <r>
          <rPr>
            <b/>
            <sz val="9"/>
            <color indexed="81"/>
            <rFont val="Tahoma"/>
            <family val="2"/>
            <charset val="204"/>
          </rPr>
          <t xml:space="preserve">МОНТАЖ ОКОН и ДВЕРЕЙ
</t>
        </r>
        <r>
          <rPr>
            <sz val="9"/>
            <color indexed="81"/>
            <rFont val="Tahoma"/>
            <family val="2"/>
            <charset val="204"/>
          </rPr>
          <t xml:space="preserve">Данная опция включает монтаж окон ПВХ, временных металлических дверей и гаражных ворот.
</t>
        </r>
      </text>
    </comment>
    <comment ref="D30" authorId="0" shapeId="0" xr:uid="{6CEA2EC3-82E4-4D55-80EB-32879D693B7F}">
      <text>
        <r>
          <rPr>
            <b/>
            <sz val="9"/>
            <color indexed="81"/>
            <rFont val="Tahoma"/>
            <family val="2"/>
            <charset val="204"/>
          </rPr>
          <t>ВЕНТИЛЯЦИОННЫЕ ТРУБЫ, ДЫМО И ГАЗОХОДЫ</t>
        </r>
        <r>
          <rPr>
            <sz val="9"/>
            <color indexed="81"/>
            <rFont val="Tahoma"/>
            <family val="2"/>
            <charset val="204"/>
          </rPr>
          <t xml:space="preserve">
Данная опция включит в смете трубы (вентиляция, дымоходы, газоходы)</t>
        </r>
      </text>
    </comment>
    <comment ref="D31" authorId="0" shapeId="0" xr:uid="{127B7481-020B-4BB5-ABD2-850BF97DBA85}">
      <text>
        <r>
          <rPr>
            <b/>
            <sz val="9"/>
            <color indexed="81"/>
            <rFont val="Tahoma"/>
            <family val="2"/>
            <charset val="204"/>
          </rPr>
          <t xml:space="preserve">УСТАНОВКА ФЛЮГАРОК
</t>
        </r>
        <r>
          <rPr>
            <sz val="9"/>
            <color indexed="81"/>
            <rFont val="Tahoma"/>
            <family val="2"/>
            <charset val="204"/>
          </rPr>
          <t>Установка дымников-флюгарок на трубы вентиляции, дымоходы и газоходы</t>
        </r>
      </text>
    </comment>
    <comment ref="D32" authorId="0" shapeId="0" xr:uid="{50F97404-E833-4F5C-A1DA-3BECFF610315}">
      <text>
        <r>
          <rPr>
            <b/>
            <sz val="9"/>
            <color indexed="81"/>
            <rFont val="Tahoma"/>
            <family val="2"/>
            <charset val="204"/>
          </rPr>
          <t xml:space="preserve">МОНТАЖ СТУПЕНЕЙ НА ТЕРРАСАХ И КРЫЛЕЧКАХ
</t>
        </r>
        <r>
          <rPr>
            <sz val="9"/>
            <color indexed="81"/>
            <rFont val="Tahoma"/>
            <family val="2"/>
            <charset val="204"/>
          </rPr>
          <t>Данный пункт сметы лучше отнести на следующий этап строительства, когда будет определены высотные отметки по грунту и полу перого этажа.</t>
        </r>
      </text>
    </comment>
    <comment ref="D33" authorId="0" shapeId="0" xr:uid="{8BD92135-AAF8-43B1-A5A3-7C8B7912500F}">
      <text>
        <r>
          <rPr>
            <b/>
            <sz val="9"/>
            <color indexed="81"/>
            <rFont val="Tahoma"/>
            <family val="2"/>
            <charset val="204"/>
          </rPr>
          <t xml:space="preserve">ИЗГОТОВЛЕНИЕ БЕТОННОЙ МЕЖЭТАЖНОЙ ЛЕСТНИЦЫ
</t>
        </r>
        <r>
          <rPr>
            <sz val="9"/>
            <color indexed="81"/>
            <rFont val="Tahoma"/>
            <family val="2"/>
            <charset val="204"/>
          </rPr>
          <t xml:space="preserve">Лестница изготавливается без чистовой отделки и является основой для дальнейших отделочных работ
</t>
        </r>
      </text>
    </comment>
    <comment ref="D34" authorId="0" shapeId="0" xr:uid="{4FB36E44-D29F-4EF7-B90E-2BCB61E0DE77}">
      <text>
        <r>
          <rPr>
            <b/>
            <sz val="9"/>
            <color indexed="81"/>
            <rFont val="Tahoma"/>
            <family val="2"/>
            <charset val="204"/>
          </rPr>
          <t>Утепление и отделка цоколя фундамента</t>
        </r>
        <r>
          <rPr>
            <sz val="9"/>
            <color indexed="81"/>
            <rFont val="Tahoma"/>
            <family val="2"/>
            <charset val="204"/>
          </rPr>
          <t xml:space="preserve">
Перед тем, как начать отапливать дом необходимо утеплить фундамент, чтобы исключить мостики холода и потерю тепла. Данный пунт рекомендуется выполнить до начала запуска отопления в доме</t>
        </r>
      </text>
    </comment>
    <comment ref="D35" authorId="0" shapeId="0" xr:uid="{A093DB7C-725E-4E46-9F8C-D02AF5A8FD79}">
      <text>
        <r>
          <rPr>
            <b/>
            <sz val="9"/>
            <color indexed="81"/>
            <rFont val="Tahoma"/>
            <family val="2"/>
            <charset val="204"/>
          </rPr>
          <t>УСТРОЙСТВО ЧЕРНОВОЙ ОТМОСТКИ</t>
        </r>
        <r>
          <rPr>
            <sz val="9"/>
            <color indexed="81"/>
            <rFont val="Tahoma"/>
            <family val="2"/>
            <charset val="204"/>
          </rPr>
          <t xml:space="preserve">
Любой дом требует изготовления отмостки. Данный пункт сметы предусматривает изготовление черновой отмостки с утеплением. </t>
        </r>
      </text>
    </comment>
    <comment ref="D36" authorId="0" shapeId="0" xr:uid="{406CAC19-85AB-4594-BF55-8862198D9116}">
      <text>
        <r>
          <rPr>
            <b/>
            <sz val="9"/>
            <color indexed="81"/>
            <rFont val="Tahoma"/>
            <family val="2"/>
            <charset val="204"/>
          </rPr>
          <t>ОРГАНИЗАЦИЯ ЛИВНЕВОЙ СИСТЕМЫ</t>
        </r>
        <r>
          <rPr>
            <sz val="9"/>
            <color indexed="81"/>
            <rFont val="Tahoma"/>
            <family val="2"/>
            <charset val="204"/>
          </rPr>
          <t xml:space="preserve">
Монтаж ливневой системы с установкой дождеприемников</t>
        </r>
      </text>
    </comment>
    <comment ref="D37" authorId="0" shapeId="0" xr:uid="{7A7F48DB-735D-458C-A69D-D349A678C80E}">
      <text>
        <r>
          <rPr>
            <b/>
            <sz val="9"/>
            <color indexed="81"/>
            <rFont val="Tahoma"/>
            <family val="2"/>
            <charset val="204"/>
          </rPr>
          <t>ОРГАНИЗАЦИЯ ДРЕНАЖНОЙ СИСТЕМЫ</t>
        </r>
        <r>
          <rPr>
            <sz val="9"/>
            <color indexed="81"/>
            <rFont val="Tahoma"/>
            <family val="2"/>
            <charset val="204"/>
          </rPr>
          <t xml:space="preserve">
Дренажная система обеспечивает водопонижение вокруг дома и снижает нагрузку на фундамент связанную с пучением грунта в зимний период</t>
        </r>
      </text>
    </comment>
    <comment ref="D38" authorId="0" shapeId="0" xr:uid="{F4115BF7-3C2D-458E-B145-8B3F3907DC97}">
      <text>
        <r>
          <rPr>
            <b/>
            <sz val="9"/>
            <color indexed="81"/>
            <rFont val="Tahoma"/>
            <family val="2"/>
            <charset val="204"/>
          </rPr>
          <t>ВЫВОЗ МУСОРА</t>
        </r>
        <r>
          <rPr>
            <sz val="9"/>
            <color indexed="81"/>
            <rFont val="Tahoma"/>
            <family val="2"/>
            <charset val="204"/>
          </rPr>
          <t xml:space="preserve">
Уборка и загрузка и вывоз мусорных контейнеров. Обычно, предлагаем вывозить мусор по мере его накопления. Данный пункт сметы - расчетное количество в зависимости от объема строительства</t>
        </r>
      </text>
    </comment>
    <comment ref="D39" authorId="0" shapeId="0" xr:uid="{12ECA454-F22A-49C8-B0B5-43FE41CE6358}">
      <text>
        <r>
          <rPr>
            <b/>
            <sz val="9"/>
            <color indexed="81"/>
            <rFont val="Tahoma"/>
            <family val="2"/>
            <charset val="204"/>
          </rPr>
          <t>МОНТАЖ УТЕПЛИТЕЛЯ ПОД СТЯЖКУ</t>
        </r>
        <r>
          <rPr>
            <sz val="9"/>
            <color indexed="81"/>
            <rFont val="Tahoma"/>
            <family val="2"/>
            <charset val="204"/>
          </rPr>
          <t xml:space="preserve">
Монтаж ЭППС под стяжку на бетонное основание фундаментной плиты</t>
        </r>
      </text>
    </comment>
    <comment ref="D40" authorId="0" shapeId="0" xr:uid="{5BB0B97C-E152-456F-A4EA-749937BDAB71}">
      <text>
        <r>
          <rPr>
            <b/>
            <sz val="9"/>
            <color indexed="81"/>
            <rFont val="Tahoma"/>
            <family val="2"/>
            <charset val="204"/>
          </rPr>
          <t>УСТРОЙСТВО СТЯЖКИ ПОЛА ПЕРВОГО ЭТАЖА</t>
        </r>
        <r>
          <rPr>
            <sz val="9"/>
            <color indexed="81"/>
            <rFont val="Tahoma"/>
            <family val="2"/>
            <charset val="204"/>
          </rPr>
          <t xml:space="preserve">
Устройство стяжки пола первого этажа раствором с армированием</t>
        </r>
      </text>
    </comment>
    <comment ref="D41" authorId="0" shapeId="0" xr:uid="{633178C3-04AD-42AC-89F3-20B52D15E42C}">
      <text>
        <r>
          <rPr>
            <b/>
            <sz val="9"/>
            <color indexed="81"/>
            <rFont val="Tahoma"/>
            <family val="2"/>
            <charset val="204"/>
          </rPr>
          <t>УСТРОЙСТВО СТЯЖКИ ПОЛА ВТОРОГО ЭТАЖА</t>
        </r>
        <r>
          <rPr>
            <sz val="9"/>
            <color indexed="81"/>
            <rFont val="Tahoma"/>
            <family val="2"/>
            <charset val="204"/>
          </rPr>
          <t xml:space="preserve">
Устройство стяжки пола второго этажа раствором с армированием</t>
        </r>
      </text>
    </comment>
    <comment ref="D42" authorId="0" shapeId="0" xr:uid="{2C26065A-B612-46CE-9E0C-49261BEDA365}">
      <text>
        <r>
          <rPr>
            <b/>
            <sz val="9"/>
            <color indexed="81"/>
            <rFont val="Tahoma"/>
            <family val="2"/>
            <charset val="204"/>
          </rPr>
          <t>ГРУНТОВКА СТЕН ПЕРЕД ШТУКАТУРКОЙ</t>
        </r>
        <r>
          <rPr>
            <sz val="9"/>
            <color indexed="81"/>
            <rFont val="Tahoma"/>
            <family val="2"/>
            <charset val="204"/>
          </rPr>
          <t xml:space="preserve">
Грунтовка стен бетоно-контактом перед штукатуркой</t>
        </r>
      </text>
    </comment>
    <comment ref="D43" authorId="0" shapeId="0" xr:uid="{4C9E7FAF-C2F2-4E75-A95A-14BB97136501}">
      <text>
        <r>
          <rPr>
            <b/>
            <sz val="9"/>
            <color indexed="81"/>
            <rFont val="Tahoma"/>
            <family val="2"/>
            <charset val="204"/>
          </rPr>
          <t>ШТУКАТУРКА СТЕН ВНУТРИ ПЕРВОГО ЭТАЖА</t>
        </r>
        <r>
          <rPr>
            <sz val="9"/>
            <color indexed="81"/>
            <rFont val="Tahoma"/>
            <family val="2"/>
            <charset val="204"/>
          </rPr>
          <t xml:space="preserve">
Штукатрка стен внутри первого этажа по маякам</t>
        </r>
      </text>
    </comment>
    <comment ref="D44" authorId="0" shapeId="0" xr:uid="{25C91308-86A1-45AF-891B-E60BB8CD3361}">
      <text>
        <r>
          <rPr>
            <b/>
            <sz val="9"/>
            <color indexed="81"/>
            <rFont val="Tahoma"/>
            <family val="2"/>
            <charset val="204"/>
          </rPr>
          <t>ШТУКАТУРКА СТЕН ВНУТРИ МАНСАРДНОГО ЭТАЖА</t>
        </r>
        <r>
          <rPr>
            <sz val="9"/>
            <color indexed="81"/>
            <rFont val="Tahoma"/>
            <family val="2"/>
            <charset val="204"/>
          </rPr>
          <t xml:space="preserve">
Штукатурка стен внутри мансардного этажа по маякам</t>
        </r>
      </text>
    </comment>
    <comment ref="D45" authorId="0" shapeId="0" xr:uid="{177D387A-C901-4F4D-8AFD-1862B05D7604}">
      <text>
        <r>
          <rPr>
            <b/>
            <sz val="9"/>
            <color indexed="81"/>
            <rFont val="Tahoma"/>
            <family val="2"/>
            <charset val="204"/>
          </rPr>
          <t>ШТУКАТУРКА ВНУТРЕННИХ ОТКОСОВ</t>
        </r>
        <r>
          <rPr>
            <sz val="9"/>
            <color indexed="81"/>
            <rFont val="Tahoma"/>
            <family val="2"/>
            <charset val="204"/>
          </rPr>
          <t xml:space="preserve">
Штукатурка внутренних откосов здания</t>
        </r>
      </text>
    </comment>
    <comment ref="D46" authorId="0" shapeId="0" xr:uid="{FBA6C42F-F073-47CD-94BB-4E9DEFFD40DF}">
      <text>
        <r>
          <rPr>
            <b/>
            <sz val="9"/>
            <color indexed="81"/>
            <rFont val="Tahoma"/>
            <family val="2"/>
            <charset val="204"/>
          </rPr>
          <t>БУРЕНИЕ СКВАЖИНЫ НА ВОДУ</t>
        </r>
        <r>
          <rPr>
            <sz val="9"/>
            <color indexed="81"/>
            <rFont val="Tahoma"/>
            <family val="2"/>
            <charset val="204"/>
          </rPr>
          <t xml:space="preserve">
Если необходимо организовать независимый источник водоснабжения на участке, то оптимальным решением является бурение скважины на воду. Глубина бурения может отличаться в зависимости от мета строительства.</t>
        </r>
      </text>
    </comment>
    <comment ref="D47" authorId="0" shapeId="0" xr:uid="{EA3FF25F-B309-4277-A30F-B6CE13701F69}">
      <text>
        <r>
          <rPr>
            <b/>
            <sz val="9"/>
            <color indexed="81"/>
            <rFont val="Tahoma"/>
            <family val="2"/>
            <charset val="204"/>
          </rPr>
          <t>МОНТАЖ КЕССОНА</t>
        </r>
        <r>
          <rPr>
            <sz val="9"/>
            <color indexed="81"/>
            <rFont val="Tahoma"/>
            <family val="2"/>
            <charset val="204"/>
          </rPr>
          <t xml:space="preserve">
Для организации правильной эксплуатации скважины на воду предлакаем установку надежного пластикового кессона</t>
        </r>
      </text>
    </comment>
    <comment ref="D48" authorId="0" shapeId="0" xr:uid="{87F8855A-2874-47F9-A53E-F1F9B6F967F2}">
      <text>
        <r>
          <rPr>
            <b/>
            <sz val="9"/>
            <color indexed="81"/>
            <rFont val="Tahoma"/>
            <family val="2"/>
            <charset val="204"/>
          </rPr>
          <t>МОНТАЖ ОЧИСТНОГО СООРУЖЕНИЯ</t>
        </r>
        <r>
          <rPr>
            <sz val="9"/>
            <color indexed="81"/>
            <rFont val="Tahoma"/>
            <family val="2"/>
            <charset val="204"/>
          </rPr>
          <t xml:space="preserve">
Установка автономной канализации премиум класса. Высококачественный септик Kolo Vesi надежен и прост в обслуживании</t>
        </r>
      </text>
    </comment>
    <comment ref="D49" authorId="0" shapeId="0" xr:uid="{60CF5719-8198-4500-91ED-B015FBC05E5F}">
      <text>
        <r>
          <rPr>
            <b/>
            <sz val="9"/>
            <color indexed="81"/>
            <rFont val="Tahoma"/>
            <family val="2"/>
            <charset val="204"/>
          </rPr>
          <t>ОВК</t>
        </r>
        <r>
          <rPr>
            <sz val="9"/>
            <color indexed="81"/>
            <rFont val="Tahoma"/>
            <family val="2"/>
            <charset val="204"/>
          </rPr>
          <t xml:space="preserve">
Организация котельной, разводка отопления, водоснабжения и канализации в доме</t>
        </r>
      </text>
    </comment>
    <comment ref="D50" authorId="0" shapeId="0" xr:uid="{6FCB2B16-4953-4DC9-B9B5-CD42B09FA1CA}">
      <text>
        <r>
          <rPr>
            <b/>
            <sz val="9"/>
            <color indexed="81"/>
            <rFont val="Tahoma"/>
            <family val="2"/>
            <charset val="204"/>
          </rPr>
          <t>ЭЛЕКТРИКА</t>
        </r>
        <r>
          <rPr>
            <sz val="9"/>
            <color indexed="81"/>
            <rFont val="Tahoma"/>
            <family val="2"/>
            <charset val="204"/>
          </rPr>
          <t xml:space="preserve">
Разводка электрики по дому с ситемой заземления и коммутацией электрического щита</t>
        </r>
      </text>
    </comment>
  </commentList>
</comments>
</file>

<file path=xl/sharedStrings.xml><?xml version="1.0" encoding="utf-8"?>
<sst xmlns="http://schemas.openxmlformats.org/spreadsheetml/2006/main" count="1309" uniqueCount="574">
  <si>
    <t>Искренне  благодарим  Вас  за  обращение  в  компанию  «Приват-Строй»!</t>
  </si>
  <si>
    <t>Чтобы наша смета отображалась  и  работала правильно, её необходимо сохранить на компьютер и открыть программой   MS Excel. Только в этом случае Вы сможете в полном объёме использовать весь её функционал</t>
  </si>
  <si>
    <t>Весь функционал сметы размещён на 4-х листах MS Excel, а именно:</t>
  </si>
  <si>
    <t>ВВОДНЫЕ   ДАННЫЕ</t>
  </si>
  <si>
    <t>Здесь Вы найдете вводную информацию, которая легла в основу сделанного расчета.</t>
  </si>
  <si>
    <t>СМЕТА</t>
  </si>
  <si>
    <t>Здесь Вы поймете, из чего формируется стоимость строительства (объемы, цены).</t>
  </si>
  <si>
    <t>ОПЦИИ  РАСЧЕТА</t>
  </si>
  <si>
    <t>Здесь Вы сможете включать/выключать нужные Вам работы самостоятельно!</t>
  </si>
  <si>
    <t>О  ПРИВАТ-СТРОЙ</t>
  </si>
  <si>
    <t>Здесь Вы прочитаете ответы на самые популярные вопросы наших клиентов.</t>
  </si>
  <si>
    <t>Не открывайте смету из почты, а также на планшете или телефоне!</t>
  </si>
  <si>
    <t>ЗАКАЗЧИК:</t>
  </si>
  <si>
    <t>АДРЕС:</t>
  </si>
  <si>
    <t>КОНТАКТЫ:</t>
  </si>
  <si>
    <t>ПРОЕКТ:</t>
  </si>
  <si>
    <t>КОММЕРЧЕСКОЕ  ПРЕДЛОЖЕНИЕ</t>
  </si>
  <si>
    <t>Оплата после сдачи каждого этапа</t>
  </si>
  <si>
    <t>Гарантия 2 года</t>
  </si>
  <si>
    <r>
      <t xml:space="preserve">Проект марки АР и составление смет - </t>
    </r>
    <r>
      <rPr>
        <i/>
        <sz val="11"/>
        <color indexed="10"/>
        <rFont val="Arial Narrow"/>
        <family val="2"/>
        <charset val="204"/>
      </rPr>
      <t>бесплатно</t>
    </r>
    <r>
      <rPr>
        <i/>
        <sz val="11"/>
        <rFont val="Arial Narrow"/>
        <family val="2"/>
        <charset val="204"/>
      </rPr>
      <t>!</t>
    </r>
  </si>
  <si>
    <t>Стоимость:</t>
  </si>
  <si>
    <t>СТЕНЫ   И   ПЕРЕКРЫТИЯ</t>
  </si>
  <si>
    <t>КРОВЛЯ   И   ДЕРЕВЯННЫЕ   ПЕРЕКРЫТИЯ</t>
  </si>
  <si>
    <t xml:space="preserve">Учтена кровля над всеми конструкциями. Антисептирование всех деревянных изделий, анкеровка мауэрлата, вентилируемая кровля. </t>
  </si>
  <si>
    <t>ПРОЧИЕ   КОНСТРУКЦИИ   И   РАБОТЫ</t>
  </si>
  <si>
    <t>Необходимые конструкции и работы, без которых дом не построить.</t>
  </si>
  <si>
    <t>Доставки, специализированная техника и оборудование.</t>
  </si>
  <si>
    <t>ИТОГОВАЯ СТОИМОСТЬ ПО СМЕТЕ:</t>
  </si>
  <si>
    <t>ГАРАНТИИ КАЧЕСТВА И СОБЛЮДЕНИЕ ВСЕХ СТРОИТЕЛЬНЫХ НОРМ И ПРАВИЛ</t>
  </si>
  <si>
    <t>ООО "Приват-Строй". Москва, Сигнальный проезд, дом 39, офис 203,  пн-вс 10:00-20:00. +7(495) 721-0366, www.private-stroy.ru dom@private-stroy.ru</t>
  </si>
  <si>
    <t>ОБЩИЙ ИТОГ ПО ВСЕЙ СМЕТЕ:</t>
  </si>
  <si>
    <t>АДРЕС СТРОИТЕЛЬСТВА:</t>
  </si>
  <si>
    <t>Дата составления сметы:</t>
  </si>
  <si>
    <t>НАИМЕНОВАНИЕ</t>
  </si>
  <si>
    <t>ЕД. ИЗМ.</t>
  </si>
  <si>
    <t>КОЛ-ВО</t>
  </si>
  <si>
    <t xml:space="preserve">ЦЕНА ЗА ЕДИНИЦУ </t>
  </si>
  <si>
    <t>ЦЕНА</t>
  </si>
  <si>
    <t xml:space="preserve">ОБЩАЯ СТОИМОСТЬ </t>
  </si>
  <si>
    <t>СТОИМОСТЬ</t>
  </si>
  <si>
    <t>колич</t>
  </si>
  <si>
    <t>Флаг1</t>
  </si>
  <si>
    <t>Флаг2</t>
  </si>
  <si>
    <t>Вес</t>
  </si>
  <si>
    <t>СТАНДАРТ</t>
  </si>
  <si>
    <t>РАБОТА</t>
  </si>
  <si>
    <t>МАТЕРИАЛЫ</t>
  </si>
  <si>
    <t>ВСЕГО</t>
  </si>
  <si>
    <t>расч</t>
  </si>
  <si>
    <t>ПОДГОТОВИТЕЛЬНЫЕ РАБОТЫ</t>
  </si>
  <si>
    <t>Организация проживания рабочих</t>
  </si>
  <si>
    <t>к-т</t>
  </si>
  <si>
    <t>Бытовка строительная</t>
  </si>
  <si>
    <t>шт.</t>
  </si>
  <si>
    <t>Организация строительной площадки</t>
  </si>
  <si>
    <t>Пиломатериал обрезной (2 сорт)</t>
  </si>
  <si>
    <t>м³</t>
  </si>
  <si>
    <t xml:space="preserve">работа </t>
  </si>
  <si>
    <t>материалы</t>
  </si>
  <si>
    <t>всего</t>
  </si>
  <si>
    <t>ФУНДАМЕНТ</t>
  </si>
  <si>
    <t>Разметка и привязка здания к участку</t>
  </si>
  <si>
    <t>м²</t>
  </si>
  <si>
    <t>Песок карьерный</t>
  </si>
  <si>
    <t>Бетон М-300 (В22,5) гравийный</t>
  </si>
  <si>
    <t>Пароизоляционная мембрана Изоспан В (70 м)</t>
  </si>
  <si>
    <t>Битумно полимерная мембрана Унифлекс ЭПП (10 м²)</t>
  </si>
  <si>
    <t>Геотекстиль 200 г/м² 2х100 м (200 м²)</t>
  </si>
  <si>
    <t>Экструдированный пенополистирол (ЭППС)</t>
  </si>
  <si>
    <t>м.п.</t>
  </si>
  <si>
    <t>Арматура 8 мм</t>
  </si>
  <si>
    <t>Арматура 10 мм</t>
  </si>
  <si>
    <t>Арматура 12 мм</t>
  </si>
  <si>
    <t>Проволока вязальная</t>
  </si>
  <si>
    <t>Доска 25х100 (2 сорт)</t>
  </si>
  <si>
    <t>Доска 40х150 (2 сорт)</t>
  </si>
  <si>
    <t>Доска 50х100 (2 сорт)</t>
  </si>
  <si>
    <t>Пластификатор ГАМБИТ MaxiTEMP Е-1</t>
  </si>
  <si>
    <t>л.</t>
  </si>
  <si>
    <t>Пластификатор ГАМБИТ SuperMIXT С-1</t>
  </si>
  <si>
    <t>кг</t>
  </si>
  <si>
    <t>Плоский шифер прессованный 10 мм 1,5х1</t>
  </si>
  <si>
    <t>Монтаж закладных для ввода водопровода в здание</t>
  </si>
  <si>
    <t>точка</t>
  </si>
  <si>
    <t>Труба ПНД для питьевой воды 32 мм</t>
  </si>
  <si>
    <t>Кабель ВВГнг-LS 3х2.5</t>
  </si>
  <si>
    <t>Труба ПНД 32 мм для прокладки кабеля</t>
  </si>
  <si>
    <t>Монтаж закладного рукава для ввода кабеля в здание</t>
  </si>
  <si>
    <t>Труба гофрированная 110 мм</t>
  </si>
  <si>
    <t>Монтаж выводов канализации</t>
  </si>
  <si>
    <t>Тройник, угол, переход, ПВХ 110 мм (канализационные рыжие)</t>
  </si>
  <si>
    <t>Монтаж канализационной трассы</t>
  </si>
  <si>
    <t>Труба канализационная ПВХ Ø110 мм рыжая для наружной укладки</t>
  </si>
  <si>
    <t>Закаладка кабеля для очистного сооружения</t>
  </si>
  <si>
    <t>Организация резервных закладных</t>
  </si>
  <si>
    <t>Труба Электрокор 160 SN8</t>
  </si>
  <si>
    <t>Рытьё приямка для вывода закладных</t>
  </si>
  <si>
    <t>Труба канализационная ПВХ Ø110 мм серая</t>
  </si>
  <si>
    <t>Пескобетон М-300 МКУ (крупная фракция)</t>
  </si>
  <si>
    <t>Бетон М-200 гравийный</t>
  </si>
  <si>
    <t>Сетка сварная 100х100х4 (карта 1,5х2)</t>
  </si>
  <si>
    <t>Доска 40х100 (2 сорт)</t>
  </si>
  <si>
    <t>СТЕНЫ И ПЕРЕКРЫТИЯ ИЗ КИРПИЧА И БЛОКОВ</t>
  </si>
  <si>
    <t>Гидроизоляция основания стен гидроизолом</t>
  </si>
  <si>
    <t>Гидроизол ХПП Технониколь</t>
  </si>
  <si>
    <t xml:space="preserve">Выравнивание основания под кладку стен раствором </t>
  </si>
  <si>
    <t>Смесь штукатурно-кладочная М-200 МКУ</t>
  </si>
  <si>
    <t>Клей для ячеистых бетонов 25 кг</t>
  </si>
  <si>
    <t>Сетка оцинкованная 50х50х2,5 (1,5 м)</t>
  </si>
  <si>
    <t>Кирпич 250х120х65 мм</t>
  </si>
  <si>
    <t>Пена монтажная</t>
  </si>
  <si>
    <t>Устройство опалубки под монолитные перекрытия</t>
  </si>
  <si>
    <t xml:space="preserve">Устройство ж/б пояса </t>
  </si>
  <si>
    <t>Плита OSB-3 12 мм</t>
  </si>
  <si>
    <t>Доска 50х200 (1 сорт)</t>
  </si>
  <si>
    <t>FarAcs MAXX 135 3-х слойная супер диффузионная мембрана (70 м²)</t>
  </si>
  <si>
    <t>Брусок 50х50 (1 сорт)</t>
  </si>
  <si>
    <t>Доска 25х100 (1 сорт)</t>
  </si>
  <si>
    <t xml:space="preserve">Антисептирование пиломатериалов </t>
  </si>
  <si>
    <t>рул.</t>
  </si>
  <si>
    <t>КРОВЛЯ И ЧЕРДАЧНЫЕ ПЕРЕКРЫТИЯ</t>
  </si>
  <si>
    <t>Монтаж временной кровли под рубероид</t>
  </si>
  <si>
    <t>Рубероид РКК 350</t>
  </si>
  <si>
    <t>Монтаж мауэрлата</t>
  </si>
  <si>
    <t>Брус 150х150х6000 (1 сорт)</t>
  </si>
  <si>
    <t xml:space="preserve">Монтаж стропильной системы </t>
  </si>
  <si>
    <t>Пиломатериал обрезной (1 сорт)</t>
  </si>
  <si>
    <t>Минераловатные плиты (Изомин, Изорок, Изолайт) 35 кг/м³</t>
  </si>
  <si>
    <t>Juta Плёнка JF N 96 Silver, (ЮТАФОЛ Н 96 Сильвер) пароизоляционная 75м2</t>
  </si>
  <si>
    <t>FarAcs Пленка N100 трехслойная пароизоляционная 70м2</t>
  </si>
  <si>
    <t>FarAcs Пленка Termo 90 AL отражающая пароизоляционная 70м2</t>
  </si>
  <si>
    <t>Монтаж гидроизоляции и контр рейки</t>
  </si>
  <si>
    <t>FarAcs VENT 110 3-х слойная супер диффузионная мембрана (70 м²)</t>
  </si>
  <si>
    <t>Монтаж обрешётки</t>
  </si>
  <si>
    <t>Монтаж металлочерепицы</t>
  </si>
  <si>
    <t>уп.</t>
  </si>
  <si>
    <t>Монтаж погонных элементов кровли GL PE 0,5</t>
  </si>
  <si>
    <t>Лента вентиляционная ПВХ 100х5000</t>
  </si>
  <si>
    <t>Установка снегозадержателей трубчатых для металлочерепицы</t>
  </si>
  <si>
    <t>Снегозадержатель универсальный (3 м)</t>
  </si>
  <si>
    <t>Антисептик PROSEPT Exterior (готовый раствор)</t>
  </si>
  <si>
    <t>Антисептик PROSEPT ULTRA (готовый раствор)</t>
  </si>
  <si>
    <t>Монтаж водосточных крюков</t>
  </si>
  <si>
    <t>FarAcs сталь PREMIUM 125/90 Кронштейн желоба усиленный</t>
  </si>
  <si>
    <t>Монтаж мансардных окон</t>
  </si>
  <si>
    <t>Комплект окладов для мансардных окон EZV, XDP, XDS</t>
  </si>
  <si>
    <t>Монтаж водосточной системы GL</t>
  </si>
  <si>
    <t xml:space="preserve">Подшивка карниза и лобовой доски софитами </t>
  </si>
  <si>
    <t>Альта-Профиль софит 0,27х3 м (0,69 м²) белый/коричневый</t>
  </si>
  <si>
    <t>Альта-Профиль Планка "J - trim" белая/коричневая - 3 м</t>
  </si>
  <si>
    <t>Альта-Профиль Планка "соединительная" - 3 м.</t>
  </si>
  <si>
    <t>Монтаж балок деревянного перекрытия (чердак, терраса, крыльцо)</t>
  </si>
  <si>
    <t>Монтаж пароизоляции и утеплителя в перекрытиях 200мм</t>
  </si>
  <si>
    <t>ПРОЧИЕ КОНСТРУКЦИИ И РАБОТЫ</t>
  </si>
  <si>
    <t>Разгрузка и перемещение материалов по стройплощадке</t>
  </si>
  <si>
    <t>тонн</t>
  </si>
  <si>
    <t>Монтаж лесов</t>
  </si>
  <si>
    <t>Демонтаж лесов</t>
  </si>
  <si>
    <t>Установка окон и входных дверей</t>
  </si>
  <si>
    <t>Окна пластиковые - Профиль ПВХ BRUSBOX SUPER AERO 70 мм (белый)</t>
  </si>
  <si>
    <t>Окна пластиковые - Профиль ПВХ Rehau GRAZIO 70 мм (белый)</t>
  </si>
  <si>
    <t>Окна пластиковые - Профиль ПВХ Rehau INTELIO 80 мм (белый)</t>
  </si>
  <si>
    <t>Двери входные простые металлические по индивидуальным размерам</t>
  </si>
  <si>
    <t>Ворота гаражные DORHAN секционные с торсионными пружинами</t>
  </si>
  <si>
    <t>Кладка вентиляционных труб, дымоходов и газоходов из чернового кирпича</t>
  </si>
  <si>
    <t>Тройники и заглушки (канализационные серые) 110 мм</t>
  </si>
  <si>
    <t>Теплоизоляция для труб 110 мм</t>
  </si>
  <si>
    <t>Вулкан труба нержавеющая  AISI 200 мм</t>
  </si>
  <si>
    <t>Вулкан опора нержавеющая  AISI 200 мм</t>
  </si>
  <si>
    <t>Вулкан тройник 45 нержавеющий AISI 200 мм</t>
  </si>
  <si>
    <t>Вулкан конденсатосборник на трубу D200 без изоляции на расширителе матовый</t>
  </si>
  <si>
    <t>Вулкан хомут 200 мм</t>
  </si>
  <si>
    <t>Минеральная вата Firebatts 110 с фольгой 1000*600*50 мм (4 л. в уп.)</t>
  </si>
  <si>
    <t>Монтаж оклада дымохода (для металлочерепицы) RAL 7022</t>
  </si>
  <si>
    <t>Fakro/FarAсs Оклад для дымовых труб GZK-AV универсальный 95х180</t>
  </si>
  <si>
    <t>Установка флюгарок на трубы</t>
  </si>
  <si>
    <t>Монтаж ступеней крыльца (два крыльца)</t>
  </si>
  <si>
    <t>ступ</t>
  </si>
  <si>
    <t>Утепление цоколя термопанелями ПОЛИФАСАД® 50мм</t>
  </si>
  <si>
    <t>Двухслойная плита ПОЛИФАСАД®</t>
  </si>
  <si>
    <t>Монтажный клей/пена с низким коэффициентом расширения</t>
  </si>
  <si>
    <t>Краска резиновая Dali серая 6 кг</t>
  </si>
  <si>
    <t>Полиуретановый герметик TYTAN PROFESSIONAL PU 40 цвет серый 600мл</t>
  </si>
  <si>
    <t>Отлив металлический</t>
  </si>
  <si>
    <t>Монтаж ливневой трассы и дождеприемников</t>
  </si>
  <si>
    <t>Дождеприемник</t>
  </si>
  <si>
    <t>Комплект муфты, углы и т.п.</t>
  </si>
  <si>
    <t>Организация дренажной системы с приемным и смотровыми колодцами</t>
  </si>
  <si>
    <t>Труба дренажная SoftRock 110мм (Ф 250 мм импортный наполнитель)</t>
  </si>
  <si>
    <t xml:space="preserve">Смотровой колодец FD 340 мм (1 м) с крышкой </t>
  </si>
  <si>
    <t>Бетонное кольцо 1 м (h=800 мм)</t>
  </si>
  <si>
    <t>Крышка с люком</t>
  </si>
  <si>
    <t>Уборка, погрузка и вывоз мусорного контейнера</t>
  </si>
  <si>
    <t>Мусорный контейнер 8 м³</t>
  </si>
  <si>
    <t>Флаг</t>
  </si>
  <si>
    <t>ОТДЕЛКА ФАСАДА</t>
  </si>
  <si>
    <t>Армирование лицевой кладки оцинкованной сеткой 50х50х2,5</t>
  </si>
  <si>
    <t>Арматура композитная Ф6 мм</t>
  </si>
  <si>
    <t>Устройство перемычек в лицевом кирпиче 120 мм</t>
  </si>
  <si>
    <t>Усиление Murfor из гладкой стали RND/Z/50</t>
  </si>
  <si>
    <t>BAUT SK 50-40</t>
  </si>
  <si>
    <t>BAUT SU 50-45</t>
  </si>
  <si>
    <t>Подрезка облицовочного кирпича в углах ≠ 90⁰</t>
  </si>
  <si>
    <t>ВНУТРЕННЯЯ ОТДЕЛКА</t>
  </si>
  <si>
    <t>Монтаж теплоизоляции пола ЭППС (по бетонному основанию)</t>
  </si>
  <si>
    <t>Раствор строительный М-200</t>
  </si>
  <si>
    <t>Фиброволокно 12 мм</t>
  </si>
  <si>
    <t>Устройство стяжки пола 1 этаж</t>
  </si>
  <si>
    <t>Устройство стяжки пола 2 этаж</t>
  </si>
  <si>
    <t>Грунтовка стен</t>
  </si>
  <si>
    <t>Грунтовка Старатели Бетон-Контакт, 20 кг</t>
  </si>
  <si>
    <t>Маяк штукатурный 6 мм</t>
  </si>
  <si>
    <t>Штукатурка стен по маякам 1 этаж</t>
  </si>
  <si>
    <t>Штукатурка стен по маякам мансардный этаж</t>
  </si>
  <si>
    <t>Штукатурка внутренних откосов</t>
  </si>
  <si>
    <t>Строительная компания «Приват-Строй»,   +7(495)7210366,    www.private-stroy.ru</t>
  </si>
  <si>
    <t>ВСПОМОГАТЕЛЬНЫЕ СИСТЕМЫ</t>
  </si>
  <si>
    <t>Бурение скважины на воду</t>
  </si>
  <si>
    <t>Монтаж кессона для скважины</t>
  </si>
  <si>
    <t>Цемент М500</t>
  </si>
  <si>
    <t>Песок карьерный с доставкой</t>
  </si>
  <si>
    <t>ОТОПЛЕНИЕ, ВОДОСНАБЖЕНИЕ, КАНАЛИЗАЦИЯ, ЭЛЕКТРИКА</t>
  </si>
  <si>
    <t>Отопление, водоснабжение, канализация (Вариант - ЭКОНОМ)</t>
  </si>
  <si>
    <t>Газовый двухконтурный котел</t>
  </si>
  <si>
    <t>Дымоход коаксиальный</t>
  </si>
  <si>
    <t>Контур ГВС в котельной</t>
  </si>
  <si>
    <t>Узел ввода воды</t>
  </si>
  <si>
    <t>Подготовка для водоочистки</t>
  </si>
  <si>
    <t>Группа безопасности</t>
  </si>
  <si>
    <t>Узел подпитки</t>
  </si>
  <si>
    <t>Узел подключения к системе отопления</t>
  </si>
  <si>
    <t>Система отопления открытая, двухтрубная полипропилен</t>
  </si>
  <si>
    <t>Радиаторы стальные панельные, подключение боковое</t>
  </si>
  <si>
    <t>Точек водопотребления</t>
  </si>
  <si>
    <t>Точек канализации</t>
  </si>
  <si>
    <t>Комплект вспомогательных материалов</t>
  </si>
  <si>
    <t>Отопление, водоснабжение, канализация (Вариант - СТАНДАРТ)</t>
  </si>
  <si>
    <t>Газовый одноконтурный котел настенный</t>
  </si>
  <si>
    <t>Точек рециркуляции</t>
  </si>
  <si>
    <t>Узел подключения к теплому полу</t>
  </si>
  <si>
    <t>Узел рециркуляции</t>
  </si>
  <si>
    <t>Радиаторы стальные панельные, подключение нижнее</t>
  </si>
  <si>
    <t>Теплый пол в санузлах</t>
  </si>
  <si>
    <t>Трубы теплого пола и радиаторного отопления из сшитого полиэтилена PEX-A</t>
  </si>
  <si>
    <t>Трассировка коллекторная в утеплителе</t>
  </si>
  <si>
    <t>Отопление, водоснабжение, канализация (Вариант - ПРЕМИУМ)</t>
  </si>
  <si>
    <t>Система антипротечки</t>
  </si>
  <si>
    <t>Греющий кабель</t>
  </si>
  <si>
    <t>Стабилизатор напряжения</t>
  </si>
  <si>
    <t>Теплый пол во влажных помещениях</t>
  </si>
  <si>
    <t>Удаленное управление отоплением</t>
  </si>
  <si>
    <t>Электрика (Вариант - ЭКОНОМ)</t>
  </si>
  <si>
    <t>Кабель ВВгНг-Ls (ГОСТ)</t>
  </si>
  <si>
    <t>Заземление модульно-штыревое</t>
  </si>
  <si>
    <t>Щит Schneider Electric с автоматикой IEK</t>
  </si>
  <si>
    <t>Количество электрических точек</t>
  </si>
  <si>
    <t>Электрика (Вариант - СТАНДАРТ)</t>
  </si>
  <si>
    <t>Щит Schneider Electric с автоматикой IEK либо EKF</t>
  </si>
  <si>
    <t>Слаботочные выводы</t>
  </si>
  <si>
    <t>Резервирование электричества</t>
  </si>
  <si>
    <t>Мастер-ключ</t>
  </si>
  <si>
    <t>Электрика (Вариант - ПРЕМИУМ)</t>
  </si>
  <si>
    <t>Щит Schneider Electric с автоматикой Legrand</t>
  </si>
  <si>
    <t>Резервирование электричества + вывод генератора</t>
  </si>
  <si>
    <t>ДОСТАВКА</t>
  </si>
  <si>
    <t>Доставки и найм техники</t>
  </si>
  <si>
    <t>Доставка песка</t>
  </si>
  <si>
    <t>Доставка бетона</t>
  </si>
  <si>
    <t>Доставка строительного раствора</t>
  </si>
  <si>
    <t>Аренда экскаватора</t>
  </si>
  <si>
    <t>смена</t>
  </si>
  <si>
    <t>Аренда бетононасоса</t>
  </si>
  <si>
    <t>Аренда автокрана (на разгрузку)</t>
  </si>
  <si>
    <t xml:space="preserve">Доставка арматуры </t>
  </si>
  <si>
    <t>рейс</t>
  </si>
  <si>
    <t>Доставка пиломатериалов</t>
  </si>
  <si>
    <t>Доставка комбинированная</t>
  </si>
  <si>
    <t>Доставка газосиликатных блоков</t>
  </si>
  <si>
    <t>Доставка фасадных материалов</t>
  </si>
  <si>
    <t>Доставка облицовочного кирпича</t>
  </si>
  <si>
    <t>Доставка строительных смесей</t>
  </si>
  <si>
    <t>Доставка пенополистирола</t>
  </si>
  <si>
    <t>Доставка минваты</t>
  </si>
  <si>
    <t>Доставка термопанелей</t>
  </si>
  <si>
    <t>Доставка дренажной системы</t>
  </si>
  <si>
    <t>Доставка кровельных материалов</t>
  </si>
  <si>
    <t>Доставка софитов и водосточной системы</t>
  </si>
  <si>
    <t>Доставка вспомогательных систем</t>
  </si>
  <si>
    <t>ВСЕГО ПО ВСЕЙ СМЕТЕ</t>
  </si>
  <si>
    <t>ОБЩИЙ ИТОГ ПО ВСЕЙ СМЕТЕ</t>
  </si>
  <si>
    <t>Примечание 1:</t>
  </si>
  <si>
    <t>Примечание 2:</t>
  </si>
  <si>
    <t>Расценки на работы, представленные в смете тщательно просчитаны и их изменение возможно только при изменении проекта или видов работ.</t>
  </si>
  <si>
    <t>Примечание 3:</t>
  </si>
  <si>
    <t>НАЧАЛО РАБОТ:</t>
  </si>
  <si>
    <t>ОКОНЧАНИЕ РАБОТ:</t>
  </si>
  <si>
    <t>О П Ц И И    С М Е Т Ы</t>
  </si>
  <si>
    <t>О ПРИВАТ-СТРОЙ</t>
  </si>
  <si>
    <t>Снимая / устанавливая  галочки  напротив видов работ, 
Вы можете понять как они влияют на общую стоимость и принять  решение  о  необходимости выполнения тех,
 или иных видов работ на первом этапе строительства</t>
  </si>
  <si>
    <t>СТЕНЫ И ПЕРЕКРЫТИЯ</t>
  </si>
  <si>
    <t>Монтаж легких внутренних перегородок</t>
  </si>
  <si>
    <t>Утепление внешних стен</t>
  </si>
  <si>
    <t>Отделка фасада (облиц. кирпич, штукатурка, ДПК, декоративный камень)</t>
  </si>
  <si>
    <t>Монтаж пароизоляции и утеплителя кровли 200 мм</t>
  </si>
  <si>
    <t>Установка системы снегозадержания</t>
  </si>
  <si>
    <t>Подшив свесов кровли (карниза и лобовой доски)</t>
  </si>
  <si>
    <t>Монтаж перекрытия чердачного с черновым покрытием пола</t>
  </si>
  <si>
    <t>Монтаж пароизоляции и утеплителя в перекрытия 200мм</t>
  </si>
  <si>
    <t>Кладка вентиляционных труб, дымоходов и газоходов</t>
  </si>
  <si>
    <t>Монтаж монолитной межэтажной лестницы с площадкой</t>
  </si>
  <si>
    <t>Утепление и отделка цоколя</t>
  </si>
  <si>
    <t>Устройство черновой отмостки (ширина 0,9 м)</t>
  </si>
  <si>
    <t>Организация ливневой системы с дождеприемниками</t>
  </si>
  <si>
    <t>Организация дренажной системы</t>
  </si>
  <si>
    <t>Устройство стяжки пола первого этажа</t>
  </si>
  <si>
    <t>Устройство стяжки пола второго этажа</t>
  </si>
  <si>
    <t>Грунтовка стен перед штукатуркой</t>
  </si>
  <si>
    <t>Штукатурка стен внутри по маякам первый этаж</t>
  </si>
  <si>
    <t>Штукатурка стен внутри по маякам мансардный этаж</t>
  </si>
  <si>
    <t>Монтаж очистного сооружения на 4-5 человек</t>
  </si>
  <si>
    <t>Отопление, водоснабжение, канализация</t>
  </si>
  <si>
    <t>Электрика</t>
  </si>
  <si>
    <t>ВАШИ ВОПРОСЫ К СТРОИТЕЛЬНОЙ КОМПАНИИ ПРИВАТ-СТРОЙ, И НАШИ ОТВЕТЫ</t>
  </si>
  <si>
    <t xml:space="preserve">Получить более развёрнутые ответы на многочисленные вопросы Вы можете по адресу:
Сигнальный проезд, 39 (бизнес-центр), под. 2, офис 203. 5 минут пешком от м. Владыкино.
Мы понимаем Вашу занятость, поэтому встретимся с Вами в удобное для Вас время, включая выходные и праздничные дни.
</t>
  </si>
  <si>
    <t>Тел.: +7 (495) 721 03 66.       http://www.private-stroy.ru/</t>
  </si>
  <si>
    <t>ДАННЫЕ О КОМПАНИИ</t>
  </si>
  <si>
    <t>1.1</t>
  </si>
  <si>
    <t>Каков опыт работы компании? С какого года на рынке, сколько домов строит в год, сколько построила в прошлом году, дома какой ценовой категории строит, строит только из кирпича или из остальных материалов тоже, сколько СВОИХ строительных бригад?</t>
  </si>
  <si>
    <t>Наша компания работает с 1998 года. За время работы сдано более 360 объектов. В год ведем порядка 12-20 полноценных объектов. Несмотря на то, что ценовая категория ниже среднего, нас отличает высокое качество производимых работ. Строим, как из кирпича, так и из газосиликтных и керамических блоков, оцилиндрованного бревна, клееного бруса, SIP-панелей и других материалов. У нас 12 постоянных бригад.</t>
  </si>
  <si>
    <t>1.2</t>
  </si>
  <si>
    <t>Сколько постоянных сотрудников компании имеют высшее образование по специальности промышленное и гражданское строительство?</t>
  </si>
  <si>
    <t>Сотрудники ИТР (5 человек) имеют высшее строительное образование.</t>
  </si>
  <si>
    <t>1.3</t>
  </si>
  <si>
    <t>Можно ли посетить готовые и строящиеся объекты, можете ли дать контакты ваших заказчиков для рекомендаций?</t>
  </si>
  <si>
    <t>Да, по предварительной договоренности Вы можете посетить объекты, на которых на данный момент мы производим работы. Посмотреть уже сданные объекты сложнее, поскольку приходится договариваться с владельцами домов. Постоянные экскурсии наших потенциальных клиентов могут доставлять неудобства. Поэтому мы делаем это только в исключительных случаях. Надеюсь, что Вы это понимаете.</t>
  </si>
  <si>
    <t>1.4</t>
  </si>
  <si>
    <t>Как осуществляется контроль за строительством, можно ли установить камеру, можно ли привлечь своего независимого эксперта?</t>
  </si>
  <si>
    <t>Мы самостоятельно осуществляем контроль строительства. Если есть желание установить камеру, то мы возражать не будем. Для наших клиентов мы предоставляем регулярно обновляемый онлайн фотоотчет о проводимых работах. Также Вы можете назначить ответственное лицо, или привлечь технадзор. Нам очень комфортно работать с техническим надзором. Это позволяет быстро согласовывать все вопросы по ходу ведения строительных работ.</t>
  </si>
  <si>
    <t>1.5</t>
  </si>
  <si>
    <t>Можете ли построить «под ключ», «под отделку», только фундамент, коробку с крышей? Ориентировочные сроки таких этапов?</t>
  </si>
  <si>
    <t>Мы выполняем все виды строительных и отделочных работ. Естественно разбивая их на наружные и внутренние или удобные Вам этапы. Сроки по каждому из этапов оцениваются индивидуально. Некоторые клиенты разбивают строительство на этапы согласно финансовым возможностям, а не технологическим срокам. Это мы учитываем при производстве работ.</t>
  </si>
  <si>
    <t>1.6</t>
  </si>
  <si>
    <t>Все ли этапы строительства выполняются бригадами вашей компании? Если нет, то на каких этапах привлекаются субподрядчики и кто они?</t>
  </si>
  <si>
    <t>Если какие-либо этапы работ требуют узкоспециализированной квалификации, и мы посчитаем, что данные работы лучше передать специализированным организациям, то мы самостоятельно можем привлечь наших партнеров или сторонние организации на выполнение этих работ. При этом Вы все равно будете работать только с одной организацией, а мы сами поставим задачи и проконтролируем выполнение работ, а также  осуществим приемку.</t>
  </si>
  <si>
    <t>1.7</t>
  </si>
  <si>
    <t>Обеспечиваем ли мы проживание и быт рабочих?</t>
  </si>
  <si>
    <t>Да, обеспечиваем. Условия организации строительной площадки и проживания оговариваются индивидуально. При этом заказчик может взять эту функцию на себя. Стоимость данной услуги отражена в смете в виде опции.</t>
  </si>
  <si>
    <t>1.8</t>
  </si>
  <si>
    <t>Какой национальности ваши рабочие?</t>
  </si>
  <si>
    <t>У нас работают специалисты не только славянских национальностей. В среднем наши бригады работают с нами по 10 лет. Самая опытная бригада работает 18 лет. Мы выполняем перед ними свои обязательства, они обеспечивают порядок и качество работ.</t>
  </si>
  <si>
    <t>ПРОЕКТ</t>
  </si>
  <si>
    <t>2.1</t>
  </si>
  <si>
    <t>Есть ли в компании архитекторы, которые могут сделать индивидуальный проект?</t>
  </si>
  <si>
    <t>Да, мы предлагаем услуги архитекторов. При условии заключения договора на первый этап строительства (коробка) проектирование для Вас будет бесплатным.</t>
  </si>
  <si>
    <t>2.2</t>
  </si>
  <si>
    <t>Сможете ли представить расчёт нагрузки на фундамент?</t>
  </si>
  <si>
    <t>Да. По запросу мы можем предоставить расчеты на типовые фундаменты. Если Вам нужен будет индивидуальный расчет по Вашему проекту, то такой расчет может быть сделан за дополнительную плату.</t>
  </si>
  <si>
    <t>2.3</t>
  </si>
  <si>
    <t>Какие чертежи входят в эскизный и рабочий проекты? Можете ли прислать образцы всё равно какого объекта?</t>
  </si>
  <si>
    <t>Обычно, проекты мы не высылаем. Ознакомиться с типовыми проектами и их содержанием можно у нас в офисе. Но если это совсем уж принципиально, можем пойти Вам на встречу.</t>
  </si>
  <si>
    <t>2.4</t>
  </si>
  <si>
    <t>Какова стоимость индивидуального проекта? Компенсируется ли эта стоимость в конечной стоимости строительства при заказе строительства у вашей компании?</t>
  </si>
  <si>
    <t>Архитектурный проект 350 рублей за м.кв. проектируемой площади. При заключении договора на строительство, всё что было оплачено за проектные работы пойдет в счёт оплаты по договору строительства. Т.е. индивидуальное проектирование для Вас будет бесплатным. Индивидуальные особенности своего проекта Вы согласовываете напрямую с архитектором. Вы можете предоставить свой собственный набросок или понравившийся проект с любого сайта или носителя.</t>
  </si>
  <si>
    <t>2.5</t>
  </si>
  <si>
    <t>Необходимо ли предоставить исследование грунта для проектирования фундамента?</t>
  </si>
  <si>
    <t>Все будет зависеть от выбранного типа фундамента. Предлагаемый нами фундамент не требует таких исследований, т.к. уже просчитан для всех видов грунта Московской области. В остальных случаях это может быть необходимым условием. Здесь нельзя дать однозначного ответа.</t>
  </si>
  <si>
    <t>2.6</t>
  </si>
  <si>
    <t>Можете ли прислать альбом ваших стандартных узлов (или просто вразбивку)?</t>
  </si>
  <si>
    <t>Обычно, такие чертежи мы предоставляем в офисе.</t>
  </si>
  <si>
    <t>2.7</t>
  </si>
  <si>
    <t>Можете ли рассчитать  точку росы, показывающую условия увлажнения и промерзания по толщине стены?</t>
  </si>
  <si>
    <t>Для различных материалов стен мы демонстрируем этот важнейший показатель, влияющий на несущую способность стен в течение многих десятилетий.</t>
  </si>
  <si>
    <t>3.1</t>
  </si>
  <si>
    <t>Какой тип фундамента ваша компания делает обычно для кирпичных домов?</t>
  </si>
  <si>
    <t>Обычно мы предлагаем армированную монолитную ребристую плиту-основание с ребрами жесткости, направленными вниз. Высота плиты над уровнем земли 60 см (по проекту высота может быть любой).  Она является основанием черного пола первого этажа. Такой тип фундамента имеет большой запас прочности при весьма невысокой стоимости. Данный тип фундамента применяется практически для всех каменных домов, которые мы строим. И прекрасно себя зарекомендовал. Поэтому для всех проектов именно этот тип фундамента предлагается по умолчанию.</t>
  </si>
  <si>
    <t>3.2</t>
  </si>
  <si>
    <t>Каковы его стандартные размеры (есть ли стандартные узлы - чертежи)?</t>
  </si>
  <si>
    <t>Да, есть. Готовы предоставить все данные (чертежи, расчеты, фотографии и т.п.) у нас в офисе.</t>
  </si>
  <si>
    <t>3.3</t>
  </si>
  <si>
    <t>Какой бетон применяется, какая арматура?</t>
  </si>
  <si>
    <t>Как правило, для изготовления фундаментов используем Бетон М300 (Б22,5) на гравии или граните. Толщина арматуры зависит от выбранного типа фундамента и прочих факторов. В фундаменте, как правило, задействована арматура разных диаметров. Поскольку функции у арматуры разные в разных местах. Кроме того, довольно часто применяем добавки к бетону, которые позволяют достичь различных эффектов необходимых для разного рода условий эксплуатации.</t>
  </si>
  <si>
    <t>3.4</t>
  </si>
  <si>
    <t>Занимается ли ваша компания возведением фундаментов зимой?</t>
  </si>
  <si>
    <t>Да, такие работы мы выполняем, если есть возможность и необходимость выполнения работ в зимних условиях. При этом мы подогреваем бетон и применяем зимние противоморозные добавки.</t>
  </si>
  <si>
    <t>3.5</t>
  </si>
  <si>
    <t>Как осуществляется гидроизоляция?</t>
  </si>
  <si>
    <t>Здесь нельзя дать однозначного ответа, поскольку каждый фундамент требует индивидуального подхода. Поэтому основные принципы, способы гидроизоляции и используемые для этого материалы, подбираются индивидуально.</t>
  </si>
  <si>
    <t>4.1</t>
  </si>
  <si>
    <t>Какой толщины обычно возводите наружные, внутренние несущие стены из кирпича, газоблоков?</t>
  </si>
  <si>
    <t xml:space="preserve">На сегодняшний день самыми популярными сочетаниями по внешним стенам являются:
1. Газосиликатный блок 300 мм, утепление ППС 100 мм, вент. зазор 40 мм, обкладка в пол кирпича 120 мм.
2. Кирпичная кладка 250/380 мм, утепление ППС 100 мм, вент. зазор 40 мм, обкладка в пол кирпича 120 мм.
3. Керамзитобетонный блок 190 мм, утепление ППС 100мм, вент зазор 40 мм, обкладка в пол кирпича 120 мм.
</t>
  </si>
  <si>
    <t>4.2</t>
  </si>
  <si>
    <t>Выполняются ли монолитные армированные пояса под перекрытия?</t>
  </si>
  <si>
    <t>Если перекрытия сборные железобетонные, то выполняются, если же монолитные перекрытия, то такой необходимости нет, т.к. плита сама является элементом, связующим и равномерно распределяющим нагрузку.</t>
  </si>
  <si>
    <t>4.3</t>
  </si>
  <si>
    <t>Используете ли утеплитель и какой?</t>
  </si>
  <si>
    <t>В несущих стенах используем ППС (пенополистирол ПСБ-С 15) или ЭППС (экструдированный пенополистирол) поскольку эти материалы не гигроскопичны и позволяют не только сохранить тепло, но и защитить несущие стены от разрушения. Подробнее можем все объяснить в офисе при личной встрече.И, как альтернатива, базальтовые плиты (минеральная вата).</t>
  </si>
  <si>
    <t>СТРОПИЛЬНАЯ СИСТЕМА И КРОВЛЯ</t>
  </si>
  <si>
    <t>5.1</t>
  </si>
  <si>
    <t>Как осуществляется вентиляция кровли?</t>
  </si>
  <si>
    <t>Под каждый тип кровли делается свой кровельный пирог. Естественно организуется вент. зазор для вентиляции подкровельного пространства (а именно утеплителя).</t>
  </si>
  <si>
    <t>5.2</t>
  </si>
  <si>
    <t>Производится ли расчёт нагрузки?</t>
  </si>
  <si>
    <t>Да, производится.</t>
  </si>
  <si>
    <t>5.3</t>
  </si>
  <si>
    <t>Какие водосточные системы используются?</t>
  </si>
  <si>
    <t>Любые. Выбор делает заказчик, мы лишь даем информацию по той или иной системе и даем свои рекомендации. Все водосточные системы допущены к применению, поэтому все будет зависеть от Ваших предпочтений.</t>
  </si>
  <si>
    <t>5.4</t>
  </si>
  <si>
    <t>Какому кровельному материалу отдать предпочтение?</t>
  </si>
  <si>
    <t>У каждого материала есть свои преимущества и недостатки. У нас в офисе мы рассказываем об этом. В расчетах мы предлагаем три основных вида кровли: металлочерепицу, гибкую черепицу (мягкую кровлю) и цементно-песчаную черепицу. Конечный же выбор остается за Вами!</t>
  </si>
  <si>
    <t>ИНЖЕНЕРНЫЕ СИСТЕМЫ</t>
  </si>
  <si>
    <t>6.1</t>
  </si>
  <si>
    <t>Какова стоимость и сроки проектирования инженерных систем?</t>
  </si>
  <si>
    <t>В зависимости от сложности, от 2 недель и более.</t>
  </si>
  <si>
    <t>6.2</t>
  </si>
  <si>
    <t>Выполняете ли Вы своими силами все работы по устройству отопления, холодного и горячего водоснабжения (ХВС и ГВС), септика?</t>
  </si>
  <si>
    <t>Да, выполняем</t>
  </si>
  <si>
    <t>6.3</t>
  </si>
  <si>
    <t>Как осуществляется разводка труб отопления, ГВС и ХВС?</t>
  </si>
  <si>
    <t>Все будет зависеть от оборудования и способов отопления, и Ваших предпочтений.</t>
  </si>
  <si>
    <t>6.4</t>
  </si>
  <si>
    <t>Выполняете ли Вы гарантийное и постгарантийное обслуживание инженерных систем?</t>
  </si>
  <si>
    <t>Разные системы требуют разного обслуживания. Довольно часто после монтажа имеет смысл заключить договор и встать на сервисное обслуживание, как гарантийное, так и постгарантийное.</t>
  </si>
  <si>
    <t>ОТДЕЛКА</t>
  </si>
  <si>
    <t>7.1</t>
  </si>
  <si>
    <t>Какие двери и окна, каких производителей обычно устанавливаете?</t>
  </si>
  <si>
    <t xml:space="preserve">Двери и окна относятся к элементам отделки и дизайна. Поэтому Вы выбираете их самостоятельно. Мы же можем предложить Вам решения от наших партнеров производителей (например, окна REHAU, или деревянные окна, и т.п.). Так же как облицовочный кирпич, вид и модель кровельного материала, и многое другое… мы не можем за Вас принять решение. Выбор остается за Вами. Мы можем только дать свои рекомендации. </t>
  </si>
  <si>
    <t>7.2</t>
  </si>
  <si>
    <t>Какую внешнюю отделку для домов из кирпича рекомендуете своим заказчикам? Для домов из газобетона?</t>
  </si>
  <si>
    <t>Классические решения: Облицовочный кирпич, штукатурка и их сочетание. Однако готовы обсудить и реализовать другие способы отделки фасадов.</t>
  </si>
  <si>
    <t>7.3</t>
  </si>
  <si>
    <t>Привлекаются ли субподрядчики для выполнения отделки?</t>
  </si>
  <si>
    <t>Практически нет. В основном внутреннюю и наружную отделку выполняем своими силами.</t>
  </si>
  <si>
    <t>7.4</t>
  </si>
  <si>
    <t>Варианты подшивки потолков, свесов.</t>
  </si>
  <si>
    <t>Софиты (пластик, алюминий), дерево или любые нестандартные решения - все очень индивидуально.</t>
  </si>
  <si>
    <t>7.5</t>
  </si>
  <si>
    <t>Что используете для полов?</t>
  </si>
  <si>
    <t>Все обсуждается в зависимости от условий, типа полов, Ваших предпочтений и множества других факторов.</t>
  </si>
  <si>
    <t>ДОГОВОР</t>
  </si>
  <si>
    <t>8.1</t>
  </si>
  <si>
    <t>Смета включает все, без исключения, затраты (материалы, работы, доставку, быт рабочих, опалубки, леса, вспомогательные материалы и инструмент, и пр.). Есть ли расходы заказчика сверх сметы и какие?</t>
  </si>
  <si>
    <t>Основное отличие нашей компании заключается в том, что мы стараемся максимально полно сделать расчет и учесть все нюансы строительства. Поэтому наше предложение в корне отличается от предложений других компаний, которые заинтересовывают низкой ценой, а потом появляются дополнительные соглашения и прочие сюрпризы. Недавно один наш партнёр пожаловался, что когда начинал строительство, стоимость по договору была 4,5 млн. руб.. Когда закончил, цифра выросла до 5,3 млн.руб за тот же перечень и объем работ.</t>
  </si>
  <si>
    <t>8.2</t>
  </si>
  <si>
    <t>В смете указаны полные наименования (маркировка, артикул), размеры всех используемых материалов?</t>
  </si>
  <si>
    <t>В смете указана достаточная детализация по основным строительным материалам.</t>
  </si>
  <si>
    <t>8.3</t>
  </si>
  <si>
    <t>Сможете в качестве примера прислать смету любого, построенного Вашей компанией дома из Ваших стандартных проектов «под ключ» (около 250 м2, среднего ценового уровня отделки)? Должно быть всё: фундамент с отмосткой, коробка (с внутренними перегородками), стропильная система, крыша, перекрытия, чистовые полы, потолки, двери, окна, утепление и шумоизоляция, вентиляционная система, внешняя отделка, всякие там лобовые доски и подшивы кровли, скрытая проводка электрики, отопления, водоснабжения и канализации, водосточная система и т. д. и т. п. Я понимаю, что отделку заказывают отдельно, но, наверняка, есть варианты реализованных проектов.</t>
  </si>
  <si>
    <t>Предварительный расчет будет Вам выслан в виде сметы, которая в последствии станет приложением к договору строительства в том виде, в котором она будет Вам выслана.</t>
  </si>
  <si>
    <t>8.4</t>
  </si>
  <si>
    <t>Вы готовы к тому, что мы сами закупим материалы, которые найдем дешевле, чем указано в смете?</t>
  </si>
  <si>
    <t xml:space="preserve">Да, мы не против закупки Вами строительных материалов, если Вы возьмете на себя весь комплекс организационных работ, начиная от оплаты, и, заканчивая доставкой, приемкой данных материалов и претензионной работой с поставщиком. Если закупку осуществляем мы, то и ответственность несем мы, если, Вы, то и ответственность за комплектность, количество и качество материала, сроки поставки тоже на Вас.
Кроме того, хотелось бы, что бы доставка этих материалов осуществлялась в соответствии с нашим требованием по срокам и объемам.
</t>
  </si>
  <si>
    <t>8.5</t>
  </si>
  <si>
    <t>Гарантирована ли в договоре неизменная стоимость по смете?</t>
  </si>
  <si>
    <t>Если стоимость материалов не изменится более чем на 5%, то да. Стоимость работ на этапе заключения договора фиксируется.</t>
  </si>
  <si>
    <t>8.6</t>
  </si>
  <si>
    <t>Можете прислать текст стандартного договора?</t>
  </si>
  <si>
    <t>Да, мы готовы выслать Вам копию Договора.</t>
  </si>
  <si>
    <t>8.7</t>
  </si>
  <si>
    <t>От имени какого юридического лица будет заключён Договор? Дата создания  юридического лица.</t>
  </si>
  <si>
    <t>Договор будет с компанией ООО «Приват-Строй», дата регистрации 28 февраля 2010 года.</t>
  </si>
  <si>
    <t>8.8</t>
  </si>
  <si>
    <t>Каков срок гарантии на построенные дома? Что входит в гарантийное обслуживание и есть ли сервисное обслуживание? Как это отражено в Договоре?</t>
  </si>
  <si>
    <t>Гарантийные условия разные в зависимости от способов проведения тех или иных работ. От 1 года до 5 лет. По сервисному обслуживанию ответ был дан ранее.</t>
  </si>
  <si>
    <t>8.9</t>
  </si>
  <si>
    <t>Соблюдаются ли при проектировании и строительстве строительные нормы (ГОСТы, СНИПы)? Отражено ли это в договоре?</t>
  </si>
  <si>
    <t>Да, обязательно. Это отражено в Договоре.</t>
  </si>
  <si>
    <t>8.10</t>
  </si>
  <si>
    <t>Заложена ли в систему оплаты мотивация для Вашей компании сделать работу высококачественно? Например, оплата работ (или части работ) по факту их исполнения, при приёмке этапа (при авансировании стоимости материалов)?</t>
  </si>
  <si>
    <t>Оплата осуществляется с согласованным графиком оплаты материалов и этапов работ, которые являются приложениями к Договору.</t>
  </si>
  <si>
    <t>8.11</t>
  </si>
  <si>
    <t>Предусмотрены ли в Договоре штрафные санкции (за качество, нарушение сроков, отступление от проекта, превышение сметы и т.д.)? Если да, то зеркальные ли они для Заказчика и Исполнителя?</t>
  </si>
  <si>
    <t>Да, предусмотрены. Смотрите образец Договора.</t>
  </si>
  <si>
    <t>8.12</t>
  </si>
  <si>
    <t>Предусмотрена ли замена бригады (бригадира, прораба) при определении её (их) некомпетентности?</t>
  </si>
  <si>
    <t>У нас все бригады прошли серьезный отбор, поэтому в их квалификации мы не сомневаемся. Но мы всегда готовы прислушаться к Вашему мнению и учесть Ваши пожелания.</t>
  </si>
  <si>
    <t>8.13</t>
  </si>
  <si>
    <t>Каков алгоритм оплаты по этапам?</t>
  </si>
  <si>
    <t>В соответствии с графиками оплат и этапов выполнения работ.</t>
  </si>
  <si>
    <t>8.14</t>
  </si>
  <si>
    <t>Какие формы оплаты возможны (нал, безнал)?</t>
  </si>
  <si>
    <t>Как нал, так и безнал.</t>
  </si>
  <si>
    <t>8.15</t>
  </si>
  <si>
    <t>Готовы ли Вы включить в Договор то, что обещаете в ответах на мои вопросы?</t>
  </si>
  <si>
    <t xml:space="preserve">У нас стандартный договор, который устраивает практически всех наших заказчиков, и который не менялся уже более 10 лет. Перегружать его излишне смысла большого нет. Но иногда мы вносим изменения или дополнения по индивидуальным требованиям заказчика. </t>
  </si>
  <si>
    <t xml:space="preserve">Получить полные ответы на многочисленные вопросы Вы можете по адресу: 
Сигнальный проезд, 39 (бизнес-центр), под. 2, офис 203. 5 минут пешком от м. Владыкино. 
Тел.: +7 (495) 721 03 66.       http://www.private-stroy.ru/
</t>
  </si>
  <si>
    <t>v8.649ᵦ</t>
  </si>
  <si>
    <t>Материалы прочие и расходники к инструменту - 15% от Стоимости Работ</t>
  </si>
  <si>
    <t>Накладные расходы (при удалённости до 20 км от МКАД)</t>
  </si>
  <si>
    <t>ИТОГО ПО РАЗДЕЛУ - ПОДГОТОВИТЕЛЬНЫЕ РАБОТЫ</t>
  </si>
  <si>
    <t>Устройство монолитной ребристой фундаментной плиты (60 см над землей)</t>
  </si>
  <si>
    <t>Арматура 16 мм</t>
  </si>
  <si>
    <t>ИТОГО ПО РАЗДЕЛУ - ФУНДАМЕНТ</t>
  </si>
  <si>
    <t>Кладка внешних несущих стен: газосиликатный блок 300 мм</t>
  </si>
  <si>
    <t>Блок газосиликатный D600 600x300x200</t>
  </si>
  <si>
    <t>Устройство монолитных ж/б перемычек внешних несущих стен 200x300 мм</t>
  </si>
  <si>
    <t>Кладка внутренних несущих перегородок: газосиликатный блок 300 мм</t>
  </si>
  <si>
    <t>Устройство ж/б перемычек в несущих перегородках 200x300 мм</t>
  </si>
  <si>
    <t>Кладка перегородок: газосиликатный блок 100 мм</t>
  </si>
  <si>
    <t>Блок газосиликатный D500 600x100x200</t>
  </si>
  <si>
    <t>Устройство ж/б перемычек в перегородках 100 мм</t>
  </si>
  <si>
    <t>Устройство монолитных перекрытий 160 мм</t>
  </si>
  <si>
    <t>Черновая кладка столбов 380х380 мм с армированием и бетонированием</t>
  </si>
  <si>
    <t>Облицовочный кирпич 250x120x65 соломенный/персиковый (ЖКЗ)</t>
  </si>
  <si>
    <t>ИТОГО ПО РАЗДЕЛУ - СТЕНЫ И ПЕРЕКРЫТИЯ ИЗ КИРПИЧА И БЛОКОВ</t>
  </si>
  <si>
    <t>Металлочерепица Grand Line Classic PE 0,45 RAL 8017</t>
  </si>
  <si>
    <t>Металлочерепица Grand Line Classic Satin 0,5 RAL 8017</t>
  </si>
  <si>
    <t>Металлочерепица Grand Line Velur 0,5 RAL 8017</t>
  </si>
  <si>
    <t>Фронтонная планка 95х120 PE 0,5 (2 м) RAL 8017</t>
  </si>
  <si>
    <t>Карнизная планка 100х65 PE 0,5 (2 м) RAL 8017</t>
  </si>
  <si>
    <t>Конек полукруглый/плоский PE 0,5 (2 м) RAL 8017</t>
  </si>
  <si>
    <t>Ендовая (верхняя и нижняя) PE 0,5 (2 м) RAL 8017</t>
  </si>
  <si>
    <t>Планка примыкания 90х140 PE 0,5 (2 м) RAL 8017</t>
  </si>
  <si>
    <t>Fakro Мансардное окно FTP-V U3 55х78 см</t>
  </si>
  <si>
    <t>FarAcs сталь PREMIUM 125/90 Желоб полукруглый, 3 м RAL 8017</t>
  </si>
  <si>
    <t>FarAcs сталь PREMIUM 125/90 Труба водосточная круглая, 3 м RAL 8017</t>
  </si>
  <si>
    <t>FarAcs сталь PREMIUM 125/90 Труба водосточная круглая, 1 м RAL 8017</t>
  </si>
  <si>
    <t>FarAcs сталь PREMIUM 125/90 Соединитель желоба RAL 8017</t>
  </si>
  <si>
    <t>FarAcs сталь PREMIUM 125/90 Кронштейн трубы на кирпич/дерево RAL 8017</t>
  </si>
  <si>
    <t>FarAcs сталь PREMIUM 125/90 Воронка RAL 8017</t>
  </si>
  <si>
    <t>FarAcs сталь PREMIUM 125/90 Колено стока RAL 8017</t>
  </si>
  <si>
    <t>FarAcs сталь PREMIUM 125/90 Заглушка желоба торц.универс. RAL 8017</t>
  </si>
  <si>
    <t>FarAcs сталь PREMIUM 125/90 Колено 60 град. RAL 8017</t>
  </si>
  <si>
    <t>ИТОГО ПО РАЗДЕЛУ - КРОВЛЯ И ЧЕРДАЧНЫЕ ПЕРЕКРЫТИЯ</t>
  </si>
  <si>
    <t>Флюгарка 510х1030 (с проходным каналом)</t>
  </si>
  <si>
    <t>Флюгарка 510х510</t>
  </si>
  <si>
    <t>Флюгарка 380х510</t>
  </si>
  <si>
    <t>ИТОГО ПО РАЗДЕЛУ - ПРОЧИЕ КОНСТРУКЦИИ И РАБОТЫ</t>
  </si>
  <si>
    <t>Монтаж утеплителя ППС  толщиной 100 мм</t>
  </si>
  <si>
    <t>Облицовка фасада кирпичом лицевым 120 мм (под пруток) с анкеровкой к стене</t>
  </si>
  <si>
    <t>ИТОГО ПО РАЗДЕЛУ - ОТДЕЛКА ФАСАДА</t>
  </si>
  <si>
    <t>Материалы прочие и расходники к инструменту - 12% от Стоимости Работ</t>
  </si>
  <si>
    <t>ИТОГО ПО РАЗДЕЛУ - ВНУТРЕННЯЯ ОТДЕЛКА</t>
  </si>
  <si>
    <t>Кессон пластиковый Korsu 2 (премиум класс)</t>
  </si>
  <si>
    <t>Очистное устройство Kolo Vesi 5 (премиум класс)</t>
  </si>
  <si>
    <t>Материалы прочие и расходники к инструменту - 10% от Стоимости Работ</t>
  </si>
  <si>
    <t>ИТОГО ПО РАЗДЕЛУ - ВСПОМОГАТЕЛЬНЫЕ СИСТЕМЫ</t>
  </si>
  <si>
    <t>Бойлер косвенного нагрева 200 л.</t>
  </si>
  <si>
    <t>ИТОГО ПО РАЗДЕЛУ - ОТОПЛЕНИЕ, ВОДОСНАБЖЕНИЕ, КАНАЛИЗАЦИЯ, ЭЛЕКТРИКА</t>
  </si>
  <si>
    <t>ИТОГО ПО РАЗДЕЛУ - ДОСТАВКА</t>
  </si>
  <si>
    <t>В смете заложена прогнозируемая стоимость материалов на октябрь месяц.</t>
  </si>
  <si>
    <t>В офисе компании наши специалисты готовы ответить на все Ваши вопросы и обосновать сделанные расчеты. Записаться на встречу можно в любое удобное для Вас время (включая выходные и праздничные дни) по телефону +7(495) 721-0366.</t>
  </si>
  <si>
    <t>Иванов Иван</t>
  </si>
  <si>
    <t>МО, Апрелевка</t>
  </si>
  <si>
    <t>+77777777777, 7777777@mail.ru</t>
  </si>
  <si>
    <t>на первый этап строительства по проекту Д-170ПБ</t>
  </si>
  <si>
    <t>Смету составил:  Михаил Челноков</t>
  </si>
  <si>
    <t>ЧТОБЫ ПОЛНОСТЬЮ ОТКРЫТЬ ПОДРОБНУЮ СМЕТУ СВЯЖИТЕСЬ С НАШИМИ СПЕЦИАЛИСТАМИ!</t>
  </si>
  <si>
    <t>Жилая площадь 74,8 м²</t>
  </si>
  <si>
    <t>Строительная площадь по осям 191,15 м² с учетом террас и балконов</t>
  </si>
  <si>
    <t>Высота первого этажа 2,7 м от чистого пола до потолка</t>
  </si>
  <si>
    <t>Высота второго этажа 2,7 м от чистого пола до потолка</t>
  </si>
  <si>
    <t>Высота приподнятой части мансардного этажа 1,2 м</t>
  </si>
  <si>
    <t>ТИП ФУНДАМЕНТА   -   МОНОЛИТНАЯ   РЕБРИСТАЯ   ПЛИТА   ОСНОВАНИЕ   (МРП)</t>
  </si>
  <si>
    <t>Монолитная ребристая плита с ребрами жесткости вниз 135,64 м²</t>
  </si>
  <si>
    <t>Верх плиты над уровнем земли 60 см</t>
  </si>
  <si>
    <t>Толщина фундаментной плиты 20 см</t>
  </si>
  <si>
    <t>Толщина песчаной подушки 60 см</t>
  </si>
  <si>
    <t>Заглубление внешних ребер 25 см</t>
  </si>
  <si>
    <t>Армирование арматурой Ф10мм в два ряда с ячейкой 25x25 см</t>
  </si>
  <si>
    <t>Внешние стены толщиной 56 см состоят из:</t>
  </si>
  <si>
    <t>Несущая часть - Газосиликатный блок 30 см</t>
  </si>
  <si>
    <t>Утепление стены - Пенополистирол 10 см</t>
  </si>
  <si>
    <t>Воздушный зазор - 4 см</t>
  </si>
  <si>
    <t>Облицовка кирпичом + ППС - 12 см</t>
  </si>
  <si>
    <t>Внутренние несущие стены - Газосиликатный блок 30 см</t>
  </si>
  <si>
    <t>Легкие перегородки - Газосиликатный блок 10 см</t>
  </si>
  <si>
    <t>Монолитное перекрытие первого этажа 16 см. (76,73 м²)</t>
  </si>
  <si>
    <t>Кровля - Металлочерепица (191,4 м²)</t>
  </si>
  <si>
    <t>Д-170ПБ</t>
  </si>
  <si>
    <t>Дата составления сметы: 13 сентября 2023 года.</t>
  </si>
  <si>
    <t xml:space="preserve">Подходит для любых грунтов и имеет многократный запас прочности. Высота  плиты на уклонах регулируется длиной ребер жёсткости. Качество бетона контролируется лабораторией, прочность бетона увеличивается на 15% специальными добавками. Земляные работы, геотекстиль, гидроизоляция, опалубка, армирование и закладка необходимых коммуникаций включены в стоимость. </t>
  </si>
  <si>
    <t>Рекомендуем утепление внешних стен пенополистиролом, который ликвидирует мостики холода, предотвращает образование влаги (в точке росы) и разрушение стены при промерзании. Стены армируются через 3-4 ряда. Монолитные перекрытия работают как сейсмопояс, обеспечивая жесткость всей конструкции. Узнайте, соответствуют ли Ваши стены нормативам по теплу! Делаем расчеты.</t>
  </si>
  <si>
    <t>Здравствуйте, Иванов Иван!</t>
  </si>
  <si>
    <t>* Общая строительная площадь 191,15 м².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</si>
</sst>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quot;руб.&quot;;[Red]\(#,##0\ &quot;руб.&quot;\)"/>
    <numFmt numFmtId="165" formatCode="#,##0\ &quot;руб.&quot;;[Red]\-#,##0\ &quot;руб.&quot;"/>
    <numFmt numFmtId="166" formatCode="#,##0&quot;р.&quot;"/>
    <numFmt numFmtId="167" formatCode="#,##0.0"/>
    <numFmt numFmtId="169" formatCode="#,##0_ ;[Red]\-#,##0\ "/>
    <numFmt numFmtId="171" formatCode="#,##0.00_ ;[Red]\-#,##0.00\ "/>
    <numFmt numFmtId="175" formatCode="#,##0.0_ ;[Red]\-#,##0.0\ "/>
  </numFmts>
  <fonts count="92">
    <font>
      <sz val="10"/>
      <name val="Arial Narrow"/>
      <family val="2"/>
      <charset val="204"/>
    </font>
    <font>
      <sz val="10"/>
      <name val="Arial Narrow"/>
      <family val="2"/>
      <charset val="204"/>
    </font>
    <font>
      <sz val="14"/>
      <name val="Arial Narrow"/>
      <family val="2"/>
      <charset val="204"/>
    </font>
    <font>
      <b/>
      <sz val="14"/>
      <name val="Arial Narrow"/>
      <family val="2"/>
      <charset val="204"/>
    </font>
    <font>
      <sz val="12"/>
      <name val="Arial Narrow"/>
      <family val="2"/>
      <charset val="204"/>
    </font>
    <font>
      <b/>
      <sz val="12"/>
      <color rgb="FFFF0000"/>
      <name val="Arial Narrow"/>
      <family val="2"/>
      <charset val="204"/>
    </font>
    <font>
      <sz val="12"/>
      <color theme="1"/>
      <name val="Arial Narrow"/>
      <family val="2"/>
      <charset val="204"/>
    </font>
    <font>
      <b/>
      <i/>
      <sz val="12"/>
      <color rgb="FF7E5942"/>
      <name val="Arial Narrow"/>
      <family val="2"/>
      <charset val="204"/>
    </font>
    <font>
      <i/>
      <sz val="10"/>
      <color rgb="FF0000FE"/>
      <name val="Arial Narrow"/>
      <family val="2"/>
      <charset val="204"/>
    </font>
    <font>
      <b/>
      <u/>
      <sz val="11"/>
      <color theme="0"/>
      <name val="Arial Narrow"/>
      <family val="2"/>
      <charset val="204"/>
    </font>
    <font>
      <i/>
      <sz val="11"/>
      <name val="Arial Narrow"/>
      <family val="2"/>
      <charset val="204"/>
    </font>
    <font>
      <b/>
      <u/>
      <sz val="12"/>
      <color theme="0"/>
      <name val="Arial Narrow"/>
      <family val="2"/>
      <charset val="204"/>
    </font>
    <font>
      <b/>
      <sz val="11"/>
      <name val="Arial Narrow"/>
      <family val="2"/>
      <charset val="204"/>
    </font>
    <font>
      <sz val="11"/>
      <name val="Arial Narrow"/>
      <family val="2"/>
      <charset val="204"/>
    </font>
    <font>
      <u/>
      <sz val="12"/>
      <color rgb="FF0000FF"/>
      <name val="Arial Narrow"/>
      <family val="2"/>
      <charset val="204"/>
    </font>
    <font>
      <b/>
      <sz val="28"/>
      <color rgb="FF503010"/>
      <name val="Arial Narrow"/>
      <family val="2"/>
      <charset val="204"/>
    </font>
    <font>
      <i/>
      <sz val="11"/>
      <color rgb="FF008A3E"/>
      <name val="Arial Narrow"/>
      <family val="2"/>
      <charset val="204"/>
    </font>
    <font>
      <i/>
      <sz val="11"/>
      <color rgb="FF0000FF"/>
      <name val="Arial Narrow"/>
      <family val="2"/>
      <charset val="204"/>
    </font>
    <font>
      <b/>
      <sz val="18"/>
      <name val="Arial Narrow"/>
      <family val="2"/>
      <charset val="204"/>
    </font>
    <font>
      <i/>
      <sz val="11"/>
      <color indexed="10"/>
      <name val="Arial Narrow"/>
      <family val="2"/>
      <charset val="204"/>
    </font>
    <font>
      <b/>
      <sz val="18"/>
      <color rgb="FFFF0000"/>
      <name val="Arial Narrow"/>
      <family val="2"/>
      <charset val="204"/>
    </font>
    <font>
      <sz val="22"/>
      <name val="Arial Narrow"/>
      <family val="2"/>
      <charset val="204"/>
    </font>
    <font>
      <b/>
      <sz val="20"/>
      <name val="Arial Narrow"/>
      <family val="2"/>
      <charset val="204"/>
    </font>
    <font>
      <b/>
      <sz val="22"/>
      <color theme="0"/>
      <name val="Arial Narrow"/>
      <family val="2"/>
      <charset val="204"/>
    </font>
    <font>
      <b/>
      <sz val="18"/>
      <color rgb="FF503010"/>
      <name val="Arial Narrow"/>
      <family val="2"/>
      <charset val="204"/>
    </font>
    <font>
      <b/>
      <sz val="16"/>
      <color rgb="FFFFFF00"/>
      <name val="Arial Narrow"/>
      <family val="2"/>
      <charset val="204"/>
    </font>
    <font>
      <b/>
      <sz val="11"/>
      <color rgb="FFFFFF00"/>
      <name val="Arial Narrow"/>
      <family val="2"/>
      <charset val="204"/>
    </font>
    <font>
      <sz val="10"/>
      <color rgb="FFFFFF00"/>
      <name val="Arial Narrow"/>
      <family val="2"/>
      <charset val="204"/>
    </font>
    <font>
      <b/>
      <sz val="10"/>
      <color rgb="FFFFFF00"/>
      <name val="Arial Narrow"/>
      <family val="2"/>
      <charset val="204"/>
    </font>
    <font>
      <b/>
      <sz val="16"/>
      <color rgb="FFDCD9C4"/>
      <name val="Arial Narrow"/>
      <family val="2"/>
      <charset val="204"/>
    </font>
    <font>
      <b/>
      <sz val="18"/>
      <color theme="0"/>
      <name val="Arial Narrow"/>
      <family val="2"/>
      <charset val="204"/>
    </font>
    <font>
      <b/>
      <sz val="10"/>
      <name val="Arial Narrow"/>
      <family val="2"/>
      <charset val="204"/>
    </font>
    <font>
      <sz val="8"/>
      <name val="Arial Narrow"/>
      <family val="2"/>
      <charset val="204"/>
    </font>
    <font>
      <sz val="16"/>
      <name val="Arial Narrow"/>
      <family val="2"/>
      <charset val="204"/>
    </font>
    <font>
      <b/>
      <sz val="28"/>
      <color rgb="FF5A3C28"/>
      <name val="Arial Narrow"/>
      <family val="2"/>
      <charset val="204"/>
    </font>
    <font>
      <i/>
      <sz val="11"/>
      <color rgb="FF00863D"/>
      <name val="Arial Narrow"/>
      <family val="2"/>
      <charset val="204"/>
    </font>
    <font>
      <b/>
      <sz val="12"/>
      <name val="Arial Narrow"/>
      <family val="2"/>
      <charset val="204"/>
    </font>
    <font>
      <b/>
      <i/>
      <sz val="10"/>
      <color rgb="FF008A3E"/>
      <name val="Arial Narrow"/>
      <family val="2"/>
      <charset val="204"/>
    </font>
    <font>
      <b/>
      <i/>
      <sz val="8"/>
      <color rgb="FF0000FF"/>
      <name val="Arial Narrow"/>
      <family val="2"/>
      <charset val="204"/>
    </font>
    <font>
      <b/>
      <i/>
      <sz val="10"/>
      <color rgb="FF0000FF"/>
      <name val="Arial Narrow"/>
      <family val="2"/>
      <charset val="204"/>
    </font>
    <font>
      <sz val="10"/>
      <color indexed="12"/>
      <name val="Arial Narrow"/>
      <family val="2"/>
      <charset val="204"/>
    </font>
    <font>
      <b/>
      <i/>
      <sz val="10"/>
      <color rgb="FF0000FE"/>
      <name val="Arial Narrow"/>
      <family val="2"/>
      <charset val="204"/>
    </font>
    <font>
      <b/>
      <sz val="11"/>
      <color rgb="FFFFFFCC"/>
      <name val="Arial Narrow"/>
      <family val="2"/>
      <charset val="204"/>
    </font>
    <font>
      <b/>
      <sz val="12"/>
      <color theme="6" tint="-0.499984740745262"/>
      <name val="Arial Narrow"/>
      <family val="2"/>
      <charset val="204"/>
    </font>
    <font>
      <sz val="11"/>
      <color rgb="FF00863D"/>
      <name val="Arial Narrow"/>
      <family val="2"/>
      <charset val="204"/>
    </font>
    <font>
      <b/>
      <sz val="11"/>
      <color rgb="FFC00000"/>
      <name val="Arial Narrow"/>
      <family val="2"/>
      <charset val="204"/>
    </font>
    <font>
      <i/>
      <sz val="11"/>
      <color indexed="12"/>
      <name val="Arial Narrow"/>
      <family val="2"/>
      <charset val="204"/>
    </font>
    <font>
      <i/>
      <sz val="11"/>
      <color rgb="FF606A99"/>
      <name val="Arial Narrow"/>
      <family val="2"/>
      <charset val="204"/>
    </font>
    <font>
      <i/>
      <sz val="11"/>
      <color theme="0" tint="-0.34998626667073579"/>
      <name val="Arial Narrow"/>
      <family val="2"/>
      <charset val="204"/>
    </font>
    <font>
      <i/>
      <sz val="11"/>
      <color rgb="FF6A6A6A"/>
      <name val="Arial Narrow"/>
      <family val="2"/>
      <charset val="204"/>
    </font>
    <font>
      <i/>
      <sz val="11"/>
      <color rgb="FFA09660"/>
      <name val="Arial Narrow"/>
      <family val="2"/>
      <charset val="204"/>
    </font>
    <font>
      <i/>
      <sz val="10"/>
      <color theme="2" tint="-0.499984740745262"/>
      <name val="Arial Narrow"/>
      <family val="2"/>
      <charset val="204"/>
    </font>
    <font>
      <i/>
      <sz val="10"/>
      <color rgb="FF948A54"/>
      <name val="Arial Narrow"/>
      <family val="2"/>
      <charset val="204"/>
    </font>
    <font>
      <b/>
      <i/>
      <sz val="11"/>
      <name val="Arial Narrow"/>
      <family val="2"/>
      <charset val="204"/>
    </font>
    <font>
      <sz val="11"/>
      <color indexed="12"/>
      <name val="Arial Narrow"/>
      <family val="2"/>
      <charset val="204"/>
    </font>
    <font>
      <sz val="11"/>
      <color indexed="10"/>
      <name val="Arial Narrow"/>
      <family val="2"/>
      <charset val="204"/>
    </font>
    <font>
      <b/>
      <i/>
      <sz val="14"/>
      <name val="Arial Narrow"/>
      <family val="2"/>
      <charset val="204"/>
    </font>
    <font>
      <sz val="14"/>
      <color indexed="12"/>
      <name val="Arial Narrow"/>
      <family val="2"/>
      <charset val="204"/>
    </font>
    <font>
      <sz val="14"/>
      <color indexed="10"/>
      <name val="Arial Narrow"/>
      <family val="2"/>
      <charset val="204"/>
    </font>
    <font>
      <b/>
      <i/>
      <sz val="11"/>
      <color rgb="FFC00000"/>
      <name val="Arial Narrow"/>
      <family val="2"/>
      <charset val="204"/>
    </font>
    <font>
      <sz val="10"/>
      <name val="Arial Cyr"/>
      <charset val="204"/>
    </font>
    <font>
      <i/>
      <sz val="10"/>
      <color rgb="FF00863D"/>
      <name val="Arial Narrow"/>
      <family val="2"/>
      <charset val="204"/>
    </font>
    <font>
      <i/>
      <sz val="11"/>
      <color theme="10"/>
      <name val="Arial Narrow"/>
      <family val="2"/>
      <charset val="204"/>
    </font>
    <font>
      <b/>
      <i/>
      <sz val="16"/>
      <name val="Arial Narrow"/>
      <family val="2"/>
      <charset val="204"/>
    </font>
    <font>
      <sz val="16"/>
      <color indexed="12"/>
      <name val="Arial Narrow"/>
      <family val="2"/>
      <charset val="204"/>
    </font>
    <font>
      <sz val="16"/>
      <color indexed="10"/>
      <name val="Arial Narrow"/>
      <family val="2"/>
      <charset val="204"/>
    </font>
    <font>
      <b/>
      <sz val="16"/>
      <name val="Arial Narrow"/>
      <family val="2"/>
      <charset val="204"/>
    </font>
    <font>
      <sz val="11"/>
      <color rgb="FF606A99"/>
      <name val="Arial Narrow"/>
      <family val="2"/>
      <charset val="204"/>
    </font>
    <font>
      <i/>
      <sz val="11"/>
      <color theme="2" tint="-0.499984740745262"/>
      <name val="Arial Narrow"/>
      <family val="2"/>
      <charset val="204"/>
    </font>
    <font>
      <b/>
      <sz val="14"/>
      <name val="Adobe Garamond Pro Bold"/>
      <family val="1"/>
    </font>
    <font>
      <b/>
      <i/>
      <sz val="11"/>
      <color indexed="60"/>
      <name val="Arial Narrow"/>
      <family val="2"/>
      <charset val="204"/>
    </font>
    <font>
      <i/>
      <sz val="11"/>
      <color indexed="17"/>
      <name val="Arial Narrow"/>
      <family val="2"/>
      <charset val="204"/>
    </font>
    <font>
      <b/>
      <sz val="9"/>
      <color indexed="81"/>
      <name val="Tahoma"/>
      <family val="2"/>
      <charset val="204"/>
    </font>
    <font>
      <b/>
      <sz val="12"/>
      <color indexed="81"/>
      <name val="Arial Narrow"/>
      <family val="2"/>
      <charset val="204"/>
    </font>
    <font>
      <sz val="12"/>
      <color indexed="81"/>
      <name val="Arial Narrow"/>
      <family val="2"/>
      <charset val="204"/>
    </font>
    <font>
      <sz val="16"/>
      <color indexed="81"/>
      <name val="Tahoma"/>
      <family val="2"/>
      <charset val="204"/>
    </font>
    <font>
      <sz val="16"/>
      <color indexed="81"/>
      <name val="Wingdings"/>
      <charset val="2"/>
    </font>
    <font>
      <sz val="9"/>
      <color indexed="81"/>
      <name val="Wingdings"/>
      <charset val="2"/>
    </font>
    <font>
      <sz val="9"/>
      <color indexed="81"/>
      <name val="Tahoma"/>
      <family val="2"/>
      <charset val="204"/>
    </font>
    <font>
      <sz val="10"/>
      <color indexed="81"/>
      <name val="Arial Narrow"/>
      <family val="2"/>
      <charset val="204"/>
    </font>
    <font>
      <sz val="10"/>
      <color indexed="81"/>
      <name val="Wingdings"/>
      <charset val="2"/>
    </font>
    <font>
      <b/>
      <sz val="35"/>
      <color theme="0"/>
      <name val="Arial Narrow"/>
      <family val="2"/>
      <charset val="204"/>
    </font>
    <font>
      <b/>
      <sz val="10"/>
      <color rgb="FFFF0000"/>
      <name val="Arial Narrow"/>
      <family val="2"/>
      <charset val="204"/>
    </font>
    <font>
      <b/>
      <sz val="11"/>
      <color rgb="FF3F3F3F"/>
      <name val="Arial"/>
      <family val="2"/>
      <charset val="204"/>
    </font>
    <font>
      <b/>
      <sz val="2"/>
      <color rgb="FF3F3F3F"/>
      <name val="Arial"/>
      <family val="2"/>
      <charset val="204"/>
    </font>
    <font>
      <b/>
      <sz val="17"/>
      <color theme="0"/>
      <name val="Arial Narrow"/>
      <family val="2"/>
      <charset val="204"/>
    </font>
    <font>
      <i/>
      <sz val="12"/>
      <color rgb="FF008000"/>
      <name val="Arial Narrow"/>
      <family val="2"/>
      <charset val="204"/>
    </font>
    <font>
      <b/>
      <sz val="12"/>
      <color rgb="FF008000"/>
      <name val="Arial Narrow"/>
      <family val="2"/>
      <charset val="204"/>
    </font>
    <font>
      <i/>
      <sz val="12"/>
      <color rgb="FF0070C0"/>
      <name val="Arial Narrow"/>
      <family val="2"/>
      <charset val="204"/>
    </font>
    <font>
      <b/>
      <sz val="12"/>
      <color rgb="FF7E5942"/>
      <name val="Arial Narrow"/>
      <family val="2"/>
      <charset val="204"/>
    </font>
    <font>
      <i/>
      <sz val="11"/>
      <color rgb="FF0000FE"/>
      <name val="Arial Narrow"/>
      <family val="2"/>
      <charset val="204"/>
    </font>
    <font>
      <b/>
      <sz val="14"/>
      <color theme="5" tint="-0.499984740745262"/>
      <name val="Arial Narrow"/>
      <family val="2"/>
      <charset val="204"/>
    </font>
  </fonts>
  <fills count="28">
    <fill>
      <patternFill patternType="none"/>
    </fill>
    <fill>
      <patternFill patternType="gray125"/>
    </fill>
    <fill>
      <patternFill patternType="solid">
        <fgColor rgb="FFF2F2F2"/>
      </patternFill>
    </fill>
    <fill>
      <patternFill patternType="darkGray">
        <fgColor rgb="FFCDC8AF"/>
      </patternFill>
    </fill>
    <fill>
      <patternFill patternType="solid">
        <fgColor theme="0"/>
        <bgColor theme="0"/>
      </patternFill>
    </fill>
    <fill>
      <patternFill patternType="solid">
        <fgColor rgb="FFFFFF00"/>
        <bgColor theme="0"/>
      </patternFill>
    </fill>
    <fill>
      <patternFill patternType="solid">
        <fgColor rgb="FF7E5942"/>
        <bgColor rgb="FF7E5942"/>
      </patternFill>
    </fill>
    <fill>
      <patternFill patternType="darkGray">
        <fgColor rgb="FFEBEBE1"/>
        <bgColor rgb="FFDCD7C3"/>
      </patternFill>
    </fill>
    <fill>
      <patternFill patternType="solid">
        <fgColor rgb="FF937D55"/>
        <bgColor theme="0"/>
      </patternFill>
    </fill>
    <fill>
      <patternFill patternType="solid">
        <fgColor rgb="FF5A3C28"/>
        <bgColor indexed="64"/>
      </patternFill>
    </fill>
    <fill>
      <patternFill patternType="darkGray">
        <fgColor rgb="FFE6E1CD"/>
      </patternFill>
    </fill>
    <fill>
      <patternFill patternType="darkGray">
        <fgColor rgb="FFDCD7C3"/>
        <bgColor rgb="FFDCD7C3"/>
      </patternFill>
    </fill>
    <fill>
      <patternFill patternType="solid">
        <fgColor theme="3" tint="0.79998168889431442"/>
        <bgColor indexed="64"/>
      </patternFill>
    </fill>
    <fill>
      <patternFill patternType="solid">
        <fgColor rgb="FF71B43E"/>
        <bgColor indexed="64"/>
      </patternFill>
    </fill>
    <fill>
      <patternFill patternType="solid">
        <fgColor theme="6" tint="0.79998168889431442"/>
        <bgColor indexed="64"/>
      </patternFill>
    </fill>
    <fill>
      <patternFill patternType="solid">
        <fgColor rgb="FFFFFFCC"/>
        <bgColor indexed="64"/>
      </patternFill>
    </fill>
    <fill>
      <patternFill patternType="solid">
        <fgColor rgb="FFF0FFDC"/>
        <bgColor indexed="64"/>
      </patternFill>
    </fill>
    <fill>
      <patternFill patternType="solid">
        <fgColor rgb="FFF0FFDC"/>
        <bgColor rgb="FFF0FFDC"/>
      </patternFill>
    </fill>
    <fill>
      <patternFill patternType="solid">
        <fgColor rgb="FFFFF5D7"/>
        <bgColor rgb="FFFFF5D7"/>
      </patternFill>
    </fill>
    <fill>
      <patternFill patternType="solid">
        <fgColor rgb="FFE6FFFF"/>
        <bgColor rgb="FFE6FFFF"/>
      </patternFill>
    </fill>
    <fill>
      <patternFill patternType="solid">
        <fgColor rgb="FFE6FFFF"/>
        <bgColor indexed="64"/>
      </patternFill>
    </fill>
    <fill>
      <patternFill patternType="solid">
        <fgColor rgb="FFEBF0DC"/>
        <bgColor indexed="64"/>
      </patternFill>
    </fill>
    <fill>
      <patternFill patternType="solid">
        <fgColor rgb="FFBFDEA2"/>
        <bgColor indexed="64"/>
      </patternFill>
    </fill>
    <fill>
      <patternFill patternType="solid">
        <fgColor rgb="FFD7BEA5"/>
        <bgColor rgb="FFD7BEA5"/>
      </patternFill>
    </fill>
    <fill>
      <patternFill patternType="solid">
        <fgColor rgb="FFD7BEA5"/>
        <bgColor indexed="64"/>
      </patternFill>
    </fill>
    <fill>
      <patternFill patternType="solid">
        <fgColor rgb="FF69430B"/>
        <bgColor theme="0"/>
      </patternFill>
    </fill>
    <fill>
      <patternFill patternType="solid">
        <fgColor rgb="FFDCD7C3"/>
        <bgColor theme="0"/>
      </patternFill>
    </fill>
    <fill>
      <patternFill patternType="solid">
        <fgColor rgb="FFFFFFCD"/>
        <bgColor indexed="64"/>
      </patternFill>
    </fill>
  </fills>
  <borders count="57">
    <border>
      <left/>
      <right/>
      <top/>
      <bottom/>
      <diagonal/>
    </border>
    <border>
      <left style="thin">
        <color rgb="FF3F3F3F"/>
      </left>
      <right style="thin">
        <color rgb="FF3F3F3F"/>
      </right>
      <top style="thin">
        <color rgb="FF3F3F3F"/>
      </top>
      <bottom style="thin">
        <color rgb="FF3F3F3F"/>
      </bottom>
      <diagonal/>
    </border>
    <border>
      <left style="double">
        <color rgb="FF7E5942"/>
      </left>
      <right/>
      <top style="double">
        <color rgb="FF7E5942"/>
      </top>
      <bottom/>
      <diagonal/>
    </border>
    <border>
      <left/>
      <right/>
      <top style="double">
        <color rgb="FF7E5942"/>
      </top>
      <bottom/>
      <diagonal/>
    </border>
    <border>
      <left/>
      <right style="double">
        <color rgb="FF7E5942"/>
      </right>
      <top style="double">
        <color rgb="FF7E5942"/>
      </top>
      <bottom/>
      <diagonal/>
    </border>
    <border>
      <left style="double">
        <color rgb="FF7E5942"/>
      </left>
      <right/>
      <top/>
      <bottom/>
      <diagonal/>
    </border>
    <border>
      <left/>
      <right style="double">
        <color rgb="FF7E5942"/>
      </right>
      <top/>
      <bottom/>
      <diagonal/>
    </border>
    <border>
      <left style="thin">
        <color rgb="FF968C55"/>
      </left>
      <right/>
      <top style="thin">
        <color rgb="FF968C55"/>
      </top>
      <bottom style="thin">
        <color rgb="FF968C55"/>
      </bottom>
      <diagonal/>
    </border>
    <border>
      <left/>
      <right style="thin">
        <color rgb="FF968C55"/>
      </right>
      <top style="thin">
        <color rgb="FF968C55"/>
      </top>
      <bottom style="thin">
        <color rgb="FF968C55"/>
      </bottom>
      <diagonal/>
    </border>
    <border>
      <left style="thick">
        <color rgb="FFDCD7C3"/>
      </left>
      <right style="thick">
        <color rgb="FFDCD7C3"/>
      </right>
      <top style="thick">
        <color rgb="FFDCD7C3"/>
      </top>
      <bottom/>
      <diagonal/>
    </border>
    <border>
      <left style="thick">
        <color rgb="FFDCD7C3"/>
      </left>
      <right/>
      <top/>
      <bottom/>
      <diagonal/>
    </border>
    <border>
      <left style="thick">
        <color rgb="FFDCD7C3"/>
      </left>
      <right style="thick">
        <color rgb="FFDCD7C3"/>
      </right>
      <top/>
      <bottom style="thick">
        <color rgb="FFDCD7C3"/>
      </bottom>
      <diagonal/>
    </border>
    <border>
      <left style="double">
        <color rgb="FF7E5942"/>
      </left>
      <right/>
      <top/>
      <bottom style="double">
        <color rgb="FF7E5942"/>
      </bottom>
      <diagonal/>
    </border>
    <border>
      <left/>
      <right/>
      <top/>
      <bottom style="double">
        <color rgb="FF7E5942"/>
      </bottom>
      <diagonal/>
    </border>
    <border>
      <left/>
      <right style="double">
        <color rgb="FF7E5942"/>
      </right>
      <top/>
      <bottom style="double">
        <color rgb="FF7E5942"/>
      </bottom>
      <diagonal/>
    </border>
    <border>
      <left/>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thin">
        <color indexed="64"/>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dashed">
        <color theme="2" tint="-0.499984740745262"/>
      </left>
      <right style="dashed">
        <color theme="2" tint="-0.499984740745262"/>
      </right>
      <top style="dashed">
        <color theme="2" tint="-0.499984740745262"/>
      </top>
      <bottom style="dashed">
        <color theme="2" tint="-0.499984740745262"/>
      </bottom>
      <diagonal/>
    </border>
    <border>
      <left style="thin">
        <color indexed="64"/>
      </left>
      <right style="thin">
        <color indexed="64"/>
      </right>
      <top style="thin">
        <color indexed="64"/>
      </top>
      <bottom/>
      <diagonal/>
    </border>
    <border>
      <left style="hair">
        <color theme="2" tint="-0.499984740745262"/>
      </left>
      <right style="hair">
        <color theme="2" tint="-0.499984740745262"/>
      </right>
      <top style="hair">
        <color theme="2" tint="-0.499984740745262"/>
      </top>
      <bottom style="hair">
        <color theme="2" tint="-0.499984740745262"/>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hair">
        <color indexed="64"/>
      </top>
      <bottom style="hair">
        <color indexed="64"/>
      </bottom>
      <diagonal/>
    </border>
    <border>
      <left/>
      <right/>
      <top style="hair">
        <color indexed="64"/>
      </top>
      <bottom style="medium">
        <color indexed="64"/>
      </bottom>
      <diagonal/>
    </border>
    <border>
      <left/>
      <right/>
      <top style="double">
        <color indexed="64"/>
      </top>
      <bottom/>
      <diagonal/>
    </border>
    <border>
      <left style="thick">
        <color rgb="FFDCD7C3"/>
      </left>
      <right/>
      <top style="thick">
        <color rgb="FFDCD7C3"/>
      </top>
      <bottom style="thick">
        <color rgb="FFDCD7C3"/>
      </bottom>
      <diagonal/>
    </border>
    <border>
      <left/>
      <right style="thick">
        <color rgb="FFDCD7C3"/>
      </right>
      <top style="thick">
        <color rgb="FFDCD7C3"/>
      </top>
      <bottom style="thick">
        <color rgb="FFDCD7C3"/>
      </bottom>
      <diagonal/>
    </border>
    <border>
      <left style="thick">
        <color rgb="FFDCD7C3"/>
      </left>
      <right style="thick">
        <color rgb="FFDCD7C3"/>
      </right>
      <top style="thick">
        <color rgb="FFDCD7C3"/>
      </top>
      <bottom style="thick">
        <color rgb="FFDCD7C3"/>
      </bottom>
      <diagonal/>
    </border>
    <border>
      <left style="thin">
        <color rgb="FF3F3F3F"/>
      </left>
      <right/>
      <top style="hair">
        <color rgb="FF3F3F3F"/>
      </top>
      <bottom style="hair">
        <color rgb="FF3F3F3F"/>
      </bottom>
      <diagonal/>
    </border>
    <border>
      <left/>
      <right/>
      <top style="hair">
        <color rgb="FF3F3F3F"/>
      </top>
      <bottom style="hair">
        <color rgb="FF3F3F3F"/>
      </bottom>
      <diagonal/>
    </border>
    <border>
      <left/>
      <right style="hair">
        <color rgb="FF3F3F3F"/>
      </right>
      <top style="hair">
        <color rgb="FF3F3F3F"/>
      </top>
      <bottom style="hair">
        <color rgb="FF3F3F3F"/>
      </bottom>
      <diagonal/>
    </border>
    <border>
      <left style="dotted">
        <color rgb="FFDCD7C3"/>
      </left>
      <right/>
      <top style="dotted">
        <color rgb="FFDCD7C3"/>
      </top>
      <bottom/>
      <diagonal/>
    </border>
    <border>
      <left/>
      <right/>
      <top style="dotted">
        <color rgb="FFDCD7C3"/>
      </top>
      <bottom/>
      <diagonal/>
    </border>
    <border>
      <left/>
      <right style="dotted">
        <color rgb="FFDCD7C3"/>
      </right>
      <top style="dotted">
        <color rgb="FFDCD7C3"/>
      </top>
      <bottom/>
      <diagonal/>
    </border>
    <border>
      <left style="dotted">
        <color rgb="FFDCD7C3"/>
      </left>
      <right/>
      <top/>
      <bottom style="dotted">
        <color rgb="FFDCD7C3"/>
      </bottom>
      <diagonal/>
    </border>
    <border>
      <left/>
      <right/>
      <top/>
      <bottom style="dotted">
        <color rgb="FFDCD7C3"/>
      </bottom>
      <diagonal/>
    </border>
    <border>
      <left/>
      <right style="dotted">
        <color rgb="FFDCD7C3"/>
      </right>
      <top/>
      <bottom style="dotted">
        <color rgb="FFDCD7C3"/>
      </bottom>
      <diagonal/>
    </border>
  </borders>
  <cellStyleXfs count="10">
    <xf numFmtId="0" fontId="0" fillId="3" borderId="0" applyNumberFormat="0" applyFont="0" applyBorder="0" applyAlignment="0" applyProtection="0"/>
    <xf numFmtId="0" fontId="83" fillId="2" borderId="1" applyNumberFormat="0" applyAlignment="0" applyProtection="0"/>
    <xf numFmtId="0" fontId="90" fillId="0" borderId="0" applyNumberFormat="0" applyFill="0" applyBorder="0" applyAlignment="0" applyProtection="0"/>
    <xf numFmtId="0" fontId="1" fillId="10" borderId="0" applyNumberFormat="0" applyFont="0" applyBorder="0" applyAlignment="0" applyProtection="0"/>
    <xf numFmtId="4" fontId="4" fillId="0" borderId="32" applyNumberFormat="0" applyFont="0" applyAlignment="0" applyProtection="0">
      <alignment vertical="center"/>
    </xf>
    <xf numFmtId="0" fontId="36" fillId="12" borderId="34" applyNumberFormat="0" applyFont="0" applyAlignment="0" applyProtection="0"/>
    <xf numFmtId="0" fontId="43" fillId="14" borderId="34" applyNumberFormat="0" applyFont="0" applyAlignment="0">
      <alignment horizontal="center" vertical="center"/>
    </xf>
    <xf numFmtId="4" fontId="4" fillId="0" borderId="34" applyNumberFormat="0" applyFont="0" applyAlignment="0" applyProtection="0">
      <alignment vertical="center"/>
    </xf>
    <xf numFmtId="4" fontId="4" fillId="15" borderId="34" applyNumberFormat="0" applyFont="0" applyAlignment="0" applyProtection="0">
      <alignment vertical="center"/>
    </xf>
    <xf numFmtId="0" fontId="60" fillId="0" borderId="0"/>
  </cellStyleXfs>
  <cellXfs count="388">
    <xf numFmtId="0" fontId="0" fillId="3" borderId="0" xfId="0"/>
    <xf numFmtId="0" fontId="0" fillId="3" borderId="0" xfId="0" applyProtection="1">
      <protection locked="0"/>
    </xf>
    <xf numFmtId="0" fontId="2" fillId="3" borderId="0" xfId="0" applyFont="1"/>
    <xf numFmtId="0" fontId="2" fillId="4" borderId="2" xfId="0" applyFont="1" applyFill="1" applyBorder="1"/>
    <xf numFmtId="0" fontId="0" fillId="4" borderId="3" xfId="0" applyFill="1" applyBorder="1"/>
    <xf numFmtId="0" fontId="0" fillId="4" borderId="4" xfId="0" applyFill="1" applyBorder="1"/>
    <xf numFmtId="0" fontId="2" fillId="4" borderId="5" xfId="0" applyFont="1" applyFill="1" applyBorder="1"/>
    <xf numFmtId="0" fontId="0" fillId="4" borderId="0" xfId="0" applyFill="1" applyBorder="1"/>
    <xf numFmtId="0" fontId="0" fillId="4" borderId="6" xfId="0" applyFill="1" applyBorder="1"/>
    <xf numFmtId="0" fontId="3" fillId="4" borderId="5" xfId="0" applyFont="1" applyFill="1" applyBorder="1" applyAlignment="1">
      <alignment horizontal="center"/>
    </xf>
    <xf numFmtId="0" fontId="3" fillId="4" borderId="0" xfId="0" applyFont="1" applyFill="1" applyBorder="1" applyAlignment="1">
      <alignment horizontal="center"/>
    </xf>
    <xf numFmtId="0" fontId="3" fillId="4" borderId="6" xfId="0" applyFont="1" applyFill="1" applyBorder="1" applyAlignment="1">
      <alignment horizontal="center"/>
    </xf>
    <xf numFmtId="0" fontId="3" fillId="4" borderId="5" xfId="0" applyFont="1" applyFill="1" applyBorder="1" applyAlignment="1">
      <alignment horizontal="center"/>
    </xf>
    <xf numFmtId="0" fontId="4" fillId="4" borderId="0" xfId="0" applyFont="1" applyFill="1" applyBorder="1" applyAlignment="1">
      <alignment horizontal="center"/>
    </xf>
    <xf numFmtId="0" fontId="3" fillId="4" borderId="6" xfId="0" applyFont="1" applyFill="1" applyBorder="1" applyAlignment="1">
      <alignment horizontal="center"/>
    </xf>
    <xf numFmtId="0" fontId="4" fillId="4" borderId="0" xfId="0" applyFont="1" applyFill="1" applyBorder="1" applyAlignment="1">
      <alignment horizont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6" fillId="4" borderId="5" xfId="0" applyFont="1" applyFill="1" applyBorder="1" applyAlignment="1">
      <alignment vertical="center" wrapText="1"/>
    </xf>
    <xf numFmtId="0" fontId="6" fillId="4" borderId="0" xfId="0" applyFont="1" applyFill="1" applyBorder="1" applyAlignment="1">
      <alignment horizontal="center" vertical="center" wrapText="1"/>
    </xf>
    <xf numFmtId="0" fontId="6" fillId="4" borderId="6" xfId="0" applyFont="1" applyFill="1" applyBorder="1" applyAlignment="1">
      <alignment vertical="center" wrapText="1"/>
    </xf>
    <xf numFmtId="0" fontId="7" fillId="4" borderId="0" xfId="0" applyFont="1" applyFill="1" applyBorder="1" applyAlignment="1">
      <alignment horizontal="center"/>
    </xf>
    <xf numFmtId="0" fontId="10" fillId="4" borderId="10" xfId="0" applyFont="1" applyFill="1" applyBorder="1" applyAlignment="1">
      <alignment horizontal="left" vertical="center" wrapText="1" indent="1"/>
    </xf>
    <xf numFmtId="0" fontId="11" fillId="6" borderId="9" xfId="2" applyFont="1" applyFill="1" applyBorder="1" applyAlignment="1" applyProtection="1">
      <alignment horizontal="center" vertical="center" wrapText="1"/>
      <protection locked="0" hidden="1"/>
    </xf>
    <xf numFmtId="0" fontId="10" fillId="4" borderId="0" xfId="0" applyFont="1" applyFill="1" applyBorder="1" applyAlignment="1">
      <alignment horizontal="left" vertical="center" wrapText="1" indent="1"/>
    </xf>
    <xf numFmtId="0" fontId="11" fillId="6" borderId="11" xfId="2" applyFont="1" applyFill="1" applyBorder="1" applyAlignment="1" applyProtection="1">
      <alignment horizontal="center" vertical="center" wrapText="1"/>
      <protection locked="0" hidden="1"/>
    </xf>
    <xf numFmtId="0" fontId="5" fillId="4" borderId="5" xfId="0" applyFont="1" applyFill="1" applyBorder="1" applyAlignment="1"/>
    <xf numFmtId="0" fontId="5" fillId="4" borderId="0" xfId="0" applyFont="1" applyFill="1" applyBorder="1" applyAlignment="1">
      <alignment horizontal="center"/>
    </xf>
    <xf numFmtId="0" fontId="5" fillId="4" borderId="6" xfId="0" applyFont="1" applyFill="1" applyBorder="1" applyAlignment="1"/>
    <xf numFmtId="0" fontId="2" fillId="4" borderId="12" xfId="0" applyFont="1" applyFill="1" applyBorder="1"/>
    <xf numFmtId="0" fontId="0" fillId="4" borderId="13" xfId="0" applyFill="1" applyBorder="1"/>
    <xf numFmtId="0" fontId="0" fillId="4" borderId="14" xfId="0" applyFill="1" applyBorder="1"/>
    <xf numFmtId="0" fontId="2" fillId="4" borderId="0" xfId="0" applyFont="1" applyFill="1" applyProtection="1">
      <protection hidden="1"/>
    </xf>
    <xf numFmtId="0" fontId="12" fillId="4" borderId="0" xfId="0" applyFont="1" applyFill="1" applyAlignment="1" applyProtection="1">
      <alignment horizontal="right"/>
      <protection hidden="1"/>
    </xf>
    <xf numFmtId="49" fontId="4" fillId="4" borderId="15" xfId="0" applyNumberFormat="1" applyFont="1" applyFill="1" applyBorder="1" applyProtection="1">
      <protection hidden="1"/>
    </xf>
    <xf numFmtId="0" fontId="13" fillId="3" borderId="0" xfId="0" applyFont="1" applyProtection="1">
      <protection hidden="1"/>
    </xf>
    <xf numFmtId="0" fontId="4" fillId="4" borderId="15" xfId="0" applyNumberFormat="1" applyFont="1" applyFill="1" applyBorder="1" applyProtection="1">
      <protection hidden="1"/>
    </xf>
    <xf numFmtId="49" fontId="4" fillId="4" borderId="15" xfId="0" applyNumberFormat="1" applyFont="1" applyFill="1" applyBorder="1" applyAlignment="1" applyProtection="1">
      <alignment horizontal="left"/>
      <protection hidden="1"/>
    </xf>
    <xf numFmtId="0" fontId="14" fillId="4" borderId="15" xfId="0" applyNumberFormat="1" applyFont="1" applyFill="1" applyBorder="1" applyAlignment="1" applyProtection="1">
      <alignment horizontal="left"/>
      <protection locked="0" hidden="1"/>
    </xf>
    <xf numFmtId="0" fontId="15" fillId="4" borderId="0" xfId="0" applyFont="1" applyFill="1" applyAlignment="1" applyProtection="1">
      <alignment horizontal="center"/>
      <protection hidden="1"/>
    </xf>
    <xf numFmtId="0" fontId="13" fillId="4" borderId="0" xfId="0" applyFont="1" applyFill="1" applyProtection="1">
      <protection hidden="1"/>
    </xf>
    <xf numFmtId="0" fontId="13" fillId="4" borderId="0" xfId="0" applyFont="1" applyFill="1" applyAlignment="1" applyProtection="1">
      <alignment horizontal="center" vertical="top"/>
      <protection hidden="1"/>
    </xf>
    <xf numFmtId="14" fontId="16" fillId="4" borderId="0" xfId="0" applyNumberFormat="1" applyFont="1" applyFill="1" applyBorder="1" applyAlignment="1" applyProtection="1">
      <alignment horizontal="left" vertical="center" indent="2"/>
      <protection hidden="1"/>
    </xf>
    <xf numFmtId="0" fontId="17" fillId="4" borderId="0" xfId="0" applyFont="1" applyFill="1" applyBorder="1" applyAlignment="1" applyProtection="1">
      <alignment horizontal="right"/>
      <protection locked="0" hidden="1"/>
    </xf>
    <xf numFmtId="0" fontId="18" fillId="7" borderId="16" xfId="0" applyNumberFormat="1" applyFont="1" applyFill="1" applyBorder="1" applyAlignment="1" applyProtection="1">
      <alignment horizontal="center" vertical="center" wrapText="1"/>
      <protection hidden="1"/>
    </xf>
    <xf numFmtId="0" fontId="18" fillId="7" borderId="17" xfId="0" applyNumberFormat="1" applyFont="1" applyFill="1" applyBorder="1" applyAlignment="1" applyProtection="1">
      <alignment horizontal="center" vertical="center" wrapText="1"/>
      <protection hidden="1"/>
    </xf>
    <xf numFmtId="0" fontId="18" fillId="7" borderId="18" xfId="0" applyNumberFormat="1" applyFont="1" applyFill="1" applyBorder="1" applyAlignment="1" applyProtection="1">
      <alignment horizontal="center" vertical="center" wrapText="1"/>
      <protection hidden="1"/>
    </xf>
    <xf numFmtId="0" fontId="10" fillId="4" borderId="19" xfId="0" applyNumberFormat="1" applyFont="1" applyFill="1" applyBorder="1" applyAlignment="1" applyProtection="1">
      <alignment vertical="center"/>
      <protection hidden="1"/>
    </xf>
    <xf numFmtId="0" fontId="10" fillId="4" borderId="20" xfId="0" applyNumberFormat="1" applyFont="1" applyFill="1" applyBorder="1" applyAlignment="1" applyProtection="1">
      <alignment vertical="center"/>
      <protection hidden="1"/>
    </xf>
    <xf numFmtId="0" fontId="10" fillId="4" borderId="21" xfId="0" applyNumberFormat="1" applyFont="1" applyFill="1" applyBorder="1" applyAlignment="1" applyProtection="1">
      <alignment vertical="center"/>
      <protection hidden="1"/>
    </xf>
    <xf numFmtId="0" fontId="10" fillId="4" borderId="22" xfId="0" applyNumberFormat="1" applyFont="1" applyFill="1" applyBorder="1" applyAlignment="1" applyProtection="1">
      <alignment vertical="center"/>
      <protection hidden="1"/>
    </xf>
    <xf numFmtId="0" fontId="13" fillId="4" borderId="23" xfId="0" applyFont="1" applyFill="1" applyBorder="1" applyAlignment="1" applyProtection="1">
      <alignment vertical="center"/>
      <protection hidden="1"/>
    </xf>
    <xf numFmtId="0" fontId="10" fillId="4" borderId="24" xfId="0" applyNumberFormat="1" applyFont="1" applyFill="1" applyBorder="1" applyAlignment="1" applyProtection="1">
      <alignment vertical="center"/>
      <protection hidden="1"/>
    </xf>
    <xf numFmtId="0" fontId="17" fillId="4" borderId="25" xfId="0" applyNumberFormat="1" applyFont="1" applyFill="1" applyBorder="1" applyAlignment="1" applyProtection="1">
      <alignment horizontal="left" vertical="center" wrapText="1"/>
      <protection hidden="1"/>
    </xf>
    <xf numFmtId="0" fontId="8" fillId="4" borderId="0" xfId="0" applyFont="1" applyFill="1" applyBorder="1" applyAlignment="1" applyProtection="1">
      <alignment horizontal="right"/>
      <protection hidden="1"/>
    </xf>
    <xf numFmtId="0" fontId="10" fillId="4" borderId="26" xfId="0" applyNumberFormat="1" applyFont="1" applyFill="1" applyBorder="1" applyAlignment="1" applyProtection="1">
      <alignment vertical="center"/>
      <protection hidden="1"/>
    </xf>
    <xf numFmtId="0" fontId="10" fillId="4" borderId="27" xfId="0" applyNumberFormat="1" applyFont="1" applyFill="1" applyBorder="1" applyAlignment="1" applyProtection="1">
      <alignment vertical="center" wrapText="1"/>
      <protection hidden="1"/>
    </xf>
    <xf numFmtId="3" fontId="13" fillId="4" borderId="28" xfId="0" applyNumberFormat="1" applyFont="1" applyFill="1" applyBorder="1" applyAlignment="1" applyProtection="1">
      <alignment horizontal="center" vertical="center" wrapText="1"/>
      <protection hidden="1"/>
    </xf>
    <xf numFmtId="0" fontId="13" fillId="4" borderId="23" xfId="0" applyFont="1" applyFill="1" applyBorder="1" applyAlignment="1" applyProtection="1">
      <alignment vertical="center" wrapText="1"/>
      <protection hidden="1"/>
    </xf>
    <xf numFmtId="0" fontId="10" fillId="4" borderId="29" xfId="0" applyNumberFormat="1" applyFont="1" applyFill="1" applyBorder="1" applyAlignment="1" applyProtection="1">
      <alignment vertical="center"/>
      <protection hidden="1"/>
    </xf>
    <xf numFmtId="0" fontId="10" fillId="4" borderId="30" xfId="0" applyNumberFormat="1" applyFont="1" applyFill="1" applyBorder="1" applyAlignment="1" applyProtection="1">
      <alignment vertical="center" wrapText="1"/>
      <protection hidden="1"/>
    </xf>
    <xf numFmtId="3" fontId="13" fillId="4" borderId="21" xfId="0" applyNumberFormat="1" applyFont="1" applyFill="1" applyBorder="1" applyAlignment="1" applyProtection="1">
      <alignment horizontal="center" vertical="center" wrapText="1"/>
      <protection hidden="1"/>
    </xf>
    <xf numFmtId="0" fontId="18" fillId="4" borderId="0" xfId="0" applyFont="1" applyFill="1" applyAlignment="1" applyProtection="1">
      <alignment horizontal="right"/>
      <protection hidden="1"/>
    </xf>
    <xf numFmtId="164" fontId="18" fillId="4" borderId="24" xfId="0" applyNumberFormat="1" applyFont="1" applyFill="1" applyBorder="1" applyAlignment="1" applyProtection="1">
      <alignment vertical="center" wrapText="1"/>
      <protection hidden="1"/>
    </xf>
    <xf numFmtId="0" fontId="10" fillId="4" borderId="23" xfId="0" applyNumberFormat="1" applyFont="1" applyFill="1" applyBorder="1" applyAlignment="1" applyProtection="1">
      <alignment vertical="center" wrapText="1"/>
      <protection hidden="1"/>
    </xf>
    <xf numFmtId="0" fontId="10" fillId="4" borderId="22" xfId="0" applyNumberFormat="1" applyFont="1" applyFill="1" applyBorder="1" applyAlignment="1" applyProtection="1">
      <alignment horizontal="left" vertical="center" indent="4"/>
      <protection hidden="1"/>
    </xf>
    <xf numFmtId="3" fontId="13" fillId="4" borderId="28" xfId="0" applyNumberFormat="1" applyFont="1" applyFill="1" applyBorder="1" applyAlignment="1" applyProtection="1">
      <alignment horizontal="center" vertical="top" wrapText="1"/>
      <protection hidden="1"/>
    </xf>
    <xf numFmtId="0" fontId="10" fillId="4" borderId="23" xfId="0" applyNumberFormat="1" applyFont="1" applyFill="1" applyBorder="1" applyAlignment="1" applyProtection="1">
      <alignment vertical="center"/>
      <protection hidden="1"/>
    </xf>
    <xf numFmtId="0" fontId="10" fillId="4" borderId="27" xfId="0" applyNumberFormat="1" applyFont="1" applyFill="1" applyBorder="1" applyAlignment="1" applyProtection="1">
      <alignment vertical="center"/>
      <protection hidden="1"/>
    </xf>
    <xf numFmtId="0" fontId="20" fillId="4" borderId="0" xfId="0" applyFont="1" applyFill="1" applyAlignment="1" applyProtection="1">
      <alignment horizontal="right"/>
      <protection hidden="1"/>
    </xf>
    <xf numFmtId="165" fontId="18" fillId="4" borderId="0" xfId="0" applyNumberFormat="1" applyFont="1" applyFill="1" applyProtection="1">
      <protection hidden="1"/>
    </xf>
    <xf numFmtId="0" fontId="21" fillId="4" borderId="0" xfId="0" applyFont="1" applyFill="1" applyProtection="1">
      <protection hidden="1"/>
    </xf>
    <xf numFmtId="0" fontId="22" fillId="4" borderId="0" xfId="0" applyFont="1" applyFill="1" applyAlignment="1" applyProtection="1">
      <alignment horizontal="right"/>
      <protection hidden="1"/>
    </xf>
    <xf numFmtId="164" fontId="23" fillId="8" borderId="31" xfId="0" applyNumberFormat="1" applyFont="1" applyFill="1" applyBorder="1" applyAlignment="1" applyProtection="1">
      <alignment vertical="center" wrapText="1"/>
      <protection hidden="1"/>
    </xf>
    <xf numFmtId="0" fontId="5" fillId="4" borderId="0" xfId="0" applyFont="1" applyFill="1" applyAlignment="1" applyProtection="1">
      <alignment horizontal="center"/>
      <protection hidden="1"/>
    </xf>
    <xf numFmtId="0" fontId="24" fillId="4" borderId="0" xfId="0" applyFont="1" applyFill="1" applyAlignment="1" applyProtection="1">
      <alignment horizontal="center" vertical="center"/>
      <protection hidden="1"/>
    </xf>
    <xf numFmtId="0" fontId="13" fillId="4" borderId="0" xfId="0" applyFont="1" applyFill="1" applyAlignment="1" applyProtection="1">
      <alignment horizontal="center" vertical="center"/>
      <protection hidden="1"/>
    </xf>
    <xf numFmtId="49" fontId="25" fillId="9" borderId="0" xfId="0" applyNumberFormat="1" applyFont="1" applyFill="1" applyProtection="1">
      <protection hidden="1"/>
    </xf>
    <xf numFmtId="0" fontId="26" fillId="9" borderId="0" xfId="0" applyNumberFormat="1" applyFont="1" applyFill="1" applyAlignment="1" applyProtection="1">
      <alignment vertical="center"/>
      <protection hidden="1"/>
    </xf>
    <xf numFmtId="0" fontId="27" fillId="9" borderId="0" xfId="0" applyFont="1" applyFill="1" applyProtection="1">
      <protection hidden="1"/>
    </xf>
    <xf numFmtId="0" fontId="28" fillId="9" borderId="0" xfId="0" applyFont="1" applyFill="1" applyProtection="1">
      <protection hidden="1"/>
    </xf>
    <xf numFmtId="0" fontId="29" fillId="9" borderId="0" xfId="0" applyFont="1" applyFill="1" applyAlignment="1" applyProtection="1">
      <alignment horizontal="right"/>
      <protection hidden="1"/>
    </xf>
    <xf numFmtId="166" fontId="30" fillId="9" borderId="0" xfId="0" applyNumberFormat="1" applyFont="1" applyFill="1" applyAlignment="1" applyProtection="1">
      <alignment horizontal="center"/>
      <protection hidden="1"/>
    </xf>
    <xf numFmtId="0" fontId="13" fillId="3" borderId="0" xfId="0" applyFont="1" applyProtection="1">
      <protection locked="0"/>
    </xf>
    <xf numFmtId="49" fontId="12" fillId="0" borderId="0" xfId="0" applyNumberFormat="1" applyFont="1" applyFill="1" applyAlignment="1" applyProtection="1">
      <alignment horizontal="right"/>
      <protection hidden="1"/>
    </xf>
    <xf numFmtId="4" fontId="13" fillId="0" borderId="15" xfId="0" applyNumberFormat="1" applyFont="1" applyFill="1" applyBorder="1" applyProtection="1">
      <protection hidden="1"/>
    </xf>
    <xf numFmtId="0" fontId="13" fillId="0" borderId="15" xfId="0" applyFont="1" applyFill="1" applyBorder="1" applyProtection="1">
      <protection hidden="1"/>
    </xf>
    <xf numFmtId="0" fontId="3" fillId="0" borderId="15" xfId="0" applyFont="1" applyFill="1" applyBorder="1" applyProtection="1">
      <protection hidden="1"/>
    </xf>
    <xf numFmtId="4" fontId="13" fillId="0" borderId="15" xfId="0" applyNumberFormat="1" applyFont="1" applyFill="1" applyBorder="1" applyAlignment="1" applyProtection="1">
      <alignment horizontal="left"/>
      <protection hidden="1"/>
    </xf>
    <xf numFmtId="0" fontId="13" fillId="0" borderId="15" xfId="0" applyFont="1" applyFill="1" applyBorder="1" applyAlignment="1" applyProtection="1">
      <alignment horizontal="left"/>
      <protection hidden="1"/>
    </xf>
    <xf numFmtId="0" fontId="34" fillId="0" borderId="0" xfId="0" applyNumberFormat="1" applyFont="1" applyFill="1" applyBorder="1" applyAlignment="1" applyProtection="1">
      <alignment horizontal="center" wrapText="1"/>
      <protection hidden="1"/>
    </xf>
    <xf numFmtId="0" fontId="1" fillId="3" borderId="0" xfId="0" applyFont="1" applyProtection="1">
      <protection locked="0"/>
    </xf>
    <xf numFmtId="3" fontId="2" fillId="0" borderId="0" xfId="0" applyNumberFormat="1" applyFont="1" applyFill="1" applyBorder="1" applyAlignment="1" applyProtection="1">
      <alignment horizontal="center" vertical="center"/>
      <protection hidden="1"/>
    </xf>
    <xf numFmtId="0" fontId="2" fillId="0" borderId="0" xfId="0" applyNumberFormat="1" applyFont="1" applyFill="1" applyBorder="1" applyAlignment="1" applyProtection="1">
      <alignment horizontal="center" vertical="center"/>
      <protection hidden="1"/>
    </xf>
    <xf numFmtId="49" fontId="37" fillId="0" borderId="0" xfId="0" applyNumberFormat="1" applyFont="1" applyFill="1" applyBorder="1" applyAlignment="1" applyProtection="1">
      <alignment horizontal="left" vertical="center" indent="2"/>
      <protection hidden="1"/>
    </xf>
    <xf numFmtId="14" fontId="38" fillId="0" borderId="0" xfId="0" applyNumberFormat="1" applyFont="1" applyFill="1" applyBorder="1" applyAlignment="1" applyProtection="1">
      <alignment horizontal="left"/>
      <protection hidden="1"/>
    </xf>
    <xf numFmtId="14" fontId="39" fillId="0" borderId="0" xfId="0" applyNumberFormat="1" applyFont="1" applyFill="1" applyBorder="1" applyAlignment="1" applyProtection="1">
      <alignment horizontal="right"/>
      <protection hidden="1"/>
    </xf>
    <xf numFmtId="0" fontId="1" fillId="0" borderId="0" xfId="0" applyFont="1" applyFill="1" applyProtection="1">
      <protection hidden="1"/>
    </xf>
    <xf numFmtId="0" fontId="40" fillId="0" borderId="0" xfId="0" applyFont="1" applyFill="1" applyProtection="1">
      <protection hidden="1"/>
    </xf>
    <xf numFmtId="0" fontId="31" fillId="0" borderId="0" xfId="0" applyFont="1" applyFill="1" applyBorder="1" applyProtection="1">
      <protection hidden="1"/>
    </xf>
    <xf numFmtId="0" fontId="41" fillId="0" borderId="0" xfId="0" applyFont="1" applyFill="1" applyBorder="1" applyAlignment="1" applyProtection="1">
      <alignment horizontal="right"/>
      <protection hidden="1"/>
    </xf>
    <xf numFmtId="14" fontId="41" fillId="0" borderId="0" xfId="0" applyNumberFormat="1" applyFont="1" applyFill="1" applyBorder="1" applyAlignment="1" applyProtection="1">
      <alignment horizontal="center"/>
      <protection hidden="1"/>
    </xf>
    <xf numFmtId="49" fontId="12" fillId="11" borderId="31" xfId="0" applyNumberFormat="1" applyFont="1" applyFill="1" applyBorder="1" applyAlignment="1" applyProtection="1">
      <alignment horizontal="center" vertical="center" wrapText="1"/>
      <protection locked="0"/>
    </xf>
    <xf numFmtId="0" fontId="31" fillId="11" borderId="33" xfId="0" applyNumberFormat="1" applyFont="1" applyFill="1" applyBorder="1" applyAlignment="1" applyProtection="1">
      <alignment horizontal="center" vertical="center" wrapText="1"/>
      <protection hidden="1"/>
    </xf>
    <xf numFmtId="0" fontId="31" fillId="11" borderId="31" xfId="0" applyFont="1" applyFill="1" applyBorder="1" applyAlignment="1" applyProtection="1">
      <alignment horizontal="left" indent="3"/>
      <protection hidden="1"/>
    </xf>
    <xf numFmtId="0" fontId="12" fillId="11" borderId="31" xfId="0" applyFont="1" applyFill="1" applyBorder="1" applyAlignment="1" applyProtection="1">
      <alignment horizontal="left" indent="7"/>
      <protection hidden="1"/>
    </xf>
    <xf numFmtId="0" fontId="31" fillId="11" borderId="33" xfId="0" applyNumberFormat="1" applyFont="1" applyFill="1" applyBorder="1" applyAlignment="1" applyProtection="1">
      <alignment horizontal="center" vertical="center" wrapText="1"/>
      <protection hidden="1"/>
    </xf>
    <xf numFmtId="0" fontId="12" fillId="11" borderId="31" xfId="0" applyFont="1" applyFill="1" applyBorder="1" applyAlignment="1" applyProtection="1">
      <alignment horizontal="left" indent="5"/>
      <protection hidden="1"/>
    </xf>
    <xf numFmtId="0" fontId="31" fillId="11" borderId="36" xfId="0" applyNumberFormat="1" applyFont="1" applyFill="1" applyBorder="1" applyAlignment="1" applyProtection="1">
      <alignment horizontal="center" vertical="center" wrapText="1"/>
      <protection hidden="1"/>
    </xf>
    <xf numFmtId="0" fontId="31" fillId="11" borderId="31" xfId="0" applyNumberFormat="1" applyFont="1" applyFill="1" applyBorder="1" applyAlignment="1" applyProtection="1">
      <alignment horizontal="center" vertical="center" wrapText="1"/>
      <protection hidden="1"/>
    </xf>
    <xf numFmtId="0" fontId="31" fillId="11" borderId="36" xfId="0" applyNumberFormat="1" applyFont="1" applyFill="1" applyBorder="1" applyAlignment="1" applyProtection="1">
      <alignment horizontal="center" vertical="center" wrapText="1"/>
      <protection hidden="1"/>
    </xf>
    <xf numFmtId="167" fontId="13" fillId="10" borderId="37" xfId="3" applyNumberFormat="1" applyFont="1" applyBorder="1" applyAlignment="1" applyProtection="1">
      <alignment horizontal="center" vertical="center" wrapText="1"/>
      <protection hidden="1"/>
    </xf>
    <xf numFmtId="3" fontId="13" fillId="10" borderId="24" xfId="3" applyNumberFormat="1" applyFont="1" applyBorder="1" applyAlignment="1" applyProtection="1">
      <alignment horizontal="center" vertical="center" wrapText="1"/>
      <protection hidden="1"/>
    </xf>
    <xf numFmtId="3" fontId="13" fillId="10" borderId="37" xfId="3" applyNumberFormat="1" applyFont="1" applyBorder="1" applyAlignment="1" applyProtection="1">
      <alignment horizontal="center" vertical="center" wrapText="1"/>
      <protection hidden="1"/>
    </xf>
    <xf numFmtId="49" fontId="3" fillId="10" borderId="37" xfId="3" applyNumberFormat="1" applyFont="1" applyBorder="1" applyAlignment="1" applyProtection="1">
      <alignment horizontal="center" vertical="center" wrapText="1"/>
      <protection hidden="1"/>
    </xf>
    <xf numFmtId="0" fontId="3" fillId="10" borderId="24" xfId="3" applyNumberFormat="1" applyFont="1" applyBorder="1" applyAlignment="1" applyProtection="1">
      <alignment horizontal="center" vertical="center" wrapText="1"/>
      <protection hidden="1"/>
    </xf>
    <xf numFmtId="167" fontId="3" fillId="10" borderId="38" xfId="3" applyNumberFormat="1" applyFont="1" applyBorder="1" applyAlignment="1" applyProtection="1">
      <alignment horizontal="center" vertical="center" wrapText="1"/>
      <protection hidden="1"/>
    </xf>
    <xf numFmtId="167" fontId="2" fillId="10" borderId="37" xfId="3" applyNumberFormat="1" applyFont="1" applyBorder="1" applyAlignment="1" applyProtection="1">
      <alignment horizontal="center" vertical="center" wrapText="1"/>
      <protection hidden="1"/>
    </xf>
    <xf numFmtId="3" fontId="2" fillId="10" borderId="24" xfId="3" applyNumberFormat="1" applyFont="1" applyBorder="1" applyAlignment="1" applyProtection="1">
      <alignment horizontal="center" vertical="center" wrapText="1"/>
      <protection hidden="1"/>
    </xf>
    <xf numFmtId="3" fontId="3" fillId="10" borderId="38" xfId="3" applyNumberFormat="1" applyFont="1" applyBorder="1" applyAlignment="1" applyProtection="1">
      <alignment horizontal="center" vertical="center" wrapText="1"/>
      <protection hidden="1"/>
    </xf>
    <xf numFmtId="3" fontId="2" fillId="10" borderId="37" xfId="3" applyNumberFormat="1" applyFont="1" applyBorder="1" applyAlignment="1" applyProtection="1">
      <alignment horizontal="center" vertical="center" wrapText="1"/>
      <protection hidden="1"/>
    </xf>
    <xf numFmtId="0" fontId="2" fillId="3" borderId="0" xfId="0" applyFont="1" applyProtection="1">
      <protection locked="0"/>
    </xf>
    <xf numFmtId="49" fontId="12" fillId="0" borderId="37" xfId="0" applyNumberFormat="1" applyFont="1" applyFill="1" applyBorder="1" applyAlignment="1" applyProtection="1">
      <alignment horizontal="left" vertical="center" wrapText="1"/>
      <protection hidden="1"/>
    </xf>
    <xf numFmtId="0" fontId="12" fillId="0" borderId="24" xfId="0" applyNumberFormat="1" applyFont="1" applyFill="1" applyBorder="1" applyAlignment="1" applyProtection="1">
      <alignment horizontal="center" vertical="center" wrapText="1"/>
      <protection hidden="1"/>
    </xf>
    <xf numFmtId="3" fontId="12" fillId="0" borderId="38" xfId="0" applyNumberFormat="1" applyFont="1" applyFill="1" applyBorder="1" applyAlignment="1" applyProtection="1">
      <alignment horizontal="center" vertical="center" wrapText="1"/>
      <protection hidden="1"/>
    </xf>
    <xf numFmtId="3" fontId="13" fillId="0" borderId="37" xfId="0" applyNumberFormat="1" applyFont="1" applyFill="1" applyBorder="1" applyAlignment="1" applyProtection="1">
      <alignment horizontal="center" vertical="center" wrapText="1"/>
      <protection hidden="1"/>
    </xf>
    <xf numFmtId="3" fontId="13" fillId="0" borderId="24" xfId="0" applyNumberFormat="1" applyFont="1" applyFill="1" applyBorder="1" applyAlignment="1" applyProtection="1">
      <alignment horizontal="center" vertical="center" wrapText="1"/>
      <protection hidden="1"/>
    </xf>
    <xf numFmtId="49" fontId="17" fillId="0" borderId="37" xfId="0" applyNumberFormat="1" applyFont="1" applyFill="1" applyBorder="1" applyAlignment="1" applyProtection="1">
      <alignment horizontal="left" vertical="center" wrapText="1" indent="5"/>
      <protection hidden="1"/>
    </xf>
    <xf numFmtId="0" fontId="17" fillId="0" borderId="24" xfId="0" applyNumberFormat="1" applyFont="1" applyFill="1" applyBorder="1" applyAlignment="1" applyProtection="1">
      <alignment horizontal="center" vertical="center" wrapText="1"/>
      <protection hidden="1"/>
    </xf>
    <xf numFmtId="3" fontId="46" fillId="0" borderId="38" xfId="0" applyNumberFormat="1" applyFont="1" applyFill="1" applyBorder="1" applyAlignment="1" applyProtection="1">
      <alignment vertical="center" wrapText="1"/>
      <protection hidden="1"/>
    </xf>
    <xf numFmtId="3" fontId="47" fillId="0" borderId="24" xfId="0" applyNumberFormat="1" applyFont="1" applyFill="1" applyBorder="1" applyAlignment="1" applyProtection="1">
      <alignment horizontal="right" vertical="center" wrapText="1"/>
      <protection hidden="1"/>
    </xf>
    <xf numFmtId="3" fontId="48" fillId="0" borderId="38" xfId="0" applyNumberFormat="1" applyFont="1" applyFill="1" applyBorder="1" applyAlignment="1" applyProtection="1">
      <alignment horizontal="center" vertical="center" wrapText="1"/>
      <protection hidden="1"/>
    </xf>
    <xf numFmtId="3" fontId="10" fillId="0" borderId="38" xfId="0" applyNumberFormat="1" applyFont="1" applyFill="1" applyBorder="1" applyAlignment="1" applyProtection="1">
      <alignment horizontal="center" vertical="center" wrapText="1"/>
      <protection hidden="1"/>
    </xf>
    <xf numFmtId="171" fontId="46" fillId="0" borderId="38" xfId="0" applyNumberFormat="1" applyFont="1" applyFill="1" applyBorder="1" applyAlignment="1" applyProtection="1">
      <alignment vertical="center" wrapText="1"/>
      <protection hidden="1"/>
    </xf>
    <xf numFmtId="3" fontId="10" fillId="0" borderId="37" xfId="0" applyNumberFormat="1" applyFont="1" applyFill="1" applyBorder="1" applyAlignment="1" applyProtection="1">
      <alignment horizontal="center" vertical="center" wrapText="1"/>
      <protection hidden="1"/>
    </xf>
    <xf numFmtId="3" fontId="49" fillId="0" borderId="24" xfId="0" applyNumberFormat="1" applyFont="1" applyFill="1" applyBorder="1" applyAlignment="1" applyProtection="1">
      <alignment horizontal="right" vertical="center" wrapText="1"/>
      <protection hidden="1"/>
    </xf>
    <xf numFmtId="0" fontId="50" fillId="10" borderId="39" xfId="3" applyNumberFormat="1" applyFont="1" applyBorder="1" applyAlignment="1" applyProtection="1">
      <alignment horizontal="left" vertical="center" wrapText="1"/>
      <protection hidden="1"/>
    </xf>
    <xf numFmtId="0" fontId="51" fillId="10" borderId="40" xfId="3" applyNumberFormat="1" applyFont="1" applyBorder="1" applyAlignment="1" applyProtection="1">
      <alignment horizontal="center" vertical="center" wrapText="1"/>
      <protection hidden="1"/>
    </xf>
    <xf numFmtId="2" fontId="46" fillId="10" borderId="41" xfId="3" applyNumberFormat="1" applyFont="1" applyBorder="1" applyAlignment="1" applyProtection="1">
      <alignment vertical="center" wrapText="1"/>
      <protection hidden="1"/>
    </xf>
    <xf numFmtId="167" fontId="13" fillId="10" borderId="39" xfId="3" applyNumberFormat="1" applyFont="1" applyBorder="1" applyAlignment="1" applyProtection="1">
      <alignment horizontal="center" vertical="center" wrapText="1"/>
      <protection hidden="1"/>
    </xf>
    <xf numFmtId="167" fontId="13" fillId="10" borderId="40" xfId="3" applyNumberFormat="1" applyFont="1" applyBorder="1" applyAlignment="1" applyProtection="1">
      <alignment horizontal="right" vertical="center" wrapText="1"/>
      <protection hidden="1"/>
    </xf>
    <xf numFmtId="3" fontId="10" fillId="10" borderId="41" xfId="3" applyNumberFormat="1" applyFont="1" applyBorder="1" applyAlignment="1" applyProtection="1">
      <alignment horizontal="center"/>
      <protection hidden="1"/>
    </xf>
    <xf numFmtId="0" fontId="10" fillId="10" borderId="39" xfId="3" applyFont="1" applyBorder="1" applyAlignment="1" applyProtection="1">
      <alignment horizontal="center"/>
      <protection hidden="1"/>
    </xf>
    <xf numFmtId="0" fontId="10" fillId="10" borderId="40" xfId="3" applyFont="1" applyBorder="1" applyAlignment="1" applyProtection="1">
      <alignment horizontal="right"/>
      <protection hidden="1"/>
    </xf>
    <xf numFmtId="3" fontId="52" fillId="10" borderId="41" xfId="3" applyNumberFormat="1" applyFont="1" applyBorder="1" applyAlignment="1" applyProtection="1">
      <alignment horizontal="center"/>
      <protection hidden="1"/>
    </xf>
    <xf numFmtId="49" fontId="17" fillId="0" borderId="0" xfId="0" applyNumberFormat="1" applyFont="1" applyFill="1" applyBorder="1" applyAlignment="1" applyProtection="1">
      <alignment horizontal="left" vertical="center" wrapText="1"/>
      <protection hidden="1"/>
    </xf>
    <xf numFmtId="0" fontId="17" fillId="0" borderId="0" xfId="0" applyNumberFormat="1" applyFont="1" applyFill="1" applyBorder="1" applyAlignment="1" applyProtection="1">
      <alignment horizontal="center" vertical="center" wrapText="1"/>
      <protection hidden="1"/>
    </xf>
    <xf numFmtId="2" fontId="46" fillId="0" borderId="0" xfId="0" applyNumberFormat="1" applyFont="1" applyFill="1" applyBorder="1" applyAlignment="1" applyProtection="1">
      <alignment vertical="center" wrapText="1"/>
      <protection hidden="1"/>
    </xf>
    <xf numFmtId="167" fontId="13" fillId="0" borderId="0" xfId="0" applyNumberFormat="1" applyFont="1" applyFill="1" applyBorder="1" applyAlignment="1" applyProtection="1">
      <alignment horizontal="center" vertical="center" wrapText="1"/>
      <protection hidden="1"/>
    </xf>
    <xf numFmtId="167" fontId="13" fillId="0" borderId="0" xfId="0" applyNumberFormat="1" applyFont="1" applyFill="1" applyBorder="1" applyAlignment="1" applyProtection="1">
      <alignment horizontal="right" vertical="center" wrapText="1"/>
      <protection hidden="1"/>
    </xf>
    <xf numFmtId="3" fontId="10" fillId="0" borderId="0" xfId="0" applyNumberFormat="1" applyFont="1" applyFill="1" applyBorder="1" applyAlignment="1" applyProtection="1">
      <alignment horizontal="center"/>
      <protection hidden="1"/>
    </xf>
    <xf numFmtId="0" fontId="35" fillId="0" borderId="0" xfId="0" applyFont="1" applyFill="1" applyBorder="1" applyAlignment="1" applyProtection="1">
      <alignment horizontal="center"/>
      <protection hidden="1"/>
    </xf>
    <xf numFmtId="0" fontId="17" fillId="0" borderId="0" xfId="0" applyFont="1" applyFill="1" applyBorder="1" applyAlignment="1" applyProtection="1">
      <alignment horizontal="center"/>
      <protection hidden="1"/>
    </xf>
    <xf numFmtId="3" fontId="53" fillId="0" borderId="0" xfId="0" applyNumberFormat="1" applyFont="1" applyFill="1" applyBorder="1" applyAlignment="1" applyProtection="1">
      <alignment horizontal="center"/>
      <protection hidden="1"/>
    </xf>
    <xf numFmtId="49" fontId="36" fillId="0" borderId="15" xfId="0" applyNumberFormat="1" applyFont="1" applyFill="1" applyBorder="1" applyAlignment="1" applyProtection="1">
      <protection hidden="1"/>
    </xf>
    <xf numFmtId="0" fontId="13" fillId="0" borderId="15" xfId="0" applyNumberFormat="1" applyFont="1" applyFill="1" applyBorder="1" applyAlignment="1" applyProtection="1">
      <protection hidden="1"/>
    </xf>
    <xf numFmtId="0" fontId="13" fillId="0" borderId="15" xfId="0" applyFont="1" applyFill="1" applyBorder="1" applyAlignment="1" applyProtection="1">
      <protection hidden="1"/>
    </xf>
    <xf numFmtId="3" fontId="13" fillId="0" borderId="15" xfId="0" applyNumberFormat="1" applyFont="1" applyFill="1" applyBorder="1" applyAlignment="1" applyProtection="1">
      <protection hidden="1"/>
    </xf>
    <xf numFmtId="3" fontId="35" fillId="0" borderId="15" xfId="0" applyNumberFormat="1" applyFont="1" applyFill="1" applyBorder="1" applyAlignment="1" applyProtection="1">
      <alignment horizontal="center"/>
      <protection hidden="1"/>
    </xf>
    <xf numFmtId="3" fontId="17" fillId="0" borderId="15" xfId="0" applyNumberFormat="1" applyFont="1" applyFill="1" applyBorder="1" applyAlignment="1" applyProtection="1">
      <alignment horizontal="center"/>
      <protection hidden="1"/>
    </xf>
    <xf numFmtId="3" fontId="36" fillId="0" borderId="15" xfId="0" applyNumberFormat="1" applyFont="1" applyFill="1" applyBorder="1" applyAlignment="1" applyProtection="1">
      <alignment horizontal="right"/>
      <protection hidden="1"/>
    </xf>
    <xf numFmtId="49" fontId="10" fillId="0" borderId="42" xfId="0" applyNumberFormat="1" applyFont="1" applyFill="1" applyBorder="1" applyAlignment="1" applyProtection="1">
      <protection hidden="1"/>
    </xf>
    <xf numFmtId="0" fontId="13" fillId="0" borderId="42" xfId="0" applyNumberFormat="1" applyFont="1" applyFill="1" applyBorder="1" applyAlignment="1" applyProtection="1">
      <protection hidden="1"/>
    </xf>
    <xf numFmtId="0" fontId="13" fillId="0" borderId="42" xfId="0" applyFont="1" applyFill="1" applyBorder="1" applyAlignment="1" applyProtection="1">
      <protection hidden="1"/>
    </xf>
    <xf numFmtId="3" fontId="13" fillId="0" borderId="42" xfId="0" applyNumberFormat="1" applyFont="1" applyFill="1" applyBorder="1" applyAlignment="1" applyProtection="1">
      <protection hidden="1"/>
    </xf>
    <xf numFmtId="0" fontId="13" fillId="0" borderId="42" xfId="0" applyFont="1" applyFill="1" applyBorder="1" applyProtection="1">
      <protection hidden="1"/>
    </xf>
    <xf numFmtId="9" fontId="44" fillId="0" borderId="42" xfId="0" applyNumberFormat="1" applyFont="1" applyFill="1" applyBorder="1" applyAlignment="1" applyProtection="1">
      <alignment horizontal="center"/>
      <protection hidden="1"/>
    </xf>
    <xf numFmtId="3" fontId="17" fillId="0" borderId="42" xfId="0" applyNumberFormat="1" applyFont="1" applyFill="1" applyBorder="1" applyAlignment="1" applyProtection="1">
      <alignment horizontal="center"/>
      <protection hidden="1"/>
    </xf>
    <xf numFmtId="3" fontId="17" fillId="0" borderId="42" xfId="0" applyNumberFormat="1" applyFont="1" applyFill="1" applyBorder="1" applyAlignment="1" applyProtection="1">
      <alignment horizontal="right"/>
      <protection hidden="1"/>
    </xf>
    <xf numFmtId="49" fontId="10" fillId="0" borderId="25" xfId="0" applyNumberFormat="1" applyFont="1" applyFill="1" applyBorder="1" applyAlignment="1" applyProtection="1">
      <protection hidden="1"/>
    </xf>
    <xf numFmtId="0" fontId="13" fillId="0" borderId="25" xfId="0" applyNumberFormat="1" applyFont="1" applyFill="1" applyBorder="1" applyAlignment="1" applyProtection="1">
      <alignment vertical="center"/>
      <protection hidden="1"/>
    </xf>
    <xf numFmtId="3" fontId="10" fillId="0" borderId="25" xfId="0" applyNumberFormat="1" applyFont="1" applyFill="1" applyBorder="1" applyAlignment="1" applyProtection="1">
      <alignment vertical="center"/>
      <protection hidden="1"/>
    </xf>
    <xf numFmtId="0" fontId="54" fillId="0" borderId="25" xfId="0" applyNumberFormat="1" applyFont="1" applyFill="1" applyBorder="1" applyAlignment="1" applyProtection="1">
      <alignment vertical="center"/>
      <protection hidden="1"/>
    </xf>
    <xf numFmtId="0" fontId="55" fillId="0" borderId="25" xfId="0" applyNumberFormat="1" applyFont="1" applyFill="1" applyBorder="1" applyAlignment="1" applyProtection="1">
      <alignment vertical="center"/>
      <protection hidden="1"/>
    </xf>
    <xf numFmtId="9" fontId="44" fillId="0" borderId="25" xfId="0" applyNumberFormat="1" applyFont="1" applyFill="1" applyBorder="1" applyAlignment="1" applyProtection="1">
      <alignment horizontal="center"/>
      <protection hidden="1"/>
    </xf>
    <xf numFmtId="0" fontId="54" fillId="0" borderId="25" xfId="0" applyFont="1" applyFill="1" applyBorder="1" applyProtection="1">
      <protection hidden="1"/>
    </xf>
    <xf numFmtId="3" fontId="35" fillId="0" borderId="25" xfId="0" applyNumberFormat="1" applyFont="1" applyFill="1" applyBorder="1" applyAlignment="1" applyProtection="1">
      <alignment horizontal="right"/>
      <protection hidden="1"/>
    </xf>
    <xf numFmtId="49" fontId="3" fillId="0" borderId="0" xfId="0" applyNumberFormat="1" applyFont="1" applyFill="1" applyBorder="1" applyAlignment="1" applyProtection="1">
      <protection hidden="1"/>
    </xf>
    <xf numFmtId="0" fontId="2" fillId="0" borderId="0" xfId="0" applyNumberFormat="1" applyFont="1" applyFill="1" applyBorder="1" applyAlignment="1" applyProtection="1">
      <alignment vertical="center"/>
      <protection hidden="1"/>
    </xf>
    <xf numFmtId="3" fontId="56" fillId="0" borderId="0" xfId="0" applyNumberFormat="1" applyFont="1" applyFill="1" applyBorder="1" applyAlignment="1" applyProtection="1">
      <alignment vertical="center"/>
      <protection hidden="1"/>
    </xf>
    <xf numFmtId="0" fontId="57" fillId="0" borderId="0" xfId="0" applyNumberFormat="1" applyFont="1" applyFill="1" applyBorder="1" applyAlignment="1" applyProtection="1">
      <alignment vertical="center"/>
      <protection hidden="1"/>
    </xf>
    <xf numFmtId="0" fontId="58" fillId="0" borderId="0" xfId="0" applyNumberFormat="1" applyFont="1" applyFill="1" applyBorder="1" applyAlignment="1" applyProtection="1">
      <alignment vertical="center"/>
      <protection hidden="1"/>
    </xf>
    <xf numFmtId="0" fontId="2" fillId="0" borderId="0" xfId="0" applyFont="1" applyFill="1" applyBorder="1" applyProtection="1">
      <protection hidden="1"/>
    </xf>
    <xf numFmtId="0" fontId="57" fillId="0" borderId="0" xfId="0" applyFont="1" applyFill="1" applyBorder="1" applyProtection="1">
      <protection hidden="1"/>
    </xf>
    <xf numFmtId="3" fontId="3" fillId="0" borderId="0" xfId="0" applyNumberFormat="1" applyFont="1" applyFill="1" applyBorder="1" applyAlignment="1" applyProtection="1">
      <alignment horizontal="right"/>
      <protection hidden="1"/>
    </xf>
    <xf numFmtId="49" fontId="59" fillId="0" borderId="0" xfId="0" applyNumberFormat="1" applyFont="1" applyFill="1" applyBorder="1" applyAlignment="1" applyProtection="1">
      <alignment horizontal="left" vertical="center" wrapText="1"/>
      <protection hidden="1"/>
    </xf>
    <xf numFmtId="0" fontId="13" fillId="0" borderId="0" xfId="0" applyNumberFormat="1" applyFont="1" applyFill="1" applyBorder="1" applyAlignment="1" applyProtection="1">
      <alignment vertical="center"/>
      <protection hidden="1"/>
    </xf>
    <xf numFmtId="3" fontId="53" fillId="0" borderId="0" xfId="0" applyNumberFormat="1" applyFont="1" applyFill="1" applyBorder="1" applyAlignment="1" applyProtection="1">
      <alignment vertical="center"/>
      <protection hidden="1"/>
    </xf>
    <xf numFmtId="0" fontId="54" fillId="0" borderId="0" xfId="0" applyNumberFormat="1" applyFont="1" applyFill="1" applyBorder="1" applyAlignment="1" applyProtection="1">
      <alignment vertical="center"/>
      <protection hidden="1"/>
    </xf>
    <xf numFmtId="0" fontId="55" fillId="0" borderId="0" xfId="0" applyNumberFormat="1" applyFont="1" applyFill="1" applyBorder="1" applyAlignment="1" applyProtection="1">
      <alignment vertical="center"/>
      <protection hidden="1"/>
    </xf>
    <xf numFmtId="0" fontId="12" fillId="0" borderId="0" xfId="0" applyFont="1" applyFill="1" applyBorder="1" applyProtection="1">
      <protection hidden="1"/>
    </xf>
    <xf numFmtId="0" fontId="54" fillId="0" borderId="0" xfId="0" applyFont="1" applyFill="1" applyBorder="1" applyProtection="1">
      <protection hidden="1"/>
    </xf>
    <xf numFmtId="3" fontId="45" fillId="0" borderId="0" xfId="0" applyNumberFormat="1" applyFont="1" applyFill="1" applyBorder="1" applyAlignment="1" applyProtection="1">
      <alignment horizontal="center"/>
      <protection hidden="1"/>
    </xf>
    <xf numFmtId="4" fontId="12" fillId="0" borderId="38" xfId="0" applyNumberFormat="1" applyFont="1" applyFill="1" applyBorder="1" applyAlignment="1" applyProtection="1">
      <alignment horizontal="center" vertical="center" wrapText="1"/>
      <protection hidden="1"/>
    </xf>
    <xf numFmtId="169" fontId="46" fillId="0" borderId="38" xfId="0" applyNumberFormat="1" applyFont="1" applyFill="1" applyBorder="1" applyAlignment="1" applyProtection="1">
      <alignment vertical="center" wrapText="1"/>
      <protection hidden="1"/>
    </xf>
    <xf numFmtId="169" fontId="47" fillId="0" borderId="24" xfId="0" applyNumberFormat="1" applyFont="1" applyFill="1" applyBorder="1" applyAlignment="1" applyProtection="1">
      <alignment horizontal="right" vertical="center" wrapText="1"/>
      <protection hidden="1"/>
    </xf>
    <xf numFmtId="3" fontId="48" fillId="0" borderId="37" xfId="0" applyNumberFormat="1" applyFont="1" applyFill="1" applyBorder="1" applyAlignment="1" applyProtection="1">
      <alignment horizontal="center" vertical="center" wrapText="1"/>
      <protection hidden="1"/>
    </xf>
    <xf numFmtId="175" fontId="46" fillId="0" borderId="38" xfId="0" applyNumberFormat="1" applyFont="1" applyFill="1" applyBorder="1" applyAlignment="1" applyProtection="1">
      <alignment vertical="center" wrapText="1"/>
      <protection hidden="1"/>
    </xf>
    <xf numFmtId="167" fontId="47" fillId="0" borderId="24" xfId="0" applyNumberFormat="1" applyFont="1" applyFill="1" applyBorder="1" applyAlignment="1" applyProtection="1">
      <alignment horizontal="right" vertical="center" wrapText="1"/>
      <protection hidden="1"/>
    </xf>
    <xf numFmtId="49" fontId="17" fillId="16" borderId="37" xfId="0" applyNumberFormat="1" applyFont="1" applyFill="1" applyBorder="1" applyAlignment="1" applyProtection="1">
      <alignment horizontal="left" vertical="center" wrapText="1" indent="5"/>
      <protection hidden="1"/>
    </xf>
    <xf numFmtId="0" fontId="17" fillId="16" borderId="24" xfId="0" applyNumberFormat="1" applyFont="1" applyFill="1" applyBorder="1" applyAlignment="1" applyProtection="1">
      <alignment horizontal="center" vertical="center" wrapText="1"/>
      <protection hidden="1"/>
    </xf>
    <xf numFmtId="169" fontId="46" fillId="16" borderId="38" xfId="0" applyNumberFormat="1" applyFont="1" applyFill="1" applyBorder="1" applyAlignment="1" applyProtection="1">
      <alignment vertical="center" wrapText="1"/>
      <protection hidden="1"/>
    </xf>
    <xf numFmtId="3" fontId="10" fillId="16" borderId="37" xfId="0" applyNumberFormat="1" applyFont="1" applyFill="1" applyBorder="1" applyAlignment="1" applyProtection="1">
      <alignment horizontal="center" vertical="center" wrapText="1"/>
      <protection hidden="1"/>
    </xf>
    <xf numFmtId="167" fontId="47" fillId="16" borderId="24" xfId="0" applyNumberFormat="1" applyFont="1" applyFill="1" applyBorder="1" applyAlignment="1" applyProtection="1">
      <alignment horizontal="right" vertical="center" wrapText="1"/>
      <protection hidden="1"/>
    </xf>
    <xf numFmtId="3" fontId="48" fillId="16" borderId="38" xfId="0" applyNumberFormat="1" applyFont="1" applyFill="1" applyBorder="1" applyAlignment="1" applyProtection="1">
      <alignment horizontal="center" vertical="center" wrapText="1"/>
      <protection hidden="1"/>
    </xf>
    <xf numFmtId="3" fontId="48" fillId="16" borderId="37" xfId="0" applyNumberFormat="1" applyFont="1" applyFill="1" applyBorder="1" applyAlignment="1" applyProtection="1">
      <alignment horizontal="center" vertical="center" wrapText="1"/>
      <protection hidden="1"/>
    </xf>
    <xf numFmtId="3" fontId="47" fillId="16" borderId="24" xfId="0" applyNumberFormat="1" applyFont="1" applyFill="1" applyBorder="1" applyAlignment="1" applyProtection="1">
      <alignment horizontal="right" vertical="center" wrapText="1"/>
      <protection hidden="1"/>
    </xf>
    <xf numFmtId="3" fontId="10" fillId="16" borderId="38" xfId="0" applyNumberFormat="1" applyFont="1" applyFill="1" applyBorder="1" applyAlignment="1" applyProtection="1">
      <alignment horizontal="center" vertical="center" wrapText="1"/>
      <protection hidden="1"/>
    </xf>
    <xf numFmtId="49" fontId="17" fillId="17" borderId="37" xfId="0" applyNumberFormat="1" applyFont="1" applyFill="1" applyBorder="1" applyAlignment="1" applyProtection="1">
      <alignment horizontal="left" vertical="center" wrapText="1" indent="5"/>
      <protection hidden="1"/>
    </xf>
    <xf numFmtId="0" fontId="17" fillId="17" borderId="24" xfId="0" applyNumberFormat="1" applyFont="1" applyFill="1" applyBorder="1" applyAlignment="1" applyProtection="1">
      <alignment horizontal="center" vertical="center" wrapText="1"/>
      <protection hidden="1"/>
    </xf>
    <xf numFmtId="171" fontId="46" fillId="17" borderId="38" xfId="0" applyNumberFormat="1" applyFont="1" applyFill="1" applyBorder="1" applyAlignment="1" applyProtection="1">
      <alignment vertical="center" wrapText="1"/>
      <protection hidden="1"/>
    </xf>
    <xf numFmtId="3" fontId="10" fillId="17" borderId="37" xfId="0" applyNumberFormat="1" applyFont="1" applyFill="1" applyBorder="1" applyAlignment="1" applyProtection="1">
      <alignment horizontal="center" vertical="center" wrapText="1"/>
      <protection hidden="1"/>
    </xf>
    <xf numFmtId="3" fontId="47" fillId="17" borderId="24" xfId="0" applyNumberFormat="1" applyFont="1" applyFill="1" applyBorder="1" applyAlignment="1" applyProtection="1">
      <alignment horizontal="right" vertical="center" wrapText="1"/>
      <protection hidden="1"/>
    </xf>
    <xf numFmtId="3" fontId="48" fillId="17" borderId="38" xfId="0" applyNumberFormat="1" applyFont="1" applyFill="1" applyBorder="1" applyAlignment="1" applyProtection="1">
      <alignment horizontal="center" vertical="center" wrapText="1"/>
      <protection hidden="1"/>
    </xf>
    <xf numFmtId="3" fontId="48" fillId="17" borderId="37" xfId="0" applyNumberFormat="1" applyFont="1" applyFill="1" applyBorder="1" applyAlignment="1" applyProtection="1">
      <alignment horizontal="center" vertical="center" wrapText="1"/>
      <protection hidden="1"/>
    </xf>
    <xf numFmtId="3" fontId="10" fillId="17" borderId="38" xfId="0" applyNumberFormat="1" applyFont="1" applyFill="1" applyBorder="1" applyAlignment="1" applyProtection="1">
      <alignment horizontal="center" vertical="center" wrapText="1"/>
      <protection hidden="1"/>
    </xf>
    <xf numFmtId="169" fontId="46" fillId="17" borderId="38" xfId="0" applyNumberFormat="1" applyFont="1" applyFill="1" applyBorder="1" applyAlignment="1" applyProtection="1">
      <alignment vertical="center" wrapText="1"/>
      <protection hidden="1"/>
    </xf>
    <xf numFmtId="49" fontId="17" fillId="18" borderId="37" xfId="0" applyNumberFormat="1" applyFont="1" applyFill="1" applyBorder="1" applyAlignment="1" applyProtection="1">
      <alignment horizontal="left" vertical="center" wrapText="1" indent="5"/>
      <protection hidden="1"/>
    </xf>
    <xf numFmtId="0" fontId="17" fillId="18" borderId="24" xfId="0" applyNumberFormat="1" applyFont="1" applyFill="1" applyBorder="1" applyAlignment="1" applyProtection="1">
      <alignment horizontal="center" vertical="center" wrapText="1"/>
      <protection hidden="1"/>
    </xf>
    <xf numFmtId="169" fontId="46" fillId="18" borderId="38" xfId="0" applyNumberFormat="1" applyFont="1" applyFill="1" applyBorder="1" applyAlignment="1" applyProtection="1">
      <alignment vertical="center" wrapText="1"/>
      <protection hidden="1"/>
    </xf>
    <xf numFmtId="3" fontId="10" fillId="18" borderId="37" xfId="0" applyNumberFormat="1" applyFont="1" applyFill="1" applyBorder="1" applyAlignment="1" applyProtection="1">
      <alignment horizontal="center" vertical="center" wrapText="1"/>
      <protection hidden="1"/>
    </xf>
    <xf numFmtId="3" fontId="47" fillId="18" borderId="24" xfId="0" applyNumberFormat="1" applyFont="1" applyFill="1" applyBorder="1" applyAlignment="1" applyProtection="1">
      <alignment horizontal="right" vertical="center" wrapText="1"/>
      <protection hidden="1"/>
    </xf>
    <xf numFmtId="3" fontId="48" fillId="18" borderId="38" xfId="0" applyNumberFormat="1" applyFont="1" applyFill="1" applyBorder="1" applyAlignment="1" applyProtection="1">
      <alignment horizontal="center" vertical="center" wrapText="1"/>
      <protection hidden="1"/>
    </xf>
    <xf numFmtId="3" fontId="48" fillId="18" borderId="37" xfId="0" applyNumberFormat="1" applyFont="1" applyFill="1" applyBorder="1" applyAlignment="1" applyProtection="1">
      <alignment horizontal="center" vertical="center" wrapText="1"/>
      <protection hidden="1"/>
    </xf>
    <xf numFmtId="3" fontId="10" fillId="18" borderId="38" xfId="0" applyNumberFormat="1" applyFont="1" applyFill="1" applyBorder="1" applyAlignment="1" applyProtection="1">
      <alignment horizontal="center" vertical="center" wrapText="1"/>
      <protection hidden="1"/>
    </xf>
    <xf numFmtId="0" fontId="17" fillId="0" borderId="37" xfId="0" applyNumberFormat="1" applyFont="1" applyFill="1" applyBorder="1" applyAlignment="1" applyProtection="1">
      <alignment horizontal="left" vertical="center" wrapText="1" indent="5"/>
      <protection hidden="1"/>
    </xf>
    <xf numFmtId="0" fontId="12" fillId="0" borderId="24" xfId="0" applyNumberFormat="1" applyFont="1" applyFill="1" applyBorder="1" applyAlignment="1" applyProtection="1">
      <alignment horizontal="center" vertical="center" wrapText="1"/>
      <protection locked="0"/>
    </xf>
    <xf numFmtId="49" fontId="17" fillId="0" borderId="37" xfId="0" applyNumberFormat="1" applyFont="1" applyFill="1" applyBorder="1" applyAlignment="1" applyProtection="1">
      <alignment horizontal="left" vertical="center" wrapText="1" indent="5"/>
      <protection locked="0"/>
    </xf>
    <xf numFmtId="167" fontId="12" fillId="0" borderId="38" xfId="0" applyNumberFormat="1" applyFont="1" applyFill="1" applyBorder="1" applyAlignment="1" applyProtection="1">
      <alignment horizontal="center" vertical="center" wrapText="1"/>
      <protection hidden="1"/>
    </xf>
    <xf numFmtId="49" fontId="1" fillId="0" borderId="0" xfId="0" applyNumberFormat="1" applyFont="1" applyFill="1" applyProtection="1">
      <protection hidden="1"/>
    </xf>
    <xf numFmtId="0" fontId="1" fillId="0" borderId="0" xfId="0" applyNumberFormat="1" applyFont="1" applyFill="1" applyProtection="1">
      <protection hidden="1"/>
    </xf>
    <xf numFmtId="0" fontId="31" fillId="0" borderId="0" xfId="0" applyFont="1" applyFill="1" applyProtection="1">
      <protection hidden="1"/>
    </xf>
    <xf numFmtId="4" fontId="47" fillId="0" borderId="24" xfId="0" applyNumberFormat="1" applyFont="1" applyFill="1" applyBorder="1" applyAlignment="1" applyProtection="1">
      <alignment horizontal="right" vertical="center" wrapText="1"/>
      <protection hidden="1"/>
    </xf>
    <xf numFmtId="0" fontId="12" fillId="0" borderId="37" xfId="0" applyNumberFormat="1" applyFont="1" applyFill="1" applyBorder="1" applyAlignment="1" applyProtection="1">
      <alignment horizontal="left" vertical="center" wrapText="1"/>
      <protection hidden="1"/>
    </xf>
    <xf numFmtId="4" fontId="46" fillId="0" borderId="38" xfId="0" applyNumberFormat="1" applyFont="1" applyFill="1" applyBorder="1" applyAlignment="1" applyProtection="1">
      <alignment vertical="center" wrapText="1"/>
      <protection hidden="1"/>
    </xf>
    <xf numFmtId="0" fontId="12" fillId="10" borderId="24" xfId="3" applyNumberFormat="1" applyFont="1" applyBorder="1" applyAlignment="1" applyProtection="1">
      <alignment horizontal="center" vertical="center" wrapText="1"/>
      <protection hidden="1"/>
    </xf>
    <xf numFmtId="167" fontId="12" fillId="10" borderId="38" xfId="3" applyNumberFormat="1" applyFont="1" applyBorder="1" applyAlignment="1" applyProtection="1">
      <alignment horizontal="center" vertical="center" wrapText="1"/>
      <protection hidden="1"/>
    </xf>
    <xf numFmtId="3" fontId="12" fillId="10" borderId="38" xfId="3" applyNumberFormat="1" applyFont="1" applyBorder="1" applyAlignment="1" applyProtection="1">
      <alignment horizontal="center" vertical="center" wrapText="1"/>
      <protection hidden="1"/>
    </xf>
    <xf numFmtId="49" fontId="17" fillId="19" borderId="37" xfId="0" applyNumberFormat="1" applyFont="1" applyFill="1" applyBorder="1" applyAlignment="1" applyProtection="1">
      <alignment horizontal="left" vertical="center" wrapText="1" indent="5"/>
      <protection hidden="1"/>
    </xf>
    <xf numFmtId="0" fontId="17" fillId="19" borderId="24" xfId="0" applyNumberFormat="1" applyFont="1" applyFill="1" applyBorder="1" applyAlignment="1" applyProtection="1">
      <alignment horizontal="center" vertical="center" wrapText="1"/>
      <protection hidden="1"/>
    </xf>
    <xf numFmtId="169" fontId="46" fillId="19" borderId="38" xfId="0" applyNumberFormat="1" applyFont="1" applyFill="1" applyBorder="1" applyAlignment="1" applyProtection="1">
      <alignment vertical="center" wrapText="1"/>
      <protection hidden="1"/>
    </xf>
    <xf numFmtId="3" fontId="10" fillId="19" borderId="37" xfId="0" applyNumberFormat="1" applyFont="1" applyFill="1" applyBorder="1" applyAlignment="1" applyProtection="1">
      <alignment horizontal="center" vertical="center" wrapText="1"/>
      <protection hidden="1"/>
    </xf>
    <xf numFmtId="167" fontId="47" fillId="19" borderId="24" xfId="0" applyNumberFormat="1" applyFont="1" applyFill="1" applyBorder="1" applyAlignment="1" applyProtection="1">
      <alignment horizontal="right" vertical="center" wrapText="1"/>
      <protection hidden="1"/>
    </xf>
    <xf numFmtId="3" fontId="48" fillId="19" borderId="38" xfId="0" applyNumberFormat="1" applyFont="1" applyFill="1" applyBorder="1" applyAlignment="1" applyProtection="1">
      <alignment horizontal="center" vertical="center" wrapText="1"/>
      <protection hidden="1"/>
    </xf>
    <xf numFmtId="3" fontId="48" fillId="19" borderId="37" xfId="0" applyNumberFormat="1" applyFont="1" applyFill="1" applyBorder="1" applyAlignment="1" applyProtection="1">
      <alignment horizontal="center" vertical="center" wrapText="1"/>
      <protection hidden="1"/>
    </xf>
    <xf numFmtId="3" fontId="47" fillId="19" borderId="24" xfId="0" applyNumberFormat="1" applyFont="1" applyFill="1" applyBorder="1" applyAlignment="1" applyProtection="1">
      <alignment horizontal="right" vertical="center" wrapText="1"/>
      <protection hidden="1"/>
    </xf>
    <xf numFmtId="3" fontId="10" fillId="19" borderId="38" xfId="0" applyNumberFormat="1" applyFont="1" applyFill="1" applyBorder="1" applyAlignment="1" applyProtection="1">
      <alignment horizontal="center" vertical="center" wrapText="1"/>
      <protection hidden="1"/>
    </xf>
    <xf numFmtId="167" fontId="47" fillId="17" borderId="24" xfId="0" applyNumberFormat="1" applyFont="1" applyFill="1" applyBorder="1" applyAlignment="1" applyProtection="1">
      <alignment horizontal="right" vertical="center" wrapText="1"/>
      <protection hidden="1"/>
    </xf>
    <xf numFmtId="167" fontId="47" fillId="18" borderId="24" xfId="0" applyNumberFormat="1" applyFont="1" applyFill="1" applyBorder="1" applyAlignment="1" applyProtection="1">
      <alignment horizontal="right" vertical="center" wrapText="1"/>
      <protection hidden="1"/>
    </xf>
    <xf numFmtId="0" fontId="17" fillId="19" borderId="37" xfId="0" applyNumberFormat="1" applyFont="1" applyFill="1" applyBorder="1" applyAlignment="1" applyProtection="1">
      <alignment horizontal="left" vertical="center" wrapText="1" indent="5"/>
      <protection hidden="1"/>
    </xf>
    <xf numFmtId="0" fontId="17" fillId="17" borderId="37" xfId="0" applyNumberFormat="1" applyFont="1" applyFill="1" applyBorder="1" applyAlignment="1" applyProtection="1">
      <alignment horizontal="left" vertical="center" wrapText="1" indent="5"/>
      <protection hidden="1"/>
    </xf>
    <xf numFmtId="0" fontId="17" fillId="18" borderId="37" xfId="0" applyNumberFormat="1" applyFont="1" applyFill="1" applyBorder="1" applyAlignment="1" applyProtection="1">
      <alignment horizontal="left" vertical="center" wrapText="1" indent="5"/>
      <protection hidden="1"/>
    </xf>
    <xf numFmtId="0" fontId="12" fillId="0" borderId="24" xfId="0" applyNumberFormat="1" applyFont="1" applyFill="1" applyBorder="1" applyAlignment="1" applyProtection="1">
      <alignment horizontal="left" vertical="center" wrapText="1"/>
      <protection hidden="1"/>
    </xf>
    <xf numFmtId="49" fontId="62" fillId="0" borderId="37" xfId="4" applyNumberFormat="1" applyFont="1" applyBorder="1" applyAlignment="1" applyProtection="1">
      <alignment horizontal="left" vertical="center" wrapText="1" indent="5"/>
      <protection hidden="1"/>
    </xf>
    <xf numFmtId="0" fontId="17" fillId="0" borderId="23" xfId="0" applyNumberFormat="1" applyFont="1" applyFill="1" applyBorder="1" applyAlignment="1" applyProtection="1">
      <alignment horizontal="center" vertical="center" wrapText="1"/>
      <protection hidden="1"/>
    </xf>
    <xf numFmtId="49" fontId="17" fillId="20" borderId="37" xfId="0" applyNumberFormat="1" applyFont="1" applyFill="1" applyBorder="1" applyAlignment="1" applyProtection="1">
      <alignment horizontal="left" vertical="center" wrapText="1" indent="5"/>
      <protection hidden="1"/>
    </xf>
    <xf numFmtId="0" fontId="17" fillId="20" borderId="24" xfId="0" applyNumberFormat="1" applyFont="1" applyFill="1" applyBorder="1" applyAlignment="1" applyProtection="1">
      <alignment horizontal="center" vertical="center" wrapText="1"/>
      <protection hidden="1"/>
    </xf>
    <xf numFmtId="169" fontId="46" fillId="20" borderId="38" xfId="0" applyNumberFormat="1" applyFont="1" applyFill="1" applyBorder="1" applyAlignment="1" applyProtection="1">
      <alignment vertical="center" wrapText="1"/>
      <protection hidden="1"/>
    </xf>
    <xf numFmtId="3" fontId="10" fillId="20" borderId="37" xfId="0" applyNumberFormat="1" applyFont="1" applyFill="1" applyBorder="1" applyAlignment="1" applyProtection="1">
      <alignment horizontal="center" vertical="center" wrapText="1"/>
      <protection hidden="1"/>
    </xf>
    <xf numFmtId="167" fontId="47" fillId="20" borderId="24" xfId="0" applyNumberFormat="1" applyFont="1" applyFill="1" applyBorder="1" applyAlignment="1" applyProtection="1">
      <alignment horizontal="right" vertical="center" wrapText="1"/>
      <protection hidden="1"/>
    </xf>
    <xf numFmtId="3" fontId="48" fillId="20" borderId="38" xfId="0" applyNumberFormat="1" applyFont="1" applyFill="1" applyBorder="1" applyAlignment="1" applyProtection="1">
      <alignment horizontal="center" vertical="center" wrapText="1"/>
      <protection hidden="1"/>
    </xf>
    <xf numFmtId="3" fontId="48" fillId="20" borderId="37" xfId="0" applyNumberFormat="1" applyFont="1" applyFill="1" applyBorder="1" applyAlignment="1" applyProtection="1">
      <alignment horizontal="center" vertical="center" wrapText="1"/>
      <protection hidden="1"/>
    </xf>
    <xf numFmtId="3" fontId="47" fillId="20" borderId="24" xfId="0" applyNumberFormat="1" applyFont="1" applyFill="1" applyBorder="1" applyAlignment="1" applyProtection="1">
      <alignment horizontal="right" vertical="center" wrapText="1"/>
      <protection hidden="1"/>
    </xf>
    <xf numFmtId="3" fontId="10" fillId="20" borderId="38" xfId="0" applyNumberFormat="1" applyFont="1" applyFill="1" applyBorder="1" applyAlignment="1" applyProtection="1">
      <alignment horizontal="center" vertical="center" wrapText="1"/>
      <protection hidden="1"/>
    </xf>
    <xf numFmtId="49" fontId="17" fillId="0" borderId="24" xfId="0" applyNumberFormat="1" applyFont="1" applyFill="1" applyBorder="1" applyAlignment="1" applyProtection="1">
      <alignment horizontal="left" vertical="center" wrapText="1" indent="5"/>
      <protection hidden="1"/>
    </xf>
    <xf numFmtId="2" fontId="46" fillId="0" borderId="38" xfId="0" applyNumberFormat="1" applyFont="1" applyFill="1" applyBorder="1" applyAlignment="1" applyProtection="1">
      <alignment vertical="center" wrapText="1"/>
      <protection hidden="1"/>
    </xf>
    <xf numFmtId="0" fontId="33" fillId="0" borderId="0" xfId="0" applyNumberFormat="1" applyFont="1" applyFill="1" applyBorder="1" applyAlignment="1" applyProtection="1">
      <alignment vertical="center"/>
      <protection hidden="1"/>
    </xf>
    <xf numFmtId="3" fontId="63" fillId="0" borderId="0" xfId="0" applyNumberFormat="1" applyFont="1" applyFill="1" applyBorder="1" applyAlignment="1" applyProtection="1">
      <alignment vertical="center"/>
      <protection hidden="1"/>
    </xf>
    <xf numFmtId="0" fontId="64" fillId="0" borderId="0" xfId="0" applyNumberFormat="1" applyFont="1" applyFill="1" applyBorder="1" applyAlignment="1" applyProtection="1">
      <alignment vertical="center"/>
      <protection hidden="1"/>
    </xf>
    <xf numFmtId="0" fontId="65" fillId="0" borderId="0" xfId="0" applyNumberFormat="1" applyFont="1" applyFill="1" applyBorder="1" applyAlignment="1" applyProtection="1">
      <alignment vertical="center"/>
      <protection hidden="1"/>
    </xf>
    <xf numFmtId="0" fontId="33" fillId="0" borderId="0" xfId="0" applyFont="1" applyFill="1" applyBorder="1" applyProtection="1">
      <protection hidden="1"/>
    </xf>
    <xf numFmtId="0" fontId="64" fillId="0" borderId="0" xfId="0" applyFont="1" applyFill="1" applyBorder="1" applyProtection="1">
      <protection hidden="1"/>
    </xf>
    <xf numFmtId="171" fontId="46" fillId="19" borderId="38" xfId="0" applyNumberFormat="1" applyFont="1" applyFill="1" applyBorder="1" applyAlignment="1" applyProtection="1">
      <alignment vertical="center" wrapText="1"/>
      <protection hidden="1"/>
    </xf>
    <xf numFmtId="171" fontId="46" fillId="18" borderId="38" xfId="0" applyNumberFormat="1" applyFont="1" applyFill="1" applyBorder="1" applyAlignment="1" applyProtection="1">
      <alignment vertical="center" wrapText="1"/>
      <protection hidden="1"/>
    </xf>
    <xf numFmtId="0" fontId="13" fillId="3" borderId="0" xfId="0" applyFont="1" applyAlignment="1" applyProtection="1">
      <alignment vertical="top"/>
      <protection locked="0"/>
    </xf>
    <xf numFmtId="49" fontId="12" fillId="0" borderId="37" xfId="0" applyNumberFormat="1" applyFont="1" applyFill="1" applyBorder="1" applyAlignment="1" applyProtection="1">
      <alignment horizontal="left" vertical="center" wrapText="1"/>
    </xf>
    <xf numFmtId="49" fontId="35" fillId="0" borderId="0" xfId="0" applyNumberFormat="1" applyFont="1" applyFill="1" applyBorder="1" applyAlignment="1" applyProtection="1">
      <alignment horizontal="left"/>
      <protection hidden="1"/>
    </xf>
    <xf numFmtId="0" fontId="13" fillId="0" borderId="0" xfId="0" applyNumberFormat="1" applyFont="1" applyFill="1" applyProtection="1">
      <protection hidden="1"/>
    </xf>
    <xf numFmtId="0" fontId="13" fillId="0" borderId="0" xfId="0" applyFont="1" applyFill="1" applyProtection="1">
      <protection hidden="1"/>
    </xf>
    <xf numFmtId="0" fontId="54" fillId="0" borderId="0" xfId="0" applyFont="1" applyFill="1" applyProtection="1">
      <protection hidden="1"/>
    </xf>
    <xf numFmtId="0" fontId="12" fillId="0" borderId="0" xfId="0" applyFont="1" applyFill="1" applyProtection="1">
      <protection hidden="1"/>
    </xf>
    <xf numFmtId="3" fontId="67" fillId="0" borderId="24" xfId="0" applyNumberFormat="1" applyFont="1" applyFill="1" applyBorder="1" applyAlignment="1" applyProtection="1">
      <alignment horizontal="center" vertical="center" wrapText="1"/>
      <protection hidden="1"/>
    </xf>
    <xf numFmtId="0" fontId="44" fillId="0" borderId="0" xfId="0" applyFont="1" applyFill="1" applyBorder="1" applyAlignment="1" applyProtection="1">
      <alignment horizontal="center"/>
      <protection hidden="1"/>
    </xf>
    <xf numFmtId="3" fontId="44" fillId="0" borderId="15" xfId="0" applyNumberFormat="1" applyFont="1" applyFill="1" applyBorder="1" applyAlignment="1" applyProtection="1">
      <alignment horizontal="center"/>
      <protection hidden="1"/>
    </xf>
    <xf numFmtId="49" fontId="10" fillId="0" borderId="43" xfId="0" applyNumberFormat="1" applyFont="1" applyFill="1" applyBorder="1" applyAlignment="1" applyProtection="1">
      <protection hidden="1"/>
    </xf>
    <xf numFmtId="0" fontId="13" fillId="0" borderId="43" xfId="0" applyNumberFormat="1" applyFont="1" applyFill="1" applyBorder="1" applyAlignment="1" applyProtection="1">
      <alignment vertical="center"/>
      <protection hidden="1"/>
    </xf>
    <xf numFmtId="3" fontId="10" fillId="0" borderId="43" xfId="0" applyNumberFormat="1" applyFont="1" applyFill="1" applyBorder="1" applyAlignment="1" applyProtection="1">
      <alignment vertical="center"/>
      <protection hidden="1"/>
    </xf>
    <xf numFmtId="0" fontId="54" fillId="0" borderId="43" xfId="0" applyNumberFormat="1" applyFont="1" applyFill="1" applyBorder="1" applyAlignment="1" applyProtection="1">
      <alignment vertical="center"/>
      <protection hidden="1"/>
    </xf>
    <xf numFmtId="0" fontId="55" fillId="0" borderId="43" xfId="0" applyNumberFormat="1" applyFont="1" applyFill="1" applyBorder="1" applyAlignment="1" applyProtection="1">
      <alignment vertical="center"/>
      <protection hidden="1"/>
    </xf>
    <xf numFmtId="9" fontId="44" fillId="0" borderId="43" xfId="0" applyNumberFormat="1" applyFont="1" applyFill="1" applyBorder="1" applyAlignment="1" applyProtection="1">
      <alignment horizontal="center"/>
      <protection hidden="1"/>
    </xf>
    <xf numFmtId="0" fontId="54" fillId="0" borderId="43" xfId="0" applyFont="1" applyFill="1" applyBorder="1" applyProtection="1">
      <protection hidden="1"/>
    </xf>
    <xf numFmtId="3" fontId="35" fillId="0" borderId="43" xfId="0" applyNumberFormat="1" applyFont="1" applyFill="1" applyBorder="1" applyAlignment="1" applyProtection="1">
      <alignment horizontal="right"/>
      <protection hidden="1"/>
    </xf>
    <xf numFmtId="0" fontId="13" fillId="0" borderId="0" xfId="0" applyFont="1" applyFill="1" applyBorder="1" applyProtection="1">
      <protection hidden="1"/>
    </xf>
    <xf numFmtId="49" fontId="68" fillId="10" borderId="39" xfId="3" applyNumberFormat="1" applyFont="1" applyBorder="1" applyAlignment="1" applyProtection="1">
      <alignment horizontal="left" vertical="center" wrapText="1"/>
      <protection hidden="1"/>
    </xf>
    <xf numFmtId="0" fontId="17" fillId="0" borderId="24" xfId="0" applyNumberFormat="1" applyFont="1" applyFill="1" applyBorder="1" applyAlignment="1" applyProtection="1">
      <alignment horizontal="left" vertical="center" wrapText="1" indent="5"/>
      <protection hidden="1"/>
    </xf>
    <xf numFmtId="0" fontId="10" fillId="0" borderId="42" xfId="0" applyNumberFormat="1" applyFont="1" applyFill="1" applyBorder="1" applyAlignment="1" applyProtection="1">
      <protection hidden="1"/>
    </xf>
    <xf numFmtId="0" fontId="16" fillId="0" borderId="0" xfId="0" applyFont="1" applyFill="1" applyBorder="1" applyAlignment="1" applyProtection="1">
      <alignment horizontal="center"/>
      <protection hidden="1"/>
    </xf>
    <xf numFmtId="49" fontId="69" fillId="0" borderId="0" xfId="0" applyNumberFormat="1" applyFont="1" applyFill="1" applyBorder="1" applyAlignment="1" applyProtection="1">
      <protection hidden="1"/>
    </xf>
    <xf numFmtId="3" fontId="36" fillId="0" borderId="0" xfId="0" applyNumberFormat="1" applyFont="1" applyFill="1" applyBorder="1" applyAlignment="1" applyProtection="1">
      <alignment horizontal="center"/>
      <protection hidden="1"/>
    </xf>
    <xf numFmtId="0" fontId="13" fillId="0" borderId="42" xfId="0" applyNumberFormat="1" applyFont="1" applyFill="1" applyBorder="1" applyAlignment="1" applyProtection="1">
      <alignment vertical="center"/>
      <protection hidden="1"/>
    </xf>
    <xf numFmtId="3" fontId="10" fillId="0" borderId="42" xfId="0" applyNumberFormat="1" applyFont="1" applyFill="1" applyBorder="1" applyAlignment="1" applyProtection="1">
      <alignment vertical="center"/>
      <protection hidden="1"/>
    </xf>
    <xf numFmtId="0" fontId="54" fillId="0" borderId="42" xfId="0" applyNumberFormat="1" applyFont="1" applyFill="1" applyBorder="1" applyAlignment="1" applyProtection="1">
      <alignment vertical="center"/>
      <protection hidden="1"/>
    </xf>
    <xf numFmtId="0" fontId="55" fillId="0" borderId="42" xfId="0" applyNumberFormat="1" applyFont="1" applyFill="1" applyBorder="1" applyAlignment="1" applyProtection="1">
      <alignment vertical="center"/>
      <protection hidden="1"/>
    </xf>
    <xf numFmtId="0" fontId="54" fillId="0" borderId="42" xfId="0" applyFont="1" applyFill="1" applyBorder="1" applyProtection="1">
      <protection hidden="1"/>
    </xf>
    <xf numFmtId="3" fontId="35" fillId="0" borderId="42" xfId="0" applyNumberFormat="1" applyFont="1" applyFill="1" applyBorder="1" applyAlignment="1" applyProtection="1">
      <alignment horizontal="right"/>
      <protection hidden="1"/>
    </xf>
    <xf numFmtId="49" fontId="66" fillId="0" borderId="44" xfId="0" applyNumberFormat="1" applyFont="1" applyFill="1" applyBorder="1" applyAlignment="1" applyProtection="1">
      <protection hidden="1"/>
    </xf>
    <xf numFmtId="0" fontId="2" fillId="0" borderId="44" xfId="0" applyNumberFormat="1" applyFont="1" applyFill="1" applyBorder="1" applyAlignment="1" applyProtection="1">
      <alignment vertical="center"/>
      <protection hidden="1"/>
    </xf>
    <xf numFmtId="3" fontId="56" fillId="0" borderId="44" xfId="0" applyNumberFormat="1" applyFont="1" applyFill="1" applyBorder="1" applyAlignment="1" applyProtection="1">
      <alignment vertical="center"/>
      <protection hidden="1"/>
    </xf>
    <xf numFmtId="0" fontId="57" fillId="0" borderId="44" xfId="0" applyNumberFormat="1" applyFont="1" applyFill="1" applyBorder="1" applyAlignment="1" applyProtection="1">
      <alignment vertical="center"/>
      <protection hidden="1"/>
    </xf>
    <xf numFmtId="0" fontId="58" fillId="0" borderId="44" xfId="0" applyNumberFormat="1" applyFont="1" applyFill="1" applyBorder="1" applyAlignment="1" applyProtection="1">
      <alignment vertical="center"/>
      <protection hidden="1"/>
    </xf>
    <xf numFmtId="0" fontId="2" fillId="0" borderId="44" xfId="0" applyFont="1" applyFill="1" applyBorder="1" applyProtection="1">
      <protection hidden="1"/>
    </xf>
    <xf numFmtId="0" fontId="57" fillId="0" borderId="44" xfId="0" applyFont="1" applyFill="1" applyBorder="1" applyProtection="1">
      <protection hidden="1"/>
    </xf>
    <xf numFmtId="3" fontId="3" fillId="0" borderId="44" xfId="0" applyNumberFormat="1" applyFont="1" applyFill="1" applyBorder="1" applyAlignment="1" applyProtection="1">
      <alignment horizontal="right"/>
      <protection hidden="1"/>
    </xf>
    <xf numFmtId="0" fontId="1" fillId="0" borderId="0" xfId="7" applyNumberFormat="1" applyFont="1" applyBorder="1" applyAlignment="1" applyProtection="1">
      <protection hidden="1"/>
    </xf>
    <xf numFmtId="0" fontId="61" fillId="0" borderId="0" xfId="0" applyFont="1" applyFill="1" applyBorder="1" applyAlignment="1" applyProtection="1">
      <alignment horizontal="right"/>
      <protection hidden="1"/>
    </xf>
    <xf numFmtId="49" fontId="13" fillId="0" borderId="0" xfId="0" applyNumberFormat="1" applyFont="1" applyFill="1" applyProtection="1">
      <protection hidden="1"/>
    </xf>
    <xf numFmtId="49" fontId="70" fillId="0" borderId="0" xfId="0" applyNumberFormat="1" applyFont="1" applyFill="1" applyBorder="1" applyAlignment="1" applyProtection="1">
      <alignment horizontal="left"/>
      <protection hidden="1"/>
    </xf>
    <xf numFmtId="3" fontId="71" fillId="0" borderId="0" xfId="0" applyNumberFormat="1" applyFont="1" applyFill="1" applyBorder="1" applyAlignment="1" applyProtection="1">
      <alignment horizontal="left" vertical="top" wrapText="1"/>
      <protection hidden="1"/>
    </xf>
    <xf numFmtId="3" fontId="35" fillId="0" borderId="0" xfId="0" applyNumberFormat="1" applyFont="1" applyFill="1" applyBorder="1" applyAlignment="1" applyProtection="1">
      <alignment horizontal="left" vertical="top" wrapText="1"/>
      <protection hidden="1"/>
    </xf>
    <xf numFmtId="49" fontId="71" fillId="0" borderId="0" xfId="0" applyNumberFormat="1" applyFont="1" applyFill="1" applyBorder="1" applyAlignment="1" applyProtection="1">
      <alignment horizontal="left" vertical="top"/>
      <protection hidden="1"/>
    </xf>
    <xf numFmtId="0" fontId="13" fillId="0" borderId="0" xfId="0" applyNumberFormat="1" applyFont="1" applyFill="1" applyAlignment="1" applyProtection="1">
      <alignment vertical="top"/>
      <protection hidden="1"/>
    </xf>
    <xf numFmtId="0" fontId="13" fillId="0" borderId="0" xfId="0" applyFont="1" applyFill="1" applyAlignment="1" applyProtection="1">
      <alignment vertical="top"/>
      <protection hidden="1"/>
    </xf>
    <xf numFmtId="0" fontId="54" fillId="0" borderId="0" xfId="0" applyFont="1" applyFill="1" applyAlignment="1" applyProtection="1">
      <alignment vertical="top"/>
      <protection hidden="1"/>
    </xf>
    <xf numFmtId="0" fontId="12" fillId="0" borderId="0" xfId="0" applyFont="1" applyFill="1" applyAlignment="1" applyProtection="1">
      <alignment vertical="top"/>
      <protection hidden="1"/>
    </xf>
    <xf numFmtId="0" fontId="0" fillId="4" borderId="0" xfId="0" applyFill="1" applyProtection="1">
      <protection hidden="1"/>
    </xf>
    <xf numFmtId="166" fontId="30" fillId="9" borderId="0" xfId="0" applyNumberFormat="1" applyFont="1" applyFill="1" applyAlignment="1" applyProtection="1">
      <alignment vertical="center"/>
      <protection hidden="1"/>
    </xf>
    <xf numFmtId="0" fontId="4" fillId="3" borderId="0" xfId="0" applyFont="1"/>
    <xf numFmtId="0" fontId="36" fillId="3" borderId="0" xfId="0" applyFont="1" applyAlignment="1">
      <alignment horizontal="right" vertical="center"/>
    </xf>
    <xf numFmtId="14" fontId="12" fillId="0" borderId="34" xfId="7" applyNumberFormat="1" applyFont="1" applyAlignment="1" applyProtection="1">
      <alignment horizontal="center" vertical="center"/>
      <protection locked="0"/>
    </xf>
    <xf numFmtId="14" fontId="36" fillId="21" borderId="34" xfId="6" applyNumberFormat="1" applyFont="1" applyFill="1" applyAlignment="1">
      <alignment horizontal="center" vertical="center"/>
    </xf>
    <xf numFmtId="49" fontId="36" fillId="4" borderId="0" xfId="0" applyNumberFormat="1" applyFont="1" applyFill="1" applyAlignment="1">
      <alignment horizontal="center" vertical="top"/>
    </xf>
    <xf numFmtId="0" fontId="4" fillId="4" borderId="0" xfId="0" applyFont="1" applyFill="1" applyAlignment="1">
      <alignment vertical="top" wrapText="1"/>
    </xf>
    <xf numFmtId="0" fontId="4" fillId="4" borderId="0" xfId="0" applyFont="1" applyFill="1"/>
    <xf numFmtId="0" fontId="4" fillId="4" borderId="0" xfId="0" applyFont="1" applyFill="1" applyAlignment="1">
      <alignment vertical="center"/>
    </xf>
    <xf numFmtId="0" fontId="0" fillId="3" borderId="0" xfId="0" applyProtection="1">
      <protection hidden="1"/>
    </xf>
    <xf numFmtId="166" fontId="81" fillId="9" borderId="0" xfId="0" applyNumberFormat="1" applyFont="1" applyFill="1" applyAlignment="1" applyProtection="1">
      <alignment horizontal="center" vertical="center"/>
      <protection locked="0" hidden="1"/>
    </xf>
    <xf numFmtId="14" fontId="32" fillId="3" borderId="0" xfId="0" applyNumberFormat="1" applyFont="1" applyProtection="1">
      <protection hidden="1"/>
    </xf>
    <xf numFmtId="14" fontId="0" fillId="3" borderId="0" xfId="0" applyNumberFormat="1" applyProtection="1">
      <protection hidden="1"/>
    </xf>
    <xf numFmtId="49" fontId="36" fillId="4" borderId="0" xfId="0" applyNumberFormat="1" applyFont="1" applyFill="1" applyAlignment="1">
      <alignment horizontal="center" vertical="center"/>
    </xf>
    <xf numFmtId="0" fontId="9" fillId="6" borderId="45" xfId="2" applyFont="1" applyFill="1" applyBorder="1" applyAlignment="1" applyProtection="1">
      <alignment horizontal="center" vertical="center" wrapText="1"/>
      <protection locked="0" hidden="1"/>
    </xf>
    <xf numFmtId="0" fontId="9" fillId="6" borderId="46" xfId="2" applyFont="1" applyFill="1" applyBorder="1" applyAlignment="1" applyProtection="1">
      <alignment horizontal="center" vertical="center" wrapText="1"/>
      <protection locked="0" hidden="1"/>
    </xf>
    <xf numFmtId="0" fontId="11" fillId="6" borderId="47" xfId="2" applyFont="1" applyFill="1" applyBorder="1" applyAlignment="1" applyProtection="1">
      <alignment horizontal="center" vertical="center" wrapText="1"/>
      <protection locked="0" hidden="1"/>
    </xf>
    <xf numFmtId="0" fontId="82" fillId="4" borderId="0" xfId="0" applyFont="1" applyFill="1" applyAlignment="1" applyProtection="1">
      <alignment horizontal="center" vertical="center"/>
      <protection hidden="1"/>
    </xf>
    <xf numFmtId="3" fontId="0" fillId="3" borderId="0" xfId="0" applyNumberFormat="1" applyProtection="1">
      <protection hidden="1"/>
    </xf>
    <xf numFmtId="0" fontId="3" fillId="4" borderId="0" xfId="0" applyFont="1" applyFill="1" applyAlignment="1" applyProtection="1">
      <alignment horizontal="center" vertical="center" wrapText="1"/>
      <protection hidden="1"/>
    </xf>
    <xf numFmtId="0" fontId="84" fillId="22" borderId="1" xfId="1" applyFont="1" applyFill="1" applyAlignment="1" applyProtection="1">
      <alignment horizontal="center" vertical="center"/>
      <protection hidden="1"/>
    </xf>
    <xf numFmtId="49" fontId="12" fillId="0" borderId="48" xfId="0" applyNumberFormat="1" applyFont="1" applyFill="1" applyBorder="1" applyAlignment="1" applyProtection="1">
      <alignment horizontal="left" vertical="center" wrapText="1"/>
      <protection hidden="1"/>
    </xf>
    <xf numFmtId="49" fontId="12" fillId="0" borderId="49" xfId="0" applyNumberFormat="1" applyFont="1" applyFill="1" applyBorder="1" applyAlignment="1" applyProtection="1">
      <alignment horizontal="left" vertical="center" wrapText="1"/>
      <protection hidden="1"/>
    </xf>
    <xf numFmtId="49" fontId="12" fillId="0" borderId="50" xfId="0" applyNumberFormat="1" applyFont="1" applyFill="1" applyBorder="1" applyAlignment="1" applyProtection="1">
      <alignment horizontal="left" vertical="center" wrapText="1"/>
      <protection hidden="1"/>
    </xf>
    <xf numFmtId="0" fontId="84" fillId="23" borderId="1" xfId="1" applyFont="1" applyFill="1" applyAlignment="1" applyProtection="1">
      <alignment horizontal="center" vertical="center"/>
      <protection hidden="1"/>
    </xf>
    <xf numFmtId="49" fontId="12" fillId="24" borderId="48" xfId="0" applyNumberFormat="1" applyFont="1" applyFill="1" applyBorder="1" applyAlignment="1" applyProtection="1">
      <alignment horizontal="left" vertical="center" wrapText="1"/>
      <protection hidden="1"/>
    </xf>
    <xf numFmtId="49" fontId="12" fillId="24" borderId="49" xfId="0" applyNumberFormat="1" applyFont="1" applyFill="1" applyBorder="1" applyAlignment="1" applyProtection="1">
      <alignment horizontal="left" vertical="center" wrapText="1"/>
      <protection hidden="1"/>
    </xf>
    <xf numFmtId="49" fontId="12" fillId="24" borderId="50" xfId="0" applyNumberFormat="1" applyFont="1" applyFill="1" applyBorder="1" applyAlignment="1" applyProtection="1">
      <alignment horizontal="left" vertical="center" wrapText="1"/>
      <protection hidden="1"/>
    </xf>
    <xf numFmtId="49" fontId="12" fillId="0" borderId="48" xfId="0" applyNumberFormat="1" applyFont="1" applyFill="1" applyBorder="1" applyAlignment="1" applyProtection="1">
      <alignment horizontal="left" vertical="center"/>
      <protection hidden="1"/>
    </xf>
    <xf numFmtId="49" fontId="12" fillId="0" borderId="49" xfId="0" applyNumberFormat="1" applyFont="1" applyFill="1" applyBorder="1" applyAlignment="1" applyProtection="1">
      <alignment horizontal="left" vertical="center"/>
      <protection hidden="1"/>
    </xf>
    <xf numFmtId="49" fontId="12" fillId="0" borderId="50" xfId="0" applyNumberFormat="1" applyFont="1" applyFill="1" applyBorder="1" applyAlignment="1" applyProtection="1">
      <alignment horizontal="left" vertical="center"/>
      <protection hidden="1"/>
    </xf>
    <xf numFmtId="0" fontId="84" fillId="21" borderId="1" xfId="1" applyFont="1" applyFill="1" applyAlignment="1" applyProtection="1">
      <alignment horizontal="center" vertical="center"/>
      <protection hidden="1"/>
    </xf>
    <xf numFmtId="49" fontId="12" fillId="4" borderId="48" xfId="0" applyNumberFormat="1" applyFont="1" applyFill="1" applyBorder="1" applyAlignment="1" applyProtection="1">
      <alignment horizontal="left" vertical="center" wrapText="1"/>
      <protection hidden="1"/>
    </xf>
    <xf numFmtId="49" fontId="12" fillId="4" borderId="49" xfId="0" applyNumberFormat="1" applyFont="1" applyFill="1" applyBorder="1" applyAlignment="1" applyProtection="1">
      <alignment horizontal="left" vertical="center" wrapText="1"/>
      <protection hidden="1"/>
    </xf>
    <xf numFmtId="49" fontId="12" fillId="4" borderId="50" xfId="0" applyNumberFormat="1" applyFont="1" applyFill="1" applyBorder="1" applyAlignment="1" applyProtection="1">
      <alignment horizontal="left" vertical="center" wrapText="1"/>
      <protection hidden="1"/>
    </xf>
    <xf numFmtId="3" fontId="84" fillId="22" borderId="1" xfId="1" applyNumberFormat="1" applyFont="1" applyFill="1" applyAlignment="1" applyProtection="1">
      <alignment horizontal="center" vertical="center"/>
      <protection hidden="1"/>
    </xf>
    <xf numFmtId="0" fontId="9" fillId="6" borderId="47" xfId="2" applyFont="1" applyFill="1" applyBorder="1" applyAlignment="1" applyProtection="1">
      <alignment horizontal="center" vertical="center" wrapText="1"/>
      <protection locked="0" hidden="1"/>
    </xf>
    <xf numFmtId="49" fontId="85" fillId="25" borderId="0" xfId="0" applyNumberFormat="1" applyFont="1" applyFill="1" applyAlignment="1">
      <alignment horizontal="center" vertical="center"/>
    </xf>
    <xf numFmtId="0" fontId="86" fillId="4" borderId="0" xfId="0" applyFont="1" applyFill="1" applyAlignment="1">
      <alignment horizontal="left" vertical="top" wrapText="1" indent="1"/>
    </xf>
    <xf numFmtId="0" fontId="87" fillId="4" borderId="0" xfId="0" applyFont="1" applyFill="1" applyAlignment="1">
      <alignment horizontal="left" vertical="top"/>
    </xf>
    <xf numFmtId="0" fontId="66" fillId="26" borderId="16" xfId="0" applyFont="1" applyFill="1" applyBorder="1" applyAlignment="1">
      <alignment horizontal="center"/>
    </xf>
    <xf numFmtId="0" fontId="66" fillId="26" borderId="17" xfId="0" applyFont="1" applyFill="1" applyBorder="1" applyAlignment="1">
      <alignment horizontal="center"/>
    </xf>
    <xf numFmtId="0" fontId="66" fillId="26" borderId="18" xfId="0" applyFont="1" applyFill="1" applyBorder="1" applyAlignment="1">
      <alignment horizontal="center"/>
    </xf>
    <xf numFmtId="49" fontId="36" fillId="4" borderId="0" xfId="0" applyNumberFormat="1" applyFont="1" applyFill="1" applyBorder="1" applyAlignment="1">
      <alignment horizontal="center"/>
    </xf>
    <xf numFmtId="0" fontId="36" fillId="4" borderId="0" xfId="0" applyFont="1" applyFill="1" applyBorder="1" applyAlignment="1">
      <alignment horizontal="center"/>
    </xf>
    <xf numFmtId="49" fontId="36" fillId="4" borderId="0" xfId="0" applyNumberFormat="1" applyFont="1" applyFill="1" applyBorder="1" applyAlignment="1">
      <alignment horizontal="center" vertical="top"/>
    </xf>
    <xf numFmtId="0" fontId="36" fillId="4" borderId="51" xfId="0" applyFont="1" applyFill="1" applyBorder="1" applyAlignment="1">
      <alignment horizontal="left" vertical="top" wrapText="1"/>
    </xf>
    <xf numFmtId="0" fontId="36" fillId="4" borderId="52" xfId="0" applyFont="1" applyFill="1" applyBorder="1" applyAlignment="1">
      <alignment horizontal="left" vertical="top" wrapText="1"/>
    </xf>
    <xf numFmtId="0" fontId="36" fillId="4" borderId="53" xfId="0" applyFont="1" applyFill="1" applyBorder="1" applyAlignment="1">
      <alignment horizontal="left" vertical="top" wrapText="1"/>
    </xf>
    <xf numFmtId="0" fontId="36" fillId="4" borderId="0" xfId="0" applyFont="1" applyFill="1" applyBorder="1" applyAlignment="1">
      <alignment vertical="top" wrapText="1"/>
    </xf>
    <xf numFmtId="0" fontId="88" fillId="4" borderId="54" xfId="0" applyFont="1" applyFill="1" applyBorder="1" applyAlignment="1">
      <alignment horizontal="left" vertical="top" wrapText="1" indent="2"/>
    </xf>
    <xf numFmtId="0" fontId="88" fillId="4" borderId="55" xfId="0" applyFont="1" applyFill="1" applyBorder="1" applyAlignment="1">
      <alignment horizontal="left" vertical="top" wrapText="1" indent="2"/>
    </xf>
    <xf numFmtId="0" fontId="88" fillId="4" borderId="56" xfId="0" applyFont="1" applyFill="1" applyBorder="1" applyAlignment="1">
      <alignment horizontal="left" vertical="top" wrapText="1" indent="2"/>
    </xf>
    <xf numFmtId="0" fontId="88" fillId="4" borderId="0" xfId="0" applyFont="1" applyFill="1" applyBorder="1" applyAlignment="1">
      <alignment vertical="top" wrapText="1"/>
    </xf>
    <xf numFmtId="49" fontId="89" fillId="4" borderId="0" xfId="0" applyNumberFormat="1" applyFont="1" applyFill="1" applyAlignment="1">
      <alignment horizontal="center" vertical="top" wrapText="1"/>
    </xf>
    <xf numFmtId="49" fontId="89" fillId="4" borderId="0" xfId="0" applyNumberFormat="1" applyFont="1" applyFill="1" applyAlignment="1">
      <alignment horizontal="center" vertical="top"/>
    </xf>
    <xf numFmtId="49" fontId="36" fillId="3" borderId="0" xfId="0" applyNumberFormat="1" applyFont="1" applyAlignment="1">
      <alignment horizontal="center" vertical="top"/>
    </xf>
    <xf numFmtId="0" fontId="4" fillId="3" borderId="0" xfId="0" applyFont="1" applyAlignment="1">
      <alignment vertical="top" wrapText="1"/>
    </xf>
    <xf numFmtId="19" fontId="42" fillId="13" borderId="35" xfId="0" applyNumberFormat="1" applyFont="1" applyFill="1" applyBorder="1" applyAlignment="1" applyProtection="1">
      <alignment horizontal="center" vertical="center"/>
      <protection locked="0" hidden="1"/>
    </xf>
    <xf numFmtId="3" fontId="91" fillId="27" borderId="0" xfId="0" applyNumberFormat="1" applyFont="1" applyFill="1" applyBorder="1" applyAlignment="1" applyProtection="1">
      <alignment horizontal="center" vertical="center"/>
      <protection hidden="1"/>
    </xf>
    <xf numFmtId="0" fontId="0" fillId="3" borderId="0" xfId="0" applyAlignment="1">
      <alignment horizontal="center" vertical="center"/>
    </xf>
    <xf numFmtId="2" fontId="0" fillId="3" borderId="0" xfId="0" applyNumberFormat="1"/>
    <xf numFmtId="0" fontId="60" fillId="0" borderId="0" xfId="9"/>
  </cellXfs>
  <cellStyles count="10">
    <cellStyle name="Белый" xfId="8" xr:uid="{661CEB78-4BF2-4D75-BB86-0DFA65CE170E}"/>
    <cellStyle name="Ввод" xfId="7" xr:uid="{673A48ED-3A43-4783-A960-956B95C9EE83}"/>
    <cellStyle name="Вывод" xfId="1" builtinId="21"/>
    <cellStyle name="Гиперссылка" xfId="2" builtinId="8" customBuiltin="1"/>
    <cellStyle name="Константа" xfId="5" xr:uid="{99FF0BE9-8ABE-4B30-B542-8D3A14837659}"/>
    <cellStyle name="Обычный" xfId="0" builtinId="0"/>
    <cellStyle name="Обычный 3" xfId="9" xr:uid="{8D28EF1B-2428-4D1F-AD71-3E58B7C2759D}"/>
    <cellStyle name="УслФормат" xfId="4" xr:uid="{ACCA90F8-58F6-4CD8-99AF-588A80E327AC}"/>
    <cellStyle name="Формула" xfId="6" xr:uid="{7DE5CED3-AA9E-48D7-94B9-D7063B7EC97A}"/>
    <cellStyle name="Штрих" xfId="3" xr:uid="{405CCEBC-8017-4BAE-9680-7258C414B6B0}"/>
  </cellStyles>
  <dxfs count="119">
    <dxf>
      <font>
        <strike/>
      </font>
      <fill>
        <patternFill>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fill>
        <patternFill>
          <fgColor rgb="FFEBF0DC"/>
          <bgColor rgb="FFEBF0DC"/>
        </patternFill>
      </fill>
    </dxf>
    <dxf>
      <font>
        <strike/>
      </font>
      <fill>
        <patternFill>
          <fgColor rgb="FFD9D9D9"/>
          <bgColor rgb="FFD9D9D9"/>
        </patternFill>
      </fill>
    </dxf>
    <dxf>
      <font>
        <strike/>
      </font>
      <numFmt numFmtId="30" formatCode="@"/>
      <fill>
        <patternFill patternType="solid">
          <fgColor theme="0" tint="-0.14996795556505021"/>
          <bgColor theme="0" tint="-0.14996795556505021"/>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rgb="FFD9D9D9"/>
          <bgColor rgb="FFD9D9D9"/>
        </patternFill>
      </fill>
    </dxf>
    <dxf>
      <font>
        <strike/>
      </font>
      <numFmt numFmtId="30" formatCode="@"/>
      <fill>
        <patternFill patternType="solid">
          <fgColor theme="0" tint="-0.14996795556505021"/>
          <bgColor theme="0" tint="-0.14996795556505021"/>
        </patternFill>
      </fill>
    </dxf>
    <dxf>
      <font>
        <strike/>
      </font>
      <numFmt numFmtId="30" formatCode="@"/>
      <fill>
        <patternFill patternType="solid">
          <fgColor theme="0" tint="-0.1498764000366222"/>
          <bgColor rgb="FF8C785F"/>
        </patternFill>
      </fill>
    </dxf>
    <dxf>
      <font>
        <strike/>
      </font>
      <numFmt numFmtId="30" formatCode="@"/>
      <fill>
        <patternFill patternType="solid">
          <fgColor theme="0" tint="-0.14996795556505021"/>
          <bgColor theme="0" tint="-0.14996795556505021"/>
        </patternFill>
      </fill>
    </dxf>
    <dxf>
      <font>
        <strike/>
      </font>
      <numFmt numFmtId="30" formatCode="@"/>
      <fill>
        <patternFill patternType="solid">
          <fgColor theme="0" tint="-0.14996795556505021"/>
          <bgColor theme="0" tint="-0.14996795556505021"/>
        </patternFill>
      </fill>
    </dxf>
    <dxf>
      <font>
        <strike/>
      </font>
      <numFmt numFmtId="30" formatCode="@"/>
      <fill>
        <patternFill patternType="solid">
          <fgColor theme="0" tint="-0.14993743705557422"/>
          <bgColor rgb="FFD9D9D9"/>
        </patternFill>
      </fill>
    </dxf>
    <dxf>
      <font>
        <strike/>
      </font>
      <numFmt numFmtId="30" formatCode="@"/>
      <fill>
        <patternFill patternType="solid">
          <fgColor theme="0" tint="-0.14996795556505021"/>
          <bgColor theme="0" tint="-0.14996795556505021"/>
        </patternFill>
      </fill>
    </dxf>
    <dxf>
      <font>
        <strike/>
      </font>
      <numFmt numFmtId="30" formatCode="@"/>
      <fill>
        <patternFill patternType="solid">
          <fgColor theme="0" tint="-0.14993743705557422"/>
          <bgColor theme="0" tint="-0.14993743705557422"/>
        </patternFill>
      </fill>
    </dxf>
    <dxf>
      <font>
        <strike/>
      </font>
      <numFmt numFmtId="30" formatCode="@"/>
      <fill>
        <patternFill patternType="solid">
          <fgColor theme="0" tint="-0.14996795556505021"/>
          <bgColor theme="0" tint="-0.14996795556505021"/>
        </patternFill>
      </fill>
    </dxf>
    <dxf>
      <font>
        <strike/>
      </font>
      <numFmt numFmtId="30" formatCode="@"/>
      <fill>
        <patternFill patternType="solid">
          <fgColor theme="0" tint="-0.14993743705557422"/>
          <bgColor theme="0" tint="-0.14993743705557422"/>
        </patternFill>
      </fill>
    </dxf>
    <dxf>
      <font>
        <strike/>
      </font>
      <numFmt numFmtId="30" formatCode="@"/>
      <fill>
        <patternFill patternType="solid">
          <fgColor theme="0" tint="-0.14993743705557422"/>
          <bgColor theme="0" tint="-0.14993743705557422"/>
        </patternFill>
      </fill>
    </dxf>
    <dxf>
      <font>
        <strike/>
      </font>
      <numFmt numFmtId="30" formatCode="@"/>
      <fill>
        <patternFill patternType="solid">
          <fgColor theme="0" tint="-0.14993743705557422"/>
          <bgColor theme="0" tint="-0.14996795556505021"/>
        </patternFill>
      </fill>
    </dxf>
    <dxf>
      <font>
        <strike/>
      </font>
      <numFmt numFmtId="30" formatCode="@"/>
      <fill>
        <patternFill patternType="solid">
          <fgColor theme="0" tint="-0.14990691854609822"/>
          <bgColor theme="0" tint="-0.14993743705557422"/>
        </patternFill>
      </fill>
    </dxf>
    <dxf>
      <font>
        <strike/>
      </font>
      <numFmt numFmtId="30" formatCode="@"/>
      <fill>
        <patternFill patternType="solid">
          <fgColor theme="0" tint="-0.14996795556505021"/>
          <bgColor theme="0" tint="-0.14996795556505021"/>
        </patternFill>
      </fill>
    </dxf>
    <dxf>
      <font>
        <strike/>
      </font>
      <numFmt numFmtId="30" formatCode="@"/>
      <fill>
        <patternFill patternType="solid">
          <fgColor theme="0" tint="-0.14996795556505021"/>
          <bgColor theme="0" tint="-0.14996795556505021"/>
        </patternFill>
      </fill>
    </dxf>
    <dxf>
      <font>
        <strike/>
      </font>
      <numFmt numFmtId="30" formatCode="@"/>
      <fill>
        <patternFill patternType="solid">
          <fgColor theme="0" tint="-0.14996795556505021"/>
          <bgColor theme="0" tint="-0.14996795556505021"/>
        </patternFill>
      </fill>
    </dxf>
    <dxf>
      <font>
        <strike/>
      </font>
      <numFmt numFmtId="30" formatCode="@"/>
      <fill>
        <patternFill patternType="solid">
          <fgColor theme="0" tint="-0.14996795556505021"/>
          <bgColor theme="0" tint="-0.14996795556505021"/>
        </patternFill>
      </fill>
    </dxf>
    <dxf>
      <font>
        <strike/>
      </font>
      <numFmt numFmtId="30" formatCode="@"/>
      <fill>
        <patternFill patternType="solid">
          <fgColor theme="0" tint="-0.14993743705557422"/>
          <bgColor theme="0" tint="-0.14996795556505021"/>
        </patternFill>
      </fill>
    </dxf>
    <dxf>
      <font>
        <strike/>
      </font>
      <numFmt numFmtId="30" formatCode="@"/>
      <fill>
        <patternFill patternType="solid">
          <fgColor theme="0" tint="-0.24994659260841701"/>
          <bgColor theme="0" tint="-0.14996795556505021"/>
        </patternFill>
      </fill>
    </dxf>
    <dxf>
      <font>
        <strike/>
      </font>
      <fill>
        <patternFill patternType="solid">
          <fgColor rgb="FFEBEAE5"/>
          <bgColor rgb="FFE1E1DC"/>
        </patternFill>
      </fill>
    </dxf>
    <dxf>
      <font>
        <strike/>
      </font>
      <fill>
        <patternFill>
          <fgColor rgb="FFE1E1DC"/>
          <bgColor rgb="FFE1E1DC"/>
        </patternFill>
      </fill>
    </dxf>
    <dxf>
      <font>
        <strike/>
      </font>
      <fill>
        <patternFill patternType="solid">
          <fgColor rgb="FFF5F5F5"/>
          <bgColor rgb="FFE1E1DC"/>
        </patternFill>
      </fill>
    </dxf>
    <dxf>
      <font>
        <strike/>
      </font>
      <fill>
        <patternFill patternType="solid">
          <fgColor rgb="FFF5F5F5"/>
          <bgColor rgb="FFE1E1DC"/>
        </patternFill>
      </fill>
    </dxf>
    <dxf>
      <font>
        <strike/>
      </font>
      <fill>
        <patternFill patternType="solid">
          <fgColor rgb="FFF5F5F5"/>
          <bgColor rgb="FFE1E1DC"/>
        </patternFill>
      </fill>
    </dxf>
    <dxf>
      <font>
        <strike/>
      </font>
      <fill>
        <patternFill>
          <fgColor rgb="FFE1E1DC"/>
          <bgColor rgb="FFE1E1DC"/>
        </patternFill>
      </fill>
    </dxf>
    <dxf>
      <fill>
        <patternFill>
          <fgColor rgb="FFFFF5D7"/>
          <bgColor rgb="FFFFF5D7"/>
        </patternFill>
      </fill>
    </dxf>
    <dxf>
      <fill>
        <patternFill>
          <fgColor rgb="FFE1E1DC"/>
          <bgColor rgb="FFE1E1DC"/>
        </patternFill>
      </fill>
    </dxf>
    <dxf>
      <fill>
        <patternFill>
          <fgColor rgb="FFFFF5D7"/>
          <bgColor rgb="FFFFF5D7"/>
        </patternFill>
      </fill>
    </dxf>
    <dxf>
      <font>
        <strike/>
      </font>
      <fill>
        <patternFill>
          <fgColor rgb="FFE1E1DC"/>
          <bgColor rgb="FFE1E1DC"/>
        </patternFill>
      </fill>
    </dxf>
    <dxf>
      <font>
        <strike/>
      </font>
      <fill>
        <patternFill patternType="solid">
          <fgColor rgb="FFEBEAE5"/>
          <bgColor rgb="FFE1E1DC"/>
        </patternFill>
      </fill>
    </dxf>
    <dxf>
      <font>
        <strike/>
      </font>
      <fill>
        <patternFill>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bgColor rgb="FFE1E1DC"/>
        </patternFill>
      </fill>
    </dxf>
    <dxf>
      <fill>
        <patternFill>
          <fgColor rgb="FFFFF0C3"/>
          <bgColor rgb="FFFFF0C3"/>
        </patternFill>
      </fill>
    </dxf>
    <dxf>
      <fill>
        <patternFill>
          <fgColor rgb="FFE1E1DC"/>
          <bgColor rgb="FFE1E1DC"/>
        </patternFill>
      </fill>
    </dxf>
    <dxf>
      <fill>
        <patternFill>
          <fgColor rgb="FFE1FFB9"/>
          <bgColor rgb="FFE1FFB9"/>
        </patternFill>
      </fill>
    </dxf>
    <dxf>
      <fill>
        <patternFill>
          <fgColor rgb="FFE1E1DC"/>
          <bgColor rgb="FFE1E1DC"/>
        </patternFill>
      </fill>
    </dxf>
    <dxf>
      <font>
        <strike val="0"/>
      </font>
      <fill>
        <patternFill>
          <fgColor rgb="FFC3FAFF"/>
          <bgColor rgb="FFC3FAFF"/>
        </patternFill>
      </fill>
    </dxf>
    <dxf>
      <font>
        <strike/>
      </font>
      <fill>
        <patternFill>
          <fgColor rgb="FFE1E1DC"/>
          <bgColor rgb="FFE1E1DC"/>
        </patternFill>
      </fill>
    </dxf>
    <dxf>
      <font>
        <strike/>
      </font>
      <fill>
        <patternFill>
          <fgColor rgb="FFE1E1DC"/>
          <bgColor rgb="FFE1E1DC"/>
        </patternFill>
      </fill>
    </dxf>
    <dxf>
      <font>
        <strike/>
      </font>
      <fill>
        <patternFill>
          <fgColor rgb="FFE1E1DC"/>
          <bgColor rgb="FFE1E1DC"/>
        </patternFill>
      </fill>
    </dxf>
    <dxf>
      <fill>
        <patternFill>
          <fgColor rgb="FFC3FAFF"/>
          <bgColor rgb="FFC3FAFF"/>
        </patternFill>
      </fill>
    </dxf>
    <dxf>
      <font>
        <strike/>
      </font>
      <fill>
        <patternFill>
          <fgColor rgb="FFE1E1DC"/>
          <bgColor rgb="FFE1E1DC"/>
        </patternFill>
      </fill>
    </dxf>
    <dxf>
      <fill>
        <patternFill>
          <fgColor rgb="FFE1FFB9"/>
          <bgColor rgb="FFE1FFB9"/>
        </patternFill>
      </fill>
    </dxf>
    <dxf>
      <fill>
        <patternFill>
          <fgColor rgb="FFFFF0C3"/>
          <bgColor rgb="FFFFF0C3"/>
        </patternFill>
      </fill>
    </dxf>
    <dxf>
      <font>
        <strike/>
      </font>
      <fill>
        <patternFill>
          <fgColor rgb="FFE1E1DC"/>
          <bgColor rgb="FFE1E1DC"/>
        </patternFill>
      </fill>
    </dxf>
    <dxf>
      <font>
        <strike/>
      </font>
      <fill>
        <patternFill>
          <fgColor rgb="FFE1E1DC"/>
          <bgColor rgb="FFE1E1DC"/>
        </patternFill>
      </fill>
    </dxf>
    <dxf>
      <font>
        <strike/>
      </font>
      <fill>
        <patternFill patternType="solid">
          <fgColor rgb="FFE1E1DC"/>
          <bgColor rgb="FFE1E1DC"/>
        </patternFill>
      </fill>
    </dxf>
    <dxf>
      <font>
        <strike/>
      </font>
      <fill>
        <patternFill patternType="solid">
          <fgColor rgb="FFF5F5F5"/>
          <bgColor rgb="FFE1E1DC"/>
        </patternFill>
      </fill>
    </dxf>
    <dxf>
      <fill>
        <patternFill>
          <fgColor rgb="FFE1E1DC"/>
          <bgColor rgb="FFE1E1DC"/>
        </patternFill>
      </fill>
    </dxf>
    <dxf>
      <font>
        <strike/>
      </font>
      <fill>
        <patternFill patternType="solid">
          <fgColor rgb="FFE1E1DC"/>
          <bgColor rgb="FFE1E1DC"/>
        </patternFill>
      </fill>
    </dxf>
    <dxf>
      <font>
        <strike/>
      </font>
      <fill>
        <patternFill>
          <fgColor rgb="FFE1E1DC"/>
          <bgColor rgb="FFE1E1DC"/>
        </patternFill>
      </fill>
    </dxf>
    <dxf>
      <font>
        <strike/>
      </font>
      <fill>
        <patternFill>
          <fgColor rgb="FFE1E1DC"/>
          <bgColor rgb="FFE1E1DC"/>
        </patternFill>
      </fill>
    </dxf>
    <dxf>
      <fill>
        <patternFill>
          <fgColor rgb="FFFFF5D7"/>
          <bgColor rgb="FFFFF5D7"/>
        </patternFill>
      </fill>
    </dxf>
    <dxf>
      <font>
        <strike/>
      </font>
      <fill>
        <patternFill>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F5F5F5"/>
          <bgColor rgb="FFE1E1DC"/>
        </patternFill>
      </fill>
    </dxf>
    <dxf>
      <font>
        <strike/>
      </font>
      <fill>
        <patternFill patternType="solid">
          <fgColor rgb="FFE1E1DC"/>
          <bgColor rgb="FFE1E1DC"/>
        </patternFill>
      </fill>
    </dxf>
    <dxf>
      <font>
        <strike/>
      </font>
      <numFmt numFmtId="30" formatCode="@"/>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E1E1DC"/>
          <bgColor rgb="FFE1E1DC"/>
        </patternFill>
      </fill>
    </dxf>
    <dxf>
      <font>
        <strike/>
      </font>
      <fill>
        <patternFill patternType="solid">
          <fgColor rgb="FFF5F5F5"/>
          <bgColor rgb="FFE1E1DC"/>
        </patternFill>
      </fill>
    </dxf>
    <dxf>
      <font>
        <strike/>
      </font>
      <fill>
        <patternFill patternType="solid">
          <fgColor rgb="FFF5F5F5"/>
          <bgColor rgb="FFE1E1DC"/>
        </patternFill>
      </fill>
    </dxf>
    <dxf>
      <font>
        <strike/>
      </font>
      <fill>
        <patternFill patternType="solid">
          <fgColor rgb="FFE1E1DC"/>
          <bgColor rgb="FFE1E1DC"/>
        </patternFill>
      </fill>
    </dxf>
    <dxf>
      <font>
        <strike/>
      </font>
      <fill>
        <patternFill patternType="solid">
          <fgColor rgb="FFF5F5F5"/>
          <bgColor rgb="FFE1E1DC"/>
        </patternFill>
      </fill>
    </dxf>
    <dxf>
      <font>
        <strike/>
      </font>
      <fill>
        <patternFill patternType="solid">
          <fgColor rgb="FFF5F5F5"/>
          <bgColor rgb="FFE1E1DC"/>
        </patternFill>
      </fill>
    </dxf>
    <dxf>
      <font>
        <strike/>
      </font>
      <fill>
        <patternFill patternType="solid">
          <fgColor rgb="FFF5F5F5"/>
          <bgColor rgb="FFE1E1DC"/>
        </patternFill>
      </fill>
    </dxf>
    <dxf>
      <font>
        <strike/>
      </font>
      <fill>
        <patternFill patternType="solid">
          <fgColor rgb="FFF5F5F5"/>
          <bgColor rgb="FFE1E1DC"/>
        </patternFill>
      </fill>
    </dxf>
    <dxf>
      <font>
        <strike/>
      </font>
      <fill>
        <patternFill patternType="solid">
          <fgColor rgb="FFF5F5F5"/>
          <bgColor rgb="FFE1E1DC"/>
        </patternFill>
      </fill>
    </dxf>
    <dxf>
      <font>
        <strike/>
      </font>
      <fill>
        <patternFill patternType="solid">
          <fgColor rgb="FFF5F5F5"/>
          <bgColor rgb="FFE1E1DC"/>
        </patternFill>
      </fill>
    </dxf>
    <dxf>
      <font>
        <strike/>
      </font>
      <fill>
        <patternFill patternType="solid">
          <fgColor rgb="FFE1E1DC"/>
          <bgColor rgb="FFE1E1DC"/>
        </patternFill>
      </fill>
    </dxf>
    <dxf>
      <font>
        <strike/>
      </font>
      <fill>
        <patternFill patternType="solid">
          <fgColor rgb="FFEBEAE5"/>
          <bgColor rgb="FFE1E1DC"/>
        </patternFill>
      </fill>
    </dxf>
    <dxf>
      <font>
        <b/>
        <i val="0"/>
        <color rgb="FF0000FF"/>
      </font>
      <fill>
        <patternFill>
          <fgColor rgb="FFC3FAFF"/>
          <bgColor rgb="FFC3FAFF"/>
        </patternFill>
      </fill>
    </dxf>
    <dxf>
      <font>
        <b/>
        <i val="0"/>
        <color rgb="FF0000FF"/>
      </font>
      <fill>
        <patternFill>
          <fgColor rgb="FFE1FFB9"/>
          <bgColor rgb="FFE1FFB9"/>
        </patternFill>
      </fill>
    </dxf>
    <dxf>
      <font>
        <b/>
        <i val="0"/>
        <color rgb="FF0000FF"/>
      </font>
      <fill>
        <patternFill>
          <fgColor rgb="FFFFF0C3"/>
          <bgColor rgb="FFFFF0C3"/>
        </patternFill>
      </fill>
    </dxf>
    <dxf>
      <font>
        <color rgb="FF00B050"/>
      </font>
      <fill>
        <patternFill patternType="solid">
          <fgColor rgb="FFD7E6BE"/>
          <bgColor rgb="FFE1EB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ГРАФИК</a:t>
            </a:r>
            <a:r>
              <a:rPr lang="ru-RU" baseline="0"/>
              <a:t> ЭТАПОВ РАБОТ</a:t>
            </a:r>
            <a:endParaRPr lang="ru-RU"/>
          </a:p>
        </c:rich>
      </c:tx>
      <c:layout>
        <c:manualLayout>
          <c:xMode val="edge"/>
          <c:yMode val="edge"/>
          <c:x val="0.29963620244435524"/>
          <c:y val="1.64423507536719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8229061437619055E-2"/>
          <c:y val="0.10275244752073377"/>
          <c:w val="0.8886633546905055"/>
          <c:h val="0.79178041189775683"/>
        </c:manualLayout>
      </c:layout>
      <c:barChart>
        <c:barDir val="col"/>
        <c:grouping val="clustered"/>
        <c:varyColors val="0"/>
        <c:ser>
          <c:idx val="0"/>
          <c:order val="0"/>
          <c:spPr>
            <a:solidFill>
              <a:srgbClr val="858341"/>
            </a:solidFill>
            <a:ln>
              <a:solidFill>
                <a:schemeClr val="bg2">
                  <a:lumMod val="50000"/>
                </a:schemeClr>
              </a:solidFill>
            </a:ln>
            <a:effectLst/>
          </c:spPr>
          <c:invertIfNegative val="0"/>
          <c:dPt>
            <c:idx val="4"/>
            <c:invertIfNegative val="0"/>
            <c:bubble3D val="0"/>
            <c:spPr>
              <a:solidFill>
                <a:srgbClr val="BE9100"/>
              </a:solidFill>
              <a:ln>
                <a:solidFill>
                  <a:schemeClr val="bg2">
                    <a:lumMod val="50000"/>
                  </a:schemeClr>
                </a:solidFill>
              </a:ln>
              <a:effectLst/>
            </c:spPr>
            <c:extLst>
              <c:ext xmlns:c16="http://schemas.microsoft.com/office/drawing/2014/chart" uri="{C3380CC4-5D6E-409C-BE32-E72D297353CC}">
                <c16:uniqueId val="{00000001-2E53-43DF-AF79-C3210CB47D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В!$E$2:$E$6</c:f>
              <c:strCache>
                <c:ptCount val="5"/>
                <c:pt idx="0">
                  <c:v>16.10.2023 ОБУСТРОЙСТВО</c:v>
                </c:pt>
                <c:pt idx="1">
                  <c:v>13.11.2023 ФУНДАМЕНТ</c:v>
                </c:pt>
                <c:pt idx="2">
                  <c:v>25.12.2023 СТЕНЫ</c:v>
                </c:pt>
                <c:pt idx="3">
                  <c:v>29.01.2024 КРОВЛЯ</c:v>
                </c:pt>
                <c:pt idx="4">
                  <c:v>10.02.2024         ДОП. ОПЦИИ</c:v>
                </c:pt>
              </c:strCache>
            </c:strRef>
          </c:cat>
          <c:val>
            <c:numRef>
              <c:f>В!$H$2:$H$6</c:f>
              <c:numCache>
                <c:formatCode>General</c:formatCode>
                <c:ptCount val="5"/>
                <c:pt idx="0">
                  <c:v>3</c:v>
                </c:pt>
                <c:pt idx="1">
                  <c:v>31</c:v>
                </c:pt>
                <c:pt idx="2">
                  <c:v>73</c:v>
                </c:pt>
                <c:pt idx="3">
                  <c:v>115</c:v>
                </c:pt>
                <c:pt idx="4">
                  <c:v>127</c:v>
                </c:pt>
              </c:numCache>
            </c:numRef>
          </c:val>
          <c:extLst>
            <c:ext xmlns:c16="http://schemas.microsoft.com/office/drawing/2014/chart" uri="{C3380CC4-5D6E-409C-BE32-E72D297353CC}">
              <c16:uniqueId val="{00000002-2E53-43DF-AF79-C3210CB47D08}"/>
            </c:ext>
          </c:extLst>
        </c:ser>
        <c:dLbls>
          <c:showLegendKey val="0"/>
          <c:showVal val="0"/>
          <c:showCatName val="0"/>
          <c:showSerName val="0"/>
          <c:showPercent val="0"/>
          <c:showBubbleSize val="0"/>
        </c:dLbls>
        <c:gapWidth val="9"/>
        <c:axId val="521599224"/>
        <c:axId val="521602504"/>
      </c:barChart>
      <c:catAx>
        <c:axId val="521599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1602504"/>
        <c:crosses val="autoZero"/>
        <c:auto val="1"/>
        <c:lblAlgn val="ctr"/>
        <c:lblOffset val="100"/>
        <c:noMultiLvlLbl val="0"/>
      </c:catAx>
      <c:valAx>
        <c:axId val="52160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1599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В!$A$1" lockText="1" noThreeD="1"/>
</file>

<file path=xl/ctrlProps/ctrlProp10.xml><?xml version="1.0" encoding="utf-8"?>
<formControlPr xmlns="http://schemas.microsoft.com/office/spreadsheetml/2009/9/main" objectType="CheckBox" checked="Checked" fmlaLink="В!$C$6" lockText="1" noThreeD="1"/>
</file>

<file path=xl/ctrlProps/ctrlProp11.xml><?xml version="1.0" encoding="utf-8"?>
<formControlPr xmlns="http://schemas.microsoft.com/office/spreadsheetml/2009/9/main" objectType="CheckBox" fmlaLink="В!$B$3" lockText="1" noThreeD="1"/>
</file>

<file path=xl/ctrlProps/ctrlProp12.xml><?xml version="1.0" encoding="utf-8"?>
<formControlPr xmlns="http://schemas.microsoft.com/office/spreadsheetml/2009/9/main" objectType="CheckBox" fmlaLink="В!$B$4" lockText="1" noThreeD="1"/>
</file>

<file path=xl/ctrlProps/ctrlProp13.xml><?xml version="1.0" encoding="utf-8"?>
<formControlPr xmlns="http://schemas.microsoft.com/office/spreadsheetml/2009/9/main" objectType="CheckBox" fmlaLink="В!$B$1" lockText="1" noThreeD="1"/>
</file>

<file path=xl/ctrlProps/ctrlProp14.xml><?xml version="1.0" encoding="utf-8"?>
<formControlPr xmlns="http://schemas.microsoft.com/office/spreadsheetml/2009/9/main" objectType="CheckBox" fmlaLink="В!$B$2" lockText="1" noThreeD="1"/>
</file>

<file path=xl/ctrlProps/ctrlProp15.xml><?xml version="1.0" encoding="utf-8"?>
<formControlPr xmlns="http://schemas.microsoft.com/office/spreadsheetml/2009/9/main" objectType="CheckBox" fmlaLink="В!$B$6" lockText="1" noThreeD="1"/>
</file>

<file path=xl/ctrlProps/ctrlProp16.xml><?xml version="1.0" encoding="utf-8"?>
<formControlPr xmlns="http://schemas.microsoft.com/office/spreadsheetml/2009/9/main" objectType="CheckBox" fmlaLink="В!$B$5" lockText="1" noThreeD="1"/>
</file>

<file path=xl/ctrlProps/ctrlProp17.xml><?xml version="1.0" encoding="utf-8"?>
<formControlPr xmlns="http://schemas.microsoft.com/office/spreadsheetml/2009/9/main" objectType="CheckBox" checked="Checked" fmlaLink="В!$A$6" lockText="1" noThreeD="1"/>
</file>

<file path=xl/ctrlProps/ctrlProp18.xml><?xml version="1.0" encoding="utf-8"?>
<formControlPr xmlns="http://schemas.microsoft.com/office/spreadsheetml/2009/9/main" objectType="CheckBox" fmlaLink="В!$C$1" lockText="1" noThreeD="1"/>
</file>

<file path=xl/ctrlProps/ctrlProp19.xml><?xml version="1.0" encoding="utf-8"?>
<formControlPr xmlns="http://schemas.microsoft.com/office/spreadsheetml/2009/9/main" objectType="CheckBox" fmlaLink="В!$C$5" lockText="1" noThreeD="1"/>
</file>

<file path=xl/ctrlProps/ctrlProp2.xml><?xml version="1.0" encoding="utf-8"?>
<formControlPr xmlns="http://schemas.microsoft.com/office/spreadsheetml/2009/9/main" objectType="CheckBox" fmlaLink="В!$D$6" lockText="1" noThreeD="1"/>
</file>

<file path=xl/ctrlProps/ctrlProp20.xml><?xml version="1.0" encoding="utf-8"?>
<formControlPr xmlns="http://schemas.microsoft.com/office/spreadsheetml/2009/9/main" objectType="CheckBox" fmlaLink="В!$C$5" lockText="1" noThreeD="1"/>
</file>

<file path=xl/ctrlProps/ctrlProp21.xml><?xml version="1.0" encoding="utf-8"?>
<formControlPr xmlns="http://schemas.microsoft.com/office/spreadsheetml/2009/9/main" objectType="CheckBox" fmlaLink="В!$D$5" lockText="1" noThreeD="1"/>
</file>

<file path=xl/ctrlProps/ctrlProp22.xml><?xml version="1.0" encoding="utf-8"?>
<formControlPr xmlns="http://schemas.microsoft.com/office/spreadsheetml/2009/9/main" objectType="CheckBox" fmlaLink="В!$D$3" lockText="1" noThreeD="1"/>
</file>

<file path=xl/ctrlProps/ctrlProp23.xml><?xml version="1.0" encoding="utf-8"?>
<formControlPr xmlns="http://schemas.microsoft.com/office/spreadsheetml/2009/9/main" objectType="CheckBox" fmlaLink="В!$D$1" lockText="1" noThreeD="1"/>
</file>

<file path=xl/ctrlProps/ctrlProp24.xml><?xml version="1.0" encoding="utf-8"?>
<formControlPr xmlns="http://schemas.microsoft.com/office/spreadsheetml/2009/9/main" objectType="CheckBox" fmlaLink="В!$D$2" lockText="1" noThreeD="1"/>
</file>

<file path=xl/ctrlProps/ctrlProp25.xml><?xml version="1.0" encoding="utf-8"?>
<formControlPr xmlns="http://schemas.microsoft.com/office/spreadsheetml/2009/9/main" objectType="CheckBox" fmlaLink="В!$C$2" lockText="1" noThreeD="1"/>
</file>

<file path=xl/ctrlProps/ctrlProp26.xml><?xml version="1.0" encoding="utf-8"?>
<formControlPr xmlns="http://schemas.microsoft.com/office/spreadsheetml/2009/9/main" objectType="CheckBox" fmlaLink="В!$B$7" lockText="1" noThreeD="1"/>
</file>

<file path=xl/ctrlProps/ctrlProp27.xml><?xml version="1.0" encoding="utf-8"?>
<formControlPr xmlns="http://schemas.microsoft.com/office/spreadsheetml/2009/9/main" objectType="CheckBox" fmlaLink="В!$D$4" lockText="1" noThreeD="1"/>
</file>

<file path=xl/ctrlProps/ctrlProp28.xml><?xml version="1.0" encoding="utf-8"?>
<formControlPr xmlns="http://schemas.microsoft.com/office/spreadsheetml/2009/9/main" objectType="CheckBox" fmlaLink="В!$C$7" lockText="1" noThreeD="1"/>
</file>

<file path=xl/ctrlProps/ctrlProp29.xml><?xml version="1.0" encoding="utf-8"?>
<formControlPr xmlns="http://schemas.microsoft.com/office/spreadsheetml/2009/9/main" objectType="CheckBox" fmlaLink="В!$B$312" lockText="1" noThreeD="1"/>
</file>

<file path=xl/ctrlProps/ctrlProp3.xml><?xml version="1.0" encoding="utf-8"?>
<formControlPr xmlns="http://schemas.microsoft.com/office/spreadsheetml/2009/9/main" objectType="CheckBox" fmlaLink="В!$A$2" lockText="1" noThreeD="1"/>
</file>

<file path=xl/ctrlProps/ctrlProp30.xml><?xml version="1.0" encoding="utf-8"?>
<formControlPr xmlns="http://schemas.microsoft.com/office/spreadsheetml/2009/9/main" objectType="CheckBox" fmlaLink="В!$B$319" lockText="1" noThreeD="1"/>
</file>

<file path=xl/ctrlProps/ctrlProp31.xml><?xml version="1.0" encoding="utf-8"?>
<formControlPr xmlns="http://schemas.microsoft.com/office/spreadsheetml/2009/9/main" objectType="CheckBox" fmlaLink="В!$B$315" lockText="1" noThreeD="1"/>
</file>

<file path=xl/ctrlProps/ctrlProp32.xml><?xml version="1.0" encoding="utf-8"?>
<formControlPr xmlns="http://schemas.microsoft.com/office/spreadsheetml/2009/9/main" objectType="CheckBox" fmlaLink="В!$B$323" lockText="1" noThreeD="1"/>
</file>

<file path=xl/ctrlProps/ctrlProp33.xml><?xml version="1.0" encoding="utf-8"?>
<formControlPr xmlns="http://schemas.microsoft.com/office/spreadsheetml/2009/9/main" objectType="CheckBox" fmlaLink="В!$B$328" lockText="1" noThreeD="1"/>
</file>

<file path=xl/ctrlProps/ctrlProp34.xml><?xml version="1.0" encoding="utf-8"?>
<formControlPr xmlns="http://schemas.microsoft.com/office/spreadsheetml/2009/9/main" objectType="CheckBox" fmlaLink="В!$B$325" lockText="1" noThreeD="1"/>
</file>

<file path=xl/ctrlProps/ctrlProp35.xml><?xml version="1.0" encoding="utf-8"?>
<formControlPr xmlns="http://schemas.microsoft.com/office/spreadsheetml/2009/9/main" objectType="CheckBox" fmlaLink="В!$C$233" lockText="1" noThreeD="1"/>
</file>

<file path=xl/ctrlProps/ctrlProp36.xml><?xml version="1.0" encoding="utf-8"?>
<formControlPr xmlns="http://schemas.microsoft.com/office/spreadsheetml/2009/9/main" objectType="CheckBox" fmlaLink="В!$B$331" lockText="1" noThreeD="1"/>
</file>

<file path=xl/ctrlProps/ctrlProp37.xml><?xml version="1.0" encoding="utf-8"?>
<formControlPr xmlns="http://schemas.microsoft.com/office/spreadsheetml/2009/9/main" objectType="CheckBox" fmlaLink="В!$C$363" lockText="1" noThreeD="1"/>
</file>

<file path=xl/ctrlProps/ctrlProp38.xml><?xml version="1.0" encoding="utf-8"?>
<formControlPr xmlns="http://schemas.microsoft.com/office/spreadsheetml/2009/9/main" objectType="CheckBox" fmlaLink="В!$C$363" lockText="1" noThreeD="1"/>
</file>

<file path=xl/ctrlProps/ctrlProp39.xml><?xml version="1.0" encoding="utf-8"?>
<formControlPr xmlns="http://schemas.microsoft.com/office/spreadsheetml/2009/9/main" objectType="CheckBox" fmlaLink="В!$C$363" lockText="1" noThreeD="1"/>
</file>

<file path=xl/ctrlProps/ctrlProp4.xml><?xml version="1.0" encoding="utf-8"?>
<formControlPr xmlns="http://schemas.microsoft.com/office/spreadsheetml/2009/9/main" objectType="CheckBox" fmlaLink="В!$A$3" lockText="1" noThreeD="1"/>
</file>

<file path=xl/ctrlProps/ctrlProp40.xml><?xml version="1.0" encoding="utf-8"?>
<formControlPr xmlns="http://schemas.microsoft.com/office/spreadsheetml/2009/9/main" objectType="CheckBox" fmlaLink="В!$C$419" lockText="1" noThreeD="1"/>
</file>

<file path=xl/ctrlProps/ctrlProp41.xml><?xml version="1.0" encoding="utf-8"?>
<formControlPr xmlns="http://schemas.microsoft.com/office/spreadsheetml/2009/9/main" objectType="CheckBox" fmlaLink="В!$C$419" lockText="1" noThreeD="1"/>
</file>

<file path=xl/ctrlProps/ctrlProp42.xml><?xml version="1.0" encoding="utf-8"?>
<formControlPr xmlns="http://schemas.microsoft.com/office/spreadsheetml/2009/9/main" objectType="CheckBox" fmlaLink="В!$C$419" lockText="1" noThreeD="1"/>
</file>

<file path=xl/ctrlProps/ctrlProp43.xml><?xml version="1.0" encoding="utf-8"?>
<formControlPr xmlns="http://schemas.microsoft.com/office/spreadsheetml/2009/9/main" objectType="CheckBox" fmlaLink="В!$B$266" lockText="1" noThreeD="1"/>
</file>

<file path=xl/ctrlProps/ctrlProp44.xml><?xml version="1.0" encoding="utf-8"?>
<formControlPr xmlns="http://schemas.microsoft.com/office/spreadsheetml/2009/9/main" objectType="CheckBox" fmlaLink="В!$A$1" lockText="1" noThreeD="1"/>
</file>

<file path=xl/ctrlProps/ctrlProp45.xml><?xml version="1.0" encoding="utf-8"?>
<formControlPr xmlns="http://schemas.microsoft.com/office/spreadsheetml/2009/9/main" objectType="CheckBox" fmlaLink="В!$A$2" lockText="1" noThreeD="1"/>
</file>

<file path=xl/ctrlProps/ctrlProp46.xml><?xml version="1.0" encoding="utf-8"?>
<formControlPr xmlns="http://schemas.microsoft.com/office/spreadsheetml/2009/9/main" objectType="CheckBox" checked="Checked" fmlaLink="В!$A$6" lockText="1" noThreeD="1"/>
</file>

<file path=xl/ctrlProps/ctrlProp47.xml><?xml version="1.0" encoding="utf-8"?>
<formControlPr xmlns="http://schemas.microsoft.com/office/spreadsheetml/2009/9/main" objectType="CheckBox" fmlaLink="В!$A$3" lockText="1" noThreeD="1"/>
</file>

<file path=xl/ctrlProps/ctrlProp48.xml><?xml version="1.0" encoding="utf-8"?>
<formControlPr xmlns="http://schemas.microsoft.com/office/spreadsheetml/2009/9/main" objectType="CheckBox" fmlaLink="В!$A$4" lockText="1" noThreeD="1"/>
</file>

<file path=xl/ctrlProps/ctrlProp49.xml><?xml version="1.0" encoding="utf-8"?>
<formControlPr xmlns="http://schemas.microsoft.com/office/spreadsheetml/2009/9/main" objectType="CheckBox" fmlaLink="В!$B$1" lockText="1" noThreeD="1"/>
</file>

<file path=xl/ctrlProps/ctrlProp5.xml><?xml version="1.0" encoding="utf-8"?>
<formControlPr xmlns="http://schemas.microsoft.com/office/spreadsheetml/2009/9/main" objectType="CheckBox" fmlaLink="В!$A$4" lockText="1" noThreeD="1"/>
</file>

<file path=xl/ctrlProps/ctrlProp50.xml><?xml version="1.0" encoding="utf-8"?>
<formControlPr xmlns="http://schemas.microsoft.com/office/spreadsheetml/2009/9/main" objectType="CheckBox" fmlaLink="В!$B$2" lockText="1" noThreeD="1"/>
</file>

<file path=xl/ctrlProps/ctrlProp51.xml><?xml version="1.0" encoding="utf-8"?>
<formControlPr xmlns="http://schemas.microsoft.com/office/spreadsheetml/2009/9/main" objectType="CheckBox" checked="Checked" fmlaLink="В!$C$6" lockText="1" noThreeD="1"/>
</file>

<file path=xl/ctrlProps/ctrlProp52.xml><?xml version="1.0" encoding="utf-8"?>
<formControlPr xmlns="http://schemas.microsoft.com/office/spreadsheetml/2009/9/main" objectType="CheckBox" fmlaLink="В!$B$3" lockText="1" noThreeD="1"/>
</file>

<file path=xl/ctrlProps/ctrlProp53.xml><?xml version="1.0" encoding="utf-8"?>
<formControlPr xmlns="http://schemas.microsoft.com/office/spreadsheetml/2009/9/main" objectType="CheckBox" fmlaLink="В!$B$4" lockText="1" noThreeD="1"/>
</file>

<file path=xl/ctrlProps/ctrlProp54.xml><?xml version="1.0" encoding="utf-8"?>
<formControlPr xmlns="http://schemas.microsoft.com/office/spreadsheetml/2009/9/main" objectType="CheckBox" fmlaLink="В!$B$5" lockText="1" noThreeD="1"/>
</file>

<file path=xl/ctrlProps/ctrlProp55.xml><?xml version="1.0" encoding="utf-8"?>
<formControlPr xmlns="http://schemas.microsoft.com/office/spreadsheetml/2009/9/main" objectType="CheckBox" fmlaLink="В!$B$6" lockText="1" noThreeD="1"/>
</file>

<file path=xl/ctrlProps/ctrlProp56.xml><?xml version="1.0" encoding="utf-8"?>
<formControlPr xmlns="http://schemas.microsoft.com/office/spreadsheetml/2009/9/main" objectType="CheckBox" fmlaLink="В!$C$1" lockText="1" noThreeD="1"/>
</file>

<file path=xl/ctrlProps/ctrlProp57.xml><?xml version="1.0" encoding="utf-8"?>
<formControlPr xmlns="http://schemas.microsoft.com/office/spreadsheetml/2009/9/main" objectType="CheckBox" fmlaLink="В!$C$2" lockText="1" noThreeD="1"/>
</file>

<file path=xl/ctrlProps/ctrlProp58.xml><?xml version="1.0" encoding="utf-8"?>
<formControlPr xmlns="http://schemas.microsoft.com/office/spreadsheetml/2009/9/main" objectType="CheckBox" fmlaLink="В!$C$3" lockText="1" noThreeD="1"/>
</file>

<file path=xl/ctrlProps/ctrlProp59.xml><?xml version="1.0" encoding="utf-8"?>
<formControlPr xmlns="http://schemas.microsoft.com/office/spreadsheetml/2009/9/main" objectType="CheckBox" fmlaLink="В!$C$4" lockText="1" noThreeD="1"/>
</file>

<file path=xl/ctrlProps/ctrlProp6.xml><?xml version="1.0" encoding="utf-8"?>
<formControlPr xmlns="http://schemas.microsoft.com/office/spreadsheetml/2009/9/main" objectType="CheckBox" fmlaLink="В!$C$3" lockText="1" noThreeD="1"/>
</file>

<file path=xl/ctrlProps/ctrlProp60.xml><?xml version="1.0" encoding="utf-8"?>
<formControlPr xmlns="http://schemas.microsoft.com/office/spreadsheetml/2009/9/main" objectType="CheckBox" fmlaLink="В!$C$5" lockText="1" noThreeD="1"/>
</file>

<file path=xl/ctrlProps/ctrlProp61.xml><?xml version="1.0" encoding="utf-8"?>
<formControlPr xmlns="http://schemas.microsoft.com/office/spreadsheetml/2009/9/main" objectType="CheckBox" fmlaLink="В!$D$1" lockText="1" noThreeD="1"/>
</file>

<file path=xl/ctrlProps/ctrlProp62.xml><?xml version="1.0" encoding="utf-8"?>
<formControlPr xmlns="http://schemas.microsoft.com/office/spreadsheetml/2009/9/main" objectType="CheckBox" fmlaLink="В!$D$3" lockText="1" noThreeD="1"/>
</file>

<file path=xl/ctrlProps/ctrlProp63.xml><?xml version="1.0" encoding="utf-8"?>
<formControlPr xmlns="http://schemas.microsoft.com/office/spreadsheetml/2009/9/main" objectType="CheckBox" fmlaLink="В!$C$5" lockText="1" noThreeD="1"/>
</file>

<file path=xl/ctrlProps/ctrlProp64.xml><?xml version="1.0" encoding="utf-8"?>
<formControlPr xmlns="http://schemas.microsoft.com/office/spreadsheetml/2009/9/main" objectType="CheckBox" fmlaLink="В!$D$6" lockText="1" noThreeD="1"/>
</file>

<file path=xl/ctrlProps/ctrlProp65.xml><?xml version="1.0" encoding="utf-8"?>
<formControlPr xmlns="http://schemas.microsoft.com/office/spreadsheetml/2009/9/main" objectType="CheckBox" fmlaLink="В!$D$2" lockText="1" noThreeD="1"/>
</file>

<file path=xl/ctrlProps/ctrlProp66.xml><?xml version="1.0" encoding="utf-8"?>
<formControlPr xmlns="http://schemas.microsoft.com/office/spreadsheetml/2009/9/main" objectType="CheckBox" fmlaLink="В!$D$4" lockText="1" noThreeD="1"/>
</file>

<file path=xl/ctrlProps/ctrlProp67.xml><?xml version="1.0" encoding="utf-8"?>
<formControlPr xmlns="http://schemas.microsoft.com/office/spreadsheetml/2009/9/main" objectType="CheckBox" fmlaLink="В!$B$7" lockText="1" noThreeD="1"/>
</file>

<file path=xl/ctrlProps/ctrlProp68.xml><?xml version="1.0" encoding="utf-8"?>
<formControlPr xmlns="http://schemas.microsoft.com/office/spreadsheetml/2009/9/main" objectType="CheckBox" fmlaLink="В!$C$7" lockText="1" noThreeD="1"/>
</file>

<file path=xl/ctrlProps/ctrlProp69.xml><?xml version="1.0" encoding="utf-8"?>
<formControlPr xmlns="http://schemas.microsoft.com/office/spreadsheetml/2009/9/main" objectType="CheckBox" fmlaLink="В!$D$5" lockText="1" noThreeD="1"/>
</file>

<file path=xl/ctrlProps/ctrlProp7.xml><?xml version="1.0" encoding="utf-8"?>
<formControlPr xmlns="http://schemas.microsoft.com/office/spreadsheetml/2009/9/main" objectType="CheckBox" fmlaLink="В!$C$4" lockText="1" noThreeD="1"/>
</file>

<file path=xl/ctrlProps/ctrlProp70.xml><?xml version="1.0" encoding="utf-8"?>
<formControlPr xmlns="http://schemas.microsoft.com/office/spreadsheetml/2009/9/main" objectType="CheckBox" fmlaLink="В!$C$233" lockText="1" noThreeD="1"/>
</file>

<file path=xl/ctrlProps/ctrlProp71.xml><?xml version="1.0" encoding="utf-8"?>
<formControlPr xmlns="http://schemas.microsoft.com/office/spreadsheetml/2009/9/main" objectType="CheckBox" fmlaLink="В!$B$312" lockText="1" noThreeD="1"/>
</file>

<file path=xl/ctrlProps/ctrlProp72.xml><?xml version="1.0" encoding="utf-8"?>
<formControlPr xmlns="http://schemas.microsoft.com/office/spreadsheetml/2009/9/main" objectType="CheckBox" fmlaLink="В!$B$315" lockText="1" noThreeD="1"/>
</file>

<file path=xl/ctrlProps/ctrlProp73.xml><?xml version="1.0" encoding="utf-8"?>
<formControlPr xmlns="http://schemas.microsoft.com/office/spreadsheetml/2009/9/main" objectType="CheckBox" fmlaLink="В!$B$319" lockText="1" noThreeD="1"/>
</file>

<file path=xl/ctrlProps/ctrlProp74.xml><?xml version="1.0" encoding="utf-8"?>
<formControlPr xmlns="http://schemas.microsoft.com/office/spreadsheetml/2009/9/main" objectType="CheckBox" fmlaLink="В!$B$323" lockText="1" noThreeD="1"/>
</file>

<file path=xl/ctrlProps/ctrlProp75.xml><?xml version="1.0" encoding="utf-8"?>
<formControlPr xmlns="http://schemas.microsoft.com/office/spreadsheetml/2009/9/main" objectType="CheckBox" fmlaLink="В!$B$325" lockText="1" noThreeD="1"/>
</file>

<file path=xl/ctrlProps/ctrlProp76.xml><?xml version="1.0" encoding="utf-8"?>
<formControlPr xmlns="http://schemas.microsoft.com/office/spreadsheetml/2009/9/main" objectType="CheckBox" fmlaLink="В!$B$328" lockText="1" noThreeD="1"/>
</file>

<file path=xl/ctrlProps/ctrlProp77.xml><?xml version="1.0" encoding="utf-8"?>
<formControlPr xmlns="http://schemas.microsoft.com/office/spreadsheetml/2009/9/main" objectType="CheckBox" fmlaLink="В!$B$331" lockText="1" noThreeD="1"/>
</file>

<file path=xl/ctrlProps/ctrlProp78.xml><?xml version="1.0" encoding="utf-8"?>
<formControlPr xmlns="http://schemas.microsoft.com/office/spreadsheetml/2009/9/main" objectType="CheckBox" fmlaLink="В!$C$419" lockText="1" noThreeD="1"/>
</file>

<file path=xl/ctrlProps/ctrlProp79.xml><?xml version="1.0" encoding="utf-8"?>
<formControlPr xmlns="http://schemas.microsoft.com/office/spreadsheetml/2009/9/main" objectType="CheckBox" fmlaLink="В!$C$363" lockText="1" noThreeD="1"/>
</file>

<file path=xl/ctrlProps/ctrlProp8.xml><?xml version="1.0" encoding="utf-8"?>
<formControlPr xmlns="http://schemas.microsoft.com/office/spreadsheetml/2009/9/main" objectType="CheckBox" fmlaLink="В!$A$4" lockText="1" noThreeD="1"/>
</file>

<file path=xl/ctrlProps/ctrlProp80.xml><?xml version="1.0" encoding="utf-8"?>
<formControlPr xmlns="http://schemas.microsoft.com/office/spreadsheetml/2009/9/main" objectType="CheckBox" fmlaLink="В!$B$266" lockText="1" noThreeD="1"/>
</file>

<file path=xl/ctrlProps/ctrlProp9.xml><?xml version="1.0" encoding="utf-8"?>
<formControlPr xmlns="http://schemas.microsoft.com/office/spreadsheetml/2009/9/main" objectType="CheckBox" fmlaLink="В!$A$4"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jpg"/><Relationship Id="rId5" Type="http://schemas.openxmlformats.org/officeDocument/2006/relationships/image" Target="../media/image6.jpg"/><Relationship Id="rId4" Type="http://schemas.openxmlformats.org/officeDocument/2006/relationships/image" Target="../media/image5.jpg"/><Relationship Id="rId9" Type="http://schemas.openxmlformats.org/officeDocument/2006/relationships/image" Target="../media/image10.jp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hyperlink" Target="https://www.grandline.ru/snegozaderzhatel-trubchatyy-universalnyy-optima-ral-8017-3m-63671.html" TargetMode="External"/><Relationship Id="rId13" Type="http://schemas.openxmlformats.org/officeDocument/2006/relationships/hyperlink" Target="http://el-block.ru/catalog/detail/gazobetonnye-bloki-peregorodochnye-d500/" TargetMode="External"/><Relationship Id="rId18" Type="http://schemas.openxmlformats.org/officeDocument/2006/relationships/image" Target="../media/image12.png"/><Relationship Id="rId3" Type="http://schemas.openxmlformats.org/officeDocument/2006/relationships/hyperlink" Target="https://zakonm.ru/services/gambit-e-1/" TargetMode="External"/><Relationship Id="rId7" Type="http://schemas.openxmlformats.org/officeDocument/2006/relationships/hyperlink" Target="https://www.grandline.ru/m-ch-kameya-0-5-satin-ral-8017-109391.html" TargetMode="External"/><Relationship Id="rId12" Type="http://schemas.openxmlformats.org/officeDocument/2006/relationships/hyperlink" Target="http://xn--c1adachhaahicf2aobvlfn2k.xn--p1ai/" TargetMode="External"/><Relationship Id="rId17" Type="http://schemas.openxmlformats.org/officeDocument/2006/relationships/image" Target="../media/image1.png"/><Relationship Id="rId2" Type="http://schemas.openxmlformats.org/officeDocument/2006/relationships/image" Target="../media/image11.png"/><Relationship Id="rId16" Type="http://schemas.openxmlformats.org/officeDocument/2006/relationships/hyperlink" Target="https://www.grandline.ru/m-ch-klassik-gl-0-5-velur20-ral-8017-78163.html" TargetMode="External"/><Relationship Id="rId20" Type="http://schemas.openxmlformats.org/officeDocument/2006/relationships/hyperlink" Target="https://www.private-stroy.ru/proekty/vspomogatelnye-sistemy/kessony/" TargetMode="External"/><Relationship Id="rId1" Type="http://schemas.openxmlformats.org/officeDocument/2006/relationships/hyperlink" Target="https://zakonm.ru/services/gambit-c-1/" TargetMode="External"/><Relationship Id="rId6" Type="http://schemas.openxmlformats.org/officeDocument/2006/relationships/hyperlink" Target="http://www.polifasad-crimea.ru/" TargetMode="External"/><Relationship Id="rId11" Type="http://schemas.openxmlformats.org/officeDocument/2006/relationships/hyperlink" Target="https://softrock.ru/" TargetMode="External"/><Relationship Id="rId5" Type="http://schemas.openxmlformats.org/officeDocument/2006/relationships/hyperlink" Target="https://moscow.petrovich.ru/catalog/133601674/170045/" TargetMode="External"/><Relationship Id="rId15" Type="http://schemas.openxmlformats.org/officeDocument/2006/relationships/hyperlink" Target="https://www.grandline.ru/m-ch-klassik-0-45-pe-ral-8017-28886.html" TargetMode="External"/><Relationship Id="rId10" Type="http://schemas.openxmlformats.org/officeDocument/2006/relationships/hyperlink" Target="https://www.grandline.ru/lenta-ventilyatsionnaya-pvkh-korichnevaya-100kh5000-bwk-64517.html" TargetMode="External"/><Relationship Id="rId19" Type="http://schemas.openxmlformats.org/officeDocument/2006/relationships/hyperlink" Target="https://www.private-stroy.ru/proekty/vspomogatelnye-sistemy/avtonomnaya-kanalizatsiya/" TargetMode="External"/><Relationship Id="rId4" Type="http://schemas.openxmlformats.org/officeDocument/2006/relationships/hyperlink" Target="http://el-block.ru/catalog/detail/gazobetonnye-bloki-stenovye-d600/" TargetMode="External"/><Relationship Id="rId9" Type="http://schemas.openxmlformats.org/officeDocument/2006/relationships/hyperlink" Target="https://mir-sk.su/catalog/vodostochnaya-sistema/vodostochnaya-sistema-FARACS-PREMIUM-metall/4727-FarAcs-stal-PREMIUM-12590-kronshtejn-zheloba-usilennyj-PLU-RAL-8017.html" TargetMode="External"/><Relationship Id="rId14" Type="http://schemas.openxmlformats.org/officeDocument/2006/relationships/hyperlink" Target="https://www.grandline.ru/m-ch-klassik-optima-0-5-pe-ral-8017-53925.html"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3</xdr:col>
      <xdr:colOff>923925</xdr:colOff>
      <xdr:row>2</xdr:row>
      <xdr:rowOff>152400</xdr:rowOff>
    </xdr:from>
    <xdr:to>
      <xdr:col>4</xdr:col>
      <xdr:colOff>1895248</xdr:colOff>
      <xdr:row>8</xdr:row>
      <xdr:rowOff>173239</xdr:rowOff>
    </xdr:to>
    <xdr:pic>
      <xdr:nvPicPr>
        <xdr:cNvPr id="2" name="ПС">
          <a:extLst>
            <a:ext uri="{FF2B5EF4-FFF2-40B4-BE49-F238E27FC236}">
              <a16:creationId xmlns:a16="http://schemas.microsoft.com/office/drawing/2014/main" id="{28B9170F-C57E-4385-9C34-F15EEA3D78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0" y="257175"/>
          <a:ext cx="2742973" cy="14019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135467</xdr:colOff>
      <xdr:row>0</xdr:row>
      <xdr:rowOff>63500</xdr:rowOff>
    </xdr:from>
    <xdr:to>
      <xdr:col>55</xdr:col>
      <xdr:colOff>35984</xdr:colOff>
      <xdr:row>43</xdr:row>
      <xdr:rowOff>98425</xdr:rowOff>
    </xdr:to>
    <xdr:pic>
      <xdr:nvPicPr>
        <xdr:cNvPr id="3" name="Рисунок 2">
          <a:extLst>
            <a:ext uri="{FF2B5EF4-FFF2-40B4-BE49-F238E27FC236}">
              <a16:creationId xmlns:a16="http://schemas.microsoft.com/office/drawing/2014/main" id="{51E2E79E-0E26-4F9A-8410-D5970D56CAE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467" y="63500"/>
          <a:ext cx="9330267" cy="6997700"/>
        </a:xfrm>
        <a:prstGeom prst="rect">
          <a:avLst/>
        </a:prstGeom>
      </xdr:spPr>
    </xdr:pic>
    <xdr:clientData/>
  </xdr:twoCellAnchor>
  <xdr:twoCellAnchor editAs="oneCell">
    <xdr:from>
      <xdr:col>0</xdr:col>
      <xdr:colOff>135467</xdr:colOff>
      <xdr:row>44</xdr:row>
      <xdr:rowOff>63500</xdr:rowOff>
    </xdr:from>
    <xdr:to>
      <xdr:col>55</xdr:col>
      <xdr:colOff>35984</xdr:colOff>
      <xdr:row>87</xdr:row>
      <xdr:rowOff>98425</xdr:rowOff>
    </xdr:to>
    <xdr:pic>
      <xdr:nvPicPr>
        <xdr:cNvPr id="5" name="Рисунок 4">
          <a:extLst>
            <a:ext uri="{FF2B5EF4-FFF2-40B4-BE49-F238E27FC236}">
              <a16:creationId xmlns:a16="http://schemas.microsoft.com/office/drawing/2014/main" id="{541E5E5B-2C19-48CE-9BCB-96CFF15422FB}"/>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5467" y="7188200"/>
          <a:ext cx="9330267" cy="6997700"/>
        </a:xfrm>
        <a:prstGeom prst="rect">
          <a:avLst/>
        </a:prstGeom>
      </xdr:spPr>
    </xdr:pic>
    <xdr:clientData/>
  </xdr:twoCellAnchor>
  <xdr:twoCellAnchor editAs="oneCell">
    <xdr:from>
      <xdr:col>0</xdr:col>
      <xdr:colOff>135467</xdr:colOff>
      <xdr:row>88</xdr:row>
      <xdr:rowOff>63500</xdr:rowOff>
    </xdr:from>
    <xdr:to>
      <xdr:col>55</xdr:col>
      <xdr:colOff>35984</xdr:colOff>
      <xdr:row>131</xdr:row>
      <xdr:rowOff>98425</xdr:rowOff>
    </xdr:to>
    <xdr:pic>
      <xdr:nvPicPr>
        <xdr:cNvPr id="7" name="Рисунок 6">
          <a:extLst>
            <a:ext uri="{FF2B5EF4-FFF2-40B4-BE49-F238E27FC236}">
              <a16:creationId xmlns:a16="http://schemas.microsoft.com/office/drawing/2014/main" id="{3F2F7FDE-DBE0-4F36-BEAA-F3AFD8DFC74A}"/>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5467" y="14312900"/>
          <a:ext cx="9330267" cy="6997700"/>
        </a:xfrm>
        <a:prstGeom prst="rect">
          <a:avLst/>
        </a:prstGeom>
      </xdr:spPr>
    </xdr:pic>
    <xdr:clientData/>
  </xdr:twoCellAnchor>
  <xdr:twoCellAnchor editAs="oneCell">
    <xdr:from>
      <xdr:col>0</xdr:col>
      <xdr:colOff>135467</xdr:colOff>
      <xdr:row>132</xdr:row>
      <xdr:rowOff>63500</xdr:rowOff>
    </xdr:from>
    <xdr:to>
      <xdr:col>55</xdr:col>
      <xdr:colOff>35984</xdr:colOff>
      <xdr:row>175</xdr:row>
      <xdr:rowOff>98425</xdr:rowOff>
    </xdr:to>
    <xdr:pic>
      <xdr:nvPicPr>
        <xdr:cNvPr id="9" name="Рисунок 8">
          <a:extLst>
            <a:ext uri="{FF2B5EF4-FFF2-40B4-BE49-F238E27FC236}">
              <a16:creationId xmlns:a16="http://schemas.microsoft.com/office/drawing/2014/main" id="{58207EC1-CB72-4D2B-9107-BFEAC31963D3}"/>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5467" y="21437600"/>
          <a:ext cx="9330267" cy="6997700"/>
        </a:xfrm>
        <a:prstGeom prst="rect">
          <a:avLst/>
        </a:prstGeom>
      </xdr:spPr>
    </xdr:pic>
    <xdr:clientData/>
  </xdr:twoCellAnchor>
  <xdr:twoCellAnchor editAs="oneCell">
    <xdr:from>
      <xdr:col>0</xdr:col>
      <xdr:colOff>135467</xdr:colOff>
      <xdr:row>176</xdr:row>
      <xdr:rowOff>63500</xdr:rowOff>
    </xdr:from>
    <xdr:to>
      <xdr:col>55</xdr:col>
      <xdr:colOff>35984</xdr:colOff>
      <xdr:row>219</xdr:row>
      <xdr:rowOff>98425</xdr:rowOff>
    </xdr:to>
    <xdr:pic>
      <xdr:nvPicPr>
        <xdr:cNvPr id="11" name="Рисунок 10">
          <a:extLst>
            <a:ext uri="{FF2B5EF4-FFF2-40B4-BE49-F238E27FC236}">
              <a16:creationId xmlns:a16="http://schemas.microsoft.com/office/drawing/2014/main" id="{AE023BC2-11D4-4A02-A05D-74C2CAF473E2}"/>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5467" y="28562300"/>
          <a:ext cx="9330267" cy="6997700"/>
        </a:xfrm>
        <a:prstGeom prst="rect">
          <a:avLst/>
        </a:prstGeom>
      </xdr:spPr>
    </xdr:pic>
    <xdr:clientData/>
  </xdr:twoCellAnchor>
  <xdr:twoCellAnchor editAs="oneCell">
    <xdr:from>
      <xdr:col>0</xdr:col>
      <xdr:colOff>135467</xdr:colOff>
      <xdr:row>220</xdr:row>
      <xdr:rowOff>63500</xdr:rowOff>
    </xdr:from>
    <xdr:to>
      <xdr:col>55</xdr:col>
      <xdr:colOff>35984</xdr:colOff>
      <xdr:row>263</xdr:row>
      <xdr:rowOff>98425</xdr:rowOff>
    </xdr:to>
    <xdr:pic>
      <xdr:nvPicPr>
        <xdr:cNvPr id="13" name="Рисунок 12">
          <a:extLst>
            <a:ext uri="{FF2B5EF4-FFF2-40B4-BE49-F238E27FC236}">
              <a16:creationId xmlns:a16="http://schemas.microsoft.com/office/drawing/2014/main" id="{02611E5E-7D40-478A-B387-D128E151D2DF}"/>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5467" y="35687000"/>
          <a:ext cx="9330267" cy="6997700"/>
        </a:xfrm>
        <a:prstGeom prst="rect">
          <a:avLst/>
        </a:prstGeom>
      </xdr:spPr>
    </xdr:pic>
    <xdr:clientData/>
  </xdr:twoCellAnchor>
  <xdr:twoCellAnchor editAs="oneCell">
    <xdr:from>
      <xdr:col>0</xdr:col>
      <xdr:colOff>135467</xdr:colOff>
      <xdr:row>264</xdr:row>
      <xdr:rowOff>63500</xdr:rowOff>
    </xdr:from>
    <xdr:to>
      <xdr:col>55</xdr:col>
      <xdr:colOff>35984</xdr:colOff>
      <xdr:row>307</xdr:row>
      <xdr:rowOff>98425</xdr:rowOff>
    </xdr:to>
    <xdr:pic>
      <xdr:nvPicPr>
        <xdr:cNvPr id="15" name="Рисунок 14">
          <a:extLst>
            <a:ext uri="{FF2B5EF4-FFF2-40B4-BE49-F238E27FC236}">
              <a16:creationId xmlns:a16="http://schemas.microsoft.com/office/drawing/2014/main" id="{0485C002-C595-492D-95D5-F389B6B57C4E}"/>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5467" y="42811700"/>
          <a:ext cx="9330267" cy="6997700"/>
        </a:xfrm>
        <a:prstGeom prst="rect">
          <a:avLst/>
        </a:prstGeom>
      </xdr:spPr>
    </xdr:pic>
    <xdr:clientData/>
  </xdr:twoCellAnchor>
  <xdr:twoCellAnchor editAs="oneCell">
    <xdr:from>
      <xdr:col>0</xdr:col>
      <xdr:colOff>135467</xdr:colOff>
      <xdr:row>308</xdr:row>
      <xdr:rowOff>63500</xdr:rowOff>
    </xdr:from>
    <xdr:to>
      <xdr:col>55</xdr:col>
      <xdr:colOff>35984</xdr:colOff>
      <xdr:row>351</xdr:row>
      <xdr:rowOff>98425</xdr:rowOff>
    </xdr:to>
    <xdr:pic>
      <xdr:nvPicPr>
        <xdr:cNvPr id="17" name="Рисунок 16">
          <a:extLst>
            <a:ext uri="{FF2B5EF4-FFF2-40B4-BE49-F238E27FC236}">
              <a16:creationId xmlns:a16="http://schemas.microsoft.com/office/drawing/2014/main" id="{A0CAA6E3-46C0-464E-993D-294BEE89469B}"/>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5467" y="49936400"/>
          <a:ext cx="9330267" cy="6997700"/>
        </a:xfrm>
        <a:prstGeom prst="rect">
          <a:avLst/>
        </a:prstGeom>
      </xdr:spPr>
    </xdr:pic>
    <xdr:clientData/>
  </xdr:twoCellAnchor>
  <xdr:twoCellAnchor editAs="oneCell">
    <xdr:from>
      <xdr:col>0</xdr:col>
      <xdr:colOff>135467</xdr:colOff>
      <xdr:row>352</xdr:row>
      <xdr:rowOff>63500</xdr:rowOff>
    </xdr:from>
    <xdr:to>
      <xdr:col>55</xdr:col>
      <xdr:colOff>35984</xdr:colOff>
      <xdr:row>395</xdr:row>
      <xdr:rowOff>98425</xdr:rowOff>
    </xdr:to>
    <xdr:pic>
      <xdr:nvPicPr>
        <xdr:cNvPr id="19" name="Рисунок 18">
          <a:extLst>
            <a:ext uri="{FF2B5EF4-FFF2-40B4-BE49-F238E27FC236}">
              <a16:creationId xmlns:a16="http://schemas.microsoft.com/office/drawing/2014/main" id="{5BA35466-A070-4A1A-B4DC-B70D91DE398C}"/>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5467" y="57061100"/>
          <a:ext cx="9330267" cy="6997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333148</xdr:colOff>
      <xdr:row>4</xdr:row>
      <xdr:rowOff>182764</xdr:rowOff>
    </xdr:to>
    <xdr:pic>
      <xdr:nvPicPr>
        <xdr:cNvPr id="2" name="ПС">
          <a:extLst>
            <a:ext uri="{FF2B5EF4-FFF2-40B4-BE49-F238E27FC236}">
              <a16:creationId xmlns:a16="http://schemas.microsoft.com/office/drawing/2014/main" id="{C08BA2F4-D6CC-4432-A98E-0CE04A8D11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742973" cy="14019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4972050</xdr:colOff>
          <xdr:row>12</xdr:row>
          <xdr:rowOff>9525</xdr:rowOff>
        </xdr:from>
        <xdr:to>
          <xdr:col>0</xdr:col>
          <xdr:colOff>5181600</xdr:colOff>
          <xdr:row>12</xdr:row>
          <xdr:rowOff>200025</xdr:rowOff>
        </xdr:to>
        <xdr:sp macro="" textlink="">
          <xdr:nvSpPr>
            <xdr:cNvPr id="3073" name="Ф_Проживание" hidden="1">
              <a:extLst>
                <a:ext uri="{63B3BB69-23CF-44E3-9099-C40C66FF867C}">
                  <a14:compatExt spid="_x0000_s3073"/>
                </a:ext>
                <a:ext uri="{FF2B5EF4-FFF2-40B4-BE49-F238E27FC236}">
                  <a16:creationId xmlns:a16="http://schemas.microsoft.com/office/drawing/2014/main" id="{723D5818-912D-4641-9594-BB96DBF85F49}"/>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4981575</xdr:colOff>
          <xdr:row>275</xdr:row>
          <xdr:rowOff>9525</xdr:rowOff>
        </xdr:from>
        <xdr:to>
          <xdr:col>0</xdr:col>
          <xdr:colOff>5181600</xdr:colOff>
          <xdr:row>275</xdr:row>
          <xdr:rowOff>200025</xdr:rowOff>
        </xdr:to>
        <xdr:sp macro="" textlink="">
          <xdr:nvSpPr>
            <xdr:cNvPr id="3074" name="Ф_вывоз_мусора" hidden="1">
              <a:extLst>
                <a:ext uri="{63B3BB69-23CF-44E3-9099-C40C66FF867C}">
                  <a14:compatExt spid="_x0000_s3074"/>
                </a:ext>
                <a:ext uri="{FF2B5EF4-FFF2-40B4-BE49-F238E27FC236}">
                  <a16:creationId xmlns:a16="http://schemas.microsoft.com/office/drawing/2014/main" id="{251C1D64-208E-4DBA-A441-D14186D556CC}"/>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57</xdr:row>
          <xdr:rowOff>9525</xdr:rowOff>
        </xdr:from>
        <xdr:to>
          <xdr:col>0</xdr:col>
          <xdr:colOff>5181600</xdr:colOff>
          <xdr:row>57</xdr:row>
          <xdr:rowOff>200025</xdr:rowOff>
        </xdr:to>
        <xdr:sp macro="" textlink="">
          <xdr:nvSpPr>
            <xdr:cNvPr id="3076" name="Ф_Закладные" hidden="1">
              <a:extLst>
                <a:ext uri="{63B3BB69-23CF-44E3-9099-C40C66FF867C}">
                  <a14:compatExt spid="_x0000_s3076"/>
                </a:ext>
                <a:ext uri="{FF2B5EF4-FFF2-40B4-BE49-F238E27FC236}">
                  <a16:creationId xmlns:a16="http://schemas.microsoft.com/office/drawing/2014/main" id="{9E8AAD7C-DDD3-4FB8-BEE8-7F5434EFEE53}"/>
                </a:ext>
              </a:extLst>
            </xdr:cNvPr>
            <xdr:cNvSpPr/>
          </xdr:nvSpPr>
          <xdr:spPr bwMode="auto">
            <a:xfrm>
              <a:off x="0" y="0"/>
              <a:ext cx="0" cy="0"/>
            </a:xfrm>
            <a:prstGeom prst="rect">
              <a:avLst/>
            </a:prstGeom>
            <a:noFill/>
            <a:ln w="3175">
              <a:solidFill>
                <a:srgbClr val="000000" mc:Ignorable="a14" a14:legacySpreadsheetColorIndex="64"/>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287</xdr:row>
          <xdr:rowOff>9525</xdr:rowOff>
        </xdr:from>
        <xdr:to>
          <xdr:col>0</xdr:col>
          <xdr:colOff>5181600</xdr:colOff>
          <xdr:row>287</xdr:row>
          <xdr:rowOff>200025</xdr:rowOff>
        </xdr:to>
        <xdr:sp macro="" textlink="">
          <xdr:nvSpPr>
            <xdr:cNvPr id="3077" name="Ф_утепл_фасада" hidden="1">
              <a:extLst>
                <a:ext uri="{63B3BB69-23CF-44E3-9099-C40C66FF867C}">
                  <a14:compatExt spid="_x0000_s3077"/>
                </a:ext>
                <a:ext uri="{FF2B5EF4-FFF2-40B4-BE49-F238E27FC236}">
                  <a16:creationId xmlns:a16="http://schemas.microsoft.com/office/drawing/2014/main" id="{CF50C351-E07E-4B3F-868E-E5B34EAD7169}"/>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290</xdr:row>
          <xdr:rowOff>9525</xdr:rowOff>
        </xdr:from>
        <xdr:to>
          <xdr:col>0</xdr:col>
          <xdr:colOff>5181600</xdr:colOff>
          <xdr:row>290</xdr:row>
          <xdr:rowOff>200025</xdr:rowOff>
        </xdr:to>
        <xdr:sp macro="" textlink="">
          <xdr:nvSpPr>
            <xdr:cNvPr id="3078" name="Ф_обл_кирпич" hidden="1">
              <a:extLst>
                <a:ext uri="{63B3BB69-23CF-44E3-9099-C40C66FF867C}">
                  <a14:compatExt spid="_x0000_s3078"/>
                </a:ext>
                <a:ext uri="{FF2B5EF4-FFF2-40B4-BE49-F238E27FC236}">
                  <a16:creationId xmlns:a16="http://schemas.microsoft.com/office/drawing/2014/main" id="{2AF73ADE-63C8-4FAD-9E9F-EAE94CA79299}"/>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4981575</xdr:colOff>
          <xdr:row>236</xdr:row>
          <xdr:rowOff>9525</xdr:rowOff>
        </xdr:from>
        <xdr:to>
          <xdr:col>0</xdr:col>
          <xdr:colOff>5181600</xdr:colOff>
          <xdr:row>236</xdr:row>
          <xdr:rowOff>200025</xdr:rowOff>
        </xdr:to>
        <xdr:sp macro="" textlink="">
          <xdr:nvSpPr>
            <xdr:cNvPr id="3079" name="Ф_ступени" hidden="1">
              <a:extLst>
                <a:ext uri="{63B3BB69-23CF-44E3-9099-C40C66FF867C}">
                  <a14:compatExt spid="_x0000_s3079"/>
                </a:ext>
                <a:ext uri="{FF2B5EF4-FFF2-40B4-BE49-F238E27FC236}">
                  <a16:creationId xmlns:a16="http://schemas.microsoft.com/office/drawing/2014/main" id="{77BBA4D3-8247-4099-8C54-29B2C9EB1221}"/>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4981575</xdr:colOff>
          <xdr:row>242</xdr:row>
          <xdr:rowOff>9525</xdr:rowOff>
        </xdr:from>
        <xdr:to>
          <xdr:col>0</xdr:col>
          <xdr:colOff>5181600</xdr:colOff>
          <xdr:row>242</xdr:row>
          <xdr:rowOff>200025</xdr:rowOff>
        </xdr:to>
        <xdr:sp macro="" textlink="">
          <xdr:nvSpPr>
            <xdr:cNvPr id="3080" name="Ф_лестница" hidden="1">
              <a:extLst>
                <a:ext uri="{63B3BB69-23CF-44E3-9099-C40C66FF867C}">
                  <a14:compatExt spid="_x0000_s3080"/>
                </a:ext>
                <a:ext uri="{FF2B5EF4-FFF2-40B4-BE49-F238E27FC236}">
                  <a16:creationId xmlns:a16="http://schemas.microsoft.com/office/drawing/2014/main" id="{4787B6AF-2CA4-4E33-A1D3-54CBFC16A556}"/>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293</xdr:row>
          <xdr:rowOff>9525</xdr:rowOff>
        </xdr:from>
        <xdr:to>
          <xdr:col>0</xdr:col>
          <xdr:colOff>5181600</xdr:colOff>
          <xdr:row>293</xdr:row>
          <xdr:rowOff>200025</xdr:rowOff>
        </xdr:to>
        <xdr:sp macro="" textlink="">
          <xdr:nvSpPr>
            <xdr:cNvPr id="3081" name="Ф_обл_кирпич_армирование" hidden="1">
              <a:extLst>
                <a:ext uri="{63B3BB69-23CF-44E3-9099-C40C66FF867C}">
                  <a14:compatExt spid="_x0000_s3081"/>
                </a:ext>
                <a:ext uri="{FF2B5EF4-FFF2-40B4-BE49-F238E27FC236}">
                  <a16:creationId xmlns:a16="http://schemas.microsoft.com/office/drawing/2014/main" id="{D5188565-20C9-4BB1-B27E-B733BC13ABC1}"/>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296</xdr:row>
          <xdr:rowOff>9525</xdr:rowOff>
        </xdr:from>
        <xdr:to>
          <xdr:col>0</xdr:col>
          <xdr:colOff>5181600</xdr:colOff>
          <xdr:row>296</xdr:row>
          <xdr:rowOff>200025</xdr:rowOff>
        </xdr:to>
        <xdr:sp macro="" textlink="">
          <xdr:nvSpPr>
            <xdr:cNvPr id="3082" name="Ф_обл_кирп_перемычки" hidden="1">
              <a:extLst>
                <a:ext uri="{63B3BB69-23CF-44E3-9099-C40C66FF867C}">
                  <a14:compatExt spid="_x0000_s3082"/>
                </a:ext>
                <a:ext uri="{FF2B5EF4-FFF2-40B4-BE49-F238E27FC236}">
                  <a16:creationId xmlns:a16="http://schemas.microsoft.com/office/drawing/2014/main" id="{88057C05-BC76-44F7-BAC3-6B2362C442EC}"/>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167</xdr:row>
          <xdr:rowOff>9525</xdr:rowOff>
        </xdr:from>
        <xdr:to>
          <xdr:col>0</xdr:col>
          <xdr:colOff>5181600</xdr:colOff>
          <xdr:row>167</xdr:row>
          <xdr:rowOff>200025</xdr:rowOff>
        </xdr:to>
        <xdr:sp macro="" textlink="">
          <xdr:nvSpPr>
            <xdr:cNvPr id="3083" name="Ф_водосточные_крюки" hidden="1">
              <a:extLst>
                <a:ext uri="{63B3BB69-23CF-44E3-9099-C40C66FF867C}">
                  <a14:compatExt spid="_x0000_s3083"/>
                </a:ext>
                <a:ext uri="{FF2B5EF4-FFF2-40B4-BE49-F238E27FC236}">
                  <a16:creationId xmlns:a16="http://schemas.microsoft.com/office/drawing/2014/main" id="{17AD8460-13F8-4BB8-9FD9-D78B2AD21E0D}"/>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172</xdr:row>
          <xdr:rowOff>9525</xdr:rowOff>
        </xdr:from>
        <xdr:to>
          <xdr:col>0</xdr:col>
          <xdr:colOff>5181600</xdr:colOff>
          <xdr:row>172</xdr:row>
          <xdr:rowOff>200025</xdr:rowOff>
        </xdr:to>
        <xdr:sp macro="" textlink="">
          <xdr:nvSpPr>
            <xdr:cNvPr id="3084" name="Ф_водосток" hidden="1">
              <a:extLst>
                <a:ext uri="{63B3BB69-23CF-44E3-9099-C40C66FF867C}">
                  <a14:compatExt spid="_x0000_s3084"/>
                </a:ext>
                <a:ext uri="{FF2B5EF4-FFF2-40B4-BE49-F238E27FC236}">
                  <a16:creationId xmlns:a16="http://schemas.microsoft.com/office/drawing/2014/main" id="{80C90590-ACAA-4D83-A661-ABEE8490A991}"/>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182</xdr:row>
          <xdr:rowOff>9525</xdr:rowOff>
        </xdr:from>
        <xdr:to>
          <xdr:col>0</xdr:col>
          <xdr:colOff>5181600</xdr:colOff>
          <xdr:row>182</xdr:row>
          <xdr:rowOff>200025</xdr:rowOff>
        </xdr:to>
        <xdr:sp macro="" textlink="">
          <xdr:nvSpPr>
            <xdr:cNvPr id="3086" name="Ф_Подшив_свесов" hidden="1">
              <a:extLst>
                <a:ext uri="{63B3BB69-23CF-44E3-9099-C40C66FF867C}">
                  <a14:compatExt spid="_x0000_s3086"/>
                </a:ext>
                <a:ext uri="{FF2B5EF4-FFF2-40B4-BE49-F238E27FC236}">
                  <a16:creationId xmlns:a16="http://schemas.microsoft.com/office/drawing/2014/main" id="{D2BA4FDD-6DFD-4CC5-99DE-694404F586E1}"/>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131</xdr:row>
          <xdr:rowOff>9525</xdr:rowOff>
        </xdr:from>
        <xdr:to>
          <xdr:col>0</xdr:col>
          <xdr:colOff>5181600</xdr:colOff>
          <xdr:row>131</xdr:row>
          <xdr:rowOff>200025</xdr:rowOff>
        </xdr:to>
        <xdr:sp macro="" textlink="">
          <xdr:nvSpPr>
            <xdr:cNvPr id="3088" name="Ф_Временная_кровля" hidden="1">
              <a:extLst>
                <a:ext uri="{63B3BB69-23CF-44E3-9099-C40C66FF867C}">
                  <a14:compatExt spid="_x0000_s3088"/>
                </a:ext>
                <a:ext uri="{FF2B5EF4-FFF2-40B4-BE49-F238E27FC236}">
                  <a16:creationId xmlns:a16="http://schemas.microsoft.com/office/drawing/2014/main" id="{2298810E-7D43-47EE-AFA3-2F63E8BF3E1A}"/>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138</xdr:row>
          <xdr:rowOff>9525</xdr:rowOff>
        </xdr:from>
        <xdr:to>
          <xdr:col>0</xdr:col>
          <xdr:colOff>5181600</xdr:colOff>
          <xdr:row>138</xdr:row>
          <xdr:rowOff>200025</xdr:rowOff>
        </xdr:to>
        <xdr:sp macro="" textlink="">
          <xdr:nvSpPr>
            <xdr:cNvPr id="3089" name="Ф_утепл_кровли" hidden="1">
              <a:extLst>
                <a:ext uri="{63B3BB69-23CF-44E3-9099-C40C66FF867C}">
                  <a14:compatExt spid="_x0000_s3089"/>
                </a:ext>
                <a:ext uri="{FF2B5EF4-FFF2-40B4-BE49-F238E27FC236}">
                  <a16:creationId xmlns:a16="http://schemas.microsoft.com/office/drawing/2014/main" id="{84B5E659-2258-48C7-B9A4-53A870848FBC}"/>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189</xdr:row>
          <xdr:rowOff>9525</xdr:rowOff>
        </xdr:from>
        <xdr:to>
          <xdr:col>0</xdr:col>
          <xdr:colOff>5181600</xdr:colOff>
          <xdr:row>189</xdr:row>
          <xdr:rowOff>200025</xdr:rowOff>
        </xdr:to>
        <xdr:sp macro="" textlink="">
          <xdr:nvSpPr>
            <xdr:cNvPr id="3090" name="Ф_утепл_черд_перекр" hidden="1">
              <a:extLst>
                <a:ext uri="{63B3BB69-23CF-44E3-9099-C40C66FF867C}">
                  <a14:compatExt spid="_x0000_s3090"/>
                </a:ext>
                <a:ext uri="{FF2B5EF4-FFF2-40B4-BE49-F238E27FC236}">
                  <a16:creationId xmlns:a16="http://schemas.microsoft.com/office/drawing/2014/main" id="{5F556D47-9E57-4741-86A9-8D0821F19C01}"/>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187</xdr:row>
          <xdr:rowOff>9525</xdr:rowOff>
        </xdr:from>
        <xdr:to>
          <xdr:col>0</xdr:col>
          <xdr:colOff>5181600</xdr:colOff>
          <xdr:row>187</xdr:row>
          <xdr:rowOff>200025</xdr:rowOff>
        </xdr:to>
        <xdr:sp macro="" textlink="">
          <xdr:nvSpPr>
            <xdr:cNvPr id="3091" name="Ф_черд_перекр" hidden="1">
              <a:extLst>
                <a:ext uri="{63B3BB69-23CF-44E3-9099-C40C66FF867C}">
                  <a14:compatExt spid="_x0000_s3091"/>
                </a:ext>
                <a:ext uri="{FF2B5EF4-FFF2-40B4-BE49-F238E27FC236}">
                  <a16:creationId xmlns:a16="http://schemas.microsoft.com/office/drawing/2014/main" id="{D9FC062C-C9A6-45F2-8991-BA446937CCD1}"/>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94</xdr:row>
          <xdr:rowOff>9525</xdr:rowOff>
        </xdr:from>
        <xdr:to>
          <xdr:col>0</xdr:col>
          <xdr:colOff>5181600</xdr:colOff>
          <xdr:row>94</xdr:row>
          <xdr:rowOff>200025</xdr:rowOff>
        </xdr:to>
        <xdr:sp macro="" textlink="">
          <xdr:nvSpPr>
            <xdr:cNvPr id="3092" name="Ф_перегородкиГБ" hidden="1">
              <a:extLst>
                <a:ext uri="{63B3BB69-23CF-44E3-9099-C40C66FF867C}">
                  <a14:compatExt spid="_x0000_s3092"/>
                </a:ext>
                <a:ext uri="{FF2B5EF4-FFF2-40B4-BE49-F238E27FC236}">
                  <a16:creationId xmlns:a16="http://schemas.microsoft.com/office/drawing/2014/main" id="{F459B126-933B-4460-BE5D-6D16289019B1}"/>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4981575</xdr:colOff>
          <xdr:row>212</xdr:row>
          <xdr:rowOff>9525</xdr:rowOff>
        </xdr:from>
        <xdr:to>
          <xdr:col>0</xdr:col>
          <xdr:colOff>5181600</xdr:colOff>
          <xdr:row>212</xdr:row>
          <xdr:rowOff>200025</xdr:rowOff>
        </xdr:to>
        <xdr:sp macro="" textlink="">
          <xdr:nvSpPr>
            <xdr:cNvPr id="3098" name="Ф_окна_двери" hidden="1">
              <a:extLst>
                <a:ext uri="{63B3BB69-23CF-44E3-9099-C40C66FF867C}">
                  <a14:compatExt spid="_x0000_s3098"/>
                </a:ext>
                <a:ext uri="{FF2B5EF4-FFF2-40B4-BE49-F238E27FC236}">
                  <a16:creationId xmlns:a16="http://schemas.microsoft.com/office/drawing/2014/main" id="{4214A3BB-3A64-4807-A539-00F8FA10FB21}"/>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4981575</xdr:colOff>
          <xdr:row>251</xdr:row>
          <xdr:rowOff>9525</xdr:rowOff>
        </xdr:from>
        <xdr:to>
          <xdr:col>0</xdr:col>
          <xdr:colOff>5181600</xdr:colOff>
          <xdr:row>251</xdr:row>
          <xdr:rowOff>200025</xdr:rowOff>
        </xdr:to>
        <xdr:sp macro="" textlink="">
          <xdr:nvSpPr>
            <xdr:cNvPr id="3106" name="Ф_упепл_цоколя" hidden="1">
              <a:extLst>
                <a:ext uri="{63B3BB69-23CF-44E3-9099-C40C66FF867C}">
                  <a14:compatExt spid="_x0000_s3106"/>
                </a:ext>
                <a:ext uri="{FF2B5EF4-FFF2-40B4-BE49-F238E27FC236}">
                  <a16:creationId xmlns:a16="http://schemas.microsoft.com/office/drawing/2014/main" id="{BD2A5E28-002E-4F50-832C-C870F0F57F1A}"/>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4981575</xdr:colOff>
          <xdr:row>257</xdr:row>
          <xdr:rowOff>9525</xdr:rowOff>
        </xdr:from>
        <xdr:to>
          <xdr:col>0</xdr:col>
          <xdr:colOff>5181600</xdr:colOff>
          <xdr:row>257</xdr:row>
          <xdr:rowOff>200025</xdr:rowOff>
        </xdr:to>
        <xdr:sp macro="" textlink="">
          <xdr:nvSpPr>
            <xdr:cNvPr id="3107" name="Ф_отмостка" hidden="1">
              <a:extLst>
                <a:ext uri="{63B3BB69-23CF-44E3-9099-C40C66FF867C}">
                  <a14:compatExt spid="_x0000_s3107"/>
                </a:ext>
                <a:ext uri="{FF2B5EF4-FFF2-40B4-BE49-F238E27FC236}">
                  <a16:creationId xmlns:a16="http://schemas.microsoft.com/office/drawing/2014/main" id="{2F75FC30-AA23-4518-B8E1-86E68A5CAD4F}"/>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4981575</xdr:colOff>
          <xdr:row>211</xdr:row>
          <xdr:rowOff>9525</xdr:rowOff>
        </xdr:from>
        <xdr:to>
          <xdr:col>0</xdr:col>
          <xdr:colOff>5181600</xdr:colOff>
          <xdr:row>211</xdr:row>
          <xdr:rowOff>200025</xdr:rowOff>
        </xdr:to>
        <xdr:sp macro="" textlink="">
          <xdr:nvSpPr>
            <xdr:cNvPr id="3108" name="Ф_демонтад_лесов" hidden="1">
              <a:extLst>
                <a:ext uri="{63B3BB69-23CF-44E3-9099-C40C66FF867C}">
                  <a14:compatExt spid="_x0000_s3108"/>
                </a:ext>
                <a:ext uri="{FF2B5EF4-FFF2-40B4-BE49-F238E27FC236}">
                  <a16:creationId xmlns:a16="http://schemas.microsoft.com/office/drawing/2014/main" id="{6579CD82-B9C8-4D74-AE02-44E27EEB493B}"/>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346</xdr:row>
          <xdr:rowOff>9525</xdr:rowOff>
        </xdr:from>
        <xdr:to>
          <xdr:col>0</xdr:col>
          <xdr:colOff>5181600</xdr:colOff>
          <xdr:row>346</xdr:row>
          <xdr:rowOff>200025</xdr:rowOff>
        </xdr:to>
        <xdr:sp macro="" textlink="">
          <xdr:nvSpPr>
            <xdr:cNvPr id="3109" name="Ф_септик" hidden="1">
              <a:extLst>
                <a:ext uri="{63B3BB69-23CF-44E3-9099-C40C66FF867C}">
                  <a14:compatExt spid="_x0000_s3109"/>
                </a:ext>
                <a:ext uri="{FF2B5EF4-FFF2-40B4-BE49-F238E27FC236}">
                  <a16:creationId xmlns:a16="http://schemas.microsoft.com/office/drawing/2014/main" id="{A1F6DD9E-D367-47BF-870B-F53EA819143B}"/>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343</xdr:row>
          <xdr:rowOff>9525</xdr:rowOff>
        </xdr:from>
        <xdr:to>
          <xdr:col>0</xdr:col>
          <xdr:colOff>5181600</xdr:colOff>
          <xdr:row>343</xdr:row>
          <xdr:rowOff>200025</xdr:rowOff>
        </xdr:to>
        <xdr:sp macro="" textlink="">
          <xdr:nvSpPr>
            <xdr:cNvPr id="3111" name="Ф_скважина" hidden="1">
              <a:extLst>
                <a:ext uri="{63B3BB69-23CF-44E3-9099-C40C66FF867C}">
                  <a14:compatExt spid="_x0000_s3111"/>
                </a:ext>
                <a:ext uri="{FF2B5EF4-FFF2-40B4-BE49-F238E27FC236}">
                  <a16:creationId xmlns:a16="http://schemas.microsoft.com/office/drawing/2014/main" id="{D516BA47-9C05-4F45-92EE-9C2B303A05F3}"/>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344</xdr:row>
          <xdr:rowOff>9525</xdr:rowOff>
        </xdr:from>
        <xdr:to>
          <xdr:col>0</xdr:col>
          <xdr:colOff>5181600</xdr:colOff>
          <xdr:row>344</xdr:row>
          <xdr:rowOff>200025</xdr:rowOff>
        </xdr:to>
        <xdr:sp macro="" textlink="">
          <xdr:nvSpPr>
            <xdr:cNvPr id="3112" name="Ф_кессон" hidden="1">
              <a:extLst>
                <a:ext uri="{63B3BB69-23CF-44E3-9099-C40C66FF867C}">
                  <a14:compatExt spid="_x0000_s3112"/>
                </a:ext>
                <a:ext uri="{FF2B5EF4-FFF2-40B4-BE49-F238E27FC236}">
                  <a16:creationId xmlns:a16="http://schemas.microsoft.com/office/drawing/2014/main" id="{C99DF1FF-0A1D-41E5-A125-A028274E8F5E}"/>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4981575</xdr:colOff>
          <xdr:row>218</xdr:row>
          <xdr:rowOff>9525</xdr:rowOff>
        </xdr:from>
        <xdr:to>
          <xdr:col>0</xdr:col>
          <xdr:colOff>5181600</xdr:colOff>
          <xdr:row>218</xdr:row>
          <xdr:rowOff>200025</xdr:rowOff>
        </xdr:to>
        <xdr:sp macro="" textlink="">
          <xdr:nvSpPr>
            <xdr:cNvPr id="3113" name="Ф_венканалы" hidden="1">
              <a:extLst>
                <a:ext uri="{63B3BB69-23CF-44E3-9099-C40C66FF867C}">
                  <a14:compatExt spid="_x0000_s3113"/>
                </a:ext>
                <a:ext uri="{FF2B5EF4-FFF2-40B4-BE49-F238E27FC236}">
                  <a16:creationId xmlns:a16="http://schemas.microsoft.com/office/drawing/2014/main" id="{5D725F80-AB12-410F-AD7A-414AFE3837BF}"/>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162</xdr:row>
          <xdr:rowOff>9525</xdr:rowOff>
        </xdr:from>
        <xdr:to>
          <xdr:col>0</xdr:col>
          <xdr:colOff>5181600</xdr:colOff>
          <xdr:row>162</xdr:row>
          <xdr:rowOff>200025</xdr:rowOff>
        </xdr:to>
        <xdr:sp macro="" textlink="">
          <xdr:nvSpPr>
            <xdr:cNvPr id="3115" name="Ф_снегостопы2" hidden="1">
              <a:extLst>
                <a:ext uri="{63B3BB69-23CF-44E3-9099-C40C66FF867C}">
                  <a14:compatExt spid="_x0000_s3115"/>
                </a:ext>
                <a:ext uri="{FF2B5EF4-FFF2-40B4-BE49-F238E27FC236}">
                  <a16:creationId xmlns:a16="http://schemas.microsoft.com/office/drawing/2014/main" id="{BAFB2F48-0B2B-40C9-A1F7-98207A5CD22B}"/>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169</xdr:row>
          <xdr:rowOff>9525</xdr:rowOff>
        </xdr:from>
        <xdr:to>
          <xdr:col>0</xdr:col>
          <xdr:colOff>5181600</xdr:colOff>
          <xdr:row>169</xdr:row>
          <xdr:rowOff>200025</xdr:rowOff>
        </xdr:to>
        <xdr:sp macro="" textlink="">
          <xdr:nvSpPr>
            <xdr:cNvPr id="3141" name="Ф_Мансардные_окна" hidden="1">
              <a:extLst>
                <a:ext uri="{63B3BB69-23CF-44E3-9099-C40C66FF867C}">
                  <a14:compatExt spid="_x0000_s3141"/>
                </a:ext>
                <a:ext uri="{FF2B5EF4-FFF2-40B4-BE49-F238E27FC236}">
                  <a16:creationId xmlns:a16="http://schemas.microsoft.com/office/drawing/2014/main" id="{CC94AF25-4803-416C-AD86-6560E4AA5678}"/>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xdr:twoCellAnchor>
    <xdr:from>
      <xdr:col>0</xdr:col>
      <xdr:colOff>4695825</xdr:colOff>
      <xdr:row>42</xdr:row>
      <xdr:rowOff>57150</xdr:rowOff>
    </xdr:from>
    <xdr:to>
      <xdr:col>0</xdr:col>
      <xdr:colOff>4952968</xdr:colOff>
      <xdr:row>42</xdr:row>
      <xdr:rowOff>152388</xdr:rowOff>
    </xdr:to>
    <xdr:pic>
      <xdr:nvPicPr>
        <xdr:cNvPr id="72" name="!СИНЯЯ ССЫЛКА 1">
          <a:hlinkClick xmlns:r="http://schemas.openxmlformats.org/officeDocument/2006/relationships" r:id="rId1"/>
          <a:extLst>
            <a:ext uri="{FF2B5EF4-FFF2-40B4-BE49-F238E27FC236}">
              <a16:creationId xmlns:a16="http://schemas.microsoft.com/office/drawing/2014/main" id="{8594500C-307E-4D33-8D24-B78B5663845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9658350"/>
          <a:ext cx="257143" cy="95238"/>
        </a:xfrm>
        <a:prstGeom prst="rect">
          <a:avLst/>
        </a:prstGeom>
      </xdr:spPr>
    </xdr:pic>
    <xdr:clientData fPrintsWithSheet="0"/>
  </xdr:twoCellAnchor>
  <xdr:twoCellAnchor>
    <xdr:from>
      <xdr:col>0</xdr:col>
      <xdr:colOff>4695825</xdr:colOff>
      <xdr:row>41</xdr:row>
      <xdr:rowOff>57150</xdr:rowOff>
    </xdr:from>
    <xdr:to>
      <xdr:col>0</xdr:col>
      <xdr:colOff>4952968</xdr:colOff>
      <xdr:row>41</xdr:row>
      <xdr:rowOff>152388</xdr:rowOff>
    </xdr:to>
    <xdr:pic>
      <xdr:nvPicPr>
        <xdr:cNvPr id="73" name="!СИНЯЯ ССЫЛКА 2">
          <a:hlinkClick xmlns:r="http://schemas.openxmlformats.org/officeDocument/2006/relationships" r:id="rId3"/>
          <a:extLst>
            <a:ext uri="{FF2B5EF4-FFF2-40B4-BE49-F238E27FC236}">
              <a16:creationId xmlns:a16="http://schemas.microsoft.com/office/drawing/2014/main" id="{28F112AB-3061-40E0-931A-1E1580DAF7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9448800"/>
          <a:ext cx="257143" cy="95238"/>
        </a:xfrm>
        <a:prstGeom prst="rect">
          <a:avLst/>
        </a:prstGeom>
      </xdr:spPr>
    </xdr:pic>
    <xdr:clientData fPrintsWithSheet="0"/>
  </xdr:twoCellAnchor>
  <xdr:twoCellAnchor>
    <xdr:from>
      <xdr:col>0</xdr:col>
      <xdr:colOff>4695825</xdr:colOff>
      <xdr:row>75</xdr:row>
      <xdr:rowOff>66675</xdr:rowOff>
    </xdr:from>
    <xdr:to>
      <xdr:col>0</xdr:col>
      <xdr:colOff>4952968</xdr:colOff>
      <xdr:row>75</xdr:row>
      <xdr:rowOff>161913</xdr:rowOff>
    </xdr:to>
    <xdr:pic>
      <xdr:nvPicPr>
        <xdr:cNvPr id="78" name="!СИНЯЯ ССЫЛКА 7">
          <a:hlinkClick xmlns:r="http://schemas.openxmlformats.org/officeDocument/2006/relationships" r:id="rId4"/>
          <a:extLst>
            <a:ext uri="{FF2B5EF4-FFF2-40B4-BE49-F238E27FC236}">
              <a16:creationId xmlns:a16="http://schemas.microsoft.com/office/drawing/2014/main" id="{845CF78F-C93F-4F0E-BB9D-35FE479C1C1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38404800"/>
          <a:ext cx="257143" cy="95238"/>
        </a:xfrm>
        <a:prstGeom prst="rect">
          <a:avLst/>
        </a:prstGeom>
      </xdr:spPr>
    </xdr:pic>
    <xdr:clientData fPrintsWithSheet="0"/>
  </xdr:twoCellAnchor>
  <xdr:twoCellAnchor>
    <xdr:from>
      <xdr:col>0</xdr:col>
      <xdr:colOff>4695825</xdr:colOff>
      <xdr:row>83</xdr:row>
      <xdr:rowOff>66675</xdr:rowOff>
    </xdr:from>
    <xdr:to>
      <xdr:col>0</xdr:col>
      <xdr:colOff>4952968</xdr:colOff>
      <xdr:row>83</xdr:row>
      <xdr:rowOff>161913</xdr:rowOff>
    </xdr:to>
    <xdr:pic>
      <xdr:nvPicPr>
        <xdr:cNvPr id="84" name="!СИНЯЯ ССЫЛКА 13">
          <a:hlinkClick xmlns:r="http://schemas.openxmlformats.org/officeDocument/2006/relationships" r:id="rId3"/>
          <a:extLst>
            <a:ext uri="{FF2B5EF4-FFF2-40B4-BE49-F238E27FC236}">
              <a16:creationId xmlns:a16="http://schemas.microsoft.com/office/drawing/2014/main" id="{25B8C99C-04D3-4AE0-8C5D-90686C5B1E6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45948600"/>
          <a:ext cx="257143" cy="95238"/>
        </a:xfrm>
        <a:prstGeom prst="rect">
          <a:avLst/>
        </a:prstGeom>
      </xdr:spPr>
    </xdr:pic>
    <xdr:clientData fPrintsWithSheet="0"/>
  </xdr:twoCellAnchor>
  <xdr:twoCellAnchor>
    <xdr:from>
      <xdr:col>0</xdr:col>
      <xdr:colOff>4695825</xdr:colOff>
      <xdr:row>93</xdr:row>
      <xdr:rowOff>66675</xdr:rowOff>
    </xdr:from>
    <xdr:to>
      <xdr:col>0</xdr:col>
      <xdr:colOff>4952968</xdr:colOff>
      <xdr:row>93</xdr:row>
      <xdr:rowOff>161913</xdr:rowOff>
    </xdr:to>
    <xdr:pic>
      <xdr:nvPicPr>
        <xdr:cNvPr id="89" name="!СИНЯЯ ССЫЛКА 18">
          <a:hlinkClick xmlns:r="http://schemas.openxmlformats.org/officeDocument/2006/relationships" r:id="rId3"/>
          <a:extLst>
            <a:ext uri="{FF2B5EF4-FFF2-40B4-BE49-F238E27FC236}">
              <a16:creationId xmlns:a16="http://schemas.microsoft.com/office/drawing/2014/main" id="{498A52B8-C114-4E99-B05B-98AB56A0726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52444650"/>
          <a:ext cx="257143" cy="95238"/>
        </a:xfrm>
        <a:prstGeom prst="rect">
          <a:avLst/>
        </a:prstGeom>
      </xdr:spPr>
    </xdr:pic>
    <xdr:clientData fPrintsWithSheet="0"/>
  </xdr:twoCellAnchor>
  <xdr:twoCellAnchor>
    <xdr:from>
      <xdr:col>0</xdr:col>
      <xdr:colOff>4695825</xdr:colOff>
      <xdr:row>108</xdr:row>
      <xdr:rowOff>66675</xdr:rowOff>
    </xdr:from>
    <xdr:to>
      <xdr:col>0</xdr:col>
      <xdr:colOff>4952968</xdr:colOff>
      <xdr:row>108</xdr:row>
      <xdr:rowOff>161913</xdr:rowOff>
    </xdr:to>
    <xdr:pic>
      <xdr:nvPicPr>
        <xdr:cNvPr id="95" name="!СИНЯЯ ССЫЛКА 24">
          <a:hlinkClick xmlns:r="http://schemas.openxmlformats.org/officeDocument/2006/relationships" r:id="rId3"/>
          <a:extLst>
            <a:ext uri="{FF2B5EF4-FFF2-40B4-BE49-F238E27FC236}">
              <a16:creationId xmlns:a16="http://schemas.microsoft.com/office/drawing/2014/main" id="{759FF384-80E7-4641-9C05-4BAA504CDA9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59569350"/>
          <a:ext cx="257143" cy="95238"/>
        </a:xfrm>
        <a:prstGeom prst="rect">
          <a:avLst/>
        </a:prstGeom>
      </xdr:spPr>
    </xdr:pic>
    <xdr:clientData fPrintsWithSheet="0"/>
  </xdr:twoCellAnchor>
  <xdr:twoCellAnchor>
    <xdr:from>
      <xdr:col>0</xdr:col>
      <xdr:colOff>4695825</xdr:colOff>
      <xdr:row>114</xdr:row>
      <xdr:rowOff>66675</xdr:rowOff>
    </xdr:from>
    <xdr:to>
      <xdr:col>0</xdr:col>
      <xdr:colOff>4952968</xdr:colOff>
      <xdr:row>114</xdr:row>
      <xdr:rowOff>161913</xdr:rowOff>
    </xdr:to>
    <xdr:pic>
      <xdr:nvPicPr>
        <xdr:cNvPr id="96" name="!СИНЯЯ ССЫЛКА 25">
          <a:hlinkClick xmlns:r="http://schemas.openxmlformats.org/officeDocument/2006/relationships" r:id="rId3"/>
          <a:extLst>
            <a:ext uri="{FF2B5EF4-FFF2-40B4-BE49-F238E27FC236}">
              <a16:creationId xmlns:a16="http://schemas.microsoft.com/office/drawing/2014/main" id="{4C466E22-594D-4A33-BA6E-6F5F70DF84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60826650"/>
          <a:ext cx="257143" cy="95238"/>
        </a:xfrm>
        <a:prstGeom prst="rect">
          <a:avLst/>
        </a:prstGeom>
      </xdr:spPr>
    </xdr:pic>
    <xdr:clientData fPrintsWithSheet="0"/>
  </xdr:twoCellAnchor>
  <xdr:twoCellAnchor>
    <xdr:from>
      <xdr:col>0</xdr:col>
      <xdr:colOff>4695825</xdr:colOff>
      <xdr:row>241</xdr:row>
      <xdr:rowOff>66675</xdr:rowOff>
    </xdr:from>
    <xdr:to>
      <xdr:col>0</xdr:col>
      <xdr:colOff>4952968</xdr:colOff>
      <xdr:row>241</xdr:row>
      <xdr:rowOff>161913</xdr:rowOff>
    </xdr:to>
    <xdr:pic>
      <xdr:nvPicPr>
        <xdr:cNvPr id="97" name="!СИНЯЯ ССЫЛКА 26">
          <a:hlinkClick xmlns:r="http://schemas.openxmlformats.org/officeDocument/2006/relationships" r:id="rId3"/>
          <a:extLst>
            <a:ext uri="{FF2B5EF4-FFF2-40B4-BE49-F238E27FC236}">
              <a16:creationId xmlns:a16="http://schemas.microsoft.com/office/drawing/2014/main" id="{2057C2D1-8B92-4448-BE84-DCDC824DD41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40769975"/>
          <a:ext cx="257143" cy="95238"/>
        </a:xfrm>
        <a:prstGeom prst="rect">
          <a:avLst/>
        </a:prstGeom>
      </xdr:spPr>
    </xdr:pic>
    <xdr:clientData fPrintsWithSheet="0"/>
  </xdr:twoCellAnchor>
  <xdr:twoCellAnchor>
    <xdr:from>
      <xdr:col>0</xdr:col>
      <xdr:colOff>4695825</xdr:colOff>
      <xdr:row>249</xdr:row>
      <xdr:rowOff>66675</xdr:rowOff>
    </xdr:from>
    <xdr:to>
      <xdr:col>0</xdr:col>
      <xdr:colOff>4952968</xdr:colOff>
      <xdr:row>249</xdr:row>
      <xdr:rowOff>161913</xdr:rowOff>
    </xdr:to>
    <xdr:pic>
      <xdr:nvPicPr>
        <xdr:cNvPr id="98" name="!СИНЯЯ ССЫЛКА 27">
          <a:hlinkClick xmlns:r="http://schemas.openxmlformats.org/officeDocument/2006/relationships" r:id="rId3"/>
          <a:extLst>
            <a:ext uri="{FF2B5EF4-FFF2-40B4-BE49-F238E27FC236}">
              <a16:creationId xmlns:a16="http://schemas.microsoft.com/office/drawing/2014/main" id="{CCBE4263-89D7-4532-88F2-1059AE03127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42446375"/>
          <a:ext cx="257143" cy="95238"/>
        </a:xfrm>
        <a:prstGeom prst="rect">
          <a:avLst/>
        </a:prstGeom>
      </xdr:spPr>
    </xdr:pic>
    <xdr:clientData fPrintsWithSheet="0"/>
  </xdr:twoCellAnchor>
  <xdr:twoCellAnchor>
    <xdr:from>
      <xdr:col>0</xdr:col>
      <xdr:colOff>4695825</xdr:colOff>
      <xdr:row>33</xdr:row>
      <xdr:rowOff>66675</xdr:rowOff>
    </xdr:from>
    <xdr:to>
      <xdr:col>0</xdr:col>
      <xdr:colOff>4952968</xdr:colOff>
      <xdr:row>33</xdr:row>
      <xdr:rowOff>161913</xdr:rowOff>
    </xdr:to>
    <xdr:pic>
      <xdr:nvPicPr>
        <xdr:cNvPr id="99" name="!СИНЯЯ ССЫЛКА 28">
          <a:hlinkClick xmlns:r="http://schemas.openxmlformats.org/officeDocument/2006/relationships" r:id="rId5"/>
          <a:extLst>
            <a:ext uri="{FF2B5EF4-FFF2-40B4-BE49-F238E27FC236}">
              <a16:creationId xmlns:a16="http://schemas.microsoft.com/office/drawing/2014/main" id="{2DE51417-8305-4FCF-A3A5-3729203BDA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7362825"/>
          <a:ext cx="257143" cy="95238"/>
        </a:xfrm>
        <a:prstGeom prst="rect">
          <a:avLst/>
        </a:prstGeom>
      </xdr:spPr>
    </xdr:pic>
    <xdr:clientData fPrintsWithSheet="0"/>
  </xdr:twoCellAnchor>
  <xdr:twoCellAnchor>
    <xdr:from>
      <xdr:col>0</xdr:col>
      <xdr:colOff>4695824</xdr:colOff>
      <xdr:row>85</xdr:row>
      <xdr:rowOff>66675</xdr:rowOff>
    </xdr:from>
    <xdr:to>
      <xdr:col>0</xdr:col>
      <xdr:colOff>4952968</xdr:colOff>
      <xdr:row>85</xdr:row>
      <xdr:rowOff>161913</xdr:rowOff>
    </xdr:to>
    <xdr:pic>
      <xdr:nvPicPr>
        <xdr:cNvPr id="102" name="!СИНЯЯ ССЫЛКА 31">
          <a:hlinkClick xmlns:r="http://schemas.openxmlformats.org/officeDocument/2006/relationships" r:id="rId4"/>
          <a:extLst>
            <a:ext uri="{FF2B5EF4-FFF2-40B4-BE49-F238E27FC236}">
              <a16:creationId xmlns:a16="http://schemas.microsoft.com/office/drawing/2014/main" id="{3F83B8E4-2319-417A-8BAC-B2D6EDCDAB2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4" y="46577250"/>
          <a:ext cx="257144" cy="95238"/>
        </a:xfrm>
        <a:prstGeom prst="rect">
          <a:avLst/>
        </a:prstGeom>
      </xdr:spPr>
    </xdr:pic>
    <xdr:clientData fPrintsWithSheet="0"/>
  </xdr:twoCellAnchor>
  <xdr:twoCellAnchor>
    <xdr:from>
      <xdr:col>0</xdr:col>
      <xdr:colOff>4695825</xdr:colOff>
      <xdr:row>252</xdr:row>
      <xdr:rowOff>66675</xdr:rowOff>
    </xdr:from>
    <xdr:to>
      <xdr:col>0</xdr:col>
      <xdr:colOff>4952968</xdr:colOff>
      <xdr:row>252</xdr:row>
      <xdr:rowOff>161913</xdr:rowOff>
    </xdr:to>
    <xdr:pic>
      <xdr:nvPicPr>
        <xdr:cNvPr id="105" name="!СИНЯЯ ССЫЛКА 34">
          <a:hlinkClick xmlns:r="http://schemas.openxmlformats.org/officeDocument/2006/relationships" r:id="rId6"/>
          <a:extLst>
            <a:ext uri="{FF2B5EF4-FFF2-40B4-BE49-F238E27FC236}">
              <a16:creationId xmlns:a16="http://schemas.microsoft.com/office/drawing/2014/main" id="{E876A9DB-76F7-425E-9C7B-107B5E892AC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43075025"/>
          <a:ext cx="257143" cy="95238"/>
        </a:xfrm>
        <a:prstGeom prst="rect">
          <a:avLst/>
        </a:prstGeom>
      </xdr:spPr>
    </xdr:pic>
    <xdr:clientData fPrintsWithSheet="0"/>
  </xdr:twoCellAnchor>
  <xdr:twoCellAnchor>
    <xdr:from>
      <xdr:col>0</xdr:col>
      <xdr:colOff>4695825</xdr:colOff>
      <xdr:row>259</xdr:row>
      <xdr:rowOff>66675</xdr:rowOff>
    </xdr:from>
    <xdr:to>
      <xdr:col>0</xdr:col>
      <xdr:colOff>4952968</xdr:colOff>
      <xdr:row>259</xdr:row>
      <xdr:rowOff>161913</xdr:rowOff>
    </xdr:to>
    <xdr:pic>
      <xdr:nvPicPr>
        <xdr:cNvPr id="106" name="!СИНЯЯ ССЫЛКА 35">
          <a:hlinkClick xmlns:r="http://schemas.openxmlformats.org/officeDocument/2006/relationships" r:id="rId5"/>
          <a:extLst>
            <a:ext uri="{FF2B5EF4-FFF2-40B4-BE49-F238E27FC236}">
              <a16:creationId xmlns:a16="http://schemas.microsoft.com/office/drawing/2014/main" id="{8F2292AB-CD49-4C21-95BA-BB8528553F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44541875"/>
          <a:ext cx="257143" cy="95238"/>
        </a:xfrm>
        <a:prstGeom prst="rect">
          <a:avLst/>
        </a:prstGeom>
      </xdr:spPr>
    </xdr:pic>
    <xdr:clientData fPrintsWithSheet="0"/>
  </xdr:twoCellAnchor>
  <xdr:twoCellAnchor>
    <xdr:from>
      <xdr:col>0</xdr:col>
      <xdr:colOff>4695825</xdr:colOff>
      <xdr:row>349</xdr:row>
      <xdr:rowOff>66675</xdr:rowOff>
    </xdr:from>
    <xdr:to>
      <xdr:col>0</xdr:col>
      <xdr:colOff>4952968</xdr:colOff>
      <xdr:row>349</xdr:row>
      <xdr:rowOff>161913</xdr:rowOff>
    </xdr:to>
    <xdr:pic>
      <xdr:nvPicPr>
        <xdr:cNvPr id="107" name="!СИНЯЯ ССЫЛКА 36">
          <a:hlinkClick xmlns:r="http://schemas.openxmlformats.org/officeDocument/2006/relationships" r:id="rId5"/>
          <a:extLst>
            <a:ext uri="{FF2B5EF4-FFF2-40B4-BE49-F238E27FC236}">
              <a16:creationId xmlns:a16="http://schemas.microsoft.com/office/drawing/2014/main" id="{689B41B6-C073-42A2-B693-7D853477FA2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204139800"/>
          <a:ext cx="257143" cy="95238"/>
        </a:xfrm>
        <a:prstGeom prst="rect">
          <a:avLst/>
        </a:prstGeom>
      </xdr:spPr>
    </xdr:pic>
    <xdr:clientData fPrintsWithSheet="0"/>
  </xdr:twoCellAnchor>
  <xdr:twoCellAnchor>
    <xdr:from>
      <xdr:col>0</xdr:col>
      <xdr:colOff>4695825</xdr:colOff>
      <xdr:row>154</xdr:row>
      <xdr:rowOff>66675</xdr:rowOff>
    </xdr:from>
    <xdr:to>
      <xdr:col>0</xdr:col>
      <xdr:colOff>4952968</xdr:colOff>
      <xdr:row>154</xdr:row>
      <xdr:rowOff>161913</xdr:rowOff>
    </xdr:to>
    <xdr:pic>
      <xdr:nvPicPr>
        <xdr:cNvPr id="109" name="!СИНЯЯ ССЫЛКА MET ЧЕРЕП">
          <a:hlinkClick xmlns:r="http://schemas.openxmlformats.org/officeDocument/2006/relationships" r:id="rId7"/>
          <a:extLst>
            <a:ext uri="{FF2B5EF4-FFF2-40B4-BE49-F238E27FC236}">
              <a16:creationId xmlns:a16="http://schemas.microsoft.com/office/drawing/2014/main" id="{B57945F2-2BCB-4585-BF8C-E9E661D3226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00907850"/>
          <a:ext cx="257143" cy="95238"/>
        </a:xfrm>
        <a:prstGeom prst="rect">
          <a:avLst/>
        </a:prstGeom>
      </xdr:spPr>
    </xdr:pic>
    <xdr:clientData fPrintsWithSheet="0"/>
  </xdr:twoCellAnchor>
  <xdr:twoCellAnchor>
    <xdr:from>
      <xdr:col>0</xdr:col>
      <xdr:colOff>4695825</xdr:colOff>
      <xdr:row>163</xdr:row>
      <xdr:rowOff>76200</xdr:rowOff>
    </xdr:from>
    <xdr:to>
      <xdr:col>0</xdr:col>
      <xdr:colOff>4952968</xdr:colOff>
      <xdr:row>163</xdr:row>
      <xdr:rowOff>171438</xdr:rowOff>
    </xdr:to>
    <xdr:pic>
      <xdr:nvPicPr>
        <xdr:cNvPr id="112" name="!СИНЯЯ ССЫЛКА снегостоп унив">
          <a:hlinkClick xmlns:r="http://schemas.openxmlformats.org/officeDocument/2006/relationships" r:id="rId8"/>
          <a:extLst>
            <a:ext uri="{FF2B5EF4-FFF2-40B4-BE49-F238E27FC236}">
              <a16:creationId xmlns:a16="http://schemas.microsoft.com/office/drawing/2014/main" id="{D47BF598-C75F-40B5-A3B3-CC7BB7C8621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12861725"/>
          <a:ext cx="257143" cy="95238"/>
        </a:xfrm>
        <a:prstGeom prst="rect">
          <a:avLst/>
        </a:prstGeom>
      </xdr:spPr>
    </xdr:pic>
    <xdr:clientData fPrintsWithSheet="0"/>
  </xdr:twoCellAnchor>
  <xdr:twoCellAnchor>
    <xdr:from>
      <xdr:col>0</xdr:col>
      <xdr:colOff>4695825</xdr:colOff>
      <xdr:row>168</xdr:row>
      <xdr:rowOff>57150</xdr:rowOff>
    </xdr:from>
    <xdr:to>
      <xdr:col>0</xdr:col>
      <xdr:colOff>4952968</xdr:colOff>
      <xdr:row>168</xdr:row>
      <xdr:rowOff>152388</xdr:rowOff>
    </xdr:to>
    <xdr:pic>
      <xdr:nvPicPr>
        <xdr:cNvPr id="115" name="!СИНЯЯ ССЫЛКА Крюки">
          <a:hlinkClick xmlns:r="http://schemas.openxmlformats.org/officeDocument/2006/relationships" r:id="rId9"/>
          <a:extLst>
            <a:ext uri="{FF2B5EF4-FFF2-40B4-BE49-F238E27FC236}">
              <a16:creationId xmlns:a16="http://schemas.microsoft.com/office/drawing/2014/main" id="{530B5DC5-3A1E-417B-BB65-17E584D8034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14728625"/>
          <a:ext cx="257143" cy="95238"/>
        </a:xfrm>
        <a:prstGeom prst="rect">
          <a:avLst/>
        </a:prstGeom>
      </xdr:spPr>
    </xdr:pic>
    <xdr:clientData fPrintsWithSheet="0"/>
  </xdr:twoCellAnchor>
  <xdr:twoCellAnchor>
    <xdr:from>
      <xdr:col>0</xdr:col>
      <xdr:colOff>4695825</xdr:colOff>
      <xdr:row>161</xdr:row>
      <xdr:rowOff>66675</xdr:rowOff>
    </xdr:from>
    <xdr:to>
      <xdr:col>0</xdr:col>
      <xdr:colOff>4952968</xdr:colOff>
      <xdr:row>161</xdr:row>
      <xdr:rowOff>161913</xdr:rowOff>
    </xdr:to>
    <xdr:pic>
      <xdr:nvPicPr>
        <xdr:cNvPr id="120" name="!СИНЯЯ ССЫЛКА MET ЧЕРЕП">
          <a:hlinkClick xmlns:r="http://schemas.openxmlformats.org/officeDocument/2006/relationships" r:id="rId10"/>
          <a:extLst>
            <a:ext uri="{FF2B5EF4-FFF2-40B4-BE49-F238E27FC236}">
              <a16:creationId xmlns:a16="http://schemas.microsoft.com/office/drawing/2014/main" id="{52D035A0-D860-4219-AE0F-83AAB8FE334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12433100"/>
          <a:ext cx="257143" cy="95238"/>
        </a:xfrm>
        <a:prstGeom prst="rect">
          <a:avLst/>
        </a:prstGeom>
      </xdr:spPr>
    </xdr:pic>
    <xdr:clientData fPrintsWithSheet="0"/>
  </xdr:twoCellAnchor>
  <mc:AlternateContent xmlns:mc="http://schemas.openxmlformats.org/markup-compatibility/2006">
    <mc:Choice xmlns:a14="http://schemas.microsoft.com/office/drawing/2010/main" Requires="a14">
      <xdr:twoCellAnchor editAs="oneCell">
        <xdr:from>
          <xdr:col>0</xdr:col>
          <xdr:colOff>4981575</xdr:colOff>
          <xdr:row>269</xdr:row>
          <xdr:rowOff>9525</xdr:rowOff>
        </xdr:from>
        <xdr:to>
          <xdr:col>0</xdr:col>
          <xdr:colOff>5181600</xdr:colOff>
          <xdr:row>269</xdr:row>
          <xdr:rowOff>200025</xdr:rowOff>
        </xdr:to>
        <xdr:sp macro="" textlink="">
          <xdr:nvSpPr>
            <xdr:cNvPr id="3153" name="Ф_Дренаж" hidden="1">
              <a:extLst>
                <a:ext uri="{63B3BB69-23CF-44E3-9099-C40C66FF867C}">
                  <a14:compatExt spid="_x0000_s3153"/>
                </a:ext>
                <a:ext uri="{FF2B5EF4-FFF2-40B4-BE49-F238E27FC236}">
                  <a16:creationId xmlns:a16="http://schemas.microsoft.com/office/drawing/2014/main" id="{199AB96D-5FCB-40FA-B416-DDFD9143A3EF}"/>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xdr:twoCellAnchor>
    <xdr:from>
      <xdr:col>0</xdr:col>
      <xdr:colOff>4695825</xdr:colOff>
      <xdr:row>271</xdr:row>
      <xdr:rowOff>66675</xdr:rowOff>
    </xdr:from>
    <xdr:to>
      <xdr:col>0</xdr:col>
      <xdr:colOff>4952968</xdr:colOff>
      <xdr:row>271</xdr:row>
      <xdr:rowOff>161913</xdr:rowOff>
    </xdr:to>
    <xdr:pic>
      <xdr:nvPicPr>
        <xdr:cNvPr id="136" name="!СИНЯЯ ССЫЛКА 37">
          <a:hlinkClick xmlns:r="http://schemas.openxmlformats.org/officeDocument/2006/relationships" r:id="rId11"/>
          <a:extLst>
            <a:ext uri="{FF2B5EF4-FFF2-40B4-BE49-F238E27FC236}">
              <a16:creationId xmlns:a16="http://schemas.microsoft.com/office/drawing/2014/main" id="{CBA63DF4-4B99-4635-804A-E59BCACC63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47056475"/>
          <a:ext cx="257143" cy="95238"/>
        </a:xfrm>
        <a:prstGeom prst="rect">
          <a:avLst/>
        </a:prstGeom>
      </xdr:spPr>
    </xdr:pic>
    <xdr:clientData fPrintsWithSheet="0"/>
  </xdr:twoCellAnchor>
  <xdr:twoCellAnchor>
    <xdr:from>
      <xdr:col>0</xdr:col>
      <xdr:colOff>4695825</xdr:colOff>
      <xdr:row>291</xdr:row>
      <xdr:rowOff>66675</xdr:rowOff>
    </xdr:from>
    <xdr:to>
      <xdr:col>0</xdr:col>
      <xdr:colOff>4952968</xdr:colOff>
      <xdr:row>291</xdr:row>
      <xdr:rowOff>152400</xdr:rowOff>
    </xdr:to>
    <xdr:pic>
      <xdr:nvPicPr>
        <xdr:cNvPr id="137" name="!СИНЯЯ ССЫЛКА 38">
          <a:hlinkClick xmlns:r="http://schemas.openxmlformats.org/officeDocument/2006/relationships" r:id="rId12"/>
          <a:extLst>
            <a:ext uri="{FF2B5EF4-FFF2-40B4-BE49-F238E27FC236}">
              <a16:creationId xmlns:a16="http://schemas.microsoft.com/office/drawing/2014/main" id="{4CB93AE8-CF35-4233-BACF-21A0D3685A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52742900"/>
          <a:ext cx="257143" cy="85725"/>
        </a:xfrm>
        <a:prstGeom prst="rect">
          <a:avLst/>
        </a:prstGeom>
      </xdr:spPr>
    </xdr:pic>
    <xdr:clientData fPrintsWithSheet="0"/>
  </xdr:twoCellAnchor>
  <xdr:twoCellAnchor>
    <xdr:from>
      <xdr:col>0</xdr:col>
      <xdr:colOff>4695825</xdr:colOff>
      <xdr:row>95</xdr:row>
      <xdr:rowOff>66675</xdr:rowOff>
    </xdr:from>
    <xdr:to>
      <xdr:col>0</xdr:col>
      <xdr:colOff>4952968</xdr:colOff>
      <xdr:row>95</xdr:row>
      <xdr:rowOff>161913</xdr:rowOff>
    </xdr:to>
    <xdr:pic>
      <xdr:nvPicPr>
        <xdr:cNvPr id="143" name="!СИНЯЯ ССЫЛКА 44">
          <a:hlinkClick xmlns:r="http://schemas.openxmlformats.org/officeDocument/2006/relationships" r:id="rId13"/>
          <a:extLst>
            <a:ext uri="{FF2B5EF4-FFF2-40B4-BE49-F238E27FC236}">
              <a16:creationId xmlns:a16="http://schemas.microsoft.com/office/drawing/2014/main" id="{741B5CF1-2D21-4940-9686-8641A95D2A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52863750"/>
          <a:ext cx="257143" cy="95238"/>
        </a:xfrm>
        <a:prstGeom prst="rect">
          <a:avLst/>
        </a:prstGeom>
      </xdr:spPr>
    </xdr:pic>
    <xdr:clientData fPrintsWithSheet="0"/>
  </xdr:twoCellAnchor>
  <xdr:twoCellAnchor>
    <xdr:from>
      <xdr:col>0</xdr:col>
      <xdr:colOff>4695825</xdr:colOff>
      <xdr:row>153</xdr:row>
      <xdr:rowOff>66675</xdr:rowOff>
    </xdr:from>
    <xdr:to>
      <xdr:col>0</xdr:col>
      <xdr:colOff>4952968</xdr:colOff>
      <xdr:row>153</xdr:row>
      <xdr:rowOff>161913</xdr:rowOff>
    </xdr:to>
    <xdr:pic>
      <xdr:nvPicPr>
        <xdr:cNvPr id="149" name="!СИНЯЯ ССЫЛКА MET ЧЕРЕП">
          <a:hlinkClick xmlns:r="http://schemas.openxmlformats.org/officeDocument/2006/relationships" r:id="rId14"/>
          <a:extLst>
            <a:ext uri="{FF2B5EF4-FFF2-40B4-BE49-F238E27FC236}">
              <a16:creationId xmlns:a16="http://schemas.microsoft.com/office/drawing/2014/main" id="{A3933A01-AB75-4E86-B3A3-7FD6B89C1A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00698300"/>
          <a:ext cx="257143" cy="95238"/>
        </a:xfrm>
        <a:prstGeom prst="rect">
          <a:avLst/>
        </a:prstGeom>
      </xdr:spPr>
    </xdr:pic>
    <xdr:clientData fPrintsWithSheet="0"/>
  </xdr:twoCellAnchor>
  <xdr:twoCellAnchor>
    <xdr:from>
      <xdr:col>0</xdr:col>
      <xdr:colOff>4695825</xdr:colOff>
      <xdr:row>152</xdr:row>
      <xdr:rowOff>66675</xdr:rowOff>
    </xdr:from>
    <xdr:to>
      <xdr:col>0</xdr:col>
      <xdr:colOff>4952968</xdr:colOff>
      <xdr:row>152</xdr:row>
      <xdr:rowOff>161913</xdr:rowOff>
    </xdr:to>
    <xdr:pic>
      <xdr:nvPicPr>
        <xdr:cNvPr id="150" name="!СИНЯЯ ССЫЛКА MET ЧЕРЕП">
          <a:hlinkClick xmlns:r="http://schemas.openxmlformats.org/officeDocument/2006/relationships" r:id="rId15"/>
          <a:extLst>
            <a:ext uri="{FF2B5EF4-FFF2-40B4-BE49-F238E27FC236}">
              <a16:creationId xmlns:a16="http://schemas.microsoft.com/office/drawing/2014/main" id="{846FA35C-7DA8-473C-BAC4-619B7700319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00488750"/>
          <a:ext cx="257143" cy="95238"/>
        </a:xfrm>
        <a:prstGeom prst="rect">
          <a:avLst/>
        </a:prstGeom>
      </xdr:spPr>
    </xdr:pic>
    <xdr:clientData fPrintsWithSheet="0"/>
  </xdr:twoCellAnchor>
  <xdr:twoCellAnchor>
    <xdr:from>
      <xdr:col>0</xdr:col>
      <xdr:colOff>4695825</xdr:colOff>
      <xdr:row>153</xdr:row>
      <xdr:rowOff>66675</xdr:rowOff>
    </xdr:from>
    <xdr:to>
      <xdr:col>0</xdr:col>
      <xdr:colOff>4952968</xdr:colOff>
      <xdr:row>153</xdr:row>
      <xdr:rowOff>161913</xdr:rowOff>
    </xdr:to>
    <xdr:pic>
      <xdr:nvPicPr>
        <xdr:cNvPr id="151" name="!СИНЯЯ ССЫЛКА MET ЧЕРЕП">
          <a:hlinkClick xmlns:r="http://schemas.openxmlformats.org/officeDocument/2006/relationships" r:id="rId14"/>
          <a:extLst>
            <a:ext uri="{FF2B5EF4-FFF2-40B4-BE49-F238E27FC236}">
              <a16:creationId xmlns:a16="http://schemas.microsoft.com/office/drawing/2014/main" id="{BC247734-7667-42ED-9CDD-A987D3E7AE3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00698300"/>
          <a:ext cx="257143" cy="95238"/>
        </a:xfrm>
        <a:prstGeom prst="rect">
          <a:avLst/>
        </a:prstGeom>
      </xdr:spPr>
    </xdr:pic>
    <xdr:clientData fPrintsWithSheet="0"/>
  </xdr:twoCellAnchor>
  <xdr:twoCellAnchor>
    <xdr:from>
      <xdr:col>0</xdr:col>
      <xdr:colOff>4695825</xdr:colOff>
      <xdr:row>154</xdr:row>
      <xdr:rowOff>66675</xdr:rowOff>
    </xdr:from>
    <xdr:to>
      <xdr:col>0</xdr:col>
      <xdr:colOff>4952968</xdr:colOff>
      <xdr:row>154</xdr:row>
      <xdr:rowOff>161913</xdr:rowOff>
    </xdr:to>
    <xdr:pic>
      <xdr:nvPicPr>
        <xdr:cNvPr id="152" name="!СИНЯЯ ССЫЛКА MET ЧЕРЕП">
          <a:hlinkClick xmlns:r="http://schemas.openxmlformats.org/officeDocument/2006/relationships" r:id="rId16"/>
          <a:extLst>
            <a:ext uri="{FF2B5EF4-FFF2-40B4-BE49-F238E27FC236}">
              <a16:creationId xmlns:a16="http://schemas.microsoft.com/office/drawing/2014/main" id="{35FC0A66-9948-45BE-97C0-DD38CB979E2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100907850"/>
          <a:ext cx="257143" cy="95238"/>
        </a:xfrm>
        <a:prstGeom prst="rect">
          <a:avLst/>
        </a:prstGeom>
      </xdr:spPr>
    </xdr:pic>
    <xdr:clientData fPrintsWithSheet="0"/>
  </xdr:twoCellAnchor>
  <mc:AlternateContent xmlns:mc="http://schemas.openxmlformats.org/markup-compatibility/2006">
    <mc:Choice xmlns:a14="http://schemas.microsoft.com/office/drawing/2010/main" Requires="a14">
      <xdr:twoCellAnchor editAs="oneCell">
        <xdr:from>
          <xdr:col>0</xdr:col>
          <xdr:colOff>4972050</xdr:colOff>
          <xdr:row>311</xdr:row>
          <xdr:rowOff>9525</xdr:rowOff>
        </xdr:from>
        <xdr:to>
          <xdr:col>0</xdr:col>
          <xdr:colOff>5181600</xdr:colOff>
          <xdr:row>311</xdr:row>
          <xdr:rowOff>200025</xdr:rowOff>
        </xdr:to>
        <xdr:sp macro="" textlink="">
          <xdr:nvSpPr>
            <xdr:cNvPr id="3156" name="ВО_ЭППС пола" hidden="1">
              <a:extLst>
                <a:ext uri="{63B3BB69-23CF-44E3-9099-C40C66FF867C}">
                  <a14:compatExt spid="_x0000_s3156"/>
                </a:ext>
                <a:ext uri="{FF2B5EF4-FFF2-40B4-BE49-F238E27FC236}">
                  <a16:creationId xmlns:a16="http://schemas.microsoft.com/office/drawing/2014/main" id="{ECCADB52-C841-459D-86B4-E830E6C5A535}"/>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318</xdr:row>
          <xdr:rowOff>9525</xdr:rowOff>
        </xdr:from>
        <xdr:to>
          <xdr:col>0</xdr:col>
          <xdr:colOff>5181600</xdr:colOff>
          <xdr:row>318</xdr:row>
          <xdr:rowOff>200025</xdr:rowOff>
        </xdr:to>
        <xdr:sp macro="" textlink="">
          <xdr:nvSpPr>
            <xdr:cNvPr id="3158" name="Ф_Стяжка_2 эт" hidden="1">
              <a:extLst>
                <a:ext uri="{63B3BB69-23CF-44E3-9099-C40C66FF867C}">
                  <a14:compatExt spid="_x0000_s3158"/>
                </a:ext>
                <a:ext uri="{FF2B5EF4-FFF2-40B4-BE49-F238E27FC236}">
                  <a16:creationId xmlns:a16="http://schemas.microsoft.com/office/drawing/2014/main" id="{3EEB27CD-61CE-4C49-89C1-B660914580B5}"/>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314</xdr:row>
          <xdr:rowOff>9525</xdr:rowOff>
        </xdr:from>
        <xdr:to>
          <xdr:col>0</xdr:col>
          <xdr:colOff>5181600</xdr:colOff>
          <xdr:row>314</xdr:row>
          <xdr:rowOff>200025</xdr:rowOff>
        </xdr:to>
        <xdr:sp macro="" textlink="">
          <xdr:nvSpPr>
            <xdr:cNvPr id="3159" name="Ф_Стяжка_1 эт" hidden="1">
              <a:extLst>
                <a:ext uri="{63B3BB69-23CF-44E3-9099-C40C66FF867C}">
                  <a14:compatExt spid="_x0000_s3159"/>
                </a:ext>
                <a:ext uri="{FF2B5EF4-FFF2-40B4-BE49-F238E27FC236}">
                  <a16:creationId xmlns:a16="http://schemas.microsoft.com/office/drawing/2014/main" id="{C28F3625-8402-4EE3-B817-F5924F8F8040}"/>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322</xdr:row>
          <xdr:rowOff>9525</xdr:rowOff>
        </xdr:from>
        <xdr:to>
          <xdr:col>0</xdr:col>
          <xdr:colOff>5181600</xdr:colOff>
          <xdr:row>322</xdr:row>
          <xdr:rowOff>200025</xdr:rowOff>
        </xdr:to>
        <xdr:sp macro="" textlink="">
          <xdr:nvSpPr>
            <xdr:cNvPr id="3161" name="Ф_ВО_грунт_стен" hidden="1">
              <a:extLst>
                <a:ext uri="{63B3BB69-23CF-44E3-9099-C40C66FF867C}">
                  <a14:compatExt spid="_x0000_s3161"/>
                </a:ext>
                <a:ext uri="{FF2B5EF4-FFF2-40B4-BE49-F238E27FC236}">
                  <a16:creationId xmlns:a16="http://schemas.microsoft.com/office/drawing/2014/main" id="{546C97D1-CCA1-4427-8404-5BDC5563E2E0}"/>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327</xdr:row>
          <xdr:rowOff>9525</xdr:rowOff>
        </xdr:from>
        <xdr:to>
          <xdr:col>0</xdr:col>
          <xdr:colOff>5181600</xdr:colOff>
          <xdr:row>327</xdr:row>
          <xdr:rowOff>200025</xdr:rowOff>
        </xdr:to>
        <xdr:sp macro="" textlink="">
          <xdr:nvSpPr>
            <xdr:cNvPr id="3162" name="Ф_ВО_Штукатурка М этаж" hidden="1">
              <a:extLst>
                <a:ext uri="{63B3BB69-23CF-44E3-9099-C40C66FF867C}">
                  <a14:compatExt spid="_x0000_s3162"/>
                </a:ext>
                <a:ext uri="{FF2B5EF4-FFF2-40B4-BE49-F238E27FC236}">
                  <a16:creationId xmlns:a16="http://schemas.microsoft.com/office/drawing/2014/main" id="{AC050598-6346-4C61-9F1A-970CEA50CB26}"/>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324</xdr:row>
          <xdr:rowOff>9525</xdr:rowOff>
        </xdr:from>
        <xdr:to>
          <xdr:col>0</xdr:col>
          <xdr:colOff>5181600</xdr:colOff>
          <xdr:row>324</xdr:row>
          <xdr:rowOff>200025</xdr:rowOff>
        </xdr:to>
        <xdr:sp macro="" textlink="">
          <xdr:nvSpPr>
            <xdr:cNvPr id="3164" name="Ф_ВО_Штукатурка 1 этаж" hidden="1">
              <a:extLst>
                <a:ext uri="{63B3BB69-23CF-44E3-9099-C40C66FF867C}">
                  <a14:compatExt spid="_x0000_s3164"/>
                </a:ext>
                <a:ext uri="{FF2B5EF4-FFF2-40B4-BE49-F238E27FC236}">
                  <a16:creationId xmlns:a16="http://schemas.microsoft.com/office/drawing/2014/main" id="{0D7275B2-27FB-4312-A2E0-89EF816AE23D}"/>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xdr:twoCellAnchor editAs="oneCell">
    <xdr:from>
      <xdr:col>0</xdr:col>
      <xdr:colOff>0</xdr:colOff>
      <xdr:row>0</xdr:row>
      <xdr:rowOff>285750</xdr:rowOff>
    </xdr:from>
    <xdr:to>
      <xdr:col>0</xdr:col>
      <xdr:colOff>2742973</xdr:colOff>
      <xdr:row>6</xdr:row>
      <xdr:rowOff>97039</xdr:rowOff>
    </xdr:to>
    <xdr:pic>
      <xdr:nvPicPr>
        <xdr:cNvPr id="166" name="ПС">
          <a:extLst>
            <a:ext uri="{FF2B5EF4-FFF2-40B4-BE49-F238E27FC236}">
              <a16:creationId xmlns:a16="http://schemas.microsoft.com/office/drawing/2014/main" id="{6C14B583-2C39-4C77-AC9D-5C9981F7C91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285750"/>
          <a:ext cx="2742973" cy="140196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4981575</xdr:colOff>
          <xdr:row>232</xdr:row>
          <xdr:rowOff>9525</xdr:rowOff>
        </xdr:from>
        <xdr:to>
          <xdr:col>0</xdr:col>
          <xdr:colOff>5181600</xdr:colOff>
          <xdr:row>232</xdr:row>
          <xdr:rowOff>200025</xdr:rowOff>
        </xdr:to>
        <xdr:sp macro="" textlink="">
          <xdr:nvSpPr>
            <xdr:cNvPr id="3169" name="Д_Колпаки" hidden="1">
              <a:extLst>
                <a:ext uri="{63B3BB69-23CF-44E3-9099-C40C66FF867C}">
                  <a14:compatExt spid="_x0000_s3169"/>
                </a:ext>
                <a:ext uri="{FF2B5EF4-FFF2-40B4-BE49-F238E27FC236}">
                  <a16:creationId xmlns:a16="http://schemas.microsoft.com/office/drawing/2014/main" id="{88F4E06F-4ED9-4086-B589-1E216C77ABCD}"/>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xdr:twoCellAnchor>
    <xdr:from>
      <xdr:col>0</xdr:col>
      <xdr:colOff>4743450</xdr:colOff>
      <xdr:row>269</xdr:row>
      <xdr:rowOff>28575</xdr:rowOff>
    </xdr:from>
    <xdr:to>
      <xdr:col>0</xdr:col>
      <xdr:colOff>4962498</xdr:colOff>
      <xdr:row>269</xdr:row>
      <xdr:rowOff>180956</xdr:rowOff>
    </xdr:to>
    <xdr:pic>
      <xdr:nvPicPr>
        <xdr:cNvPr id="173" name="!ГЛАЗ СОФТРОК">
          <a:extLst>
            <a:ext uri="{FF2B5EF4-FFF2-40B4-BE49-F238E27FC236}">
              <a16:creationId xmlns:a16="http://schemas.microsoft.com/office/drawing/2014/main" id="{C5A9F041-5ADC-4C50-AE4E-3475B475F81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743450" y="146599275"/>
          <a:ext cx="219048" cy="152381"/>
        </a:xfrm>
        <a:prstGeom prst="rect">
          <a:avLst/>
        </a:prstGeom>
      </xdr:spPr>
    </xdr:pic>
    <xdr:clientData fLocksWithSheet="0" fPrintsWithSheet="0"/>
  </xdr:twoCellAnchor>
  <xdr:twoCellAnchor>
    <xdr:from>
      <xdr:col>0</xdr:col>
      <xdr:colOff>4733925</xdr:colOff>
      <xdr:row>232</xdr:row>
      <xdr:rowOff>28575</xdr:rowOff>
    </xdr:from>
    <xdr:to>
      <xdr:col>0</xdr:col>
      <xdr:colOff>4952973</xdr:colOff>
      <xdr:row>232</xdr:row>
      <xdr:rowOff>180956</xdr:rowOff>
    </xdr:to>
    <xdr:pic>
      <xdr:nvPicPr>
        <xdr:cNvPr id="174" name="!ГЛАЗ ФЛЮГАРКА">
          <a:extLst>
            <a:ext uri="{FF2B5EF4-FFF2-40B4-BE49-F238E27FC236}">
              <a16:creationId xmlns:a16="http://schemas.microsoft.com/office/drawing/2014/main" id="{C4D78790-8683-4A5A-B5F0-3BCCA09FE77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733925" y="138217275"/>
          <a:ext cx="219048" cy="152381"/>
        </a:xfrm>
        <a:prstGeom prst="rect">
          <a:avLst/>
        </a:prstGeom>
      </xdr:spPr>
    </xdr:pic>
    <xdr:clientData fLocksWithSheet="0" fPrintsWithSheet="0"/>
  </xdr:twoCellAnchor>
  <xdr:twoCellAnchor>
    <xdr:from>
      <xdr:col>0</xdr:col>
      <xdr:colOff>4953000</xdr:colOff>
      <xdr:row>27</xdr:row>
      <xdr:rowOff>38100</xdr:rowOff>
    </xdr:from>
    <xdr:to>
      <xdr:col>0</xdr:col>
      <xdr:colOff>5172048</xdr:colOff>
      <xdr:row>27</xdr:row>
      <xdr:rowOff>190481</xdr:rowOff>
    </xdr:to>
    <xdr:pic>
      <xdr:nvPicPr>
        <xdr:cNvPr id="179" name="!ГЛАЗ МРП">
          <a:extLst>
            <a:ext uri="{FF2B5EF4-FFF2-40B4-BE49-F238E27FC236}">
              <a16:creationId xmlns:a16="http://schemas.microsoft.com/office/drawing/2014/main" id="{34B0A7CD-834E-475C-A89E-DFCBF120EBE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953000" y="6076950"/>
          <a:ext cx="219048" cy="152381"/>
        </a:xfrm>
        <a:prstGeom prst="rect">
          <a:avLst/>
        </a:prstGeom>
      </xdr:spPr>
    </xdr:pic>
    <xdr:clientData fLocksWithSheet="0" fPrintsWithSheet="0"/>
  </xdr:twoCellAnchor>
  <mc:AlternateContent xmlns:mc="http://schemas.openxmlformats.org/markup-compatibility/2006">
    <mc:Choice xmlns:a14="http://schemas.microsoft.com/office/drawing/2010/main" Requires="a14">
      <xdr:twoCellAnchor editAs="oneCell">
        <xdr:from>
          <xdr:col>0</xdr:col>
          <xdr:colOff>4972050</xdr:colOff>
          <xdr:row>330</xdr:row>
          <xdr:rowOff>9525</xdr:rowOff>
        </xdr:from>
        <xdr:to>
          <xdr:col>0</xdr:col>
          <xdr:colOff>5181600</xdr:colOff>
          <xdr:row>330</xdr:row>
          <xdr:rowOff>200025</xdr:rowOff>
        </xdr:to>
        <xdr:sp macro="" textlink="">
          <xdr:nvSpPr>
            <xdr:cNvPr id="3170" name="Ф_ВО_Штукатурка откосов" hidden="1">
              <a:extLst>
                <a:ext uri="{63B3BB69-23CF-44E3-9099-C40C66FF867C}">
                  <a14:compatExt spid="_x0000_s3170"/>
                </a:ext>
                <a:ext uri="{FF2B5EF4-FFF2-40B4-BE49-F238E27FC236}">
                  <a16:creationId xmlns:a16="http://schemas.microsoft.com/office/drawing/2014/main" id="{408260EA-1EA1-4BAE-9D1C-72E27C7DA80A}"/>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395</xdr:row>
          <xdr:rowOff>9525</xdr:rowOff>
        </xdr:from>
        <xdr:to>
          <xdr:col>0</xdr:col>
          <xdr:colOff>5181600</xdr:colOff>
          <xdr:row>395</xdr:row>
          <xdr:rowOff>200025</xdr:rowOff>
        </xdr:to>
        <xdr:sp macro="" textlink="">
          <xdr:nvSpPr>
            <xdr:cNvPr id="3171" name="ОВК-О3" hidden="1">
              <a:extLst>
                <a:ext uri="{63B3BB69-23CF-44E3-9099-C40C66FF867C}">
                  <a14:compatExt spid="_x0000_s3171"/>
                </a:ext>
                <a:ext uri="{FF2B5EF4-FFF2-40B4-BE49-F238E27FC236}">
                  <a16:creationId xmlns:a16="http://schemas.microsoft.com/office/drawing/2014/main" id="{6033C764-7AFE-4B8D-98C2-250E76275D40}"/>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376</xdr:row>
          <xdr:rowOff>9525</xdr:rowOff>
        </xdr:from>
        <xdr:to>
          <xdr:col>0</xdr:col>
          <xdr:colOff>5181600</xdr:colOff>
          <xdr:row>376</xdr:row>
          <xdr:rowOff>200025</xdr:rowOff>
        </xdr:to>
        <xdr:sp macro="" textlink="">
          <xdr:nvSpPr>
            <xdr:cNvPr id="3172" name="ОВК-О2" hidden="1">
              <a:extLst>
                <a:ext uri="{63B3BB69-23CF-44E3-9099-C40C66FF867C}">
                  <a14:compatExt spid="_x0000_s3172"/>
                </a:ext>
                <a:ext uri="{FF2B5EF4-FFF2-40B4-BE49-F238E27FC236}">
                  <a16:creationId xmlns:a16="http://schemas.microsoft.com/office/drawing/2014/main" id="{6DE267D4-B12A-4947-A994-FB36E426BBDA}"/>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362</xdr:row>
          <xdr:rowOff>9525</xdr:rowOff>
        </xdr:from>
        <xdr:to>
          <xdr:col>0</xdr:col>
          <xdr:colOff>5181600</xdr:colOff>
          <xdr:row>362</xdr:row>
          <xdr:rowOff>200025</xdr:rowOff>
        </xdr:to>
        <xdr:sp macro="" textlink="">
          <xdr:nvSpPr>
            <xdr:cNvPr id="3173" name="ОВК-О1" hidden="1">
              <a:extLst>
                <a:ext uri="{63B3BB69-23CF-44E3-9099-C40C66FF867C}">
                  <a14:compatExt spid="_x0000_s3173"/>
                </a:ext>
                <a:ext uri="{FF2B5EF4-FFF2-40B4-BE49-F238E27FC236}">
                  <a16:creationId xmlns:a16="http://schemas.microsoft.com/office/drawing/2014/main" id="{C275386F-CB37-4F67-B182-85297D31EE4D}"/>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418</xdr:row>
          <xdr:rowOff>9525</xdr:rowOff>
        </xdr:from>
        <xdr:to>
          <xdr:col>0</xdr:col>
          <xdr:colOff>5181600</xdr:colOff>
          <xdr:row>418</xdr:row>
          <xdr:rowOff>200025</xdr:rowOff>
        </xdr:to>
        <xdr:sp macro="" textlink="">
          <xdr:nvSpPr>
            <xdr:cNvPr id="3175" name="ОВК-Э1" hidden="1">
              <a:extLst>
                <a:ext uri="{63B3BB69-23CF-44E3-9099-C40C66FF867C}">
                  <a14:compatExt spid="_x0000_s3175"/>
                </a:ext>
                <a:ext uri="{FF2B5EF4-FFF2-40B4-BE49-F238E27FC236}">
                  <a16:creationId xmlns:a16="http://schemas.microsoft.com/office/drawing/2014/main" id="{6103CFDF-4989-41FE-9150-570BE69B0AE9}"/>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424</xdr:row>
          <xdr:rowOff>9525</xdr:rowOff>
        </xdr:from>
        <xdr:to>
          <xdr:col>0</xdr:col>
          <xdr:colOff>5181600</xdr:colOff>
          <xdr:row>424</xdr:row>
          <xdr:rowOff>200025</xdr:rowOff>
        </xdr:to>
        <xdr:sp macro="" textlink="">
          <xdr:nvSpPr>
            <xdr:cNvPr id="3176" name="ОВК-Э2" hidden="1">
              <a:extLst>
                <a:ext uri="{63B3BB69-23CF-44E3-9099-C40C66FF867C}">
                  <a14:compatExt spid="_x0000_s3176"/>
                </a:ext>
                <a:ext uri="{FF2B5EF4-FFF2-40B4-BE49-F238E27FC236}">
                  <a16:creationId xmlns:a16="http://schemas.microsoft.com/office/drawing/2014/main" id="{88B51304-669F-4E8E-951F-7884FD6EA0E0}"/>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4972050</xdr:colOff>
          <xdr:row>433</xdr:row>
          <xdr:rowOff>9525</xdr:rowOff>
        </xdr:from>
        <xdr:to>
          <xdr:col>0</xdr:col>
          <xdr:colOff>5181600</xdr:colOff>
          <xdr:row>433</xdr:row>
          <xdr:rowOff>200025</xdr:rowOff>
        </xdr:to>
        <xdr:sp macro="" textlink="">
          <xdr:nvSpPr>
            <xdr:cNvPr id="3177" name="ОВК-Э3" hidden="1">
              <a:extLst>
                <a:ext uri="{63B3BB69-23CF-44E3-9099-C40C66FF867C}">
                  <a14:compatExt spid="_x0000_s3177"/>
                </a:ext>
                <a:ext uri="{FF2B5EF4-FFF2-40B4-BE49-F238E27FC236}">
                  <a16:creationId xmlns:a16="http://schemas.microsoft.com/office/drawing/2014/main" id="{C25F0870-A488-4F77-AB6F-68E860C9502A}"/>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4981575</xdr:colOff>
          <xdr:row>265</xdr:row>
          <xdr:rowOff>9525</xdr:rowOff>
        </xdr:from>
        <xdr:to>
          <xdr:col>0</xdr:col>
          <xdr:colOff>5181600</xdr:colOff>
          <xdr:row>265</xdr:row>
          <xdr:rowOff>200025</xdr:rowOff>
        </xdr:to>
        <xdr:sp macro="" textlink="">
          <xdr:nvSpPr>
            <xdr:cNvPr id="3178" name="ДОП_Ливневка" hidden="1">
              <a:extLst>
                <a:ext uri="{63B3BB69-23CF-44E3-9099-C40C66FF867C}">
                  <a14:compatExt spid="_x0000_s3178"/>
                </a:ext>
                <a:ext uri="{FF2B5EF4-FFF2-40B4-BE49-F238E27FC236}">
                  <a16:creationId xmlns:a16="http://schemas.microsoft.com/office/drawing/2014/main" id="{90492894-47EE-4DD3-9909-D0A501244FEA}"/>
                </a:ext>
              </a:extLst>
            </xdr:cNvPr>
            <xdr:cNvSpPr/>
          </xdr:nvSpPr>
          <xdr:spPr bwMode="auto">
            <a:xfrm>
              <a:off x="0" y="0"/>
              <a:ext cx="0" cy="0"/>
            </a:xfrm>
            <a:prstGeom prst="rect">
              <a:avLst/>
            </a:prstGeom>
            <a:noFill/>
            <a:ln w="3175">
              <a:solidFill>
                <a:srgbClr val="000000" mc:Ignorable="a14" a14:legacySpreadsheetColorIndex="8"/>
              </a:solidFill>
              <a:miter lim="800000"/>
              <a:headEnd/>
              <a:tailEnd/>
            </a:ln>
            <a:extLst>
              <a:ext uri="{909E8E84-426E-40DD-AFC4-6F175D3DCCD1}">
                <a14:hiddenFill>
                  <a:solidFill>
                    <a:srgbClr val="E1E1DC">
                      <a:alpha val="70000"/>
                    </a:srgbClr>
                  </a:solidFill>
                </a14:hiddenFill>
              </a:ext>
            </a:extLst>
          </xdr:spPr>
        </xdr:sp>
        <xdr:clientData fPrintsWithSheet="0"/>
      </xdr:twoCellAnchor>
    </mc:Choice>
    <mc:Fallback/>
  </mc:AlternateContent>
  <xdr:twoCellAnchor>
    <xdr:from>
      <xdr:col>0</xdr:col>
      <xdr:colOff>4743450</xdr:colOff>
      <xdr:row>265</xdr:row>
      <xdr:rowOff>28575</xdr:rowOff>
    </xdr:from>
    <xdr:to>
      <xdr:col>0</xdr:col>
      <xdr:colOff>4962498</xdr:colOff>
      <xdr:row>265</xdr:row>
      <xdr:rowOff>180956</xdr:rowOff>
    </xdr:to>
    <xdr:pic>
      <xdr:nvPicPr>
        <xdr:cNvPr id="189" name="!ГЛАЗ ЛИВНЕВКА">
          <a:extLst>
            <a:ext uri="{FF2B5EF4-FFF2-40B4-BE49-F238E27FC236}">
              <a16:creationId xmlns:a16="http://schemas.microsoft.com/office/drawing/2014/main" id="{0D2413EA-CDD1-479D-9376-CD46FD80033D}"/>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743450" y="145761075"/>
          <a:ext cx="219048" cy="152381"/>
        </a:xfrm>
        <a:prstGeom prst="rect">
          <a:avLst/>
        </a:prstGeom>
      </xdr:spPr>
    </xdr:pic>
    <xdr:clientData fLocksWithSheet="0" fPrintsWithSheet="0"/>
  </xdr:twoCellAnchor>
  <xdr:twoCellAnchor>
    <xdr:from>
      <xdr:col>0</xdr:col>
      <xdr:colOff>4695825</xdr:colOff>
      <xdr:row>347</xdr:row>
      <xdr:rowOff>57150</xdr:rowOff>
    </xdr:from>
    <xdr:to>
      <xdr:col>0</xdr:col>
      <xdr:colOff>4952968</xdr:colOff>
      <xdr:row>347</xdr:row>
      <xdr:rowOff>152388</xdr:rowOff>
    </xdr:to>
    <xdr:pic>
      <xdr:nvPicPr>
        <xdr:cNvPr id="191" name="!СИНЯЯ ССЫЛКА Очистное">
          <a:hlinkClick xmlns:r="http://schemas.openxmlformats.org/officeDocument/2006/relationships" r:id="rId19"/>
          <a:extLst>
            <a:ext uri="{FF2B5EF4-FFF2-40B4-BE49-F238E27FC236}">
              <a16:creationId xmlns:a16="http://schemas.microsoft.com/office/drawing/2014/main" id="{9FAB02EC-C04C-4187-94B1-53B46F9559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203711175"/>
          <a:ext cx="257143" cy="95238"/>
        </a:xfrm>
        <a:prstGeom prst="rect">
          <a:avLst/>
        </a:prstGeom>
      </xdr:spPr>
    </xdr:pic>
    <xdr:clientData fPrintsWithSheet="0"/>
  </xdr:twoCellAnchor>
  <xdr:twoCellAnchor>
    <xdr:from>
      <xdr:col>0</xdr:col>
      <xdr:colOff>4695825</xdr:colOff>
      <xdr:row>345</xdr:row>
      <xdr:rowOff>57150</xdr:rowOff>
    </xdr:from>
    <xdr:to>
      <xdr:col>0</xdr:col>
      <xdr:colOff>4952968</xdr:colOff>
      <xdr:row>345</xdr:row>
      <xdr:rowOff>152388</xdr:rowOff>
    </xdr:to>
    <xdr:pic>
      <xdr:nvPicPr>
        <xdr:cNvPr id="192" name="!СИНЯЯ ССЫЛКА кессон">
          <a:hlinkClick xmlns:r="http://schemas.openxmlformats.org/officeDocument/2006/relationships" r:id="rId20"/>
          <a:extLst>
            <a:ext uri="{FF2B5EF4-FFF2-40B4-BE49-F238E27FC236}">
              <a16:creationId xmlns:a16="http://schemas.microsoft.com/office/drawing/2014/main" id="{518652A7-2818-4DD9-B68C-02091C62B0E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5825" y="203292075"/>
          <a:ext cx="257143" cy="95238"/>
        </a:xfrm>
        <a:prstGeom prst="rect">
          <a:avLst/>
        </a:prstGeom>
      </xdr:spPr>
    </xdr:pic>
    <xdr:clientData fPrintsWithSheet="0"/>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13</xdr:row>
          <xdr:rowOff>19050</xdr:rowOff>
        </xdr:from>
        <xdr:to>
          <xdr:col>2</xdr:col>
          <xdr:colOff>190500</xdr:colOff>
          <xdr:row>13</xdr:row>
          <xdr:rowOff>180975</xdr:rowOff>
        </xdr:to>
        <xdr:sp macro="" textlink="">
          <xdr:nvSpPr>
            <xdr:cNvPr id="4097" name="Ф_Проживание" hidden="1">
              <a:extLst>
                <a:ext uri="{63B3BB69-23CF-44E3-9099-C40C66FF867C}">
                  <a14:compatExt spid="_x0000_s4097"/>
                </a:ext>
                <a:ext uri="{FF2B5EF4-FFF2-40B4-BE49-F238E27FC236}">
                  <a16:creationId xmlns:a16="http://schemas.microsoft.com/office/drawing/2014/main" id="{C6CB475B-B46F-4575-A2B2-B2C484E472F0}"/>
                </a:ext>
              </a:extLst>
            </xdr:cNvPr>
            <xdr:cNvSpPr/>
          </xdr:nvSpPr>
          <xdr:spPr bwMode="auto">
            <a:xfrm>
              <a:off x="0" y="0"/>
              <a:ext cx="0" cy="0"/>
            </a:xfrm>
            <a:prstGeom prst="rect">
              <a:avLst/>
            </a:prstGeom>
            <a:noFill/>
            <a:ln>
              <a:noFill/>
            </a:ln>
            <a:extLst>
              <a:ext uri="{909E8E84-426E-40DD-AFC4-6F175D3DCCD1}">
                <a14:hiddenFill>
                  <a:solidFill>
                    <a:srgbClr val="CCFFCC" mc:Ignorable="a14" a14:legacySpreadsheetColorIndex="42"/>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28575</xdr:rowOff>
        </xdr:from>
        <xdr:to>
          <xdr:col>2</xdr:col>
          <xdr:colOff>180975</xdr:colOff>
          <xdr:row>14</xdr:row>
          <xdr:rowOff>200025</xdr:rowOff>
        </xdr:to>
        <xdr:sp macro="" textlink="">
          <xdr:nvSpPr>
            <xdr:cNvPr id="4098" name="Ф_Резервные_Закаладные" hidden="1">
              <a:extLst>
                <a:ext uri="{63B3BB69-23CF-44E3-9099-C40C66FF867C}">
                  <a14:compatExt spid="_x0000_s4098"/>
                </a:ext>
                <a:ext uri="{FF2B5EF4-FFF2-40B4-BE49-F238E27FC236}">
                  <a16:creationId xmlns:a16="http://schemas.microsoft.com/office/drawing/2014/main" id="{57231F1B-AD0C-4364-AC3A-827F3179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19050</xdr:rowOff>
        </xdr:from>
        <xdr:to>
          <xdr:col>2</xdr:col>
          <xdr:colOff>190500</xdr:colOff>
          <xdr:row>15</xdr:row>
          <xdr:rowOff>180975</xdr:rowOff>
        </xdr:to>
        <xdr:sp macro="" textlink="">
          <xdr:nvSpPr>
            <xdr:cNvPr id="4099" name="Ф_Монтаж_Перегородок" hidden="1">
              <a:extLst>
                <a:ext uri="{63B3BB69-23CF-44E3-9099-C40C66FF867C}">
                  <a14:compatExt spid="_x0000_s4099"/>
                </a:ext>
                <a:ext uri="{FF2B5EF4-FFF2-40B4-BE49-F238E27FC236}">
                  <a16:creationId xmlns:a16="http://schemas.microsoft.com/office/drawing/2014/main" id="{1666A6DA-99AB-47B0-A115-D4D2252F57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19050</xdr:rowOff>
        </xdr:from>
        <xdr:to>
          <xdr:col>2</xdr:col>
          <xdr:colOff>190500</xdr:colOff>
          <xdr:row>16</xdr:row>
          <xdr:rowOff>180975</xdr:rowOff>
        </xdr:to>
        <xdr:sp macro="" textlink="">
          <xdr:nvSpPr>
            <xdr:cNvPr id="4100" name="Ф_Утепление_Внешних_Стен" hidden="1">
              <a:extLst>
                <a:ext uri="{63B3BB69-23CF-44E3-9099-C40C66FF867C}">
                  <a14:compatExt spid="_x0000_s4100"/>
                </a:ext>
                <a:ext uri="{FF2B5EF4-FFF2-40B4-BE49-F238E27FC236}">
                  <a16:creationId xmlns:a16="http://schemas.microsoft.com/office/drawing/2014/main" id="{CD9AC420-AB39-4432-ABD4-6B51437C3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0</xdr:rowOff>
        </xdr:from>
        <xdr:to>
          <xdr:col>2</xdr:col>
          <xdr:colOff>200025</xdr:colOff>
          <xdr:row>17</xdr:row>
          <xdr:rowOff>190500</xdr:rowOff>
        </xdr:to>
        <xdr:sp macro="" textlink="">
          <xdr:nvSpPr>
            <xdr:cNvPr id="4101" name="Ф_Отделка_Фасада" hidden="1">
              <a:extLst>
                <a:ext uri="{63B3BB69-23CF-44E3-9099-C40C66FF867C}">
                  <a14:compatExt spid="_x0000_s4101"/>
                </a:ext>
                <a:ext uri="{FF2B5EF4-FFF2-40B4-BE49-F238E27FC236}">
                  <a16:creationId xmlns:a16="http://schemas.microsoft.com/office/drawing/2014/main" id="{A2F1C1EF-7FF8-4150-B299-E70993F3BFC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28575</xdr:rowOff>
        </xdr:from>
        <xdr:to>
          <xdr:col>2</xdr:col>
          <xdr:colOff>171450</xdr:colOff>
          <xdr:row>18</xdr:row>
          <xdr:rowOff>180975</xdr:rowOff>
        </xdr:to>
        <xdr:sp macro="" textlink="">
          <xdr:nvSpPr>
            <xdr:cNvPr id="4103" name="Ф_ЧЕРНОВАЯ_КРОВЛЯ" hidden="1">
              <a:extLst>
                <a:ext uri="{63B3BB69-23CF-44E3-9099-C40C66FF867C}">
                  <a14:compatExt spid="_x0000_s4103"/>
                </a:ext>
                <a:ext uri="{FF2B5EF4-FFF2-40B4-BE49-F238E27FC236}">
                  <a16:creationId xmlns:a16="http://schemas.microsoft.com/office/drawing/2014/main" id="{F0BDE2B8-BC4D-4481-A0D4-9E37C03BC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28575</xdr:rowOff>
        </xdr:from>
        <xdr:to>
          <xdr:col>2</xdr:col>
          <xdr:colOff>171450</xdr:colOff>
          <xdr:row>19</xdr:row>
          <xdr:rowOff>180975</xdr:rowOff>
        </xdr:to>
        <xdr:sp macro="" textlink="">
          <xdr:nvSpPr>
            <xdr:cNvPr id="4104" name="Ф_Утепление_Кровли" hidden="1">
              <a:extLst>
                <a:ext uri="{63B3BB69-23CF-44E3-9099-C40C66FF867C}">
                  <a14:compatExt spid="_x0000_s4104"/>
                </a:ext>
                <a:ext uri="{FF2B5EF4-FFF2-40B4-BE49-F238E27FC236}">
                  <a16:creationId xmlns:a16="http://schemas.microsoft.com/office/drawing/2014/main" id="{65F5810C-A1EC-4555-B45D-FF308AE063C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21</xdr:row>
          <xdr:rowOff>9525</xdr:rowOff>
        </xdr:from>
        <xdr:to>
          <xdr:col>2</xdr:col>
          <xdr:colOff>190500</xdr:colOff>
          <xdr:row>21</xdr:row>
          <xdr:rowOff>180975</xdr:rowOff>
        </xdr:to>
        <xdr:sp macro="" textlink="">
          <xdr:nvSpPr>
            <xdr:cNvPr id="4105" name="Ф_Водосточные_Крюки" hidden="1">
              <a:extLst>
                <a:ext uri="{63B3BB69-23CF-44E3-9099-C40C66FF867C}">
                  <a14:compatExt spid="_x0000_s4105"/>
                </a:ext>
                <a:ext uri="{FF2B5EF4-FFF2-40B4-BE49-F238E27FC236}">
                  <a16:creationId xmlns:a16="http://schemas.microsoft.com/office/drawing/2014/main" id="{AE316DB5-85C0-42A8-900F-1215965F4DD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19050</xdr:rowOff>
        </xdr:from>
        <xdr:to>
          <xdr:col>2</xdr:col>
          <xdr:colOff>190500</xdr:colOff>
          <xdr:row>22</xdr:row>
          <xdr:rowOff>190500</xdr:rowOff>
        </xdr:to>
        <xdr:sp macro="" textlink="">
          <xdr:nvSpPr>
            <xdr:cNvPr id="4106" name="Ф_Водосточка" hidden="1">
              <a:extLst>
                <a:ext uri="{63B3BB69-23CF-44E3-9099-C40C66FF867C}">
                  <a14:compatExt spid="_x0000_s4106"/>
                </a:ext>
                <a:ext uri="{FF2B5EF4-FFF2-40B4-BE49-F238E27FC236}">
                  <a16:creationId xmlns:a16="http://schemas.microsoft.com/office/drawing/2014/main" id="{FAEEE4EB-AE40-4DF2-BE32-5F7626550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19050</xdr:rowOff>
        </xdr:from>
        <xdr:to>
          <xdr:col>2</xdr:col>
          <xdr:colOff>190500</xdr:colOff>
          <xdr:row>24</xdr:row>
          <xdr:rowOff>190500</xdr:rowOff>
        </xdr:to>
        <xdr:sp macro="" textlink="">
          <xdr:nvSpPr>
            <xdr:cNvPr id="4107" name="Ф_Подшив_Свесов" hidden="1">
              <a:extLst>
                <a:ext uri="{63B3BB69-23CF-44E3-9099-C40C66FF867C}">
                  <a14:compatExt spid="_x0000_s4107"/>
                </a:ext>
                <a:ext uri="{FF2B5EF4-FFF2-40B4-BE49-F238E27FC236}">
                  <a16:creationId xmlns:a16="http://schemas.microsoft.com/office/drawing/2014/main" id="{1940D6CD-75D7-426A-B20D-BBF874E579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25</xdr:row>
          <xdr:rowOff>19050</xdr:rowOff>
        </xdr:from>
        <xdr:to>
          <xdr:col>2</xdr:col>
          <xdr:colOff>190500</xdr:colOff>
          <xdr:row>25</xdr:row>
          <xdr:rowOff>190500</xdr:rowOff>
        </xdr:to>
        <xdr:sp macro="" textlink="">
          <xdr:nvSpPr>
            <xdr:cNvPr id="4108" name="Ф_Чердачные_Перекрытия" hidden="1">
              <a:extLst>
                <a:ext uri="{63B3BB69-23CF-44E3-9099-C40C66FF867C}">
                  <a14:compatExt spid="_x0000_s4108"/>
                </a:ext>
                <a:ext uri="{FF2B5EF4-FFF2-40B4-BE49-F238E27FC236}">
                  <a16:creationId xmlns:a16="http://schemas.microsoft.com/office/drawing/2014/main" id="{13F76A64-73F8-4DA2-A75F-20797B9A0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26</xdr:row>
          <xdr:rowOff>19050</xdr:rowOff>
        </xdr:from>
        <xdr:to>
          <xdr:col>2</xdr:col>
          <xdr:colOff>190500</xdr:colOff>
          <xdr:row>26</xdr:row>
          <xdr:rowOff>190500</xdr:rowOff>
        </xdr:to>
        <xdr:sp macro="" textlink="">
          <xdr:nvSpPr>
            <xdr:cNvPr id="4109" name="Ф_Утепление_Перекрытий" hidden="1">
              <a:extLst>
                <a:ext uri="{63B3BB69-23CF-44E3-9099-C40C66FF867C}">
                  <a14:compatExt spid="_x0000_s4109"/>
                </a:ext>
                <a:ext uri="{FF2B5EF4-FFF2-40B4-BE49-F238E27FC236}">
                  <a16:creationId xmlns:a16="http://schemas.microsoft.com/office/drawing/2014/main" id="{87C69628-37BC-494C-A58E-F98F30C613A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19050</xdr:rowOff>
        </xdr:from>
        <xdr:to>
          <xdr:col>2</xdr:col>
          <xdr:colOff>190500</xdr:colOff>
          <xdr:row>28</xdr:row>
          <xdr:rowOff>190500</xdr:rowOff>
        </xdr:to>
        <xdr:sp macro="" textlink="">
          <xdr:nvSpPr>
            <xdr:cNvPr id="4110" name="Ф_Окна_Двери" hidden="1">
              <a:extLst>
                <a:ext uri="{63B3BB69-23CF-44E3-9099-C40C66FF867C}">
                  <a14:compatExt spid="_x0000_s4110"/>
                </a:ext>
                <a:ext uri="{FF2B5EF4-FFF2-40B4-BE49-F238E27FC236}">
                  <a16:creationId xmlns:a16="http://schemas.microsoft.com/office/drawing/2014/main" id="{EE3C9632-0BCA-4495-8AD6-5C4C06A593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19050</xdr:rowOff>
        </xdr:from>
        <xdr:to>
          <xdr:col>2</xdr:col>
          <xdr:colOff>190500</xdr:colOff>
          <xdr:row>29</xdr:row>
          <xdr:rowOff>190500</xdr:rowOff>
        </xdr:to>
        <xdr:sp macro="" textlink="">
          <xdr:nvSpPr>
            <xdr:cNvPr id="4111" name="Ф_Вентканалы" hidden="1">
              <a:extLst>
                <a:ext uri="{63B3BB69-23CF-44E3-9099-C40C66FF867C}">
                  <a14:compatExt spid="_x0000_s4111"/>
                </a:ext>
                <a:ext uri="{FF2B5EF4-FFF2-40B4-BE49-F238E27FC236}">
                  <a16:creationId xmlns:a16="http://schemas.microsoft.com/office/drawing/2014/main" id="{D67AD993-F41C-41DB-9521-4007E5BEBE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31</xdr:row>
          <xdr:rowOff>19050</xdr:rowOff>
        </xdr:from>
        <xdr:to>
          <xdr:col>2</xdr:col>
          <xdr:colOff>190500</xdr:colOff>
          <xdr:row>31</xdr:row>
          <xdr:rowOff>190500</xdr:rowOff>
        </xdr:to>
        <xdr:sp macro="" textlink="">
          <xdr:nvSpPr>
            <xdr:cNvPr id="4112" name="Ф_Ступени_Крыльца" hidden="1">
              <a:extLst>
                <a:ext uri="{63B3BB69-23CF-44E3-9099-C40C66FF867C}">
                  <a14:compatExt spid="_x0000_s4112"/>
                </a:ext>
                <a:ext uri="{FF2B5EF4-FFF2-40B4-BE49-F238E27FC236}">
                  <a16:creationId xmlns:a16="http://schemas.microsoft.com/office/drawing/2014/main" id="{CEC8DBBF-9764-40A3-8739-824A262535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19050</xdr:rowOff>
        </xdr:from>
        <xdr:to>
          <xdr:col>2</xdr:col>
          <xdr:colOff>190500</xdr:colOff>
          <xdr:row>32</xdr:row>
          <xdr:rowOff>190500</xdr:rowOff>
        </xdr:to>
        <xdr:sp macro="" textlink="">
          <xdr:nvSpPr>
            <xdr:cNvPr id="4113" name="Ф_Межэтажная_Лестница" hidden="1">
              <a:extLst>
                <a:ext uri="{63B3BB69-23CF-44E3-9099-C40C66FF867C}">
                  <a14:compatExt spid="_x0000_s4113"/>
                </a:ext>
                <a:ext uri="{FF2B5EF4-FFF2-40B4-BE49-F238E27FC236}">
                  <a16:creationId xmlns:a16="http://schemas.microsoft.com/office/drawing/2014/main" id="{95930829-CCC5-4B64-8DBE-24605CB4BF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33</xdr:row>
          <xdr:rowOff>19050</xdr:rowOff>
        </xdr:from>
        <xdr:to>
          <xdr:col>2</xdr:col>
          <xdr:colOff>190500</xdr:colOff>
          <xdr:row>33</xdr:row>
          <xdr:rowOff>190500</xdr:rowOff>
        </xdr:to>
        <xdr:sp macro="" textlink="">
          <xdr:nvSpPr>
            <xdr:cNvPr id="4114" name="Ф_Отделка_Цоколя" hidden="1">
              <a:extLst>
                <a:ext uri="{63B3BB69-23CF-44E3-9099-C40C66FF867C}">
                  <a14:compatExt spid="_x0000_s4114"/>
                </a:ext>
                <a:ext uri="{FF2B5EF4-FFF2-40B4-BE49-F238E27FC236}">
                  <a16:creationId xmlns:a16="http://schemas.microsoft.com/office/drawing/2014/main" id="{C000FED1-DCAC-4920-ABB4-1DAA039148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45</xdr:row>
          <xdr:rowOff>19050</xdr:rowOff>
        </xdr:from>
        <xdr:to>
          <xdr:col>2</xdr:col>
          <xdr:colOff>190500</xdr:colOff>
          <xdr:row>45</xdr:row>
          <xdr:rowOff>190500</xdr:rowOff>
        </xdr:to>
        <xdr:sp macro="" textlink="">
          <xdr:nvSpPr>
            <xdr:cNvPr id="4120" name="Ф_Скважина" hidden="1">
              <a:extLst>
                <a:ext uri="{63B3BB69-23CF-44E3-9099-C40C66FF867C}">
                  <a14:compatExt spid="_x0000_s4120"/>
                </a:ext>
                <a:ext uri="{FF2B5EF4-FFF2-40B4-BE49-F238E27FC236}">
                  <a16:creationId xmlns:a16="http://schemas.microsoft.com/office/drawing/2014/main" id="{332EE1D9-EC16-4F20-8CC6-9D2D3CAADF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47</xdr:row>
          <xdr:rowOff>19050</xdr:rowOff>
        </xdr:from>
        <xdr:to>
          <xdr:col>2</xdr:col>
          <xdr:colOff>190500</xdr:colOff>
          <xdr:row>47</xdr:row>
          <xdr:rowOff>190500</xdr:rowOff>
        </xdr:to>
        <xdr:sp macro="" textlink="">
          <xdr:nvSpPr>
            <xdr:cNvPr id="4121" name="Ф_Септик" hidden="1">
              <a:extLst>
                <a:ext uri="{63B3BB69-23CF-44E3-9099-C40C66FF867C}">
                  <a14:compatExt spid="_x0000_s4121"/>
                </a:ext>
                <a:ext uri="{FF2B5EF4-FFF2-40B4-BE49-F238E27FC236}">
                  <a16:creationId xmlns:a16="http://schemas.microsoft.com/office/drawing/2014/main" id="{DC3389DB-E184-4398-A796-8EAC6ED219C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34</xdr:row>
          <xdr:rowOff>19050</xdr:rowOff>
        </xdr:from>
        <xdr:to>
          <xdr:col>2</xdr:col>
          <xdr:colOff>190500</xdr:colOff>
          <xdr:row>34</xdr:row>
          <xdr:rowOff>190500</xdr:rowOff>
        </xdr:to>
        <xdr:sp macro="" textlink="">
          <xdr:nvSpPr>
            <xdr:cNvPr id="4122" name="Ф_Отмостка" hidden="1">
              <a:extLst>
                <a:ext uri="{63B3BB69-23CF-44E3-9099-C40C66FF867C}">
                  <a14:compatExt spid="_x0000_s4122"/>
                </a:ext>
                <a:ext uri="{FF2B5EF4-FFF2-40B4-BE49-F238E27FC236}">
                  <a16:creationId xmlns:a16="http://schemas.microsoft.com/office/drawing/2014/main" id="{D81E56AD-CCC0-42DE-A2BF-6C7A365AB1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37</xdr:row>
          <xdr:rowOff>19050</xdr:rowOff>
        </xdr:from>
        <xdr:to>
          <xdr:col>2</xdr:col>
          <xdr:colOff>190500</xdr:colOff>
          <xdr:row>37</xdr:row>
          <xdr:rowOff>190500</xdr:rowOff>
        </xdr:to>
        <xdr:sp macro="" textlink="">
          <xdr:nvSpPr>
            <xdr:cNvPr id="4123" name="Ф_Уборка_Мусор" hidden="1">
              <a:extLst>
                <a:ext uri="{63B3BB69-23CF-44E3-9099-C40C66FF867C}">
                  <a14:compatExt spid="_x0000_s4123"/>
                </a:ext>
                <a:ext uri="{FF2B5EF4-FFF2-40B4-BE49-F238E27FC236}">
                  <a16:creationId xmlns:a16="http://schemas.microsoft.com/office/drawing/2014/main" id="{39A95337-3ECA-4EF2-B0D4-684DF1AD38C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46</xdr:row>
          <xdr:rowOff>19050</xdr:rowOff>
        </xdr:from>
        <xdr:to>
          <xdr:col>2</xdr:col>
          <xdr:colOff>190500</xdr:colOff>
          <xdr:row>46</xdr:row>
          <xdr:rowOff>190500</xdr:rowOff>
        </xdr:to>
        <xdr:sp macro="" textlink="">
          <xdr:nvSpPr>
            <xdr:cNvPr id="4124" name="Ф_Кессон" hidden="1">
              <a:extLst>
                <a:ext uri="{63B3BB69-23CF-44E3-9099-C40C66FF867C}">
                  <a14:compatExt spid="_x0000_s4124"/>
                </a:ext>
                <a:ext uri="{FF2B5EF4-FFF2-40B4-BE49-F238E27FC236}">
                  <a16:creationId xmlns:a16="http://schemas.microsoft.com/office/drawing/2014/main" id="{8E12D181-E691-459E-AF9B-DA346461FA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20</xdr:row>
          <xdr:rowOff>19050</xdr:rowOff>
        </xdr:from>
        <xdr:to>
          <xdr:col>2</xdr:col>
          <xdr:colOff>190500</xdr:colOff>
          <xdr:row>20</xdr:row>
          <xdr:rowOff>190500</xdr:rowOff>
        </xdr:to>
        <xdr:sp macro="" textlink="">
          <xdr:nvSpPr>
            <xdr:cNvPr id="4125" name="Ф_Мансардные_Окна" hidden="1">
              <a:extLst>
                <a:ext uri="{63B3BB69-23CF-44E3-9099-C40C66FF867C}">
                  <a14:compatExt spid="_x0000_s4125"/>
                </a:ext>
                <a:ext uri="{FF2B5EF4-FFF2-40B4-BE49-F238E27FC236}">
                  <a16:creationId xmlns:a16="http://schemas.microsoft.com/office/drawing/2014/main" id="{A3638B5B-929B-4291-985C-695C6B82012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19050</xdr:rowOff>
        </xdr:from>
        <xdr:to>
          <xdr:col>2</xdr:col>
          <xdr:colOff>190500</xdr:colOff>
          <xdr:row>23</xdr:row>
          <xdr:rowOff>190500</xdr:rowOff>
        </xdr:to>
        <xdr:sp macro="" textlink="">
          <xdr:nvSpPr>
            <xdr:cNvPr id="4126" name="Ф_Снегозадержание" hidden="1">
              <a:extLst>
                <a:ext uri="{63B3BB69-23CF-44E3-9099-C40C66FF867C}">
                  <a14:compatExt spid="_x0000_s4126"/>
                </a:ext>
                <a:ext uri="{FF2B5EF4-FFF2-40B4-BE49-F238E27FC236}">
                  <a16:creationId xmlns:a16="http://schemas.microsoft.com/office/drawing/2014/main" id="{30E02517-5F5E-44B3-A466-85985A89598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36</xdr:row>
          <xdr:rowOff>19050</xdr:rowOff>
        </xdr:from>
        <xdr:to>
          <xdr:col>2</xdr:col>
          <xdr:colOff>190500</xdr:colOff>
          <xdr:row>36</xdr:row>
          <xdr:rowOff>190500</xdr:rowOff>
        </xdr:to>
        <xdr:sp macro="" textlink="">
          <xdr:nvSpPr>
            <xdr:cNvPr id="4127" name="Ф_Дренаж" hidden="1">
              <a:extLst>
                <a:ext uri="{63B3BB69-23CF-44E3-9099-C40C66FF867C}">
                  <a14:compatExt spid="_x0000_s4127"/>
                </a:ext>
                <a:ext uri="{FF2B5EF4-FFF2-40B4-BE49-F238E27FC236}">
                  <a16:creationId xmlns:a16="http://schemas.microsoft.com/office/drawing/2014/main" id="{8D8FFCAE-58E0-47F3-B298-4334174DE06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19050</xdr:rowOff>
        </xdr:from>
        <xdr:to>
          <xdr:col>2</xdr:col>
          <xdr:colOff>190500</xdr:colOff>
          <xdr:row>27</xdr:row>
          <xdr:rowOff>190500</xdr:rowOff>
        </xdr:to>
        <xdr:sp macro="" textlink="">
          <xdr:nvSpPr>
            <xdr:cNvPr id="4128" name="Ф_Демонтаж_лесов" hidden="1">
              <a:extLst>
                <a:ext uri="{63B3BB69-23CF-44E3-9099-C40C66FF867C}">
                  <a14:compatExt spid="_x0000_s4128"/>
                </a:ext>
                <a:ext uri="{FF2B5EF4-FFF2-40B4-BE49-F238E27FC236}">
                  <a16:creationId xmlns:a16="http://schemas.microsoft.com/office/drawing/2014/main" id="{6E9D9FC2-6201-4B24-BF39-0B91130A8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xdr:twoCellAnchor editAs="oneCell">
    <xdr:from>
      <xdr:col>10</xdr:col>
      <xdr:colOff>9526</xdr:colOff>
      <xdr:row>4</xdr:row>
      <xdr:rowOff>85725</xdr:rowOff>
    </xdr:from>
    <xdr:to>
      <xdr:col>17</xdr:col>
      <xdr:colOff>752475</xdr:colOff>
      <xdr:row>25</xdr:row>
      <xdr:rowOff>28575</xdr:rowOff>
    </xdr:to>
    <xdr:graphicFrame macro="">
      <xdr:nvGraphicFramePr>
        <xdr:cNvPr id="41" name="График" descr="График">
          <a:extLst>
            <a:ext uri="{FF2B5EF4-FFF2-40B4-BE49-F238E27FC236}">
              <a16:creationId xmlns:a16="http://schemas.microsoft.com/office/drawing/2014/main" id="{0F56EEC4-7B6E-4D29-ACB0-5A19A62AB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mc:AlternateContent xmlns:mc="http://schemas.openxmlformats.org/markup-compatibility/2006">
    <mc:Choice xmlns:a14="http://schemas.microsoft.com/office/drawing/2010/main" Requires="a14">
      <xdr:twoCellAnchor editAs="oneCell">
        <xdr:from>
          <xdr:col>2</xdr:col>
          <xdr:colOff>0</xdr:colOff>
          <xdr:row>30</xdr:row>
          <xdr:rowOff>19050</xdr:rowOff>
        </xdr:from>
        <xdr:to>
          <xdr:col>2</xdr:col>
          <xdr:colOff>190500</xdr:colOff>
          <xdr:row>30</xdr:row>
          <xdr:rowOff>190500</xdr:rowOff>
        </xdr:to>
        <xdr:sp macro="" textlink="">
          <xdr:nvSpPr>
            <xdr:cNvPr id="4134" name="Ф_Флюгарки" hidden="1">
              <a:extLst>
                <a:ext uri="{63B3BB69-23CF-44E3-9099-C40C66FF867C}">
                  <a14:compatExt spid="_x0000_s4134"/>
                </a:ext>
                <a:ext uri="{FF2B5EF4-FFF2-40B4-BE49-F238E27FC236}">
                  <a16:creationId xmlns:a16="http://schemas.microsoft.com/office/drawing/2014/main" id="{2CEFFFE9-1574-4AF2-A167-A18994341E3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38</xdr:row>
          <xdr:rowOff>19050</xdr:rowOff>
        </xdr:from>
        <xdr:to>
          <xdr:col>2</xdr:col>
          <xdr:colOff>190500</xdr:colOff>
          <xdr:row>38</xdr:row>
          <xdr:rowOff>190500</xdr:rowOff>
        </xdr:to>
        <xdr:sp macro="" textlink="">
          <xdr:nvSpPr>
            <xdr:cNvPr id="4135" name="Ф_ЭППС под стяжку" hidden="1">
              <a:extLst>
                <a:ext uri="{63B3BB69-23CF-44E3-9099-C40C66FF867C}">
                  <a14:compatExt spid="_x0000_s4135"/>
                </a:ext>
                <a:ext uri="{FF2B5EF4-FFF2-40B4-BE49-F238E27FC236}">
                  <a16:creationId xmlns:a16="http://schemas.microsoft.com/office/drawing/2014/main" id="{E6FA3AB3-1544-41F7-8539-9D726945C91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39</xdr:row>
          <xdr:rowOff>19050</xdr:rowOff>
        </xdr:from>
        <xdr:to>
          <xdr:col>2</xdr:col>
          <xdr:colOff>190500</xdr:colOff>
          <xdr:row>39</xdr:row>
          <xdr:rowOff>190500</xdr:rowOff>
        </xdr:to>
        <xdr:sp macro="" textlink="">
          <xdr:nvSpPr>
            <xdr:cNvPr id="4137" name="Ф_Стяжка 1 этаж" hidden="1">
              <a:extLst>
                <a:ext uri="{63B3BB69-23CF-44E3-9099-C40C66FF867C}">
                  <a14:compatExt spid="_x0000_s4137"/>
                </a:ext>
                <a:ext uri="{FF2B5EF4-FFF2-40B4-BE49-F238E27FC236}">
                  <a16:creationId xmlns:a16="http://schemas.microsoft.com/office/drawing/2014/main" id="{7E72FFA8-1071-4A09-8C6F-959E6583E2D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40</xdr:row>
          <xdr:rowOff>19050</xdr:rowOff>
        </xdr:from>
        <xdr:to>
          <xdr:col>2</xdr:col>
          <xdr:colOff>190500</xdr:colOff>
          <xdr:row>40</xdr:row>
          <xdr:rowOff>190500</xdr:rowOff>
        </xdr:to>
        <xdr:sp macro="" textlink="">
          <xdr:nvSpPr>
            <xdr:cNvPr id="4138" name="Ф_Стяжка 2 этаж" hidden="1">
              <a:extLst>
                <a:ext uri="{63B3BB69-23CF-44E3-9099-C40C66FF867C}">
                  <a14:compatExt spid="_x0000_s4138"/>
                </a:ext>
                <a:ext uri="{FF2B5EF4-FFF2-40B4-BE49-F238E27FC236}">
                  <a16:creationId xmlns:a16="http://schemas.microsoft.com/office/drawing/2014/main" id="{067C3CFE-1502-45F3-A366-EC3FBB1BE9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41</xdr:row>
          <xdr:rowOff>19050</xdr:rowOff>
        </xdr:from>
        <xdr:to>
          <xdr:col>2</xdr:col>
          <xdr:colOff>190500</xdr:colOff>
          <xdr:row>41</xdr:row>
          <xdr:rowOff>190500</xdr:rowOff>
        </xdr:to>
        <xdr:sp macro="" textlink="">
          <xdr:nvSpPr>
            <xdr:cNvPr id="4140" name="Ф_Грунтовка перед штукатуркой" hidden="1">
              <a:extLst>
                <a:ext uri="{63B3BB69-23CF-44E3-9099-C40C66FF867C}">
                  <a14:compatExt spid="_x0000_s4140"/>
                </a:ext>
                <a:ext uri="{FF2B5EF4-FFF2-40B4-BE49-F238E27FC236}">
                  <a16:creationId xmlns:a16="http://schemas.microsoft.com/office/drawing/2014/main" id="{338E2EAE-96D4-49FC-B17E-B03F4E5A2B0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42</xdr:row>
          <xdr:rowOff>19050</xdr:rowOff>
        </xdr:from>
        <xdr:to>
          <xdr:col>2</xdr:col>
          <xdr:colOff>190500</xdr:colOff>
          <xdr:row>42</xdr:row>
          <xdr:rowOff>190500</xdr:rowOff>
        </xdr:to>
        <xdr:sp macro="" textlink="">
          <xdr:nvSpPr>
            <xdr:cNvPr id="4142" name="Ф_Штукатурка 1 этаж" hidden="1">
              <a:extLst>
                <a:ext uri="{63B3BB69-23CF-44E3-9099-C40C66FF867C}">
                  <a14:compatExt spid="_x0000_s4142"/>
                </a:ext>
                <a:ext uri="{FF2B5EF4-FFF2-40B4-BE49-F238E27FC236}">
                  <a16:creationId xmlns:a16="http://schemas.microsoft.com/office/drawing/2014/main" id="{3F7C5D9D-C660-40A1-BCC1-C3F91D345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43</xdr:row>
          <xdr:rowOff>19050</xdr:rowOff>
        </xdr:from>
        <xdr:to>
          <xdr:col>2</xdr:col>
          <xdr:colOff>190500</xdr:colOff>
          <xdr:row>43</xdr:row>
          <xdr:rowOff>190500</xdr:rowOff>
        </xdr:to>
        <xdr:sp macro="" textlink="">
          <xdr:nvSpPr>
            <xdr:cNvPr id="4144" name="Ф_Штукатурка М этаж" hidden="1">
              <a:extLst>
                <a:ext uri="{63B3BB69-23CF-44E3-9099-C40C66FF867C}">
                  <a14:compatExt spid="_x0000_s4144"/>
                </a:ext>
                <a:ext uri="{FF2B5EF4-FFF2-40B4-BE49-F238E27FC236}">
                  <a16:creationId xmlns:a16="http://schemas.microsoft.com/office/drawing/2014/main" id="{2BF9B219-1259-4DE1-B924-A1FB4B3E7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44</xdr:row>
          <xdr:rowOff>19050</xdr:rowOff>
        </xdr:from>
        <xdr:to>
          <xdr:col>2</xdr:col>
          <xdr:colOff>190500</xdr:colOff>
          <xdr:row>44</xdr:row>
          <xdr:rowOff>190500</xdr:rowOff>
        </xdr:to>
        <xdr:sp macro="" textlink="">
          <xdr:nvSpPr>
            <xdr:cNvPr id="4145" name="Ф_Штукатурка ВНУ откосов" hidden="1">
              <a:extLst>
                <a:ext uri="{63B3BB69-23CF-44E3-9099-C40C66FF867C}">
                  <a14:compatExt spid="_x0000_s4145"/>
                </a:ext>
                <a:ext uri="{FF2B5EF4-FFF2-40B4-BE49-F238E27FC236}">
                  <a16:creationId xmlns:a16="http://schemas.microsoft.com/office/drawing/2014/main" id="{7FE332EA-5B9A-4C00-8F2B-19D7840915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49</xdr:row>
          <xdr:rowOff>19050</xdr:rowOff>
        </xdr:from>
        <xdr:to>
          <xdr:col>2</xdr:col>
          <xdr:colOff>190500</xdr:colOff>
          <xdr:row>49</xdr:row>
          <xdr:rowOff>190500</xdr:rowOff>
        </xdr:to>
        <xdr:sp macro="" textlink="">
          <xdr:nvSpPr>
            <xdr:cNvPr id="4146" name="Ф_Электрика" hidden="1">
              <a:extLst>
                <a:ext uri="{63B3BB69-23CF-44E3-9099-C40C66FF867C}">
                  <a14:compatExt spid="_x0000_s4146"/>
                </a:ext>
                <a:ext uri="{FF2B5EF4-FFF2-40B4-BE49-F238E27FC236}">
                  <a16:creationId xmlns:a16="http://schemas.microsoft.com/office/drawing/2014/main" id="{7557EFE0-BCC5-4D40-AC1B-F81945A59FB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48</xdr:row>
          <xdr:rowOff>19050</xdr:rowOff>
        </xdr:from>
        <xdr:to>
          <xdr:col>2</xdr:col>
          <xdr:colOff>190500</xdr:colOff>
          <xdr:row>48</xdr:row>
          <xdr:rowOff>190500</xdr:rowOff>
        </xdr:to>
        <xdr:sp macro="" textlink="">
          <xdr:nvSpPr>
            <xdr:cNvPr id="4147" name="Ф_ОВК" hidden="1">
              <a:extLst>
                <a:ext uri="{63B3BB69-23CF-44E3-9099-C40C66FF867C}">
                  <a14:compatExt spid="_x0000_s4147"/>
                </a:ext>
                <a:ext uri="{FF2B5EF4-FFF2-40B4-BE49-F238E27FC236}">
                  <a16:creationId xmlns:a16="http://schemas.microsoft.com/office/drawing/2014/main" id="{60344A49-D100-418E-ACF9-E0B327980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35</xdr:row>
          <xdr:rowOff>19050</xdr:rowOff>
        </xdr:from>
        <xdr:to>
          <xdr:col>2</xdr:col>
          <xdr:colOff>190500</xdr:colOff>
          <xdr:row>35</xdr:row>
          <xdr:rowOff>190500</xdr:rowOff>
        </xdr:to>
        <xdr:sp macro="" textlink="">
          <xdr:nvSpPr>
            <xdr:cNvPr id="4148" name="Ф_Ливнёвка" hidden="1">
              <a:extLst>
                <a:ext uri="{63B3BB69-23CF-44E3-9099-C40C66FF867C}">
                  <a14:compatExt spid="_x0000_s4148"/>
                </a:ext>
                <a:ext uri="{FF2B5EF4-FFF2-40B4-BE49-F238E27FC236}">
                  <a16:creationId xmlns:a16="http://schemas.microsoft.com/office/drawing/2014/main" id="{BB159569-006C-446C-A948-7BF37464D8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056;&#1040;&#1057;&#1063;&#1045;&#1058;%20&#1044;&#1054;&#1052;&#1054;&#1042;%208v649_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ТАРТ"/>
      <sheetName val="МЕНЮ"/>
      <sheetName val="ОБЩАЯ"/>
      <sheetName val="СМЕТА"/>
      <sheetName val="ОПЦИИ"/>
      <sheetName val="О НАС"/>
      <sheetName val="ГЭ"/>
      <sheetName val="ГРАФИК ЭТАПОВ"/>
      <sheetName val="ГРАФИК ПЛАТЕЖЕЙ"/>
      <sheetName val="ФУНДАМЕНТ"/>
      <sheetName val="ДОПЫ"/>
      <sheetName val="СТЕНЫ"/>
      <sheetName val="ПЕРЕКРЫТИЯ"/>
      <sheetName val="КРОВЛЯ"/>
      <sheetName val="ЗП"/>
      <sheetName val="ОТДЕЛКА"/>
      <sheetName val="ОВКЭ"/>
      <sheetName val="МАТЕРИАЛ"/>
      <sheetName val="РАБОТА"/>
      <sheetName val="МАТ СУММ"/>
      <sheetName val="ДАНО"/>
      <sheetName val="Списки"/>
      <sheetName val="САЙТ"/>
      <sheetName val="Диаграмма"/>
      <sheetName val="СВОДНАЯ"/>
      <sheetName val="DDLSettings"/>
      <sheetName val="ЯЯЯЯ"/>
      <sheetName val="Лист1"/>
    </sheetNames>
    <sheetDataSet>
      <sheetData sheetId="0"/>
      <sheetData sheetId="1"/>
      <sheetData sheetId="2"/>
      <sheetData sheetId="3"/>
      <sheetData sheetId="4">
        <row r="5">
          <cell r="AH5" t="str">
            <v>16.10.2023 ОБУСТРОЙСТВО</v>
          </cell>
          <cell r="AK5">
            <v>3</v>
          </cell>
        </row>
        <row r="6">
          <cell r="AH6" t="str">
            <v>13.11.2023 ФУНДАМЕНТ</v>
          </cell>
          <cell r="AK6">
            <v>31</v>
          </cell>
        </row>
        <row r="7">
          <cell r="AH7" t="str">
            <v>25.12.2023 СТЕНЫ</v>
          </cell>
          <cell r="AK7">
            <v>73</v>
          </cell>
        </row>
        <row r="8">
          <cell r="AH8" t="str">
            <v>29.01.2024 КРОВЛЯ</v>
          </cell>
          <cell r="AK8">
            <v>115</v>
          </cell>
        </row>
        <row r="9">
          <cell r="AH9" t="str">
            <v>10.02.2024         ДОП. ОПЦИИ</v>
          </cell>
          <cell r="AK9">
            <v>127</v>
          </cell>
        </row>
      </sheetData>
      <sheetData sheetId="5"/>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4">
          <cell r="A4" t="str">
            <v>Газосиликат</v>
          </cell>
          <cell r="B4">
            <v>0</v>
          </cell>
          <cell r="C4">
            <v>0</v>
          </cell>
        </row>
        <row r="5">
          <cell r="A5" t="str">
            <v>Кирпич щелевой</v>
          </cell>
          <cell r="B5">
            <v>0</v>
          </cell>
          <cell r="C5">
            <v>0</v>
          </cell>
        </row>
        <row r="6">
          <cell r="A6" t="str">
            <v>Керамический блок</v>
          </cell>
          <cell r="B6">
            <v>0</v>
          </cell>
          <cell r="C6">
            <v>0</v>
          </cell>
        </row>
        <row r="7">
          <cell r="A7" t="str">
            <v>Керамзитобетон</v>
          </cell>
          <cell r="B7">
            <v>0</v>
          </cell>
          <cell r="C7">
            <v>0</v>
          </cell>
        </row>
        <row r="8">
          <cell r="A8" t="str">
            <v>Теплоблок</v>
          </cell>
          <cell r="B8">
            <v>0</v>
          </cell>
          <cell r="C8">
            <v>0</v>
          </cell>
        </row>
        <row r="16">
          <cell r="P16" t="str">
            <v>МЕТАЛЛОЧЕРЕПИЦА</v>
          </cell>
          <cell r="Q16">
            <v>0</v>
          </cell>
          <cell r="R16">
            <v>0</v>
          </cell>
        </row>
        <row r="17">
          <cell r="P17" t="str">
            <v>МЯГКАЯ КРОВЛЯ</v>
          </cell>
          <cell r="Q17">
            <v>0</v>
          </cell>
          <cell r="R17">
            <v>0</v>
          </cell>
        </row>
        <row r="18">
          <cell r="P18" t="str">
            <v>ЦЕМЕНТНО-ПЕСЧАНАЯ ЧЕРЕПИЦА</v>
          </cell>
          <cell r="Q18">
            <v>0</v>
          </cell>
          <cell r="R18">
            <v>0</v>
          </cell>
        </row>
      </sheetData>
      <sheetData sheetId="25"/>
      <sheetData sheetId="26"/>
      <sheetData sheetId="27"/>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omments" Target="../comments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48.xml"/><Relationship Id="rId13" Type="http://schemas.openxmlformats.org/officeDocument/2006/relationships/ctrlProp" Target="../ctrlProps/ctrlProp53.xml"/><Relationship Id="rId18" Type="http://schemas.openxmlformats.org/officeDocument/2006/relationships/ctrlProp" Target="../ctrlProps/ctrlProp58.xml"/><Relationship Id="rId26" Type="http://schemas.openxmlformats.org/officeDocument/2006/relationships/ctrlProp" Target="../ctrlProps/ctrlProp66.xml"/><Relationship Id="rId39" Type="http://schemas.openxmlformats.org/officeDocument/2006/relationships/ctrlProp" Target="../ctrlProps/ctrlProp79.xml"/><Relationship Id="rId3" Type="http://schemas.openxmlformats.org/officeDocument/2006/relationships/vmlDrawing" Target="../drawings/vmlDrawing2.vml"/><Relationship Id="rId21" Type="http://schemas.openxmlformats.org/officeDocument/2006/relationships/ctrlProp" Target="../ctrlProps/ctrlProp61.xml"/><Relationship Id="rId34" Type="http://schemas.openxmlformats.org/officeDocument/2006/relationships/ctrlProp" Target="../ctrlProps/ctrlProp74.xml"/><Relationship Id="rId7" Type="http://schemas.openxmlformats.org/officeDocument/2006/relationships/ctrlProp" Target="../ctrlProps/ctrlProp47.xml"/><Relationship Id="rId12" Type="http://schemas.openxmlformats.org/officeDocument/2006/relationships/ctrlProp" Target="../ctrlProps/ctrlProp52.xml"/><Relationship Id="rId17" Type="http://schemas.openxmlformats.org/officeDocument/2006/relationships/ctrlProp" Target="../ctrlProps/ctrlProp57.xml"/><Relationship Id="rId25" Type="http://schemas.openxmlformats.org/officeDocument/2006/relationships/ctrlProp" Target="../ctrlProps/ctrlProp65.xml"/><Relationship Id="rId33" Type="http://schemas.openxmlformats.org/officeDocument/2006/relationships/ctrlProp" Target="../ctrlProps/ctrlProp73.xml"/><Relationship Id="rId38" Type="http://schemas.openxmlformats.org/officeDocument/2006/relationships/ctrlProp" Target="../ctrlProps/ctrlProp78.xml"/><Relationship Id="rId2" Type="http://schemas.openxmlformats.org/officeDocument/2006/relationships/drawing" Target="../drawings/drawing5.xml"/><Relationship Id="rId16" Type="http://schemas.openxmlformats.org/officeDocument/2006/relationships/ctrlProp" Target="../ctrlProps/ctrlProp56.xml"/><Relationship Id="rId20" Type="http://schemas.openxmlformats.org/officeDocument/2006/relationships/ctrlProp" Target="../ctrlProps/ctrlProp60.xml"/><Relationship Id="rId29" Type="http://schemas.openxmlformats.org/officeDocument/2006/relationships/ctrlProp" Target="../ctrlProps/ctrlProp69.xml"/><Relationship Id="rId41" Type="http://schemas.openxmlformats.org/officeDocument/2006/relationships/comments" Target="../comments2.xml"/><Relationship Id="rId1" Type="http://schemas.openxmlformats.org/officeDocument/2006/relationships/printerSettings" Target="../printerSettings/printerSettings5.bin"/><Relationship Id="rId6" Type="http://schemas.openxmlformats.org/officeDocument/2006/relationships/ctrlProp" Target="../ctrlProps/ctrlProp46.xml"/><Relationship Id="rId11" Type="http://schemas.openxmlformats.org/officeDocument/2006/relationships/ctrlProp" Target="../ctrlProps/ctrlProp51.xml"/><Relationship Id="rId24" Type="http://schemas.openxmlformats.org/officeDocument/2006/relationships/ctrlProp" Target="../ctrlProps/ctrlProp64.xml"/><Relationship Id="rId32" Type="http://schemas.openxmlformats.org/officeDocument/2006/relationships/ctrlProp" Target="../ctrlProps/ctrlProp72.xml"/><Relationship Id="rId37" Type="http://schemas.openxmlformats.org/officeDocument/2006/relationships/ctrlProp" Target="../ctrlProps/ctrlProp77.xml"/><Relationship Id="rId40" Type="http://schemas.openxmlformats.org/officeDocument/2006/relationships/ctrlProp" Target="../ctrlProps/ctrlProp80.xml"/><Relationship Id="rId5" Type="http://schemas.openxmlformats.org/officeDocument/2006/relationships/ctrlProp" Target="../ctrlProps/ctrlProp45.xml"/><Relationship Id="rId15" Type="http://schemas.openxmlformats.org/officeDocument/2006/relationships/ctrlProp" Target="../ctrlProps/ctrlProp55.xml"/><Relationship Id="rId23" Type="http://schemas.openxmlformats.org/officeDocument/2006/relationships/ctrlProp" Target="../ctrlProps/ctrlProp63.xml"/><Relationship Id="rId28" Type="http://schemas.openxmlformats.org/officeDocument/2006/relationships/ctrlProp" Target="../ctrlProps/ctrlProp68.xml"/><Relationship Id="rId36" Type="http://schemas.openxmlformats.org/officeDocument/2006/relationships/ctrlProp" Target="../ctrlProps/ctrlProp76.xml"/><Relationship Id="rId10" Type="http://schemas.openxmlformats.org/officeDocument/2006/relationships/ctrlProp" Target="../ctrlProps/ctrlProp50.xml"/><Relationship Id="rId19" Type="http://schemas.openxmlformats.org/officeDocument/2006/relationships/ctrlProp" Target="../ctrlProps/ctrlProp59.xml"/><Relationship Id="rId31" Type="http://schemas.openxmlformats.org/officeDocument/2006/relationships/ctrlProp" Target="../ctrlProps/ctrlProp71.xml"/><Relationship Id="rId4" Type="http://schemas.openxmlformats.org/officeDocument/2006/relationships/ctrlProp" Target="../ctrlProps/ctrlProp44.xml"/><Relationship Id="rId9" Type="http://schemas.openxmlformats.org/officeDocument/2006/relationships/ctrlProp" Target="../ctrlProps/ctrlProp49.xml"/><Relationship Id="rId14" Type="http://schemas.openxmlformats.org/officeDocument/2006/relationships/ctrlProp" Target="../ctrlProps/ctrlProp54.xml"/><Relationship Id="rId22" Type="http://schemas.openxmlformats.org/officeDocument/2006/relationships/ctrlProp" Target="../ctrlProps/ctrlProp62.xml"/><Relationship Id="rId27" Type="http://schemas.openxmlformats.org/officeDocument/2006/relationships/ctrlProp" Target="../ctrlProps/ctrlProp67.xml"/><Relationship Id="rId30" Type="http://schemas.openxmlformats.org/officeDocument/2006/relationships/ctrlProp" Target="../ctrlProps/ctrlProp70.xml"/><Relationship Id="rId35" Type="http://schemas.openxmlformats.org/officeDocument/2006/relationships/ctrlProp" Target="../ctrlProps/ctrlProp7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32D8F-CD80-4399-88CE-79EAC323F866}">
  <sheetPr codeName="Лист18">
    <tabColor rgb="FF7E5942"/>
  </sheetPr>
  <dimension ref="A1:F32"/>
  <sheetViews>
    <sheetView showGridLines="0" showRowColHeaders="0" showZeros="0" tabSelected="1" workbookViewId="0"/>
  </sheetViews>
  <sheetFormatPr defaultRowHeight="18"/>
  <cols>
    <col min="1" max="1" width="0.6640625" customWidth="1"/>
    <col min="2" max="2" width="10.1640625" customWidth="1"/>
    <col min="3" max="3" width="3.6640625" style="2" customWidth="1"/>
    <col min="4" max="4" width="31" customWidth="1"/>
    <col min="5" max="5" width="48.33203125" customWidth="1"/>
    <col min="6" max="6" width="3.6640625" customWidth="1"/>
    <col min="7" max="7" width="3.5" customWidth="1"/>
  </cols>
  <sheetData>
    <row r="1" spans="1:6" ht="3.75" customHeight="1">
      <c r="A1" s="1"/>
    </row>
    <row r="2" spans="1:6" ht="4.5" customHeight="1" thickBot="1"/>
    <row r="3" spans="1:6" ht="18.75" thickTop="1">
      <c r="C3" s="3"/>
      <c r="D3" s="4"/>
      <c r="E3" s="4"/>
      <c r="F3" s="5"/>
    </row>
    <row r="4" spans="1:6">
      <c r="C4" s="6"/>
      <c r="D4" s="7"/>
      <c r="E4" s="7"/>
      <c r="F4" s="8"/>
    </row>
    <row r="5" spans="1:6">
      <c r="C5" s="6"/>
      <c r="D5" s="7"/>
      <c r="E5" s="7"/>
      <c r="F5" s="8"/>
    </row>
    <row r="6" spans="1:6">
      <c r="C6" s="6"/>
      <c r="D6" s="7"/>
      <c r="E6" s="7"/>
      <c r="F6" s="8"/>
    </row>
    <row r="7" spans="1:6">
      <c r="C7" s="6"/>
      <c r="D7" s="7"/>
      <c r="E7" s="7"/>
      <c r="F7" s="8"/>
    </row>
    <row r="8" spans="1:6">
      <c r="C8" s="6"/>
      <c r="D8" s="7"/>
      <c r="E8" s="7"/>
      <c r="F8" s="8"/>
    </row>
    <row r="9" spans="1:6">
      <c r="C9" s="6"/>
      <c r="D9" s="7"/>
      <c r="E9" s="7"/>
      <c r="F9" s="8"/>
    </row>
    <row r="10" spans="1:6">
      <c r="C10" s="9" t="s">
        <v>572</v>
      </c>
      <c r="D10" s="10"/>
      <c r="E10" s="10"/>
      <c r="F10" s="11"/>
    </row>
    <row r="11" spans="1:6">
      <c r="C11" s="12"/>
      <c r="D11" s="13" t="s">
        <v>0</v>
      </c>
      <c r="E11" s="13"/>
      <c r="F11" s="14"/>
    </row>
    <row r="12" spans="1:6" ht="10.5" customHeight="1">
      <c r="C12" s="12"/>
      <c r="D12" s="15"/>
      <c r="E12" s="15"/>
      <c r="F12" s="14"/>
    </row>
    <row r="13" spans="1:6" ht="27.75" customHeight="1">
      <c r="C13" s="12"/>
      <c r="D13" s="16" t="str">
        <f ca="1">IF(NOT(ISERROR(INFO("system"))),IF(OR(INFO("system")="pcdos",INFO("system")="mac"),"Отлично! Смета открыта правильно. Функции калькулятора работают!","ВНИМАНИЕ!!! " &amp; CHAR(10) &amp;"Смета открыта не корректно. " &amp; CHAR(10) &amp;"Калькулятор не доступен!"),"ВНИМАНИЕ!!! " &amp; CHAR(10) &amp;"Смета открыта не корректно. " &amp; CHAR(10) &amp;"Калькулятор не доступен!")</f>
        <v>Отлично! Смета открыта правильно. Функции калькулятора работают!</v>
      </c>
      <c r="E13" s="17"/>
      <c r="F13" s="14"/>
    </row>
    <row r="14" spans="1:6" ht="6.75" customHeight="1">
      <c r="C14" s="12"/>
      <c r="D14" s="15"/>
      <c r="E14" s="15"/>
      <c r="F14" s="14"/>
    </row>
    <row r="15" spans="1:6" ht="57.75" customHeight="1">
      <c r="C15" s="18"/>
      <c r="D15" s="19" t="s">
        <v>1</v>
      </c>
      <c r="E15" s="19"/>
      <c r="F15" s="20"/>
    </row>
    <row r="16" spans="1:6" ht="18" customHeight="1">
      <c r="C16" s="6"/>
      <c r="D16" s="21" t="s">
        <v>2</v>
      </c>
      <c r="E16" s="21"/>
      <c r="F16" s="8"/>
    </row>
    <row r="17" spans="3:6" ht="18" customHeight="1" thickBot="1">
      <c r="C17" s="6"/>
      <c r="D17" s="7"/>
      <c r="E17" s="7"/>
      <c r="F17" s="8"/>
    </row>
    <row r="18" spans="3:6" ht="18.75" customHeight="1" thickTop="1">
      <c r="C18" s="6"/>
      <c r="D18" s="23" t="s">
        <v>3</v>
      </c>
      <c r="E18" s="22" t="s">
        <v>4</v>
      </c>
      <c r="F18" s="8"/>
    </row>
    <row r="19" spans="3:6" ht="18" customHeight="1" thickBot="1">
      <c r="C19" s="6"/>
      <c r="D19" s="25"/>
      <c r="E19" s="22"/>
      <c r="F19" s="8"/>
    </row>
    <row r="20" spans="3:6" ht="19.5" thickTop="1" thickBot="1">
      <c r="C20" s="6"/>
      <c r="D20" s="7"/>
      <c r="E20" s="7"/>
      <c r="F20" s="8"/>
    </row>
    <row r="21" spans="3:6" ht="18.75" thickTop="1">
      <c r="C21" s="6"/>
      <c r="D21" s="23" t="s">
        <v>5</v>
      </c>
      <c r="E21" s="24" t="s">
        <v>6</v>
      </c>
      <c r="F21" s="8"/>
    </row>
    <row r="22" spans="3:6" ht="18.75" thickBot="1">
      <c r="C22" s="6"/>
      <c r="D22" s="25"/>
      <c r="E22" s="24"/>
      <c r="F22" s="8"/>
    </row>
    <row r="23" spans="3:6" ht="19.5" thickTop="1" thickBot="1">
      <c r="C23" s="6"/>
      <c r="D23" s="7"/>
      <c r="E23" s="7"/>
      <c r="F23" s="8"/>
    </row>
    <row r="24" spans="3:6" ht="18.75" thickTop="1">
      <c r="C24" s="6"/>
      <c r="D24" s="23" t="s">
        <v>7</v>
      </c>
      <c r="E24" s="24" t="s">
        <v>8</v>
      </c>
      <c r="F24" s="8"/>
    </row>
    <row r="25" spans="3:6" ht="18.75" thickBot="1">
      <c r="C25" s="6"/>
      <c r="D25" s="25"/>
      <c r="E25" s="24"/>
      <c r="F25" s="8"/>
    </row>
    <row r="26" spans="3:6" ht="19.5" thickTop="1" thickBot="1">
      <c r="C26" s="6"/>
      <c r="D26" s="7"/>
      <c r="E26" s="7"/>
      <c r="F26" s="8"/>
    </row>
    <row r="27" spans="3:6" ht="18.75" thickTop="1">
      <c r="C27" s="6"/>
      <c r="D27" s="23" t="s">
        <v>9</v>
      </c>
      <c r="E27" s="24" t="s">
        <v>10</v>
      </c>
      <c r="F27" s="8"/>
    </row>
    <row r="28" spans="3:6" ht="18.75" thickBot="1">
      <c r="C28" s="6"/>
      <c r="D28" s="25"/>
      <c r="E28" s="24"/>
      <c r="F28" s="8"/>
    </row>
    <row r="29" spans="3:6" ht="18.75" thickTop="1">
      <c r="C29" s="6"/>
      <c r="D29" s="7"/>
      <c r="E29" s="7"/>
      <c r="F29" s="8"/>
    </row>
    <row r="30" spans="3:6" ht="15.75">
      <c r="C30" s="26"/>
      <c r="D30" s="27" t="s">
        <v>11</v>
      </c>
      <c r="E30" s="27"/>
      <c r="F30" s="28"/>
    </row>
    <row r="31" spans="3:6" ht="13.5" customHeight="1" thickBot="1">
      <c r="C31" s="29"/>
      <c r="D31" s="30"/>
      <c r="E31" s="30"/>
      <c r="F31" s="31"/>
    </row>
    <row r="32" spans="3:6" ht="18.75" thickTop="1"/>
  </sheetData>
  <sheetProtection algorithmName="SHA-512" hashValue="08AIuebJ9O24RYUgTvBEIe3tjWvGZ0eC09ip3PK/54d4lv9WnvMsIRVeQ0B67CzqmBdtM2muif7++FgL56a+ow==" saltValue="wILkoUAR6n6hNyKFfrV9Hg==" spinCount="100000" sheet="1" objects="1" scenarios="1" selectLockedCells="1"/>
  <mergeCells count="14">
    <mergeCell ref="D30:E30"/>
    <mergeCell ref="D21:D22"/>
    <mergeCell ref="E21:E22"/>
    <mergeCell ref="D24:D25"/>
    <mergeCell ref="E24:E25"/>
    <mergeCell ref="D27:D28"/>
    <mergeCell ref="E27:E28"/>
    <mergeCell ref="C10:F10"/>
    <mergeCell ref="D11:E11"/>
    <mergeCell ref="D13:E13"/>
    <mergeCell ref="D15:E15"/>
    <mergeCell ref="D16:E16"/>
    <mergeCell ref="D18:D19"/>
    <mergeCell ref="E18:E19"/>
  </mergeCells>
  <conditionalFormatting sqref="D13:E13">
    <cfRule type="expression" dxfId="118" priority="1">
      <formula>$D$13="Отлично! Смета открыта правильно. Функции калькулятора работают!"</formula>
    </cfRule>
  </conditionalFormatting>
  <hyperlinks>
    <hyperlink ref="D21:D22" location="'ПОДРОБНАЯ СМЕТА'!A8" tooltip="Нажмите для просмотра Сметы" display="СМЕТА" xr:uid="{8C260AF2-279E-4250-A227-E2E77CEE2A5F}"/>
    <hyperlink ref="D24:D25" location="ОПЦИИ!A1" tooltip="Нажмите для работы с Опциями расчета" display="ОПЦИИ   РАСЧЕТА" xr:uid="{01733696-1076-46CC-BBCB-B84613B45287}"/>
    <hyperlink ref="D27:D28" location="'О НАС'!A1" tooltip="Нажмите для знакомства с компанией Приват-Строй" display="О ПРИВАТ-СТРОЙ" xr:uid="{B58D025D-B049-4E80-91CD-84017F258034}"/>
    <hyperlink ref="D18:D19" location="'ПРОСТАЯ СМЕТА'!C7" tooltip="Нажмите для перехода на лист вводных данных" display="ВОДДНЫЕ   ДАННЫЕ" xr:uid="{CF54B633-C6E7-4566-8C49-016D6B85AD93}"/>
  </hyperlinks>
  <printOptions horizontalCentered="1"/>
  <pageMargins left="0.70866141732283472" right="0.70866141732283472" top="0.74803149606299213" bottom="0.74803149606299213" header="0.31496062992125984" footer="0.31496062992125984"/>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EC98D-06AC-4CC0-A450-E0775B6F7336}">
  <sheetPr>
    <tabColor rgb="FFFF0000"/>
  </sheetPr>
  <dimension ref="A1"/>
  <sheetViews>
    <sheetView showGridLines="0" workbookViewId="0">
      <selection activeCell="BE1" sqref="BE1"/>
    </sheetView>
  </sheetViews>
  <sheetFormatPr defaultColWidth="3" defaultRowHeight="12.75"/>
  <cols>
    <col min="1" max="16384" width="3" style="387"/>
  </cols>
  <sheetData/>
  <pageMargins left="0.78740157480314954" right="0.19685039370078738" top="0.19685039370078738" bottom="0.19685039370078738"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E0F5F-0E3E-4FE2-A86D-8AD7CE1BD806}">
  <sheetPr codeName="Лист14">
    <tabColor rgb="FF00B0F0"/>
    <pageSetUpPr fitToPage="1"/>
  </sheetPr>
  <dimension ref="A1:C50"/>
  <sheetViews>
    <sheetView showGridLines="0" showZeros="0" workbookViewId="0">
      <selection activeCell="C7" sqref="C7"/>
    </sheetView>
  </sheetViews>
  <sheetFormatPr defaultRowHeight="16.5"/>
  <cols>
    <col min="1" max="1" width="42.1640625" style="35" bestFit="1" customWidth="1"/>
    <col min="2" max="2" width="31.1640625" style="35" customWidth="1"/>
    <col min="3" max="3" width="68.83203125" style="35" customWidth="1"/>
    <col min="4" max="16384" width="9.33203125" style="35"/>
  </cols>
  <sheetData>
    <row r="1" spans="1:3" ht="24" customHeight="1">
      <c r="A1" s="32"/>
      <c r="B1" s="33" t="s">
        <v>12</v>
      </c>
      <c r="C1" s="34" t="s">
        <v>541</v>
      </c>
    </row>
    <row r="2" spans="1:3" ht="24" customHeight="1">
      <c r="A2" s="32"/>
      <c r="B2" s="33" t="s">
        <v>13</v>
      </c>
      <c r="C2" s="36" t="s">
        <v>542</v>
      </c>
    </row>
    <row r="3" spans="1:3" ht="24" customHeight="1">
      <c r="A3" s="32"/>
      <c r="B3" s="33" t="s">
        <v>14</v>
      </c>
      <c r="C3" s="37" t="s">
        <v>543</v>
      </c>
    </row>
    <row r="4" spans="1:3" ht="24" customHeight="1">
      <c r="A4" s="32"/>
      <c r="B4" s="33" t="s">
        <v>15</v>
      </c>
      <c r="C4" s="38" t="s">
        <v>568</v>
      </c>
    </row>
    <row r="5" spans="1:3" ht="41.25" customHeight="1">
      <c r="A5" s="39" t="s">
        <v>16</v>
      </c>
      <c r="B5" s="39"/>
      <c r="C5" s="39"/>
    </row>
    <row r="6" spans="1:3" ht="6" customHeight="1">
      <c r="A6" s="40"/>
      <c r="B6" s="41"/>
      <c r="C6" s="41"/>
    </row>
    <row r="7" spans="1:3">
      <c r="A7" s="42" t="s">
        <v>545</v>
      </c>
      <c r="B7" s="40"/>
      <c r="C7" s="43" t="s">
        <v>569</v>
      </c>
    </row>
    <row r="8" spans="1:3" ht="23.25">
      <c r="A8" s="44" t="s">
        <v>3</v>
      </c>
      <c r="B8" s="45"/>
      <c r="C8" s="46"/>
    </row>
    <row r="9" spans="1:3">
      <c r="A9" s="47" t="s">
        <v>547</v>
      </c>
      <c r="B9" s="48"/>
      <c r="C9" s="49" t="str">
        <f>"Время строительства "&amp;IF(C46=0,0,В!H6)&amp;" календарных дней"</f>
        <v>Время строительства 127 календарных дней</v>
      </c>
    </row>
    <row r="10" spans="1:3">
      <c r="A10" s="50" t="s">
        <v>548</v>
      </c>
      <c r="B10" s="51"/>
      <c r="C10" s="52" t="str">
        <f>IF(C46=0,0,IF(OR('ПОДРОБНАЯ СМЕТА'!I485=0,В!A487=0),0,"Расчетная стоимость строительства "&amp;+TEXT(ROUND('ПОДРОБНАЯ СМЕТА'!I485/В!A487,2),"# ##0,00")&amp;+" рублей за м²"))</f>
        <v>Расчетная стоимость строительства 27 834,37 рублей за м²</v>
      </c>
    </row>
    <row r="11" spans="1:3" ht="16.5" customHeight="1">
      <c r="A11" s="50" t="s">
        <v>549</v>
      </c>
      <c r="B11" s="51"/>
      <c r="C11" s="52" t="s">
        <v>17</v>
      </c>
    </row>
    <row r="12" spans="1:3" ht="16.5" customHeight="1">
      <c r="A12" s="50" t="s">
        <v>550</v>
      </c>
      <c r="B12" s="51"/>
      <c r="C12" s="52" t="s">
        <v>18</v>
      </c>
    </row>
    <row r="13" spans="1:3" ht="16.5" customHeight="1">
      <c r="A13" s="50" t="s">
        <v>551</v>
      </c>
      <c r="B13" s="51"/>
      <c r="C13" s="52" t="s">
        <v>19</v>
      </c>
    </row>
    <row r="14" spans="1:3">
      <c r="A14" s="53"/>
      <c r="B14" s="54"/>
      <c r="C14" s="54"/>
    </row>
    <row r="15" spans="1:3" ht="23.25">
      <c r="A15" s="44" t="s">
        <v>552</v>
      </c>
      <c r="B15" s="45"/>
      <c r="C15" s="46"/>
    </row>
    <row r="16" spans="1:3" ht="16.5" customHeight="1">
      <c r="A16" s="55" t="s">
        <v>553</v>
      </c>
      <c r="B16" s="56"/>
      <c r="C16" s="57" t="s">
        <v>570</v>
      </c>
    </row>
    <row r="17" spans="1:3">
      <c r="A17" s="50" t="s">
        <v>554</v>
      </c>
      <c r="B17" s="58"/>
      <c r="C17" s="57"/>
    </row>
    <row r="18" spans="1:3">
      <c r="A18" s="50" t="s">
        <v>555</v>
      </c>
      <c r="B18" s="58"/>
      <c r="C18" s="57"/>
    </row>
    <row r="19" spans="1:3">
      <c r="A19" s="50" t="s">
        <v>556</v>
      </c>
      <c r="B19" s="58"/>
      <c r="C19" s="57"/>
    </row>
    <row r="20" spans="1:3">
      <c r="A20" s="50" t="s">
        <v>557</v>
      </c>
      <c r="B20" s="58"/>
      <c r="C20" s="57"/>
    </row>
    <row r="21" spans="1:3" ht="16.5" customHeight="1">
      <c r="A21" s="59" t="s">
        <v>558</v>
      </c>
      <c r="B21" s="60"/>
      <c r="C21" s="61"/>
    </row>
    <row r="22" spans="1:3" ht="23.25">
      <c r="A22" s="40"/>
      <c r="B22" s="62" t="s">
        <v>20</v>
      </c>
      <c r="C22" s="63">
        <f>IFERROR(SUMIF('ПОДРОБНАЯ СМЕТА'!A10:A484,"=ИТОГО ПО РАЗДЕЛУ - ФУНДАМЕНТ",'ПОДРОБНАЯ СМЕТА'!I10:I484),0)</f>
        <v>1346008</v>
      </c>
    </row>
    <row r="23" spans="1:3">
      <c r="A23" s="40"/>
      <c r="B23" s="40"/>
      <c r="C23" s="40"/>
    </row>
    <row r="24" spans="1:3" ht="23.25">
      <c r="A24" s="44" t="s">
        <v>21</v>
      </c>
      <c r="B24" s="45"/>
      <c r="C24" s="46"/>
    </row>
    <row r="25" spans="1:3" ht="16.5" customHeight="1">
      <c r="A25" s="50" t="s">
        <v>559</v>
      </c>
      <c r="B25" s="64"/>
      <c r="C25" s="57" t="s">
        <v>571</v>
      </c>
    </row>
    <row r="26" spans="1:3" ht="16.5" customHeight="1">
      <c r="A26" s="65" t="s">
        <v>560</v>
      </c>
      <c r="B26" s="64"/>
      <c r="C26" s="57"/>
    </row>
    <row r="27" spans="1:3" ht="16.5" customHeight="1">
      <c r="A27" s="65" t="s">
        <v>561</v>
      </c>
      <c r="B27" s="64"/>
      <c r="C27" s="57"/>
    </row>
    <row r="28" spans="1:3">
      <c r="A28" s="65" t="s">
        <v>562</v>
      </c>
      <c r="B28" s="64"/>
      <c r="C28" s="57"/>
    </row>
    <row r="29" spans="1:3">
      <c r="A29" s="65" t="s">
        <v>563</v>
      </c>
      <c r="B29" s="64"/>
      <c r="C29" s="57"/>
    </row>
    <row r="30" spans="1:3" ht="16.5" customHeight="1">
      <c r="A30" s="50" t="s">
        <v>564</v>
      </c>
      <c r="B30" s="64"/>
      <c r="C30" s="57"/>
    </row>
    <row r="31" spans="1:3" ht="16.5" customHeight="1">
      <c r="A31" s="50" t="s">
        <v>565</v>
      </c>
      <c r="B31" s="64"/>
      <c r="C31" s="57"/>
    </row>
    <row r="32" spans="1:3" ht="16.5" customHeight="1">
      <c r="A32" s="50" t="s">
        <v>566</v>
      </c>
      <c r="B32" s="64"/>
      <c r="C32" s="57"/>
    </row>
    <row r="33" spans="1:3" ht="16.5" customHeight="1">
      <c r="A33" s="50"/>
      <c r="B33" s="64"/>
      <c r="C33" s="57"/>
    </row>
    <row r="34" spans="1:3" ht="23.25">
      <c r="A34" s="40"/>
      <c r="B34" s="62" t="s">
        <v>20</v>
      </c>
      <c r="C34" s="63">
        <f>IFERROR(SUMIF('ПОДРОБНАЯ СМЕТА'!A10:A484,"=ИТОГО ПО РАЗДЕЛУ - СТЕНЫ И ПЕРЕКРЫТИЯ ИЗ КИРПИЧА И БЛОКОВ",'ПОДРОБНАЯ СМЕТА'!I10:I484)+SUMIF('ПОДРОБНАЯ СМЕТА'!A10:A484,"=ИТОГО ПО РАЗДЕЛУ - ДЕРЕВЯННЫЕ СТЕНЫ И ПЕРЕКРЫТИЯ",'ПОДРОБНАЯ СМЕТА'!I10:I484)+SUMIF('ПОДРОБНАЯ СМЕТА'!A10:A484,"=ИТОГО ПО РАЗДЕЛУ - ОТДЕЛКА ФАСАДА",'ПОДРОБНАЯ СМЕТА'!I10:I484),0)</f>
        <v>1919940</v>
      </c>
    </row>
    <row r="35" spans="1:3">
      <c r="A35" s="40"/>
      <c r="B35" s="40"/>
      <c r="C35" s="40"/>
    </row>
    <row r="36" spans="1:3" ht="23.25">
      <c r="A36" s="44" t="s">
        <v>22</v>
      </c>
      <c r="B36" s="45"/>
      <c r="C36" s="46"/>
    </row>
    <row r="37" spans="1:3" ht="18" customHeight="1">
      <c r="A37" s="50" t="s">
        <v>567</v>
      </c>
      <c r="B37" s="48"/>
      <c r="C37" s="66" t="s">
        <v>23</v>
      </c>
    </row>
    <row r="38" spans="1:3" ht="16.5" customHeight="1">
      <c r="A38" s="50"/>
      <c r="B38" s="67"/>
      <c r="C38" s="66"/>
    </row>
    <row r="39" spans="1:3" ht="23.25">
      <c r="A39" s="40"/>
      <c r="B39" s="62" t="s">
        <v>20</v>
      </c>
      <c r="C39" s="63">
        <f>IFERROR(SUMIF('ПОДРОБНАЯ СМЕТА'!A10:A484,"=ИТОГО ПО РАЗДЕЛУ - КРОВЛЯ И ЧЕРДАЧНЫЕ ПЕРЕКРЫТИЯ",'ПОДРОБНАЯ СМЕТА'!I10:I484),0)</f>
        <v>1256383</v>
      </c>
    </row>
    <row r="40" spans="1:3">
      <c r="A40" s="40"/>
      <c r="B40" s="40"/>
      <c r="C40" s="40"/>
    </row>
    <row r="41" spans="1:3" ht="23.25">
      <c r="A41" s="44" t="s">
        <v>24</v>
      </c>
      <c r="B41" s="45"/>
      <c r="C41" s="46"/>
    </row>
    <row r="42" spans="1:3">
      <c r="A42" s="55" t="s">
        <v>25</v>
      </c>
      <c r="B42" s="68"/>
      <c r="C42" s="66" t="str">
        <f>IF(В!D22=5,"Плоская наплавляемая кровля по бетонному перекрытию.","Прочие системы и конструкции, столбы, газоходы, дамоходы, вентканалы, крыльца, ступени, лестницы и т.п. Подробности в смете.")</f>
        <v>Прочие системы и конструкции, столбы, газоходы, дамоходы, вентканалы, крыльца, ступени, лестницы и т.п. Подробности в смете.</v>
      </c>
    </row>
    <row r="43" spans="1:3">
      <c r="A43" s="50" t="s">
        <v>26</v>
      </c>
      <c r="B43" s="67"/>
      <c r="C43" s="66"/>
    </row>
    <row r="44" spans="1:3" ht="23.25">
      <c r="A44" s="40"/>
      <c r="B44" s="62" t="s">
        <v>20</v>
      </c>
      <c r="C44" s="63">
        <f>IFERROR('ПОДРОБНАЯ СМЕТА'!I485-C22-C34-C39,0)</f>
        <v>798208</v>
      </c>
    </row>
    <row r="45" spans="1:3" ht="23.25">
      <c r="A45" s="40"/>
      <c r="B45" s="69"/>
      <c r="C45" s="70">
        <f>IFERROR(SUMIF('ПОДРОБНАЯ СМЕТА'!A10:A484,"=Скидка*",'ПОДРОБНАЯ СМЕТА'!I10:I484),0)</f>
        <v>0</v>
      </c>
    </row>
    <row r="46" spans="1:3" ht="27">
      <c r="A46" s="71"/>
      <c r="B46" s="72" t="s">
        <v>27</v>
      </c>
      <c r="C46" s="73">
        <f>IFERROR(SUM(C22:C44),0)</f>
        <v>5320539</v>
      </c>
    </row>
    <row r="47" spans="1:3">
      <c r="A47" s="40"/>
      <c r="B47" s="40"/>
      <c r="C47" s="74" t="str">
        <f ca="1">IF(TODAY()&gt;'ПОДРОБНАЯ СМЕТА'!I9+30,"ВОЗМОЖНО СМЕТА УСТАРЕЛА И ТРЕБУЕТ АКТУАЛИЗАЦИИ!","")</f>
        <v/>
      </c>
    </row>
    <row r="48" spans="1:3" ht="23.25">
      <c r="A48" s="75" t="s">
        <v>28</v>
      </c>
      <c r="B48" s="75"/>
      <c r="C48" s="75"/>
    </row>
    <row r="49" spans="1:3">
      <c r="A49" s="76" t="s">
        <v>29</v>
      </c>
      <c r="B49" s="76"/>
      <c r="C49" s="76"/>
    </row>
    <row r="50" spans="1:3">
      <c r="A50" s="40"/>
      <c r="B50" s="40"/>
      <c r="C50" s="40"/>
    </row>
  </sheetData>
  <sheetProtection selectLockedCells="1"/>
  <mergeCells count="13">
    <mergeCell ref="A49:C49"/>
    <mergeCell ref="C25:C33"/>
    <mergeCell ref="A36:C36"/>
    <mergeCell ref="C37:C38"/>
    <mergeCell ref="A41:C41"/>
    <mergeCell ref="C42:C43"/>
    <mergeCell ref="A48:C48"/>
    <mergeCell ref="A5:C5"/>
    <mergeCell ref="B6:C6"/>
    <mergeCell ref="A8:C8"/>
    <mergeCell ref="A15:C15"/>
    <mergeCell ref="C16:C21"/>
    <mergeCell ref="A24:C24"/>
  </mergeCells>
  <dataValidations count="2">
    <dataValidation type="custom" allowBlank="1" showInputMessage="1" showErrorMessage="1" errorTitle="ВНИМАНИЕ!" error="Содержимое данных ячеек менять нельзя!" sqref="B1:C3 C4 C44" xr:uid="{58B7B517-4F66-43B9-B9FF-549A36B47AAF}">
      <formula1>"="</formula1>
    </dataValidation>
    <dataValidation allowBlank="1" showInputMessage="1" showErrorMessage="1" errorTitle="ВНИМАНИЕ!" error="Содержимое данных ячеек менять нельзя!" sqref="C16 C22:C25 A22:B24 A15:C15 C9:C13 B50:C50 A39:C41 C45:C47 A8:C8 B44:B47 A34:C36 A44:A50" xr:uid="{5D7B6495-D898-4B2A-9760-16BEFA391386}"/>
  </dataValidations>
  <printOptions horizontalCentered="1"/>
  <pageMargins left="0.31496062992125984" right="0.31496062992125984" top="0.74803149606299213" bottom="0.55118110236220474" header="0.31496062992125984" footer="0.31496062992125984"/>
  <pageSetup paperSize="9" scale="79" orientation="portrait" r:id="rId1"/>
  <headerFooter>
    <oddHeader>&amp;RПриложение №1 - Смета к Договору №_____ от "__" __________ 2015 г.</oddHead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694D4-9E09-40E3-9080-0AB78B7EBBB0}">
  <sheetPr codeName="Лист1">
    <tabColor rgb="FF00B050"/>
    <outlinePr summaryBelow="0" summaryRight="0"/>
    <pageSetUpPr fitToPage="1"/>
  </sheetPr>
  <dimension ref="A1:DD494"/>
  <sheetViews>
    <sheetView showGridLines="0" showZeros="0" zoomScaleNormal="100" workbookViewId="0">
      <pane ySplit="1" topLeftCell="A2" activePane="bottomLeft" state="frozenSplit"/>
      <selection pane="bottomLeft" activeCell="J1" sqref="J1"/>
    </sheetView>
  </sheetViews>
  <sheetFormatPr defaultRowHeight="12.75" outlineLevelRow="1" outlineLevelCol="2"/>
  <cols>
    <col min="1" max="1" width="90.83203125" style="229" customWidth="1"/>
    <col min="2" max="2" width="8.83203125" style="230" customWidth="1" outlineLevel="1"/>
    <col min="3" max="3" width="10" style="97" customWidth="1" outlineLevel="1"/>
    <col min="4" max="4" width="14.1640625" style="97" customWidth="1" outlineLevel="2"/>
    <col min="5" max="5" width="14.1640625" style="98" customWidth="1" outlineLevel="2"/>
    <col min="6" max="6" width="14.1640625" style="231" customWidth="1" outlineLevel="2"/>
    <col min="7" max="7" width="14.1640625" style="97" customWidth="1" outlineLevel="1"/>
    <col min="8" max="8" width="14.1640625" style="98" customWidth="1" outlineLevel="1"/>
    <col min="9" max="9" width="15.6640625" style="231" customWidth="1" outlineLevel="1"/>
    <col min="10" max="10" width="25.83203125" style="1" customWidth="1"/>
    <col min="11" max="16384" width="9.33203125" style="1"/>
  </cols>
  <sheetData>
    <row r="1" spans="1:10" ht="24" thickBot="1">
      <c r="A1" s="77" t="str">
        <f ca="1">IF(TODAY()&gt;I9+В!D9,"ВОЗМОЖНО СМЕТА УСТАРЕЛА И ТРЕБУЕТ АКТУАЛИЗАЦИИ!","")</f>
        <v/>
      </c>
      <c r="B1" s="78"/>
      <c r="C1" s="79"/>
      <c r="D1" s="79"/>
      <c r="E1" s="79"/>
      <c r="F1" s="80"/>
      <c r="G1" s="81" t="s">
        <v>30</v>
      </c>
      <c r="H1" s="82">
        <f>IFERROR(I485,0)</f>
        <v>5320539</v>
      </c>
      <c r="I1" s="82"/>
      <c r="J1" s="383" t="s">
        <v>44</v>
      </c>
    </row>
    <row r="2" spans="1:10" ht="20.25" customHeight="1">
      <c r="A2" s="84" t="s">
        <v>12</v>
      </c>
      <c r="B2" s="85" t="s">
        <v>541</v>
      </c>
      <c r="C2" s="86"/>
      <c r="D2" s="86"/>
      <c r="E2" s="86"/>
      <c r="F2" s="86"/>
      <c r="G2" s="86"/>
      <c r="H2" s="86"/>
      <c r="I2" s="87"/>
    </row>
    <row r="3" spans="1:10" ht="20.25" customHeight="1">
      <c r="A3" s="84" t="s">
        <v>31</v>
      </c>
      <c r="B3" s="86" t="s">
        <v>542</v>
      </c>
      <c r="C3" s="86"/>
      <c r="D3" s="86"/>
      <c r="E3" s="86"/>
      <c r="F3" s="86"/>
      <c r="G3" s="86"/>
      <c r="H3" s="86"/>
      <c r="I3" s="87"/>
    </row>
    <row r="4" spans="1:10" ht="20.25" customHeight="1">
      <c r="A4" s="84" t="s">
        <v>14</v>
      </c>
      <c r="B4" s="88" t="s">
        <v>543</v>
      </c>
      <c r="C4" s="89"/>
      <c r="D4" s="89"/>
      <c r="E4" s="89"/>
      <c r="F4" s="89"/>
      <c r="G4" s="89"/>
      <c r="H4" s="89"/>
      <c r="I4" s="87"/>
    </row>
    <row r="5" spans="1:10" ht="20.25" customHeight="1">
      <c r="A5" s="90" t="s">
        <v>5</v>
      </c>
      <c r="B5" s="90"/>
      <c r="C5" s="90"/>
      <c r="D5" s="90"/>
      <c r="E5" s="90"/>
      <c r="F5" s="90"/>
      <c r="G5" s="90"/>
      <c r="H5" s="90"/>
      <c r="I5" s="90"/>
    </row>
    <row r="6" spans="1:10" s="91" customFormat="1" ht="20.25" customHeight="1">
      <c r="A6" s="90"/>
      <c r="B6" s="90"/>
      <c r="C6" s="90"/>
      <c r="D6" s="90"/>
      <c r="E6" s="90"/>
      <c r="F6" s="90"/>
      <c r="G6" s="90"/>
      <c r="H6" s="90"/>
      <c r="I6" s="90"/>
    </row>
    <row r="7" spans="1:10" ht="20.25" customHeight="1">
      <c r="A7" s="92" t="s">
        <v>544</v>
      </c>
      <c r="B7" s="93"/>
      <c r="C7" s="93"/>
      <c r="D7" s="93"/>
      <c r="E7" s="93"/>
      <c r="F7" s="93"/>
      <c r="G7" s="93"/>
      <c r="H7" s="93"/>
      <c r="I7" s="93"/>
    </row>
    <row r="8" spans="1:10" ht="18.75" customHeight="1">
      <c r="A8" s="384" t="s">
        <v>546</v>
      </c>
      <c r="B8" s="385"/>
      <c r="C8" s="385"/>
      <c r="D8" s="385"/>
      <c r="E8" s="385"/>
      <c r="F8" s="385"/>
      <c r="G8" s="385"/>
      <c r="H8" s="385"/>
      <c r="I8" s="385"/>
    </row>
    <row r="9" spans="1:10" ht="13.5">
      <c r="A9" s="94" t="s">
        <v>545</v>
      </c>
      <c r="B9" s="95"/>
      <c r="C9" s="96"/>
      <c r="F9" s="99"/>
      <c r="H9" s="100" t="s">
        <v>32</v>
      </c>
      <c r="I9" s="101">
        <v>45182</v>
      </c>
    </row>
    <row r="10" spans="1:10" ht="16.5" customHeight="1">
      <c r="A10" s="102" t="s">
        <v>33</v>
      </c>
      <c r="B10" s="103" t="s">
        <v>34</v>
      </c>
      <c r="C10" s="103" t="s">
        <v>35</v>
      </c>
      <c r="D10" s="104" t="s">
        <v>36</v>
      </c>
      <c r="E10" s="105"/>
      <c r="F10" s="106" t="s">
        <v>37</v>
      </c>
      <c r="G10" s="104" t="s">
        <v>38</v>
      </c>
      <c r="H10" s="107"/>
      <c r="I10" s="106" t="s">
        <v>39</v>
      </c>
    </row>
    <row r="11" spans="1:10" s="83" customFormat="1" ht="16.5">
      <c r="A11" s="102"/>
      <c r="B11" s="108"/>
      <c r="C11" s="108"/>
      <c r="D11" s="109" t="s">
        <v>45</v>
      </c>
      <c r="E11" s="109" t="s">
        <v>46</v>
      </c>
      <c r="F11" s="110" t="s">
        <v>47</v>
      </c>
      <c r="G11" s="109" t="s">
        <v>45</v>
      </c>
      <c r="H11" s="109" t="s">
        <v>46</v>
      </c>
      <c r="I11" s="110" t="s">
        <v>47</v>
      </c>
    </row>
    <row r="12" spans="1:10" s="121" customFormat="1" ht="16.5" customHeight="1">
      <c r="A12" s="114" t="s">
        <v>49</v>
      </c>
      <c r="B12" s="115"/>
      <c r="C12" s="116"/>
      <c r="D12" s="117"/>
      <c r="E12" s="118"/>
      <c r="F12" s="119"/>
      <c r="G12" s="120"/>
      <c r="H12" s="118"/>
      <c r="I12" s="119"/>
    </row>
    <row r="13" spans="1:10" ht="16.5" customHeight="1">
      <c r="A13" s="122" t="s">
        <v>50</v>
      </c>
      <c r="B13" s="123" t="s">
        <v>51</v>
      </c>
      <c r="C13" s="124">
        <f>IF(В!B13=FALSE,0,1)*В!A13</f>
        <v>0</v>
      </c>
      <c r="D13" s="125">
        <v>6000</v>
      </c>
      <c r="E13" s="126">
        <v>79500</v>
      </c>
      <c r="F13" s="124">
        <f>E13+D13</f>
        <v>85500</v>
      </c>
      <c r="G13" s="125">
        <f>IF(В!B13=FALSE,0,1)*D13*C13</f>
        <v>0</v>
      </c>
      <c r="H13" s="126">
        <f>IF(В!B13=FALSE,0,1)*SUM(H14:H14)</f>
        <v>0</v>
      </c>
      <c r="I13" s="124">
        <f>G13+H13</f>
        <v>0</v>
      </c>
    </row>
    <row r="14" spans="1:10" ht="16.5" outlineLevel="1">
      <c r="A14" s="127" t="s">
        <v>52</v>
      </c>
      <c r="B14" s="128" t="s">
        <v>53</v>
      </c>
      <c r="C14" s="129">
        <f>IF(В!B14=FALSE,0,1)*В!A14</f>
        <v>0</v>
      </c>
      <c r="D14" s="130"/>
      <c r="E14" s="130">
        <v>79500</v>
      </c>
      <c r="F14" s="131"/>
      <c r="G14" s="130"/>
      <c r="H14" s="130">
        <f>E14*C14</f>
        <v>0</v>
      </c>
      <c r="I14" s="132"/>
    </row>
    <row r="15" spans="1:10" ht="16.5" customHeight="1">
      <c r="A15" s="122" t="s">
        <v>54</v>
      </c>
      <c r="B15" s="123" t="s">
        <v>51</v>
      </c>
      <c r="C15" s="124">
        <f>IF(В!B15=FALSE,0,1)*В!A15</f>
        <v>1</v>
      </c>
      <c r="D15" s="125">
        <v>20000</v>
      </c>
      <c r="E15" s="126">
        <v>39600</v>
      </c>
      <c r="F15" s="124">
        <f>D15+E15</f>
        <v>59600</v>
      </c>
      <c r="G15" s="125">
        <f>D15*C15</f>
        <v>20000</v>
      </c>
      <c r="H15" s="126">
        <f>SUM(H16:H16)</f>
        <v>39600</v>
      </c>
      <c r="I15" s="124">
        <f>G15+H15</f>
        <v>59600</v>
      </c>
    </row>
    <row r="16" spans="1:10" ht="16.5" customHeight="1" outlineLevel="1">
      <c r="A16" s="127" t="s">
        <v>55</v>
      </c>
      <c r="B16" s="128" t="s">
        <v>56</v>
      </c>
      <c r="C16" s="133">
        <f>IF(В!B16=FALSE,0,1)*В!A16</f>
        <v>3</v>
      </c>
      <c r="D16" s="134"/>
      <c r="E16" s="130">
        <v>13200</v>
      </c>
      <c r="F16" s="132"/>
      <c r="G16" s="134"/>
      <c r="H16" s="135">
        <f>C16*E16</f>
        <v>39600</v>
      </c>
      <c r="I16" s="132"/>
    </row>
    <row r="17" spans="1:9" ht="16.5" customHeight="1">
      <c r="A17" s="136" t="s">
        <v>215</v>
      </c>
      <c r="B17" s="137" t="s">
        <v>485</v>
      </c>
      <c r="C17" s="138"/>
      <c r="D17" s="139"/>
      <c r="E17" s="140"/>
      <c r="F17" s="141"/>
      <c r="G17" s="142"/>
      <c r="H17" s="143"/>
      <c r="I17" s="144"/>
    </row>
    <row r="18" spans="1:9" ht="16.5" customHeight="1">
      <c r="A18" s="145"/>
      <c r="B18" s="146"/>
      <c r="C18" s="147"/>
      <c r="D18" s="148"/>
      <c r="E18" s="149"/>
      <c r="F18" s="150"/>
      <c r="G18" s="151" t="s">
        <v>57</v>
      </c>
      <c r="H18" s="152" t="s">
        <v>58</v>
      </c>
      <c r="I18" s="153" t="s">
        <v>59</v>
      </c>
    </row>
    <row r="19" spans="1:9" ht="16.5" customHeight="1">
      <c r="A19" s="154" t="s">
        <v>47</v>
      </c>
      <c r="B19" s="155"/>
      <c r="C19" s="156"/>
      <c r="D19" s="157"/>
      <c r="E19" s="157"/>
      <c r="F19" s="86"/>
      <c r="G19" s="158">
        <f>SUM(G12:G17)</f>
        <v>20000</v>
      </c>
      <c r="H19" s="159">
        <f>I19-G19</f>
        <v>39600</v>
      </c>
      <c r="I19" s="160">
        <f>SUM(I12:I17)</f>
        <v>59600</v>
      </c>
    </row>
    <row r="20" spans="1:9" ht="16.5" customHeight="1">
      <c r="A20" s="161" t="s">
        <v>486</v>
      </c>
      <c r="B20" s="162"/>
      <c r="C20" s="163"/>
      <c r="D20" s="164"/>
      <c r="E20" s="164"/>
      <c r="F20" s="165"/>
      <c r="G20" s="166">
        <v>0</v>
      </c>
      <c r="H20" s="167"/>
      <c r="I20" s="168">
        <f>G19*В!A20</f>
        <v>3000</v>
      </c>
    </row>
    <row r="21" spans="1:9" ht="16.5" customHeight="1">
      <c r="A21" s="169" t="s">
        <v>487</v>
      </c>
      <c r="B21" s="170"/>
      <c r="C21" s="171"/>
      <c r="D21" s="172"/>
      <c r="E21" s="173"/>
      <c r="F21" s="170"/>
      <c r="G21" s="174">
        <v>0</v>
      </c>
      <c r="H21" s="175"/>
      <c r="I21" s="176">
        <f>G19*В!A21</f>
        <v>1300</v>
      </c>
    </row>
    <row r="22" spans="1:9" s="121" customFormat="1" ht="18">
      <c r="A22" s="177" t="s">
        <v>488</v>
      </c>
      <c r="B22" s="178"/>
      <c r="C22" s="179"/>
      <c r="D22" s="180"/>
      <c r="E22" s="181"/>
      <c r="F22" s="178"/>
      <c r="G22" s="182"/>
      <c r="H22" s="183"/>
      <c r="I22" s="184">
        <f>SUM(I19:I21)</f>
        <v>63900</v>
      </c>
    </row>
    <row r="23" spans="1:9" ht="16.5" customHeight="1">
      <c r="A23" s="185"/>
      <c r="B23" s="186"/>
      <c r="C23" s="187"/>
      <c r="D23" s="188"/>
      <c r="E23" s="189"/>
      <c r="F23" s="186"/>
      <c r="G23" s="190"/>
      <c r="H23" s="191"/>
      <c r="I23" s="192"/>
    </row>
    <row r="24" spans="1:9" ht="16.5" customHeight="1">
      <c r="A24" s="102" t="s">
        <v>33</v>
      </c>
      <c r="B24" s="103" t="s">
        <v>34</v>
      </c>
      <c r="C24" s="103" t="s">
        <v>35</v>
      </c>
      <c r="D24" s="104" t="s">
        <v>36</v>
      </c>
      <c r="E24" s="105"/>
      <c r="F24" s="106" t="s">
        <v>37</v>
      </c>
      <c r="G24" s="104" t="s">
        <v>38</v>
      </c>
      <c r="H24" s="107"/>
      <c r="I24" s="106" t="s">
        <v>39</v>
      </c>
    </row>
    <row r="25" spans="1:9" s="83" customFormat="1" ht="16.5" customHeight="1">
      <c r="A25" s="102"/>
      <c r="B25" s="108"/>
      <c r="C25" s="108"/>
      <c r="D25" s="109" t="s">
        <v>45</v>
      </c>
      <c r="E25" s="109" t="s">
        <v>46</v>
      </c>
      <c r="F25" s="110" t="s">
        <v>47</v>
      </c>
      <c r="G25" s="109" t="s">
        <v>45</v>
      </c>
      <c r="H25" s="109" t="s">
        <v>46</v>
      </c>
      <c r="I25" s="110" t="s">
        <v>47</v>
      </c>
    </row>
    <row r="26" spans="1:9" s="121" customFormat="1" ht="16.5" customHeight="1">
      <c r="A26" s="114" t="s">
        <v>60</v>
      </c>
      <c r="B26" s="115"/>
      <c r="C26" s="116"/>
      <c r="D26" s="117"/>
      <c r="E26" s="118"/>
      <c r="F26" s="119"/>
      <c r="G26" s="120"/>
      <c r="H26" s="118"/>
      <c r="I26" s="119"/>
    </row>
    <row r="27" spans="1:9" ht="16.5" customHeight="1">
      <c r="A27" s="122" t="s">
        <v>61</v>
      </c>
      <c r="B27" s="123" t="s">
        <v>62</v>
      </c>
      <c r="C27" s="193">
        <f>IF(В!B27=FALSE,0,1)*В!A27</f>
        <v>142.80000000000001</v>
      </c>
      <c r="D27" s="125">
        <v>140</v>
      </c>
      <c r="E27" s="126">
        <v>0</v>
      </c>
      <c r="F27" s="124">
        <f>E27+D27</f>
        <v>140</v>
      </c>
      <c r="G27" s="125">
        <f>D27*C27</f>
        <v>19992</v>
      </c>
      <c r="H27" s="126">
        <v>0</v>
      </c>
      <c r="I27" s="124">
        <f>G27+H27</f>
        <v>19992</v>
      </c>
    </row>
    <row r="28" spans="1:9" ht="16.5" customHeight="1">
      <c r="A28" s="122" t="s">
        <v>489</v>
      </c>
      <c r="B28" s="123" t="s">
        <v>62</v>
      </c>
      <c r="C28" s="193">
        <f>IF(В!B28=FALSE,0,1)*В!A28</f>
        <v>135.63999999999999</v>
      </c>
      <c r="D28" s="125">
        <v>2758</v>
      </c>
      <c r="E28" s="126">
        <v>6122</v>
      </c>
      <c r="F28" s="124">
        <f>E28+D28</f>
        <v>8880</v>
      </c>
      <c r="G28" s="125">
        <f>D28*C28</f>
        <v>374095</v>
      </c>
      <c r="H28" s="126">
        <f>SUM(H29:H44)</f>
        <v>800750</v>
      </c>
      <c r="I28" s="124">
        <f>G28+H28</f>
        <v>1174845</v>
      </c>
    </row>
    <row r="29" spans="1:9" ht="16.5" customHeight="1" outlineLevel="1">
      <c r="A29" s="127" t="s">
        <v>63</v>
      </c>
      <c r="B29" s="128" t="s">
        <v>56</v>
      </c>
      <c r="C29" s="194">
        <f>IF(В!B$28=FALSE,0,1)*В!A29</f>
        <v>100</v>
      </c>
      <c r="D29" s="134"/>
      <c r="E29" s="195">
        <v>748</v>
      </c>
      <c r="F29" s="131"/>
      <c r="G29" s="196"/>
      <c r="H29" s="130">
        <f>C29*E29</f>
        <v>74800</v>
      </c>
      <c r="I29" s="132"/>
    </row>
    <row r="30" spans="1:9" ht="16.5" customHeight="1" outlineLevel="1">
      <c r="A30" s="127" t="s">
        <v>64</v>
      </c>
      <c r="B30" s="128" t="s">
        <v>56</v>
      </c>
      <c r="C30" s="197">
        <f>IF(В!B$28=FALSE,0,1)*В!A30</f>
        <v>51</v>
      </c>
      <c r="D30" s="134"/>
      <c r="E30" s="195">
        <v>6600</v>
      </c>
      <c r="F30" s="131"/>
      <c r="G30" s="196"/>
      <c r="H30" s="130">
        <f>C30*E30</f>
        <v>336600</v>
      </c>
      <c r="I30" s="132"/>
    </row>
    <row r="31" spans="1:9" ht="16.5" customHeight="1" outlineLevel="1">
      <c r="A31" s="127" t="s">
        <v>65</v>
      </c>
      <c r="B31" s="128" t="s">
        <v>62</v>
      </c>
      <c r="C31" s="194">
        <f>IF(В!B$28=FALSE,0,1)*В!A31</f>
        <v>420</v>
      </c>
      <c r="D31" s="134"/>
      <c r="E31" s="198">
        <v>24.6</v>
      </c>
      <c r="F31" s="131"/>
      <c r="G31" s="196"/>
      <c r="H31" s="130">
        <f>C31*E31</f>
        <v>10332</v>
      </c>
      <c r="I31" s="132"/>
    </row>
    <row r="32" spans="1:9" ht="16.5" customHeight="1" outlineLevel="1">
      <c r="A32" s="199" t="s">
        <v>66</v>
      </c>
      <c r="B32" s="200" t="s">
        <v>62</v>
      </c>
      <c r="C32" s="201">
        <f>IF(В!B$28=FALSE,0,1)*В!C32</f>
        <v>60</v>
      </c>
      <c r="D32" s="202"/>
      <c r="E32" s="203">
        <v>345</v>
      </c>
      <c r="F32" s="204"/>
      <c r="G32" s="205"/>
      <c r="H32" s="206">
        <f>C32*E32</f>
        <v>20700</v>
      </c>
      <c r="I32" s="207"/>
    </row>
    <row r="33" spans="1:9" ht="16.5" customHeight="1" outlineLevel="1">
      <c r="A33" s="127" t="s">
        <v>67</v>
      </c>
      <c r="B33" s="128" t="s">
        <v>62</v>
      </c>
      <c r="C33" s="194">
        <f>IF(В!B$28=FALSE,0,1)*В!A33</f>
        <v>200</v>
      </c>
      <c r="D33" s="134"/>
      <c r="E33" s="198">
        <v>50</v>
      </c>
      <c r="F33" s="131"/>
      <c r="G33" s="196"/>
      <c r="H33" s="130">
        <f>C33*E33</f>
        <v>10000</v>
      </c>
      <c r="I33" s="132"/>
    </row>
    <row r="34" spans="1:9" ht="16.5" customHeight="1" outlineLevel="1">
      <c r="A34" s="208" t="s">
        <v>68</v>
      </c>
      <c r="B34" s="209" t="s">
        <v>56</v>
      </c>
      <c r="C34" s="210">
        <f>IF(В!B34=FALSE,0,1)*В!C34</f>
        <v>0.97</v>
      </c>
      <c r="D34" s="211"/>
      <c r="E34" s="212">
        <v>9396</v>
      </c>
      <c r="F34" s="213"/>
      <c r="G34" s="214"/>
      <c r="H34" s="212">
        <f>C34*E34</f>
        <v>9114</v>
      </c>
      <c r="I34" s="215"/>
    </row>
    <row r="35" spans="1:9" ht="16.5" customHeight="1" outlineLevel="1">
      <c r="A35" s="127" t="s">
        <v>70</v>
      </c>
      <c r="B35" s="128" t="s">
        <v>69</v>
      </c>
      <c r="C35" s="194">
        <f>IF(В!B$28=FALSE,0,1)*В!A35</f>
        <v>928</v>
      </c>
      <c r="D35" s="134"/>
      <c r="E35" s="198">
        <v>33.9</v>
      </c>
      <c r="F35" s="131"/>
      <c r="G35" s="196"/>
      <c r="H35" s="130">
        <f>C35*E35</f>
        <v>31459</v>
      </c>
      <c r="I35" s="132"/>
    </row>
    <row r="36" spans="1:9" ht="16.5" customHeight="1" outlineLevel="1">
      <c r="A36" s="127" t="s">
        <v>71</v>
      </c>
      <c r="B36" s="128" t="s">
        <v>69</v>
      </c>
      <c r="C36" s="194">
        <f>IF(В!B$28=FALSE,0,1)*В!A36</f>
        <v>2691</v>
      </c>
      <c r="D36" s="134"/>
      <c r="E36" s="198">
        <v>45</v>
      </c>
      <c r="F36" s="131"/>
      <c r="G36" s="196"/>
      <c r="H36" s="130">
        <f>C36*E36</f>
        <v>121095</v>
      </c>
      <c r="I36" s="132"/>
    </row>
    <row r="37" spans="1:9" ht="16.5" customHeight="1" outlineLevel="1">
      <c r="A37" s="127" t="s">
        <v>490</v>
      </c>
      <c r="B37" s="128" t="s">
        <v>69</v>
      </c>
      <c r="C37" s="194">
        <f>IF(В!B$28=FALSE,0,1)*В!A37</f>
        <v>534</v>
      </c>
      <c r="D37" s="134"/>
      <c r="E37" s="198">
        <v>102.3</v>
      </c>
      <c r="F37" s="131"/>
      <c r="G37" s="196"/>
      <c r="H37" s="130">
        <f>C37*E37</f>
        <v>54628</v>
      </c>
      <c r="I37" s="132"/>
    </row>
    <row r="38" spans="1:9" ht="16.5" customHeight="1" outlineLevel="1">
      <c r="A38" s="127" t="s">
        <v>73</v>
      </c>
      <c r="B38" s="128" t="s">
        <v>69</v>
      </c>
      <c r="C38" s="194">
        <f>IF(В!B$28=FALSE,0,1)*В!A38</f>
        <v>52</v>
      </c>
      <c r="D38" s="134"/>
      <c r="E38" s="198">
        <v>137.5</v>
      </c>
      <c r="F38" s="131"/>
      <c r="G38" s="196"/>
      <c r="H38" s="130">
        <f>C38*E38</f>
        <v>7150</v>
      </c>
      <c r="I38" s="132"/>
    </row>
    <row r="39" spans="1:9" ht="16.5" customHeight="1" outlineLevel="1">
      <c r="A39" s="127" t="s">
        <v>74</v>
      </c>
      <c r="B39" s="128" t="s">
        <v>56</v>
      </c>
      <c r="C39" s="133">
        <f>IF(В!B$28=FALSE,0,1)*В!A39</f>
        <v>0.32</v>
      </c>
      <c r="D39" s="134"/>
      <c r="E39" s="130">
        <v>13200</v>
      </c>
      <c r="F39" s="131"/>
      <c r="G39" s="196"/>
      <c r="H39" s="130">
        <f>C39*E39</f>
        <v>4224</v>
      </c>
      <c r="I39" s="132"/>
    </row>
    <row r="40" spans="1:9" ht="16.5" customHeight="1" outlineLevel="1">
      <c r="A40" s="127" t="s">
        <v>75</v>
      </c>
      <c r="B40" s="128" t="s">
        <v>56</v>
      </c>
      <c r="C40" s="133">
        <f>IF(В!B$28=FALSE,0,1)*В!A40</f>
        <v>2.63</v>
      </c>
      <c r="D40" s="134"/>
      <c r="E40" s="130">
        <v>13200</v>
      </c>
      <c r="F40" s="131"/>
      <c r="G40" s="196"/>
      <c r="H40" s="130">
        <f>C40*E40</f>
        <v>34716</v>
      </c>
      <c r="I40" s="132"/>
    </row>
    <row r="41" spans="1:9" ht="16.5" customHeight="1" outlineLevel="1">
      <c r="A41" s="127" t="s">
        <v>76</v>
      </c>
      <c r="B41" s="128" t="s">
        <v>56</v>
      </c>
      <c r="C41" s="133">
        <f>IF(В!B$28=FALSE,0,1)*В!A41</f>
        <v>2.34</v>
      </c>
      <c r="D41" s="134"/>
      <c r="E41" s="130">
        <v>13200</v>
      </c>
      <c r="F41" s="131"/>
      <c r="G41" s="196"/>
      <c r="H41" s="130">
        <f>C41*E41</f>
        <v>30888</v>
      </c>
      <c r="I41" s="132"/>
    </row>
    <row r="42" spans="1:9" ht="16.5" customHeight="1" outlineLevel="1">
      <c r="A42" s="208" t="s">
        <v>77</v>
      </c>
      <c r="B42" s="209" t="s">
        <v>78</v>
      </c>
      <c r="C42" s="216">
        <f>IF(В!B42=FALSE,0,1)*В!C42</f>
        <v>170</v>
      </c>
      <c r="D42" s="211"/>
      <c r="E42" s="212">
        <v>138</v>
      </c>
      <c r="F42" s="213"/>
      <c r="G42" s="214"/>
      <c r="H42" s="212">
        <f>C42*E42</f>
        <v>23460</v>
      </c>
      <c r="I42" s="215"/>
    </row>
    <row r="43" spans="1:9" ht="16.5" customHeight="1" outlineLevel="1">
      <c r="A43" s="217" t="s">
        <v>79</v>
      </c>
      <c r="B43" s="218" t="s">
        <v>80</v>
      </c>
      <c r="C43" s="219">
        <f>IF(В!B43=FALSE,0,1)*В!C43</f>
        <v>0</v>
      </c>
      <c r="D43" s="220"/>
      <c r="E43" s="221">
        <v>956</v>
      </c>
      <c r="F43" s="222"/>
      <c r="G43" s="223"/>
      <c r="H43" s="221">
        <f>C43*E43</f>
        <v>0</v>
      </c>
      <c r="I43" s="224"/>
    </row>
    <row r="44" spans="1:9" ht="16.5" customHeight="1" outlineLevel="1">
      <c r="A44" s="127" t="s">
        <v>81</v>
      </c>
      <c r="B44" s="128" t="s">
        <v>53</v>
      </c>
      <c r="C44" s="194">
        <f>IF(В!B$28=FALSE,0,1)*В!A44</f>
        <v>42</v>
      </c>
      <c r="D44" s="134"/>
      <c r="E44" s="130">
        <v>752</v>
      </c>
      <c r="F44" s="131"/>
      <c r="G44" s="196"/>
      <c r="H44" s="130">
        <f>C44*E44</f>
        <v>31584</v>
      </c>
      <c r="I44" s="132"/>
    </row>
    <row r="45" spans="1:9" ht="16.5" customHeight="1">
      <c r="A45" s="122" t="s">
        <v>82</v>
      </c>
      <c r="B45" s="123" t="s">
        <v>83</v>
      </c>
      <c r="C45" s="124">
        <f>IF(В!B45=FALSE,0,1)*В!A45</f>
        <v>1</v>
      </c>
      <c r="D45" s="125">
        <v>3500</v>
      </c>
      <c r="E45" s="126">
        <v>7070</v>
      </c>
      <c r="F45" s="124">
        <f>E45+D45</f>
        <v>10570</v>
      </c>
      <c r="G45" s="125">
        <f>D45*C45</f>
        <v>3500</v>
      </c>
      <c r="H45" s="126">
        <f>SUM(H46:H48)</f>
        <v>7070</v>
      </c>
      <c r="I45" s="124">
        <f>G45+H45</f>
        <v>10570</v>
      </c>
    </row>
    <row r="46" spans="1:9" ht="16.5" customHeight="1" outlineLevel="1">
      <c r="A46" s="127" t="s">
        <v>84</v>
      </c>
      <c r="B46" s="128" t="s">
        <v>69</v>
      </c>
      <c r="C46" s="194">
        <f>IF(В!B46=FALSE,0,1)*В!A46</f>
        <v>20</v>
      </c>
      <c r="D46" s="134"/>
      <c r="E46" s="130">
        <v>95</v>
      </c>
      <c r="F46" s="131"/>
      <c r="G46" s="196"/>
      <c r="H46" s="130">
        <f>C46*E46</f>
        <v>1900</v>
      </c>
      <c r="I46" s="132"/>
    </row>
    <row r="47" spans="1:9" ht="16.5" customHeight="1" outlineLevel="1">
      <c r="A47" s="127" t="s">
        <v>85</v>
      </c>
      <c r="B47" s="128" t="s">
        <v>69</v>
      </c>
      <c r="C47" s="194">
        <f>IF(В!B47=FALSE,0,1)*В!A47</f>
        <v>25</v>
      </c>
      <c r="D47" s="134"/>
      <c r="E47" s="130">
        <v>158</v>
      </c>
      <c r="F47" s="131"/>
      <c r="G47" s="196"/>
      <c r="H47" s="130">
        <f>C47*E47</f>
        <v>3950</v>
      </c>
      <c r="I47" s="132"/>
    </row>
    <row r="48" spans="1:9" ht="16.5" customHeight="1" outlineLevel="1">
      <c r="A48" s="127" t="s">
        <v>86</v>
      </c>
      <c r="B48" s="128" t="s">
        <v>69</v>
      </c>
      <c r="C48" s="194">
        <f>IF(В!B48=FALSE,0,1)*В!A48</f>
        <v>20</v>
      </c>
      <c r="D48" s="134"/>
      <c r="E48" s="130">
        <v>61</v>
      </c>
      <c r="F48" s="131"/>
      <c r="G48" s="196"/>
      <c r="H48" s="130">
        <f>C48*E48</f>
        <v>1220</v>
      </c>
      <c r="I48" s="132"/>
    </row>
    <row r="49" spans="1:9" ht="16.5" customHeight="1">
      <c r="A49" s="122" t="s">
        <v>87</v>
      </c>
      <c r="B49" s="123" t="s">
        <v>83</v>
      </c>
      <c r="C49" s="124">
        <f>IF(В!B49=FALSE,0,1)*В!A49</f>
        <v>1</v>
      </c>
      <c r="D49" s="125">
        <v>3500</v>
      </c>
      <c r="E49" s="126">
        <v>1596</v>
      </c>
      <c r="F49" s="124">
        <f>E49+D49</f>
        <v>5096</v>
      </c>
      <c r="G49" s="125">
        <f>D49*C49</f>
        <v>3500</v>
      </c>
      <c r="H49" s="126">
        <f>H50</f>
        <v>1596</v>
      </c>
      <c r="I49" s="124">
        <f>G49+H49</f>
        <v>5096</v>
      </c>
    </row>
    <row r="50" spans="1:9" ht="16.5" customHeight="1" outlineLevel="1">
      <c r="A50" s="127" t="s">
        <v>88</v>
      </c>
      <c r="B50" s="128" t="s">
        <v>69</v>
      </c>
      <c r="C50" s="194">
        <f>IF(В!B50=FALSE,0,1)*В!A50</f>
        <v>6</v>
      </c>
      <c r="D50" s="134"/>
      <c r="E50" s="130">
        <v>266</v>
      </c>
      <c r="F50" s="131"/>
      <c r="G50" s="196"/>
      <c r="H50" s="130">
        <f>C50*E50</f>
        <v>1596</v>
      </c>
      <c r="I50" s="132"/>
    </row>
    <row r="51" spans="1:9" ht="16.5" customHeight="1" collapsed="1">
      <c r="A51" s="122" t="s">
        <v>89</v>
      </c>
      <c r="B51" s="123" t="s">
        <v>83</v>
      </c>
      <c r="C51" s="124">
        <f>IF(В!B51=FALSE,0,1)*В!A51</f>
        <v>3</v>
      </c>
      <c r="D51" s="125">
        <v>1500</v>
      </c>
      <c r="E51" s="126">
        <v>1661</v>
      </c>
      <c r="F51" s="124">
        <f>E51+D51</f>
        <v>3161</v>
      </c>
      <c r="G51" s="125">
        <f>D51*C51</f>
        <v>4500</v>
      </c>
      <c r="H51" s="126">
        <f>H52</f>
        <v>4984</v>
      </c>
      <c r="I51" s="124">
        <f>G51+H51</f>
        <v>9484</v>
      </c>
    </row>
    <row r="52" spans="1:9" ht="16.5" hidden="1" customHeight="1" outlineLevel="1">
      <c r="A52" s="127" t="s">
        <v>90</v>
      </c>
      <c r="B52" s="128" t="s">
        <v>53</v>
      </c>
      <c r="C52" s="194">
        <f>IF(В!B52=FALSE,0,1)*В!A52</f>
        <v>8</v>
      </c>
      <c r="D52" s="134"/>
      <c r="E52" s="130">
        <v>623</v>
      </c>
      <c r="F52" s="131"/>
      <c r="G52" s="196"/>
      <c r="H52" s="130">
        <f>C52*E52</f>
        <v>4984</v>
      </c>
      <c r="I52" s="132"/>
    </row>
    <row r="53" spans="1:9" ht="16.5" customHeight="1">
      <c r="A53" s="122" t="s">
        <v>91</v>
      </c>
      <c r="B53" s="123" t="s">
        <v>69</v>
      </c>
      <c r="C53" s="124">
        <f>IF(В!B53=FALSE,0,1)*В!A53</f>
        <v>28</v>
      </c>
      <c r="D53" s="125">
        <v>350</v>
      </c>
      <c r="E53" s="126">
        <v>570</v>
      </c>
      <c r="F53" s="124">
        <f>E53+D53</f>
        <v>920</v>
      </c>
      <c r="G53" s="125">
        <f>D53*C53</f>
        <v>9800</v>
      </c>
      <c r="H53" s="126">
        <f>H54</f>
        <v>15946</v>
      </c>
      <c r="I53" s="124">
        <f>G53+H53</f>
        <v>25746</v>
      </c>
    </row>
    <row r="54" spans="1:9" ht="16.5" customHeight="1" outlineLevel="1">
      <c r="A54" s="127" t="s">
        <v>92</v>
      </c>
      <c r="B54" s="128" t="s">
        <v>69</v>
      </c>
      <c r="C54" s="194">
        <f>IF(В!B54=FALSE,0,1)*В!A54</f>
        <v>34</v>
      </c>
      <c r="D54" s="134"/>
      <c r="E54" s="130">
        <v>469</v>
      </c>
      <c r="F54" s="131"/>
      <c r="G54" s="196"/>
      <c r="H54" s="130">
        <f>C54*E54</f>
        <v>15946</v>
      </c>
      <c r="I54" s="132"/>
    </row>
    <row r="55" spans="1:9" ht="16.5" customHeight="1" collapsed="1">
      <c r="A55" s="122" t="s">
        <v>93</v>
      </c>
      <c r="B55" s="123" t="s">
        <v>51</v>
      </c>
      <c r="C55" s="124">
        <f>IF(В!B55=FALSE,0,1)*В!A55</f>
        <v>1</v>
      </c>
      <c r="D55" s="125">
        <v>1500</v>
      </c>
      <c r="E55" s="126">
        <v>1125</v>
      </c>
      <c r="F55" s="124">
        <f>E55+D55</f>
        <v>2625</v>
      </c>
      <c r="G55" s="125">
        <f>D55*C55</f>
        <v>1500</v>
      </c>
      <c r="H55" s="126">
        <f>SUM(H56:H57)</f>
        <v>1125</v>
      </c>
      <c r="I55" s="124">
        <f>G55+H55</f>
        <v>2625</v>
      </c>
    </row>
    <row r="56" spans="1:9" ht="16.5" hidden="1" customHeight="1" outlineLevel="1">
      <c r="A56" s="127" t="s">
        <v>85</v>
      </c>
      <c r="B56" s="128" t="s">
        <v>69</v>
      </c>
      <c r="C56" s="194">
        <f>IF(В!B56=FALSE,0,1)*В!A56</f>
        <v>6</v>
      </c>
      <c r="D56" s="134"/>
      <c r="E56" s="130">
        <v>158</v>
      </c>
      <c r="F56" s="131"/>
      <c r="G56" s="196"/>
      <c r="H56" s="130">
        <f>C56*E56</f>
        <v>948</v>
      </c>
      <c r="I56" s="132"/>
    </row>
    <row r="57" spans="1:9" ht="16.5" hidden="1" customHeight="1" outlineLevel="1">
      <c r="A57" s="127" t="s">
        <v>86</v>
      </c>
      <c r="B57" s="128" t="s">
        <v>69</v>
      </c>
      <c r="C57" s="194">
        <f>IF(В!B57=FALSE,0,1)*В!A57</f>
        <v>3</v>
      </c>
      <c r="D57" s="134"/>
      <c r="E57" s="130">
        <v>59</v>
      </c>
      <c r="F57" s="131"/>
      <c r="G57" s="196"/>
      <c r="H57" s="130">
        <f>C57*E57</f>
        <v>177</v>
      </c>
      <c r="I57" s="132"/>
    </row>
    <row r="58" spans="1:9" ht="16.5" customHeight="1">
      <c r="A58" s="122" t="s">
        <v>94</v>
      </c>
      <c r="B58" s="123" t="s">
        <v>83</v>
      </c>
      <c r="C58" s="124">
        <f>IF(В!B58=FALSE,0,1)*В!A58</f>
        <v>0</v>
      </c>
      <c r="D58" s="125">
        <v>3500</v>
      </c>
      <c r="E58" s="126">
        <v>5400</v>
      </c>
      <c r="F58" s="124">
        <f>E58+D58</f>
        <v>8900</v>
      </c>
      <c r="G58" s="125">
        <f>IF(В!B58=FALSE,0,1)*D58*C58</f>
        <v>0</v>
      </c>
      <c r="H58" s="126">
        <f>IF(В!B58=FALSE,0,1)*H59</f>
        <v>0</v>
      </c>
      <c r="I58" s="124">
        <f>G58+H58</f>
        <v>0</v>
      </c>
    </row>
    <row r="59" spans="1:9" ht="16.5" customHeight="1" outlineLevel="1">
      <c r="A59" s="127" t="s">
        <v>95</v>
      </c>
      <c r="B59" s="128" t="s">
        <v>69</v>
      </c>
      <c r="C59" s="129">
        <f>IF(В!B59=FALSE,0,1)*В!A59</f>
        <v>0</v>
      </c>
      <c r="D59" s="134"/>
      <c r="E59" s="130">
        <v>540</v>
      </c>
      <c r="F59" s="131"/>
      <c r="G59" s="196"/>
      <c r="H59" s="130">
        <f>C59*E59</f>
        <v>0</v>
      </c>
      <c r="I59" s="132"/>
    </row>
    <row r="60" spans="1:9" ht="16.5" customHeight="1">
      <c r="A60" s="122" t="s">
        <v>96</v>
      </c>
      <c r="B60" s="123" t="s">
        <v>56</v>
      </c>
      <c r="C60" s="124">
        <f>IF(В!B60=FALSE,0,1)*В!A60</f>
        <v>3</v>
      </c>
      <c r="D60" s="125">
        <v>2200</v>
      </c>
      <c r="E60" s="126">
        <v>0</v>
      </c>
      <c r="F60" s="124">
        <f>E60+D60</f>
        <v>2200</v>
      </c>
      <c r="G60" s="125">
        <f>D60*C60</f>
        <v>6600</v>
      </c>
      <c r="H60" s="126"/>
      <c r="I60" s="124">
        <f>G60+H60</f>
        <v>6600</v>
      </c>
    </row>
    <row r="61" spans="1:9" ht="16.5" customHeight="1">
      <c r="A61" s="136" t="s">
        <v>215</v>
      </c>
      <c r="B61" s="137" t="s">
        <v>485</v>
      </c>
      <c r="C61" s="138"/>
      <c r="D61" s="139"/>
      <c r="E61" s="140"/>
      <c r="F61" s="141"/>
      <c r="G61" s="142"/>
      <c r="H61" s="143"/>
      <c r="I61" s="141"/>
    </row>
    <row r="62" spans="1:9" ht="16.5" customHeight="1">
      <c r="A62" s="145"/>
      <c r="B62" s="146"/>
      <c r="C62" s="147"/>
      <c r="D62" s="148"/>
      <c r="E62" s="149"/>
      <c r="F62" s="150"/>
      <c r="G62" s="151" t="s">
        <v>57</v>
      </c>
      <c r="H62" s="152" t="s">
        <v>58</v>
      </c>
      <c r="I62" s="153" t="s">
        <v>59</v>
      </c>
    </row>
    <row r="63" spans="1:9" ht="16.5" customHeight="1">
      <c r="A63" s="154" t="s">
        <v>47</v>
      </c>
      <c r="B63" s="155"/>
      <c r="C63" s="156"/>
      <c r="D63" s="157"/>
      <c r="E63" s="157"/>
      <c r="F63" s="86"/>
      <c r="G63" s="158">
        <f>SUM(G26:G61)</f>
        <v>423487</v>
      </c>
      <c r="H63" s="159">
        <f>I63-G63</f>
        <v>831471</v>
      </c>
      <c r="I63" s="160">
        <f>SUM(I26:I61)</f>
        <v>1254958</v>
      </c>
    </row>
    <row r="64" spans="1:9" ht="16.5" customHeight="1">
      <c r="A64" s="161" t="s">
        <v>486</v>
      </c>
      <c r="B64" s="162"/>
      <c r="C64" s="163"/>
      <c r="D64" s="164"/>
      <c r="E64" s="164"/>
      <c r="F64" s="165"/>
      <c r="G64" s="166">
        <v>0</v>
      </c>
      <c r="H64" s="167"/>
      <c r="I64" s="168">
        <f>G63*В!A64</f>
        <v>63523</v>
      </c>
    </row>
    <row r="65" spans="1:9" ht="16.5" customHeight="1">
      <c r="A65" s="169" t="s">
        <v>487</v>
      </c>
      <c r="B65" s="170"/>
      <c r="C65" s="171"/>
      <c r="D65" s="172"/>
      <c r="E65" s="173"/>
      <c r="F65" s="170"/>
      <c r="G65" s="174">
        <v>0</v>
      </c>
      <c r="H65" s="175"/>
      <c r="I65" s="176">
        <f>G63*В!A65</f>
        <v>27527</v>
      </c>
    </row>
    <row r="66" spans="1:9" s="121" customFormat="1" ht="18">
      <c r="A66" s="177" t="s">
        <v>491</v>
      </c>
      <c r="B66" s="178"/>
      <c r="C66" s="179"/>
      <c r="D66" s="180"/>
      <c r="E66" s="181"/>
      <c r="F66" s="178"/>
      <c r="G66" s="182"/>
      <c r="H66" s="183"/>
      <c r="I66" s="184">
        <f>SUM(I63:I65)</f>
        <v>1346008</v>
      </c>
    </row>
    <row r="68" spans="1:9" ht="16.5" customHeight="1">
      <c r="A68" s="102" t="s">
        <v>33</v>
      </c>
      <c r="B68" s="103" t="s">
        <v>34</v>
      </c>
      <c r="C68" s="103" t="s">
        <v>35</v>
      </c>
      <c r="D68" s="104" t="s">
        <v>36</v>
      </c>
      <c r="E68" s="105"/>
      <c r="F68" s="106" t="s">
        <v>37</v>
      </c>
      <c r="G68" s="104" t="s">
        <v>38</v>
      </c>
      <c r="H68" s="107"/>
      <c r="I68" s="106" t="s">
        <v>39</v>
      </c>
    </row>
    <row r="69" spans="1:9" s="83" customFormat="1" ht="16.5" customHeight="1">
      <c r="A69" s="102"/>
      <c r="B69" s="108"/>
      <c r="C69" s="108"/>
      <c r="D69" s="109" t="s">
        <v>45</v>
      </c>
      <c r="E69" s="109" t="s">
        <v>46</v>
      </c>
      <c r="F69" s="110" t="s">
        <v>47</v>
      </c>
      <c r="G69" s="109" t="s">
        <v>45</v>
      </c>
      <c r="H69" s="109" t="s">
        <v>46</v>
      </c>
      <c r="I69" s="110" t="s">
        <v>47</v>
      </c>
    </row>
    <row r="70" spans="1:9" s="121" customFormat="1" ht="16.5" customHeight="1">
      <c r="A70" s="114" t="s">
        <v>102</v>
      </c>
      <c r="B70" s="115"/>
      <c r="C70" s="116"/>
      <c r="D70" s="117"/>
      <c r="E70" s="118"/>
      <c r="F70" s="119"/>
      <c r="G70" s="120"/>
      <c r="H70" s="118"/>
      <c r="I70" s="119"/>
    </row>
    <row r="71" spans="1:9" ht="16.5" customHeight="1" collapsed="1">
      <c r="A71" s="122" t="s">
        <v>103</v>
      </c>
      <c r="B71" s="123" t="s">
        <v>69</v>
      </c>
      <c r="C71" s="124">
        <f>IF(В!B71=FALSE,0,1)*В!A71</f>
        <v>61</v>
      </c>
      <c r="D71" s="125">
        <v>140</v>
      </c>
      <c r="E71" s="126">
        <v>153</v>
      </c>
      <c r="F71" s="124">
        <f>E71+D71</f>
        <v>293</v>
      </c>
      <c r="G71" s="125">
        <f>D71*C71</f>
        <v>8540</v>
      </c>
      <c r="H71" s="126">
        <f>H72</f>
        <v>9315</v>
      </c>
      <c r="I71" s="124">
        <f>G71+H71</f>
        <v>17855</v>
      </c>
    </row>
    <row r="72" spans="1:9" ht="16.5" hidden="1" customHeight="1" outlineLevel="1">
      <c r="A72" s="127" t="s">
        <v>104</v>
      </c>
      <c r="B72" s="128" t="s">
        <v>62</v>
      </c>
      <c r="C72" s="194">
        <f>IF(В!B72=FALSE,0,1)*В!A72</f>
        <v>81</v>
      </c>
      <c r="D72" s="134"/>
      <c r="E72" s="198">
        <v>115</v>
      </c>
      <c r="F72" s="131"/>
      <c r="G72" s="196"/>
      <c r="H72" s="130">
        <f>C72*E72</f>
        <v>9315</v>
      </c>
      <c r="I72" s="132"/>
    </row>
    <row r="73" spans="1:9" ht="16.5" customHeight="1" collapsed="1">
      <c r="A73" s="122" t="s">
        <v>105</v>
      </c>
      <c r="B73" s="123" t="s">
        <v>69</v>
      </c>
      <c r="C73" s="193">
        <f>IF(В!B73=FALSE,0,1)*В!A73</f>
        <v>56.1</v>
      </c>
      <c r="D73" s="125">
        <v>240</v>
      </c>
      <c r="E73" s="126">
        <v>66</v>
      </c>
      <c r="F73" s="124">
        <f>E73+D73</f>
        <v>306</v>
      </c>
      <c r="G73" s="125">
        <f>D73*C73</f>
        <v>13464</v>
      </c>
      <c r="H73" s="126">
        <f>SUM(H74:H74)</f>
        <v>3720</v>
      </c>
      <c r="I73" s="124">
        <f>G73+H73</f>
        <v>17184</v>
      </c>
    </row>
    <row r="74" spans="1:9" ht="16.5" hidden="1" customHeight="1" outlineLevel="1">
      <c r="A74" s="127" t="s">
        <v>106</v>
      </c>
      <c r="B74" s="128" t="s">
        <v>80</v>
      </c>
      <c r="C74" s="194">
        <f>IF(В!B74=FALSE,0,1)*В!A74</f>
        <v>600</v>
      </c>
      <c r="D74" s="134"/>
      <c r="E74" s="198">
        <v>6.2</v>
      </c>
      <c r="F74" s="131"/>
      <c r="G74" s="196"/>
      <c r="H74" s="130">
        <f>C74*E74</f>
        <v>3720</v>
      </c>
      <c r="I74" s="132"/>
    </row>
    <row r="75" spans="1:9" ht="16.5" customHeight="1">
      <c r="A75" s="122" t="s">
        <v>492</v>
      </c>
      <c r="B75" s="123" t="s">
        <v>56</v>
      </c>
      <c r="C75" s="193">
        <f>IF(В!B75=FALSE,0,1)*В!A75</f>
        <v>56.35</v>
      </c>
      <c r="D75" s="125">
        <v>5000</v>
      </c>
      <c r="E75" s="126">
        <v>8887</v>
      </c>
      <c r="F75" s="124">
        <f>E75+D75</f>
        <v>13887</v>
      </c>
      <c r="G75" s="125">
        <f>D75*C75</f>
        <v>281750</v>
      </c>
      <c r="H75" s="126">
        <f>SUM(H76:H78)</f>
        <v>500786</v>
      </c>
      <c r="I75" s="124">
        <f>G75+H75</f>
        <v>782536</v>
      </c>
    </row>
    <row r="76" spans="1:9" ht="16.5" customHeight="1" outlineLevel="1">
      <c r="A76" s="127" t="s">
        <v>493</v>
      </c>
      <c r="B76" s="128" t="s">
        <v>56</v>
      </c>
      <c r="C76" s="133">
        <f>IF(В!B76=FALSE,0,1)*В!A76</f>
        <v>57.6</v>
      </c>
      <c r="D76" s="134"/>
      <c r="E76" s="130">
        <v>7875</v>
      </c>
      <c r="F76" s="131"/>
      <c r="G76" s="196"/>
      <c r="H76" s="130">
        <f>C76*E76</f>
        <v>453600</v>
      </c>
      <c r="I76" s="132"/>
    </row>
    <row r="77" spans="1:9" ht="16.5" customHeight="1" outlineLevel="1">
      <c r="A77" s="127" t="s">
        <v>70</v>
      </c>
      <c r="B77" s="128" t="s">
        <v>69</v>
      </c>
      <c r="C77" s="194">
        <f>IF(В!B77=FALSE,0,1)*В!A77</f>
        <v>545</v>
      </c>
      <c r="D77" s="134"/>
      <c r="E77" s="198">
        <v>33.9</v>
      </c>
      <c r="F77" s="131"/>
      <c r="G77" s="196"/>
      <c r="H77" s="130">
        <f>C77*E77</f>
        <v>18476</v>
      </c>
      <c r="I77" s="132"/>
    </row>
    <row r="78" spans="1:9" ht="16.5" customHeight="1" outlineLevel="1">
      <c r="A78" s="127" t="s">
        <v>107</v>
      </c>
      <c r="B78" s="128" t="s">
        <v>80</v>
      </c>
      <c r="C78" s="194">
        <f>IF(В!B78=FALSE,0,1)*В!A78</f>
        <v>2475</v>
      </c>
      <c r="D78" s="134"/>
      <c r="E78" s="198">
        <v>11.6</v>
      </c>
      <c r="F78" s="131"/>
      <c r="G78" s="196"/>
      <c r="H78" s="130">
        <f>C78*E78</f>
        <v>28710</v>
      </c>
      <c r="I78" s="132"/>
    </row>
    <row r="79" spans="1:9" ht="16.5" customHeight="1" collapsed="1">
      <c r="A79" s="122" t="s">
        <v>494</v>
      </c>
      <c r="B79" s="123" t="s">
        <v>69</v>
      </c>
      <c r="C79" s="228">
        <f>IF(В!B79=FALSE,0,1)*В!A79</f>
        <v>28.2</v>
      </c>
      <c r="D79" s="125">
        <v>1500</v>
      </c>
      <c r="E79" s="126">
        <v>1715</v>
      </c>
      <c r="F79" s="124">
        <f>E79+D79</f>
        <v>3215</v>
      </c>
      <c r="G79" s="125">
        <f>D79*C79</f>
        <v>42300</v>
      </c>
      <c r="H79" s="126">
        <f>SUM(H80:H84)</f>
        <v>48354</v>
      </c>
      <c r="I79" s="124">
        <f>G79+H79</f>
        <v>90654</v>
      </c>
    </row>
    <row r="80" spans="1:9" ht="16.5" hidden="1" customHeight="1" outlineLevel="1">
      <c r="A80" s="127" t="s">
        <v>70</v>
      </c>
      <c r="B80" s="128" t="s">
        <v>69</v>
      </c>
      <c r="C80" s="194">
        <f>IF(В!B80=FALSE,0,1)*В!A80</f>
        <v>75</v>
      </c>
      <c r="D80" s="134"/>
      <c r="E80" s="198">
        <v>33.9</v>
      </c>
      <c r="F80" s="131"/>
      <c r="G80" s="196"/>
      <c r="H80" s="130">
        <f>C80*E80</f>
        <v>2543</v>
      </c>
      <c r="I80" s="132"/>
    </row>
    <row r="81" spans="1:9" ht="16.5" hidden="1" customHeight="1" outlineLevel="1">
      <c r="A81" s="127" t="s">
        <v>71</v>
      </c>
      <c r="B81" s="128" t="s">
        <v>69</v>
      </c>
      <c r="C81" s="194">
        <f>IF(В!B81=FALSE,0,1)*В!A81</f>
        <v>145</v>
      </c>
      <c r="D81" s="134"/>
      <c r="E81" s="198">
        <v>45</v>
      </c>
      <c r="F81" s="131"/>
      <c r="G81" s="196"/>
      <c r="H81" s="130">
        <f>C81*E81</f>
        <v>6525</v>
      </c>
      <c r="I81" s="132"/>
    </row>
    <row r="82" spans="1:9" ht="16.5" hidden="1" customHeight="1" outlineLevel="1">
      <c r="A82" s="127" t="s">
        <v>55</v>
      </c>
      <c r="B82" s="128" t="s">
        <v>56</v>
      </c>
      <c r="C82" s="133">
        <f>IF(В!B82=FALSE,0,1)*В!A82</f>
        <v>1.08</v>
      </c>
      <c r="D82" s="134"/>
      <c r="E82" s="130">
        <v>13200</v>
      </c>
      <c r="F82" s="131"/>
      <c r="G82" s="196"/>
      <c r="H82" s="130">
        <f>C82*E82</f>
        <v>14256</v>
      </c>
      <c r="I82" s="132"/>
    </row>
    <row r="83" spans="1:9" ht="16.5" hidden="1" customHeight="1" outlineLevel="1">
      <c r="A83" s="127" t="s">
        <v>98</v>
      </c>
      <c r="B83" s="128" t="s">
        <v>80</v>
      </c>
      <c r="C83" s="194">
        <f>IF(В!B83=FALSE,0,1)*В!A83</f>
        <v>3760</v>
      </c>
      <c r="D83" s="134"/>
      <c r="E83" s="198">
        <v>6.4</v>
      </c>
      <c r="F83" s="131"/>
      <c r="G83" s="196"/>
      <c r="H83" s="130">
        <f>C83*E83</f>
        <v>24064</v>
      </c>
      <c r="I83" s="132"/>
    </row>
    <row r="84" spans="1:9" ht="16.5" hidden="1" customHeight="1" outlineLevel="1">
      <c r="A84" s="208" t="s">
        <v>77</v>
      </c>
      <c r="B84" s="209" t="s">
        <v>78</v>
      </c>
      <c r="C84" s="216">
        <f>IF(В!B84=FALSE,0,1)*В!C84</f>
        <v>7</v>
      </c>
      <c r="D84" s="211"/>
      <c r="E84" s="212">
        <v>138</v>
      </c>
      <c r="F84" s="213"/>
      <c r="G84" s="214"/>
      <c r="H84" s="212">
        <f>C84*E84</f>
        <v>966</v>
      </c>
      <c r="I84" s="215"/>
    </row>
    <row r="85" spans="1:9" ht="16.5" customHeight="1" collapsed="1">
      <c r="A85" s="122" t="s">
        <v>495</v>
      </c>
      <c r="B85" s="123" t="s">
        <v>56</v>
      </c>
      <c r="C85" s="193">
        <f>IF(В!B85=FALSE,0,1)*В!A85</f>
        <v>11.32</v>
      </c>
      <c r="D85" s="125">
        <v>5000</v>
      </c>
      <c r="E85" s="126">
        <v>9858</v>
      </c>
      <c r="F85" s="124">
        <f>E85+D85</f>
        <v>14858</v>
      </c>
      <c r="G85" s="125">
        <f>D85*C85</f>
        <v>56600</v>
      </c>
      <c r="H85" s="126">
        <f>SUM(H86:H88)</f>
        <v>111596</v>
      </c>
      <c r="I85" s="124">
        <f>G85+H85</f>
        <v>168196</v>
      </c>
    </row>
    <row r="86" spans="1:9" ht="16.5" hidden="1" customHeight="1" outlineLevel="1">
      <c r="A86" s="127" t="s">
        <v>493</v>
      </c>
      <c r="B86" s="128" t="s">
        <v>56</v>
      </c>
      <c r="C86" s="133">
        <f>IF(В!B86=FALSE,0,1)*В!A86</f>
        <v>12.6</v>
      </c>
      <c r="D86" s="134"/>
      <c r="E86" s="130">
        <v>8100</v>
      </c>
      <c r="F86" s="131"/>
      <c r="G86" s="196"/>
      <c r="H86" s="130">
        <f>C86*E86</f>
        <v>102060</v>
      </c>
      <c r="I86" s="132"/>
    </row>
    <row r="87" spans="1:9" ht="16.5" hidden="1" customHeight="1" outlineLevel="1">
      <c r="A87" s="127" t="s">
        <v>70</v>
      </c>
      <c r="B87" s="128" t="s">
        <v>69</v>
      </c>
      <c r="C87" s="133">
        <f>IF(В!B87=FALSE,0,1)*В!A87</f>
        <v>110.2</v>
      </c>
      <c r="D87" s="134"/>
      <c r="E87" s="198">
        <v>33.9</v>
      </c>
      <c r="F87" s="131"/>
      <c r="G87" s="196"/>
      <c r="H87" s="130">
        <f>C87*E87</f>
        <v>3736</v>
      </c>
      <c r="I87" s="132"/>
    </row>
    <row r="88" spans="1:9" ht="16.5" hidden="1" customHeight="1" outlineLevel="1">
      <c r="A88" s="127" t="s">
        <v>107</v>
      </c>
      <c r="B88" s="128" t="s">
        <v>80</v>
      </c>
      <c r="C88" s="194">
        <f>IF(В!B88=FALSE,0,1)*В!A88</f>
        <v>500</v>
      </c>
      <c r="D88" s="134"/>
      <c r="E88" s="198">
        <v>11.6</v>
      </c>
      <c r="F88" s="131"/>
      <c r="G88" s="196"/>
      <c r="H88" s="130">
        <f>C88*E88</f>
        <v>5800</v>
      </c>
      <c r="I88" s="132"/>
    </row>
    <row r="89" spans="1:9" ht="16.5" customHeight="1" collapsed="1">
      <c r="A89" s="122" t="s">
        <v>496</v>
      </c>
      <c r="B89" s="123" t="s">
        <v>69</v>
      </c>
      <c r="C89" s="228">
        <f>IF(В!B89=FALSE,0,1)*В!A89</f>
        <v>4.2</v>
      </c>
      <c r="D89" s="125">
        <v>1500</v>
      </c>
      <c r="E89" s="126">
        <v>1669</v>
      </c>
      <c r="F89" s="124">
        <f>E89+D89</f>
        <v>3169</v>
      </c>
      <c r="G89" s="125">
        <f>D89*C89</f>
        <v>6300</v>
      </c>
      <c r="H89" s="126">
        <f>SUM(H90:H94)</f>
        <v>7012</v>
      </c>
      <c r="I89" s="124">
        <f>G89+H89</f>
        <v>13312</v>
      </c>
    </row>
    <row r="90" spans="1:9" ht="16.5" hidden="1" customHeight="1" outlineLevel="1">
      <c r="A90" s="127" t="s">
        <v>70</v>
      </c>
      <c r="B90" s="128" t="s">
        <v>69</v>
      </c>
      <c r="C90" s="194">
        <f>IF(В!B90=FALSE,0,1)*В!A90</f>
        <v>12</v>
      </c>
      <c r="D90" s="134"/>
      <c r="E90" s="198">
        <v>33.9</v>
      </c>
      <c r="F90" s="131"/>
      <c r="G90" s="196"/>
      <c r="H90" s="130">
        <f>C90*E90</f>
        <v>407</v>
      </c>
      <c r="I90" s="132"/>
    </row>
    <row r="91" spans="1:9" ht="16.5" hidden="1" customHeight="1" outlineLevel="1">
      <c r="A91" s="127" t="s">
        <v>71</v>
      </c>
      <c r="B91" s="128" t="s">
        <v>69</v>
      </c>
      <c r="C91" s="194">
        <f>IF(В!B91=FALSE,0,1)*В!A91</f>
        <v>23</v>
      </c>
      <c r="D91" s="134"/>
      <c r="E91" s="198">
        <v>45</v>
      </c>
      <c r="F91" s="131"/>
      <c r="G91" s="196"/>
      <c r="H91" s="130">
        <f>C91*E91</f>
        <v>1035</v>
      </c>
      <c r="I91" s="132"/>
    </row>
    <row r="92" spans="1:9" ht="16.5" hidden="1" customHeight="1" outlineLevel="1">
      <c r="A92" s="127" t="s">
        <v>55</v>
      </c>
      <c r="B92" s="128" t="s">
        <v>56</v>
      </c>
      <c r="C92" s="133">
        <f>IF(В!B92=FALSE,0,1)*В!A92</f>
        <v>0.14000000000000001</v>
      </c>
      <c r="D92" s="134"/>
      <c r="E92" s="130">
        <v>13200</v>
      </c>
      <c r="F92" s="131"/>
      <c r="G92" s="196"/>
      <c r="H92" s="130">
        <f>C92*E92</f>
        <v>1848</v>
      </c>
      <c r="I92" s="132"/>
    </row>
    <row r="93" spans="1:9" ht="16.5" hidden="1" customHeight="1" outlineLevel="1">
      <c r="A93" s="127" t="s">
        <v>98</v>
      </c>
      <c r="B93" s="128" t="s">
        <v>80</v>
      </c>
      <c r="C93" s="194">
        <f>IF(В!B93=FALSE,0,1)*В!A93</f>
        <v>560</v>
      </c>
      <c r="D93" s="134"/>
      <c r="E93" s="198">
        <v>6.4</v>
      </c>
      <c r="F93" s="131"/>
      <c r="G93" s="196"/>
      <c r="H93" s="130">
        <f>C93*E93</f>
        <v>3584</v>
      </c>
      <c r="I93" s="132"/>
    </row>
    <row r="94" spans="1:9" ht="16.5" hidden="1" customHeight="1" outlineLevel="1">
      <c r="A94" s="208" t="s">
        <v>77</v>
      </c>
      <c r="B94" s="209" t="s">
        <v>78</v>
      </c>
      <c r="C94" s="216">
        <f>IF(В!B94=FALSE,0,1)*В!C94</f>
        <v>1</v>
      </c>
      <c r="D94" s="211"/>
      <c r="E94" s="212">
        <v>138</v>
      </c>
      <c r="F94" s="213"/>
      <c r="G94" s="214"/>
      <c r="H94" s="212">
        <f>C94*E94</f>
        <v>138</v>
      </c>
      <c r="I94" s="215"/>
    </row>
    <row r="95" spans="1:9" ht="16.5" customHeight="1" collapsed="1">
      <c r="A95" s="122" t="s">
        <v>497</v>
      </c>
      <c r="B95" s="123" t="s">
        <v>62</v>
      </c>
      <c r="C95" s="228">
        <f>IF(В!B95=FALSE,0,1)*В!A95</f>
        <v>71.400000000000006</v>
      </c>
      <c r="D95" s="125">
        <v>1600</v>
      </c>
      <c r="E95" s="126">
        <v>1083</v>
      </c>
      <c r="F95" s="124">
        <f>E95+D95</f>
        <v>2683</v>
      </c>
      <c r="G95" s="125">
        <f>IF(В!B95=FALSE,0,1)*D95*C95</f>
        <v>114240</v>
      </c>
      <c r="H95" s="126">
        <f>IF(В!B95=FALSE,0,1)*SUM(H96:H97)</f>
        <v>77250</v>
      </c>
      <c r="I95" s="124">
        <f>G95+H95</f>
        <v>191490</v>
      </c>
    </row>
    <row r="96" spans="1:9" ht="16.5" hidden="1" customHeight="1" outlineLevel="1">
      <c r="A96" s="127" t="s">
        <v>498</v>
      </c>
      <c r="B96" s="128" t="s">
        <v>56</v>
      </c>
      <c r="C96" s="133">
        <f>IF(В!B96=FALSE,0,1)*В!A96</f>
        <v>9</v>
      </c>
      <c r="D96" s="134"/>
      <c r="E96" s="130">
        <v>8100</v>
      </c>
      <c r="F96" s="131"/>
      <c r="G96" s="196"/>
      <c r="H96" s="130">
        <f>C96*E96</f>
        <v>72900</v>
      </c>
      <c r="I96" s="132"/>
    </row>
    <row r="97" spans="1:9" ht="16.5" hidden="1" customHeight="1" outlineLevel="1">
      <c r="A97" s="127" t="s">
        <v>107</v>
      </c>
      <c r="B97" s="128" t="s">
        <v>80</v>
      </c>
      <c r="C97" s="194">
        <f>IF(В!B97=FALSE,0,1)*В!A97</f>
        <v>375</v>
      </c>
      <c r="D97" s="134"/>
      <c r="E97" s="198">
        <v>11.6</v>
      </c>
      <c r="F97" s="131"/>
      <c r="G97" s="196"/>
      <c r="H97" s="130">
        <f>C97*E97</f>
        <v>4350</v>
      </c>
      <c r="I97" s="132"/>
    </row>
    <row r="98" spans="1:9" ht="16.5" customHeight="1" collapsed="1">
      <c r="A98" s="122" t="s">
        <v>499</v>
      </c>
      <c r="B98" s="123" t="s">
        <v>69</v>
      </c>
      <c r="C98" s="228">
        <f>IF(В!B98=FALSE,0,1)*В!A98</f>
        <v>8.4</v>
      </c>
      <c r="D98" s="125">
        <v>900</v>
      </c>
      <c r="E98" s="126">
        <v>620</v>
      </c>
      <c r="F98" s="124">
        <f>D98+E98</f>
        <v>1520</v>
      </c>
      <c r="G98" s="125">
        <f>D98*C98</f>
        <v>7560</v>
      </c>
      <c r="H98" s="126">
        <f>IF(В!B98=FALSE,0,1)*SUM(H99:H101)</f>
        <v>5206</v>
      </c>
      <c r="I98" s="124">
        <f>G98+H98</f>
        <v>12766</v>
      </c>
    </row>
    <row r="99" spans="1:9" ht="16.5" hidden="1" customHeight="1" outlineLevel="1">
      <c r="A99" s="127" t="s">
        <v>70</v>
      </c>
      <c r="B99" s="128" t="s">
        <v>69</v>
      </c>
      <c r="C99" s="194">
        <f>IF(В!B99=FALSE,0,1)*В!A99</f>
        <v>17</v>
      </c>
      <c r="D99" s="134"/>
      <c r="E99" s="198">
        <v>33.9</v>
      </c>
      <c r="F99" s="131"/>
      <c r="G99" s="196"/>
      <c r="H99" s="130">
        <f>C99*E99</f>
        <v>576</v>
      </c>
      <c r="I99" s="132"/>
    </row>
    <row r="100" spans="1:9" ht="16.5" hidden="1" customHeight="1" outlineLevel="1">
      <c r="A100" s="127" t="s">
        <v>71</v>
      </c>
      <c r="B100" s="128" t="s">
        <v>69</v>
      </c>
      <c r="C100" s="194">
        <f>IF(В!B100=FALSE,0,1)*В!A100</f>
        <v>46</v>
      </c>
      <c r="D100" s="134"/>
      <c r="E100" s="198">
        <v>45</v>
      </c>
      <c r="F100" s="131"/>
      <c r="G100" s="196"/>
      <c r="H100" s="130">
        <f>C100*E100</f>
        <v>2070</v>
      </c>
      <c r="I100" s="132"/>
    </row>
    <row r="101" spans="1:9" ht="16.5" hidden="1" customHeight="1" outlineLevel="1">
      <c r="A101" s="127" t="s">
        <v>98</v>
      </c>
      <c r="B101" s="128" t="s">
        <v>80</v>
      </c>
      <c r="C101" s="194">
        <f>IF(В!B101=FALSE,0,1)*В!A101</f>
        <v>400</v>
      </c>
      <c r="D101" s="134"/>
      <c r="E101" s="198">
        <v>6.4</v>
      </c>
      <c r="F101" s="131"/>
      <c r="G101" s="196"/>
      <c r="H101" s="130">
        <f>C101*E101</f>
        <v>2560</v>
      </c>
      <c r="I101" s="132"/>
    </row>
    <row r="102" spans="1:9" ht="16.5" customHeight="1" collapsed="1">
      <c r="A102" s="122" t="s">
        <v>111</v>
      </c>
      <c r="B102" s="123" t="s">
        <v>62</v>
      </c>
      <c r="C102" s="193">
        <f>IF(В!B102=FALSE,0,1)*В!A102</f>
        <v>76.73</v>
      </c>
      <c r="D102" s="125">
        <v>470</v>
      </c>
      <c r="E102" s="126">
        <v>1468</v>
      </c>
      <c r="F102" s="124">
        <f>E102+D102</f>
        <v>1938</v>
      </c>
      <c r="G102" s="125">
        <f>D102*C102</f>
        <v>36063</v>
      </c>
      <c r="H102" s="126">
        <f>SUM(H103:H105)</f>
        <v>112608</v>
      </c>
      <c r="I102" s="124">
        <f>G102+H102</f>
        <v>148671</v>
      </c>
    </row>
    <row r="103" spans="1:9" ht="16.5" hidden="1" customHeight="1" outlineLevel="1">
      <c r="A103" s="127" t="s">
        <v>75</v>
      </c>
      <c r="B103" s="128" t="s">
        <v>56</v>
      </c>
      <c r="C103" s="234">
        <f>IF(В!B103=FALSE,0,1)*В!A103</f>
        <v>4.21</v>
      </c>
      <c r="D103" s="134"/>
      <c r="E103" s="130">
        <v>13200</v>
      </c>
      <c r="F103" s="131"/>
      <c r="G103" s="196"/>
      <c r="H103" s="130">
        <f>C103*E103</f>
        <v>55572</v>
      </c>
      <c r="I103" s="132"/>
    </row>
    <row r="104" spans="1:9" ht="16.5" hidden="1" customHeight="1" outlineLevel="1">
      <c r="A104" s="127" t="s">
        <v>101</v>
      </c>
      <c r="B104" s="128" t="s">
        <v>56</v>
      </c>
      <c r="C104" s="234">
        <f>IF(В!B104=FALSE,0,1)*В!A104</f>
        <v>4.0599999999999996</v>
      </c>
      <c r="D104" s="134"/>
      <c r="E104" s="130">
        <v>13200</v>
      </c>
      <c r="F104" s="131"/>
      <c r="G104" s="196"/>
      <c r="H104" s="130">
        <f>C104*E104</f>
        <v>53592</v>
      </c>
      <c r="I104" s="132"/>
    </row>
    <row r="105" spans="1:9" ht="16.5" hidden="1" customHeight="1" outlineLevel="1">
      <c r="A105" s="127" t="s">
        <v>65</v>
      </c>
      <c r="B105" s="128" t="s">
        <v>62</v>
      </c>
      <c r="C105" s="194">
        <f>IF(В!B105=FALSE,0,1)*В!A105</f>
        <v>140</v>
      </c>
      <c r="D105" s="134"/>
      <c r="E105" s="198">
        <v>24.6</v>
      </c>
      <c r="F105" s="131"/>
      <c r="G105" s="196"/>
      <c r="H105" s="130">
        <f>C105*E105</f>
        <v>3444</v>
      </c>
      <c r="I105" s="132"/>
    </row>
    <row r="106" spans="1:9" ht="16.5" customHeight="1" collapsed="1">
      <c r="A106" s="122" t="s">
        <v>500</v>
      </c>
      <c r="B106" s="123" t="s">
        <v>62</v>
      </c>
      <c r="C106" s="193">
        <f>IF(В!B106=FALSE,0,1)*В!A106</f>
        <v>76.73</v>
      </c>
      <c r="D106" s="125">
        <v>854</v>
      </c>
      <c r="E106" s="126">
        <v>2480</v>
      </c>
      <c r="F106" s="124">
        <f>E106+D106</f>
        <v>3334</v>
      </c>
      <c r="G106" s="125">
        <f>D106*C106</f>
        <v>65527</v>
      </c>
      <c r="H106" s="126">
        <f>SUM(H107:H110)</f>
        <v>190296</v>
      </c>
      <c r="I106" s="124">
        <f>G106+H106</f>
        <v>255823</v>
      </c>
    </row>
    <row r="107" spans="1:9" ht="16.5" hidden="1" customHeight="1" outlineLevel="1">
      <c r="A107" s="127" t="s">
        <v>70</v>
      </c>
      <c r="B107" s="128" t="s">
        <v>69</v>
      </c>
      <c r="C107" s="194">
        <f>IF(В!B107=FALSE,0,1)*В!A107</f>
        <v>64</v>
      </c>
      <c r="D107" s="134"/>
      <c r="E107" s="198">
        <v>33.9</v>
      </c>
      <c r="F107" s="131"/>
      <c r="G107" s="196"/>
      <c r="H107" s="130">
        <f>C107*E107</f>
        <v>2170</v>
      </c>
      <c r="I107" s="132"/>
    </row>
    <row r="108" spans="1:9" ht="16.5" hidden="1" customHeight="1" outlineLevel="1">
      <c r="A108" s="127" t="s">
        <v>72</v>
      </c>
      <c r="B108" s="128" t="s">
        <v>69</v>
      </c>
      <c r="C108" s="194">
        <f>IF(В!B108=FALSE,0,1)*В!A108</f>
        <v>1491</v>
      </c>
      <c r="D108" s="134"/>
      <c r="E108" s="198">
        <v>60.5</v>
      </c>
      <c r="F108" s="131"/>
      <c r="G108" s="196"/>
      <c r="H108" s="130">
        <f>C108*E108</f>
        <v>90206</v>
      </c>
      <c r="I108" s="132"/>
    </row>
    <row r="109" spans="1:9" ht="16.5" hidden="1" customHeight="1" outlineLevel="1">
      <c r="A109" s="208" t="s">
        <v>77</v>
      </c>
      <c r="B109" s="209" t="s">
        <v>78</v>
      </c>
      <c r="C109" s="216">
        <f>IF(В!B109=FALSE,0,1)*В!C109</f>
        <v>40</v>
      </c>
      <c r="D109" s="211"/>
      <c r="E109" s="212">
        <v>138</v>
      </c>
      <c r="F109" s="213"/>
      <c r="G109" s="214"/>
      <c r="H109" s="212">
        <f>C109*E109</f>
        <v>5520</v>
      </c>
      <c r="I109" s="215"/>
    </row>
    <row r="110" spans="1:9" ht="16.5" hidden="1" customHeight="1" outlineLevel="1">
      <c r="A110" s="127" t="s">
        <v>64</v>
      </c>
      <c r="B110" s="128" t="s">
        <v>56</v>
      </c>
      <c r="C110" s="197">
        <f>IF(В!B110=FALSE,0,1)*В!A110</f>
        <v>14</v>
      </c>
      <c r="D110" s="134"/>
      <c r="E110" s="130">
        <v>6600</v>
      </c>
      <c r="F110" s="131"/>
      <c r="G110" s="196"/>
      <c r="H110" s="130">
        <f>C110*E110</f>
        <v>92400</v>
      </c>
      <c r="I110" s="132"/>
    </row>
    <row r="111" spans="1:9" ht="16.5" customHeight="1" collapsed="1">
      <c r="A111" s="122" t="s">
        <v>112</v>
      </c>
      <c r="B111" s="123" t="s">
        <v>69</v>
      </c>
      <c r="C111" s="193">
        <f>IF(В!B111=FALSE,0,1)*В!A111</f>
        <v>20.399999999999999</v>
      </c>
      <c r="D111" s="125">
        <v>1500</v>
      </c>
      <c r="E111" s="126">
        <v>1283</v>
      </c>
      <c r="F111" s="124">
        <f>E111+D111</f>
        <v>2783</v>
      </c>
      <c r="G111" s="125">
        <f>D111*C111</f>
        <v>30600</v>
      </c>
      <c r="H111" s="126">
        <f>SUM(H112:H115)</f>
        <v>26173</v>
      </c>
      <c r="I111" s="124">
        <f>G111+H111</f>
        <v>56773</v>
      </c>
    </row>
    <row r="112" spans="1:9" ht="16.5" hidden="1" customHeight="1" outlineLevel="1">
      <c r="A112" s="127" t="s">
        <v>70</v>
      </c>
      <c r="B112" s="128" t="s">
        <v>69</v>
      </c>
      <c r="C112" s="194">
        <f>IF(В!B112=FALSE,0,1)*В!A112</f>
        <v>52</v>
      </c>
      <c r="D112" s="134"/>
      <c r="E112" s="198">
        <v>33.9</v>
      </c>
      <c r="F112" s="131"/>
      <c r="G112" s="196"/>
      <c r="H112" s="130">
        <f>C112*E112</f>
        <v>1763</v>
      </c>
      <c r="I112" s="132"/>
    </row>
    <row r="113" spans="1:9" ht="16.5" hidden="1" customHeight="1" outlineLevel="1">
      <c r="A113" s="127" t="s">
        <v>71</v>
      </c>
      <c r="B113" s="128" t="s">
        <v>69</v>
      </c>
      <c r="C113" s="194">
        <f>IF(В!B113=FALSE,0,1)*В!A113</f>
        <v>128</v>
      </c>
      <c r="D113" s="134"/>
      <c r="E113" s="198">
        <v>45</v>
      </c>
      <c r="F113" s="131"/>
      <c r="G113" s="196"/>
      <c r="H113" s="130">
        <f>C113*E113</f>
        <v>5760</v>
      </c>
      <c r="I113" s="132"/>
    </row>
    <row r="114" spans="1:9" ht="16.5" hidden="1" customHeight="1" outlineLevel="1">
      <c r="A114" s="127" t="s">
        <v>98</v>
      </c>
      <c r="B114" s="128" t="s">
        <v>80</v>
      </c>
      <c r="C114" s="194">
        <f>IF(В!B114=FALSE,0,1)*В!A114</f>
        <v>2720</v>
      </c>
      <c r="D114" s="134"/>
      <c r="E114" s="198">
        <v>6.4</v>
      </c>
      <c r="F114" s="131"/>
      <c r="G114" s="196"/>
      <c r="H114" s="130">
        <f>C114*E114</f>
        <v>17408</v>
      </c>
      <c r="I114" s="132"/>
    </row>
    <row r="115" spans="1:9" ht="16.5" hidden="1" customHeight="1" outlineLevel="1">
      <c r="A115" s="208" t="s">
        <v>77</v>
      </c>
      <c r="B115" s="209" t="s">
        <v>78</v>
      </c>
      <c r="C115" s="216">
        <f>IF(В!B115=FALSE,0,1)*В!C115</f>
        <v>9</v>
      </c>
      <c r="D115" s="211"/>
      <c r="E115" s="212">
        <v>138</v>
      </c>
      <c r="F115" s="213"/>
      <c r="G115" s="214"/>
      <c r="H115" s="212">
        <f>C115*E115</f>
        <v>1242</v>
      </c>
      <c r="I115" s="215"/>
    </row>
    <row r="116" spans="1:9" ht="16.5" customHeight="1" collapsed="1">
      <c r="A116" s="122" t="s">
        <v>501</v>
      </c>
      <c r="B116" s="123" t="s">
        <v>69</v>
      </c>
      <c r="C116" s="228">
        <f>IF(В!B116=FALSE,0,1)*В!A116</f>
        <v>3</v>
      </c>
      <c r="D116" s="125">
        <v>4400</v>
      </c>
      <c r="E116" s="126">
        <v>2036</v>
      </c>
      <c r="F116" s="124">
        <f>E116+D116</f>
        <v>6436</v>
      </c>
      <c r="G116" s="125">
        <f>IF(В!B116=FALSE,0,1)*D116*C116</f>
        <v>13200</v>
      </c>
      <c r="H116" s="126">
        <f>IF(В!B116=FALSE,0,1)*SUM(H117:H121)</f>
        <v>6109</v>
      </c>
      <c r="I116" s="124">
        <f>G116+H116</f>
        <v>19309</v>
      </c>
    </row>
    <row r="117" spans="1:9" ht="16.5" hidden="1" customHeight="1" outlineLevel="1">
      <c r="A117" s="127" t="s">
        <v>109</v>
      </c>
      <c r="B117" s="128" t="s">
        <v>53</v>
      </c>
      <c r="C117" s="194">
        <f>IF(В!B117=FALSE,0,1)*В!A117</f>
        <v>167</v>
      </c>
      <c r="D117" s="134"/>
      <c r="E117" s="232">
        <v>17.489999999999998</v>
      </c>
      <c r="F117" s="131"/>
      <c r="G117" s="196"/>
      <c r="H117" s="130">
        <f>C117*E117</f>
        <v>2921</v>
      </c>
      <c r="I117" s="132"/>
    </row>
    <row r="118" spans="1:9" ht="16.5" hidden="1" customHeight="1" outlineLevel="1">
      <c r="A118" s="127" t="s">
        <v>106</v>
      </c>
      <c r="B118" s="128" t="s">
        <v>80</v>
      </c>
      <c r="C118" s="194">
        <f>IF(В!B118=FALSE,0,1)*В!A118</f>
        <v>160</v>
      </c>
      <c r="D118" s="134"/>
      <c r="E118" s="198">
        <v>6.2</v>
      </c>
      <c r="F118" s="131"/>
      <c r="G118" s="196"/>
      <c r="H118" s="130">
        <f>C118*E118</f>
        <v>992</v>
      </c>
      <c r="I118" s="132"/>
    </row>
    <row r="119" spans="1:9" ht="16.5" hidden="1" customHeight="1" outlineLevel="1">
      <c r="A119" s="127" t="s">
        <v>98</v>
      </c>
      <c r="B119" s="128" t="s">
        <v>80</v>
      </c>
      <c r="C119" s="194">
        <f>IF(В!B119=FALSE,0,1)*В!A119</f>
        <v>160</v>
      </c>
      <c r="D119" s="134"/>
      <c r="E119" s="198">
        <v>6.4</v>
      </c>
      <c r="F119" s="131"/>
      <c r="G119" s="196"/>
      <c r="H119" s="130">
        <f>C119*E119</f>
        <v>1024</v>
      </c>
      <c r="I119" s="132"/>
    </row>
    <row r="120" spans="1:9" ht="16.5" hidden="1" customHeight="1" outlineLevel="1">
      <c r="A120" s="127" t="s">
        <v>70</v>
      </c>
      <c r="B120" s="128" t="s">
        <v>69</v>
      </c>
      <c r="C120" s="194">
        <f>IF(В!B120=FALSE,0,1)*В!A120</f>
        <v>12</v>
      </c>
      <c r="D120" s="134"/>
      <c r="E120" s="198">
        <v>33.9</v>
      </c>
      <c r="F120" s="131"/>
      <c r="G120" s="196"/>
      <c r="H120" s="130">
        <f>C120*E120</f>
        <v>407</v>
      </c>
      <c r="I120" s="132"/>
    </row>
    <row r="121" spans="1:9" ht="16.5" hidden="1" customHeight="1" outlineLevel="1">
      <c r="A121" s="127" t="s">
        <v>71</v>
      </c>
      <c r="B121" s="128" t="s">
        <v>69</v>
      </c>
      <c r="C121" s="194">
        <f>IF(В!B121=FALSE,0,1)*В!A121</f>
        <v>17</v>
      </c>
      <c r="D121" s="134"/>
      <c r="E121" s="198">
        <v>45</v>
      </c>
      <c r="F121" s="131"/>
      <c r="G121" s="196"/>
      <c r="H121" s="130">
        <f>C121*E121</f>
        <v>765</v>
      </c>
      <c r="I121" s="132"/>
    </row>
    <row r="122" spans="1:9" ht="16.5" customHeight="1">
      <c r="A122" s="136" t="s">
        <v>215</v>
      </c>
      <c r="B122" s="137" t="s">
        <v>485</v>
      </c>
      <c r="C122" s="138"/>
      <c r="D122" s="139"/>
      <c r="E122" s="140"/>
      <c r="F122" s="141"/>
      <c r="G122" s="142"/>
      <c r="H122" s="143"/>
      <c r="I122" s="141"/>
    </row>
    <row r="123" spans="1:9" ht="16.5" customHeight="1">
      <c r="A123" s="145"/>
      <c r="B123" s="146"/>
      <c r="C123" s="147"/>
      <c r="D123" s="148"/>
      <c r="E123" s="149"/>
      <c r="F123" s="150"/>
      <c r="G123" s="151" t="s">
        <v>57</v>
      </c>
      <c r="H123" s="152" t="s">
        <v>58</v>
      </c>
      <c r="I123" s="153" t="s">
        <v>59</v>
      </c>
    </row>
    <row r="124" spans="1:9" ht="16.5" customHeight="1">
      <c r="A124" s="154" t="s">
        <v>47</v>
      </c>
      <c r="B124" s="155"/>
      <c r="C124" s="156"/>
      <c r="D124" s="157"/>
      <c r="E124" s="157"/>
      <c r="F124" s="86"/>
      <c r="G124" s="158">
        <f>SUM(G70:G122)</f>
        <v>676144</v>
      </c>
      <c r="H124" s="159">
        <f>I124-G124</f>
        <v>1098425</v>
      </c>
      <c r="I124" s="160">
        <f>SUM(I70:I122)</f>
        <v>1774569</v>
      </c>
    </row>
    <row r="125" spans="1:9" ht="16.5" customHeight="1">
      <c r="A125" s="161" t="s">
        <v>486</v>
      </c>
      <c r="B125" s="162"/>
      <c r="C125" s="163"/>
      <c r="D125" s="164"/>
      <c r="E125" s="164"/>
      <c r="F125" s="165"/>
      <c r="G125" s="166">
        <v>0</v>
      </c>
      <c r="H125" s="167"/>
      <c r="I125" s="168">
        <f>G124*В!A125</f>
        <v>101422</v>
      </c>
    </row>
    <row r="126" spans="1:9" s="121" customFormat="1" ht="16.5" customHeight="1">
      <c r="A126" s="169" t="s">
        <v>487</v>
      </c>
      <c r="B126" s="170"/>
      <c r="C126" s="171"/>
      <c r="D126" s="172"/>
      <c r="E126" s="173"/>
      <c r="F126" s="170"/>
      <c r="G126" s="174">
        <v>0</v>
      </c>
      <c r="H126" s="175"/>
      <c r="I126" s="176">
        <f>G124*В!A126</f>
        <v>43949</v>
      </c>
    </row>
    <row r="127" spans="1:9" ht="18">
      <c r="A127" s="177" t="s">
        <v>503</v>
      </c>
      <c r="B127" s="178"/>
      <c r="C127" s="179"/>
      <c r="D127" s="180"/>
      <c r="E127" s="181"/>
      <c r="F127" s="178"/>
      <c r="G127" s="182"/>
      <c r="H127" s="183"/>
      <c r="I127" s="184">
        <f>SUM(I124:I126)</f>
        <v>1919940</v>
      </c>
    </row>
    <row r="128" spans="1:9" ht="16.5" customHeight="1">
      <c r="A128" s="185"/>
      <c r="B128" s="186"/>
      <c r="C128" s="187"/>
      <c r="D128" s="188"/>
      <c r="E128" s="189"/>
      <c r="F128" s="186"/>
      <c r="G128" s="190"/>
      <c r="H128" s="191"/>
      <c r="I128" s="192"/>
    </row>
    <row r="129" spans="1:9" ht="16.5" customHeight="1">
      <c r="A129" s="102" t="s">
        <v>33</v>
      </c>
      <c r="B129" s="103" t="s">
        <v>34</v>
      </c>
      <c r="C129" s="103" t="s">
        <v>35</v>
      </c>
      <c r="D129" s="104" t="s">
        <v>36</v>
      </c>
      <c r="E129" s="105"/>
      <c r="F129" s="106" t="s">
        <v>37</v>
      </c>
      <c r="G129" s="104" t="s">
        <v>38</v>
      </c>
      <c r="H129" s="107"/>
      <c r="I129" s="106" t="s">
        <v>39</v>
      </c>
    </row>
    <row r="130" spans="1:9" ht="16.5" customHeight="1">
      <c r="A130" s="102"/>
      <c r="B130" s="108"/>
      <c r="C130" s="108"/>
      <c r="D130" s="109" t="s">
        <v>45</v>
      </c>
      <c r="E130" s="109" t="s">
        <v>46</v>
      </c>
      <c r="F130" s="110" t="s">
        <v>47</v>
      </c>
      <c r="G130" s="109" t="s">
        <v>45</v>
      </c>
      <c r="H130" s="109" t="s">
        <v>46</v>
      </c>
      <c r="I130" s="110" t="s">
        <v>47</v>
      </c>
    </row>
    <row r="131" spans="1:9" ht="16.5" customHeight="1">
      <c r="A131" s="114" t="s">
        <v>120</v>
      </c>
      <c r="B131" s="235"/>
      <c r="C131" s="236"/>
      <c r="D131" s="111"/>
      <c r="E131" s="112"/>
      <c r="F131" s="237"/>
      <c r="G131" s="113"/>
      <c r="H131" s="112"/>
      <c r="I131" s="237"/>
    </row>
    <row r="132" spans="1:9" ht="16.5" customHeight="1" collapsed="1">
      <c r="A132" s="122" t="s">
        <v>121</v>
      </c>
      <c r="B132" s="123" t="s">
        <v>62</v>
      </c>
      <c r="C132" s="228">
        <f>IF(В!B132=FALSE,0,1)*В!A132</f>
        <v>0</v>
      </c>
      <c r="D132" s="125">
        <v>900</v>
      </c>
      <c r="E132" s="126">
        <v>121</v>
      </c>
      <c r="F132" s="124">
        <f>E132+D132</f>
        <v>1021</v>
      </c>
      <c r="G132" s="125">
        <f>D132*C132</f>
        <v>0</v>
      </c>
      <c r="H132" s="126">
        <f>IF(В!B132=FALSE,0,1)*H133</f>
        <v>0</v>
      </c>
      <c r="I132" s="124">
        <f>G132+H132</f>
        <v>0</v>
      </c>
    </row>
    <row r="133" spans="1:9" ht="16.5" hidden="1" customHeight="1" outlineLevel="1">
      <c r="A133" s="227" t="s">
        <v>122</v>
      </c>
      <c r="B133" s="128" t="s">
        <v>119</v>
      </c>
      <c r="C133" s="133">
        <f>IF(В!B133=FALSE,0,1)*В!A133</f>
        <v>0</v>
      </c>
      <c r="D133" s="134"/>
      <c r="E133" s="198">
        <v>726</v>
      </c>
      <c r="F133" s="131"/>
      <c r="G133" s="196"/>
      <c r="H133" s="130">
        <f>C133*E133</f>
        <v>0</v>
      </c>
      <c r="I133" s="132"/>
    </row>
    <row r="134" spans="1:9" ht="16.5" customHeight="1" collapsed="1">
      <c r="A134" s="122" t="s">
        <v>123</v>
      </c>
      <c r="B134" s="123" t="s">
        <v>69</v>
      </c>
      <c r="C134" s="228">
        <f>IF(В!B134=FALSE,0,1)*В!A134</f>
        <v>26</v>
      </c>
      <c r="D134" s="125">
        <v>450</v>
      </c>
      <c r="E134" s="126">
        <v>486</v>
      </c>
      <c r="F134" s="124">
        <f>D134+E134</f>
        <v>936</v>
      </c>
      <c r="G134" s="125">
        <f>D134*C134</f>
        <v>11700</v>
      </c>
      <c r="H134" s="126">
        <f>SUM(H135:H136)</f>
        <v>12629</v>
      </c>
      <c r="I134" s="124">
        <f>G134+H134</f>
        <v>24329</v>
      </c>
    </row>
    <row r="135" spans="1:9" ht="16.5" hidden="1" customHeight="1" outlineLevel="1">
      <c r="A135" s="127" t="s">
        <v>104</v>
      </c>
      <c r="B135" s="128" t="s">
        <v>62</v>
      </c>
      <c r="C135" s="194">
        <f>IF(В!B135=FALSE,0,1)*В!A135</f>
        <v>9</v>
      </c>
      <c r="D135" s="134"/>
      <c r="E135" s="198">
        <v>115</v>
      </c>
      <c r="F135" s="131"/>
      <c r="G135" s="196"/>
      <c r="H135" s="130">
        <f>C135*E135</f>
        <v>1035</v>
      </c>
      <c r="I135" s="132"/>
    </row>
    <row r="136" spans="1:9" ht="16.5" hidden="1" customHeight="1" outlineLevel="1">
      <c r="A136" s="127" t="s">
        <v>124</v>
      </c>
      <c r="B136" s="128" t="s">
        <v>56</v>
      </c>
      <c r="C136" s="133">
        <f>IF(В!B136=FALSE,0,1)*В!A136</f>
        <v>0.68</v>
      </c>
      <c r="D136" s="134"/>
      <c r="E136" s="130">
        <v>17050</v>
      </c>
      <c r="F136" s="131"/>
      <c r="G136" s="196"/>
      <c r="H136" s="130">
        <f>C136*E136</f>
        <v>11594</v>
      </c>
      <c r="I136" s="132"/>
    </row>
    <row r="137" spans="1:9" ht="16.5" customHeight="1" collapsed="1">
      <c r="A137" s="122" t="s">
        <v>125</v>
      </c>
      <c r="B137" s="123" t="s">
        <v>62</v>
      </c>
      <c r="C137" s="228">
        <f>IF(В!B137=FALSE,0,1)*В!A137</f>
        <v>191.4</v>
      </c>
      <c r="D137" s="125">
        <v>935</v>
      </c>
      <c r="E137" s="126">
        <v>545</v>
      </c>
      <c r="F137" s="124">
        <f>E137+D137</f>
        <v>1480</v>
      </c>
      <c r="G137" s="125">
        <f>D137*C137</f>
        <v>178959</v>
      </c>
      <c r="H137" s="126">
        <f>H138</f>
        <v>104346</v>
      </c>
      <c r="I137" s="124">
        <f>G137+H137</f>
        <v>283305</v>
      </c>
    </row>
    <row r="138" spans="1:9" ht="16.5" hidden="1" customHeight="1" outlineLevel="1">
      <c r="A138" s="127" t="s">
        <v>126</v>
      </c>
      <c r="B138" s="128" t="s">
        <v>56</v>
      </c>
      <c r="C138" s="133">
        <f>IF(В!B138=FALSE,0,1)*В!A138</f>
        <v>6.12</v>
      </c>
      <c r="D138" s="134"/>
      <c r="E138" s="130">
        <v>17050</v>
      </c>
      <c r="F138" s="131"/>
      <c r="G138" s="196"/>
      <c r="H138" s="130">
        <f>C138*E138</f>
        <v>104346</v>
      </c>
      <c r="I138" s="132"/>
    </row>
    <row r="139" spans="1:9" ht="16.5" customHeight="1">
      <c r="A139" s="122" t="s">
        <v>303</v>
      </c>
      <c r="B139" s="123" t="s">
        <v>62</v>
      </c>
      <c r="C139" s="228">
        <f>IF(В!B139=FALSE,0,1)*В!A139</f>
        <v>0</v>
      </c>
      <c r="D139" s="125">
        <v>350</v>
      </c>
      <c r="E139" s="126">
        <v>998</v>
      </c>
      <c r="F139" s="124">
        <f>E139+D139</f>
        <v>1348</v>
      </c>
      <c r="G139" s="125">
        <f>IF(В!B139=FALSE,0,1)*D139*C139</f>
        <v>0</v>
      </c>
      <c r="H139" s="126">
        <f>IF(В!B139=FALSE,0,1)*SUM(H140:H144)</f>
        <v>0</v>
      </c>
      <c r="I139" s="124">
        <f>G139+H139</f>
        <v>0</v>
      </c>
    </row>
    <row r="140" spans="1:9" ht="16.5" customHeight="1" outlineLevel="1">
      <c r="A140" s="127" t="s">
        <v>127</v>
      </c>
      <c r="B140" s="128" t="s">
        <v>56</v>
      </c>
      <c r="C140" s="133">
        <f>IF(В!B140=FALSE,0,1)*В!A140</f>
        <v>0</v>
      </c>
      <c r="D140" s="134"/>
      <c r="E140" s="195">
        <v>3005</v>
      </c>
      <c r="F140" s="131"/>
      <c r="G140" s="196"/>
      <c r="H140" s="130">
        <f>C140*E140</f>
        <v>0</v>
      </c>
      <c r="I140" s="132"/>
    </row>
    <row r="141" spans="1:9" ht="16.5" customHeight="1" outlineLevel="1">
      <c r="A141" s="238" t="s">
        <v>128</v>
      </c>
      <c r="B141" s="239" t="s">
        <v>62</v>
      </c>
      <c r="C141" s="240">
        <f>IF(В!B141=FALSE,0,1)*В!C141</f>
        <v>0</v>
      </c>
      <c r="D141" s="241"/>
      <c r="E141" s="242">
        <v>27</v>
      </c>
      <c r="F141" s="243"/>
      <c r="G141" s="244"/>
      <c r="H141" s="245">
        <f>C141*E141</f>
        <v>0</v>
      </c>
      <c r="I141" s="246"/>
    </row>
    <row r="142" spans="1:9" ht="16.5" customHeight="1" outlineLevel="1">
      <c r="A142" s="208" t="s">
        <v>129</v>
      </c>
      <c r="B142" s="209" t="s">
        <v>62</v>
      </c>
      <c r="C142" s="216">
        <f>IF(В!B142=FALSE,0,1)*В!C142</f>
        <v>0</v>
      </c>
      <c r="D142" s="211"/>
      <c r="E142" s="247">
        <v>52.8</v>
      </c>
      <c r="F142" s="213"/>
      <c r="G142" s="214"/>
      <c r="H142" s="212">
        <f>C142*E142</f>
        <v>0</v>
      </c>
      <c r="I142" s="215"/>
    </row>
    <row r="143" spans="1:9" ht="16.5" customHeight="1" outlineLevel="1">
      <c r="A143" s="217" t="s">
        <v>130</v>
      </c>
      <c r="B143" s="218" t="s">
        <v>62</v>
      </c>
      <c r="C143" s="219">
        <f>IF(В!B143=FALSE,0,1)*В!C143</f>
        <v>0</v>
      </c>
      <c r="D143" s="220"/>
      <c r="E143" s="248">
        <v>89.1</v>
      </c>
      <c r="F143" s="222"/>
      <c r="G143" s="223"/>
      <c r="H143" s="221">
        <f>C143*E143</f>
        <v>0</v>
      </c>
      <c r="I143" s="224"/>
    </row>
    <row r="144" spans="1:9" ht="16.5" customHeight="1" outlineLevel="1">
      <c r="A144" s="127" t="s">
        <v>117</v>
      </c>
      <c r="B144" s="128" t="s">
        <v>56</v>
      </c>
      <c r="C144" s="234">
        <f>IF(В!B144=FALSE,0,1)*В!A144</f>
        <v>0</v>
      </c>
      <c r="D144" s="134"/>
      <c r="E144" s="130">
        <v>17050</v>
      </c>
      <c r="F144" s="131"/>
      <c r="G144" s="196"/>
      <c r="H144" s="130">
        <f>C144*E144</f>
        <v>0</v>
      </c>
      <c r="I144" s="132"/>
    </row>
    <row r="145" spans="1:9" ht="16.5" customHeight="1">
      <c r="A145" s="122" t="s">
        <v>131</v>
      </c>
      <c r="B145" s="123" t="s">
        <v>62</v>
      </c>
      <c r="C145" s="228">
        <f>IF(В!B145=FALSE,0,1)*В!A145</f>
        <v>191.4</v>
      </c>
      <c r="D145" s="125">
        <v>300</v>
      </c>
      <c r="E145" s="126">
        <v>535</v>
      </c>
      <c r="F145" s="124">
        <f>D145+E145</f>
        <v>835</v>
      </c>
      <c r="G145" s="125">
        <f>D145*C145</f>
        <v>57420</v>
      </c>
      <c r="H145" s="126">
        <f>SUM(H146:H149)</f>
        <v>45760</v>
      </c>
      <c r="I145" s="124">
        <f>G145+H145</f>
        <v>103180</v>
      </c>
    </row>
    <row r="146" spans="1:9" ht="16.5" customHeight="1" outlineLevel="1">
      <c r="A146" s="238" t="s">
        <v>132</v>
      </c>
      <c r="B146" s="239" t="s">
        <v>62</v>
      </c>
      <c r="C146" s="240">
        <f>IF(В!B146=FALSE,0,1)*В!C146</f>
        <v>0</v>
      </c>
      <c r="D146" s="241"/>
      <c r="E146" s="242">
        <v>96.8</v>
      </c>
      <c r="F146" s="243"/>
      <c r="G146" s="244"/>
      <c r="H146" s="245">
        <f>C146*E146</f>
        <v>0</v>
      </c>
      <c r="I146" s="246"/>
    </row>
    <row r="147" spans="1:9" ht="16.5" customHeight="1" outlineLevel="1">
      <c r="A147" s="208" t="s">
        <v>132</v>
      </c>
      <c r="B147" s="209" t="s">
        <v>62</v>
      </c>
      <c r="C147" s="216">
        <f>IF(В!B147=FALSE,0,1)*В!C147</f>
        <v>280</v>
      </c>
      <c r="D147" s="211"/>
      <c r="E147" s="247">
        <v>96.8</v>
      </c>
      <c r="F147" s="213"/>
      <c r="G147" s="214"/>
      <c r="H147" s="212">
        <f>C147*E147</f>
        <v>27104</v>
      </c>
      <c r="I147" s="215"/>
    </row>
    <row r="148" spans="1:9" ht="16.5" customHeight="1" outlineLevel="1">
      <c r="A148" s="217" t="s">
        <v>115</v>
      </c>
      <c r="B148" s="218" t="s">
        <v>62</v>
      </c>
      <c r="C148" s="219">
        <f>IF(В!B148=FALSE,0,1)*В!C148</f>
        <v>0</v>
      </c>
      <c r="D148" s="220"/>
      <c r="E148" s="248">
        <v>105.6</v>
      </c>
      <c r="F148" s="222"/>
      <c r="G148" s="223"/>
      <c r="H148" s="221">
        <f>C148*E148</f>
        <v>0</v>
      </c>
      <c r="I148" s="224"/>
    </row>
    <row r="149" spans="1:9" ht="16.5" customHeight="1" outlineLevel="1">
      <c r="A149" s="127" t="s">
        <v>116</v>
      </c>
      <c r="B149" s="128" t="s">
        <v>56</v>
      </c>
      <c r="C149" s="234">
        <f>IF(В!B149=FALSE,0,1)*В!A149</f>
        <v>1.06</v>
      </c>
      <c r="D149" s="134"/>
      <c r="E149" s="130">
        <v>17600</v>
      </c>
      <c r="F149" s="131"/>
      <c r="G149" s="196"/>
      <c r="H149" s="130">
        <f>C149*E149</f>
        <v>18656</v>
      </c>
      <c r="I149" s="132"/>
    </row>
    <row r="150" spans="1:9" s="83" customFormat="1" ht="16.5" customHeight="1" collapsed="1">
      <c r="A150" s="122" t="s">
        <v>133</v>
      </c>
      <c r="B150" s="123" t="s">
        <v>62</v>
      </c>
      <c r="C150" s="228">
        <f>IF(В!B150=FALSE,0,1)*В!A150</f>
        <v>191.4</v>
      </c>
      <c r="D150" s="125">
        <v>320</v>
      </c>
      <c r="E150" s="126">
        <v>197</v>
      </c>
      <c r="F150" s="124">
        <f>E150+D150</f>
        <v>517</v>
      </c>
      <c r="G150" s="125">
        <f>D150*C150</f>
        <v>61248</v>
      </c>
      <c r="H150" s="126">
        <f>H151</f>
        <v>37681</v>
      </c>
      <c r="I150" s="124">
        <f>G150+H150</f>
        <v>98929</v>
      </c>
    </row>
    <row r="151" spans="1:9" ht="16.5" hidden="1" customHeight="1" outlineLevel="1">
      <c r="A151" s="127" t="s">
        <v>117</v>
      </c>
      <c r="B151" s="128" t="s">
        <v>56</v>
      </c>
      <c r="C151" s="133">
        <f>IF(В!B151=FALSE,0,1)*В!A151</f>
        <v>2.21</v>
      </c>
      <c r="D151" s="134"/>
      <c r="E151" s="130">
        <v>17050</v>
      </c>
      <c r="F151" s="131"/>
      <c r="G151" s="196"/>
      <c r="H151" s="130">
        <f>C151*E151</f>
        <v>37681</v>
      </c>
      <c r="I151" s="132"/>
    </row>
    <row r="152" spans="1:9" s="121" customFormat="1" ht="16.5" customHeight="1">
      <c r="A152" s="122" t="s">
        <v>134</v>
      </c>
      <c r="B152" s="123" t="s">
        <v>62</v>
      </c>
      <c r="C152" s="228">
        <f>IF(В!B152=FALSE,0,1)*В!A152</f>
        <v>191.4</v>
      </c>
      <c r="D152" s="125">
        <v>880</v>
      </c>
      <c r="E152" s="126">
        <v>3442</v>
      </c>
      <c r="F152" s="124">
        <f>E152+D152</f>
        <v>4322</v>
      </c>
      <c r="G152" s="125">
        <f>D152*C152</f>
        <v>168432</v>
      </c>
      <c r="H152" s="126">
        <f>SUM(H153:H155)</f>
        <v>184525</v>
      </c>
      <c r="I152" s="124">
        <f>G152+H152</f>
        <v>352957</v>
      </c>
    </row>
    <row r="153" spans="1:9" ht="16.5" customHeight="1" outlineLevel="1">
      <c r="A153" s="249" t="s">
        <v>504</v>
      </c>
      <c r="B153" s="239" t="s">
        <v>62</v>
      </c>
      <c r="C153" s="240">
        <f>IF(В!B153=FALSE,0,1)*В!C153</f>
        <v>0</v>
      </c>
      <c r="D153" s="241"/>
      <c r="E153" s="242">
        <v>705</v>
      </c>
      <c r="F153" s="243"/>
      <c r="G153" s="244"/>
      <c r="H153" s="245">
        <f>C153*E153</f>
        <v>0</v>
      </c>
      <c r="I153" s="246"/>
    </row>
    <row r="154" spans="1:9" ht="16.5" customHeight="1" outlineLevel="1">
      <c r="A154" s="250" t="s">
        <v>505</v>
      </c>
      <c r="B154" s="209" t="s">
        <v>62</v>
      </c>
      <c r="C154" s="216">
        <f>IF(В!B154=FALSE,0,1)*В!C154</f>
        <v>242</v>
      </c>
      <c r="D154" s="211"/>
      <c r="E154" s="247">
        <v>762.5</v>
      </c>
      <c r="F154" s="213"/>
      <c r="G154" s="214"/>
      <c r="H154" s="212">
        <f>C154*E154</f>
        <v>184525</v>
      </c>
      <c r="I154" s="215"/>
    </row>
    <row r="155" spans="1:9" ht="16.5" customHeight="1" outlineLevel="1">
      <c r="A155" s="251" t="s">
        <v>506</v>
      </c>
      <c r="B155" s="218" t="s">
        <v>62</v>
      </c>
      <c r="C155" s="219">
        <f>IF(В!B155=FALSE,0,1)*В!C155</f>
        <v>0</v>
      </c>
      <c r="D155" s="220"/>
      <c r="E155" s="248">
        <v>1260.4000000000001</v>
      </c>
      <c r="F155" s="222"/>
      <c r="G155" s="223"/>
      <c r="H155" s="221">
        <f>C155*E155</f>
        <v>0</v>
      </c>
      <c r="I155" s="224"/>
    </row>
    <row r="156" spans="1:9" ht="16.5" customHeight="1" collapsed="1">
      <c r="A156" s="122" t="s">
        <v>136</v>
      </c>
      <c r="B156" s="123" t="s">
        <v>69</v>
      </c>
      <c r="C156" s="228">
        <f>IF(В!B156=FALSE,0,1)*В!A156</f>
        <v>126</v>
      </c>
      <c r="D156" s="125">
        <v>260</v>
      </c>
      <c r="E156" s="126">
        <v>1026</v>
      </c>
      <c r="F156" s="124">
        <f>E156+D156</f>
        <v>1286</v>
      </c>
      <c r="G156" s="125">
        <f>D156*C156</f>
        <v>32760</v>
      </c>
      <c r="H156" s="126">
        <f>SUM(H157:H162)</f>
        <v>129272</v>
      </c>
      <c r="I156" s="124">
        <f>G156+H156</f>
        <v>162032</v>
      </c>
    </row>
    <row r="157" spans="1:9" ht="16.5" hidden="1" customHeight="1" outlineLevel="1">
      <c r="A157" s="127" t="s">
        <v>507</v>
      </c>
      <c r="B157" s="128" t="s">
        <v>53</v>
      </c>
      <c r="C157" s="194">
        <f>IF(В!B157=FALSE,0,1)*В!A157</f>
        <v>26</v>
      </c>
      <c r="D157" s="134"/>
      <c r="E157" s="198">
        <v>1487.5</v>
      </c>
      <c r="F157" s="131"/>
      <c r="G157" s="196"/>
      <c r="H157" s="130">
        <f>C157*E157</f>
        <v>38675</v>
      </c>
      <c r="I157" s="132"/>
    </row>
    <row r="158" spans="1:9" ht="16.5" hidden="1" customHeight="1" outlineLevel="1">
      <c r="A158" s="127" t="s">
        <v>508</v>
      </c>
      <c r="B158" s="128" t="s">
        <v>53</v>
      </c>
      <c r="C158" s="194">
        <f>IF(В!B158=FALSE,0,1)*В!A158</f>
        <v>16</v>
      </c>
      <c r="D158" s="134"/>
      <c r="E158" s="198">
        <v>1140</v>
      </c>
      <c r="F158" s="131"/>
      <c r="G158" s="196"/>
      <c r="H158" s="130">
        <f>C158*E158</f>
        <v>18240</v>
      </c>
      <c r="I158" s="132"/>
    </row>
    <row r="159" spans="1:9" ht="16.5" hidden="1" customHeight="1" outlineLevel="1">
      <c r="A159" s="127" t="s">
        <v>509</v>
      </c>
      <c r="B159" s="128" t="s">
        <v>53</v>
      </c>
      <c r="C159" s="194">
        <f>IF(В!B159=FALSE,0,1)*В!A159</f>
        <v>11</v>
      </c>
      <c r="D159" s="134"/>
      <c r="E159" s="198">
        <v>1956.3</v>
      </c>
      <c r="F159" s="131"/>
      <c r="G159" s="196"/>
      <c r="H159" s="130">
        <f>C159*E159</f>
        <v>21519</v>
      </c>
      <c r="I159" s="132"/>
    </row>
    <row r="160" spans="1:9" ht="16.5" hidden="1" customHeight="1" outlineLevel="1">
      <c r="A160" s="127" t="s">
        <v>510</v>
      </c>
      <c r="B160" s="128" t="s">
        <v>53</v>
      </c>
      <c r="C160" s="194">
        <f>IF(В!B160=FALSE,0,1)*В!A160</f>
        <v>7</v>
      </c>
      <c r="D160" s="134"/>
      <c r="E160" s="198">
        <v>3912.5</v>
      </c>
      <c r="F160" s="131"/>
      <c r="G160" s="196"/>
      <c r="H160" s="130">
        <f>C160*E160</f>
        <v>27388</v>
      </c>
      <c r="I160" s="132"/>
    </row>
    <row r="161" spans="1:9" ht="16.5" hidden="1" customHeight="1" outlineLevel="1">
      <c r="A161" s="127" t="s">
        <v>511</v>
      </c>
      <c r="B161" s="128" t="s">
        <v>53</v>
      </c>
      <c r="C161" s="194">
        <f>IF(В!B161=FALSE,0,1)*В!A161</f>
        <v>12</v>
      </c>
      <c r="D161" s="134"/>
      <c r="E161" s="198">
        <v>1575</v>
      </c>
      <c r="F161" s="131"/>
      <c r="G161" s="196"/>
      <c r="H161" s="130">
        <f>C161*E161</f>
        <v>18900</v>
      </c>
      <c r="I161" s="132"/>
    </row>
    <row r="162" spans="1:9" ht="16.5" hidden="1" customHeight="1" outlineLevel="1">
      <c r="A162" s="127" t="s">
        <v>137</v>
      </c>
      <c r="B162" s="128" t="s">
        <v>53</v>
      </c>
      <c r="C162" s="194">
        <f>IF(В!B162=FALSE,0,1)*В!A162</f>
        <v>7</v>
      </c>
      <c r="D162" s="134"/>
      <c r="E162" s="198">
        <v>650</v>
      </c>
      <c r="F162" s="131"/>
      <c r="G162" s="196"/>
      <c r="H162" s="130">
        <f>C162*E162</f>
        <v>4550</v>
      </c>
      <c r="I162" s="132"/>
    </row>
    <row r="163" spans="1:9" s="83" customFormat="1" ht="16.5" customHeight="1" collapsed="1">
      <c r="A163" s="252" t="s">
        <v>138</v>
      </c>
      <c r="B163" s="252" t="s">
        <v>53</v>
      </c>
      <c r="C163" s="124">
        <f>IF(В!B163=FALSE,0,1)*В!A163</f>
        <v>0</v>
      </c>
      <c r="D163" s="125">
        <v>1200</v>
      </c>
      <c r="E163" s="126">
        <v>2800</v>
      </c>
      <c r="F163" s="124">
        <f>E163+D163</f>
        <v>4000</v>
      </c>
      <c r="G163" s="125">
        <f>IF(В!B163=FALSE,0,1)*D163*C163</f>
        <v>0</v>
      </c>
      <c r="H163" s="126">
        <f>IF(В!B163=FALSE,0,1)*SUM(H164:H164)</f>
        <v>0</v>
      </c>
      <c r="I163" s="124">
        <f>G163+H163</f>
        <v>0</v>
      </c>
    </row>
    <row r="164" spans="1:9" s="83" customFormat="1" ht="16.5" hidden="1" customHeight="1" outlineLevel="1">
      <c r="A164" s="253" t="s">
        <v>139</v>
      </c>
      <c r="B164" s="254" t="s">
        <v>53</v>
      </c>
      <c r="C164" s="194">
        <f>IF(В!B164=FALSE,0,1)*В!A164</f>
        <v>0</v>
      </c>
      <c r="D164" s="134"/>
      <c r="E164" s="198">
        <v>2800</v>
      </c>
      <c r="F164" s="131"/>
      <c r="G164" s="196"/>
      <c r="H164" s="130">
        <f>E164*C164</f>
        <v>0</v>
      </c>
      <c r="I164" s="132"/>
    </row>
    <row r="165" spans="1:9" ht="16.5" customHeight="1" collapsed="1">
      <c r="A165" s="122" t="s">
        <v>118</v>
      </c>
      <c r="B165" s="123" t="s">
        <v>62</v>
      </c>
      <c r="C165" s="228">
        <f>IF(В!B165=FALSE,0,1)*В!A165</f>
        <v>829.4</v>
      </c>
      <c r="D165" s="125">
        <v>60</v>
      </c>
      <c r="E165" s="126">
        <v>37</v>
      </c>
      <c r="F165" s="124">
        <f>E165+D165</f>
        <v>97</v>
      </c>
      <c r="G165" s="125">
        <f>D165*C165</f>
        <v>49764</v>
      </c>
      <c r="H165" s="126">
        <f>SUM(H166:H167)</f>
        <v>30600</v>
      </c>
      <c r="I165" s="124">
        <f>G165+H165</f>
        <v>80364</v>
      </c>
    </row>
    <row r="166" spans="1:9" ht="16.5" hidden="1" customHeight="1" outlineLevel="1">
      <c r="A166" s="255" t="s">
        <v>140</v>
      </c>
      <c r="B166" s="256" t="s">
        <v>78</v>
      </c>
      <c r="C166" s="257">
        <f>IF(В!B166=FALSE,0,1)*В!C166</f>
        <v>0</v>
      </c>
      <c r="D166" s="258"/>
      <c r="E166" s="259">
        <v>42.5</v>
      </c>
      <c r="F166" s="260"/>
      <c r="G166" s="261"/>
      <c r="H166" s="262">
        <f>C166*E166</f>
        <v>0</v>
      </c>
      <c r="I166" s="263"/>
    </row>
    <row r="167" spans="1:9" ht="16.5" hidden="1" customHeight="1" outlineLevel="1">
      <c r="A167" s="208" t="s">
        <v>141</v>
      </c>
      <c r="B167" s="209" t="s">
        <v>78</v>
      </c>
      <c r="C167" s="216">
        <f>IF(В!B167=FALSE,0,1)*В!C167</f>
        <v>250</v>
      </c>
      <c r="D167" s="211"/>
      <c r="E167" s="247">
        <v>122.4</v>
      </c>
      <c r="F167" s="213"/>
      <c r="G167" s="214"/>
      <c r="H167" s="212">
        <f>C167*E167</f>
        <v>30600</v>
      </c>
      <c r="I167" s="215"/>
    </row>
    <row r="168" spans="1:9" ht="16.5" customHeight="1" collapsed="1">
      <c r="A168" s="122" t="s">
        <v>142</v>
      </c>
      <c r="B168" s="123" t="s">
        <v>53</v>
      </c>
      <c r="C168" s="124">
        <f>IF(В!B168=FALSE,0,1)*В!A168</f>
        <v>52</v>
      </c>
      <c r="D168" s="125">
        <v>255</v>
      </c>
      <c r="E168" s="126">
        <v>283</v>
      </c>
      <c r="F168" s="124">
        <f>E168+D168</f>
        <v>538</v>
      </c>
      <c r="G168" s="125">
        <f>IF(В!B168=FALSE,0,1)*D168*C168</f>
        <v>13260</v>
      </c>
      <c r="H168" s="126">
        <f>E168*C168</f>
        <v>14716</v>
      </c>
      <c r="I168" s="124">
        <f>G168+H168</f>
        <v>27976</v>
      </c>
    </row>
    <row r="169" spans="1:9" ht="16.5" hidden="1" customHeight="1" outlineLevel="1">
      <c r="A169" s="264" t="s">
        <v>143</v>
      </c>
      <c r="B169" s="128" t="s">
        <v>53</v>
      </c>
      <c r="C169" s="129">
        <f>IF(В!B$168=FALSE,0,1)*В!A169</f>
        <v>52</v>
      </c>
      <c r="D169" s="134"/>
      <c r="E169" s="130">
        <v>283</v>
      </c>
      <c r="F169" s="131"/>
      <c r="G169" s="196"/>
      <c r="H169" s="130">
        <f>C169*E169</f>
        <v>14716</v>
      </c>
      <c r="I169" s="132"/>
    </row>
    <row r="170" spans="1:9" ht="16.5" customHeight="1" collapsed="1">
      <c r="A170" s="122" t="s">
        <v>144</v>
      </c>
      <c r="B170" s="123" t="s">
        <v>53</v>
      </c>
      <c r="C170" s="228">
        <f>IF(В!B170=FALSE,0,1)*В!A170</f>
        <v>0</v>
      </c>
      <c r="D170" s="125">
        <v>8800</v>
      </c>
      <c r="E170" s="126">
        <v>51740</v>
      </c>
      <c r="F170" s="124">
        <f>E170+D170</f>
        <v>60540</v>
      </c>
      <c r="G170" s="125">
        <f>D170*C170</f>
        <v>0</v>
      </c>
      <c r="H170" s="126">
        <f>SUM(H171:H172)</f>
        <v>0</v>
      </c>
      <c r="I170" s="124">
        <f>G170+H170</f>
        <v>0</v>
      </c>
    </row>
    <row r="171" spans="1:9" ht="16.5" hidden="1" customHeight="1" outlineLevel="1">
      <c r="A171" s="127" t="s">
        <v>512</v>
      </c>
      <c r="B171" s="128" t="s">
        <v>53</v>
      </c>
      <c r="C171" s="133">
        <f>IF(В!B171=FALSE,0,1)*В!A171</f>
        <v>0</v>
      </c>
      <c r="D171" s="134"/>
      <c r="E171" s="198">
        <v>43180</v>
      </c>
      <c r="F171" s="131"/>
      <c r="G171" s="196"/>
      <c r="H171" s="130">
        <f>C171*E171</f>
        <v>0</v>
      </c>
      <c r="I171" s="132"/>
    </row>
    <row r="172" spans="1:9" ht="16.5" hidden="1" customHeight="1" outlineLevel="1">
      <c r="A172" s="127" t="s">
        <v>145</v>
      </c>
      <c r="B172" s="128" t="s">
        <v>51</v>
      </c>
      <c r="C172" s="194">
        <f>IF(В!B172=FALSE,0,1)*В!A172</f>
        <v>0</v>
      </c>
      <c r="D172" s="134"/>
      <c r="E172" s="198">
        <v>8560</v>
      </c>
      <c r="F172" s="131"/>
      <c r="G172" s="196"/>
      <c r="H172" s="130">
        <f>C172*E172</f>
        <v>0</v>
      </c>
      <c r="I172" s="132"/>
    </row>
    <row r="173" spans="1:9" ht="16.5" customHeight="1" collapsed="1">
      <c r="A173" s="122" t="s">
        <v>146</v>
      </c>
      <c r="B173" s="123" t="s">
        <v>69</v>
      </c>
      <c r="C173" s="228">
        <f>IF(В!B173=FALSE,0,1)*В!A173</f>
        <v>0</v>
      </c>
      <c r="D173" s="125">
        <v>450</v>
      </c>
      <c r="E173" s="126">
        <v>1641</v>
      </c>
      <c r="F173" s="124">
        <f>E173+D173</f>
        <v>2091</v>
      </c>
      <c r="G173" s="125">
        <f>D173*C173</f>
        <v>0</v>
      </c>
      <c r="H173" s="126">
        <f>SUM(H174:H182)</f>
        <v>0</v>
      </c>
      <c r="I173" s="124">
        <f>G173+H173</f>
        <v>0</v>
      </c>
    </row>
    <row r="174" spans="1:9" ht="16.5" hidden="1" customHeight="1" outlineLevel="1">
      <c r="A174" s="127" t="s">
        <v>513</v>
      </c>
      <c r="B174" s="128" t="s">
        <v>53</v>
      </c>
      <c r="C174" s="194">
        <f>IF(В!B$173=FALSE,0,1)*В!A174</f>
        <v>0</v>
      </c>
      <c r="D174" s="134"/>
      <c r="E174" s="198">
        <v>2127.5</v>
      </c>
      <c r="F174" s="131"/>
      <c r="G174" s="196"/>
      <c r="H174" s="130">
        <f>C174*E174</f>
        <v>0</v>
      </c>
      <c r="I174" s="132"/>
    </row>
    <row r="175" spans="1:9" ht="16.5" hidden="1" customHeight="1" outlineLevel="1">
      <c r="A175" s="127" t="s">
        <v>514</v>
      </c>
      <c r="B175" s="128" t="s">
        <v>53</v>
      </c>
      <c r="C175" s="194">
        <f>IF(В!B$173=FALSE,0,1)*В!A175</f>
        <v>0</v>
      </c>
      <c r="D175" s="134"/>
      <c r="E175" s="198">
        <v>1450</v>
      </c>
      <c r="F175" s="131"/>
      <c r="G175" s="196"/>
      <c r="H175" s="130">
        <f>C175*E175</f>
        <v>0</v>
      </c>
      <c r="I175" s="132"/>
    </row>
    <row r="176" spans="1:9" ht="16.5" hidden="1" customHeight="1" outlineLevel="1">
      <c r="A176" s="127" t="s">
        <v>515</v>
      </c>
      <c r="B176" s="128" t="s">
        <v>53</v>
      </c>
      <c r="C176" s="194">
        <f>IF(В!B$173=FALSE,0,1)*В!A176</f>
        <v>0</v>
      </c>
      <c r="D176" s="134"/>
      <c r="E176" s="198">
        <v>498.8</v>
      </c>
      <c r="F176" s="131"/>
      <c r="G176" s="196"/>
      <c r="H176" s="130">
        <f>C176*E176</f>
        <v>0</v>
      </c>
      <c r="I176" s="132"/>
    </row>
    <row r="177" spans="1:9" ht="16.5" hidden="1" customHeight="1" outlineLevel="1">
      <c r="A177" s="127" t="s">
        <v>516</v>
      </c>
      <c r="B177" s="128" t="s">
        <v>53</v>
      </c>
      <c r="C177" s="194">
        <f>IF(В!B$173=FALSE,0,1)*В!A177</f>
        <v>0</v>
      </c>
      <c r="D177" s="134"/>
      <c r="E177" s="198">
        <v>911.3</v>
      </c>
      <c r="F177" s="131"/>
      <c r="G177" s="196"/>
      <c r="H177" s="130">
        <f>C177*E177</f>
        <v>0</v>
      </c>
      <c r="I177" s="132"/>
    </row>
    <row r="178" spans="1:9" ht="16.5" hidden="1" customHeight="1" outlineLevel="1">
      <c r="A178" s="127" t="s">
        <v>517</v>
      </c>
      <c r="B178" s="128" t="s">
        <v>53</v>
      </c>
      <c r="C178" s="194">
        <f>IF(В!B$173=FALSE,0,1)*В!A178</f>
        <v>0</v>
      </c>
      <c r="D178" s="134"/>
      <c r="E178" s="198">
        <v>508.8</v>
      </c>
      <c r="F178" s="131"/>
      <c r="G178" s="196"/>
      <c r="H178" s="130">
        <f>C178*E178</f>
        <v>0</v>
      </c>
      <c r="I178" s="132"/>
    </row>
    <row r="179" spans="1:9" ht="16.5" hidden="1" customHeight="1" outlineLevel="1">
      <c r="A179" s="127" t="s">
        <v>518</v>
      </c>
      <c r="B179" s="128" t="s">
        <v>53</v>
      </c>
      <c r="C179" s="194">
        <f>IF(В!B$173=FALSE,0,1)*В!A179</f>
        <v>0</v>
      </c>
      <c r="D179" s="134"/>
      <c r="E179" s="198">
        <v>885</v>
      </c>
      <c r="F179" s="131"/>
      <c r="G179" s="196"/>
      <c r="H179" s="130">
        <f>C179*E179</f>
        <v>0</v>
      </c>
      <c r="I179" s="132"/>
    </row>
    <row r="180" spans="1:9" ht="16.5" hidden="1" customHeight="1" outlineLevel="1">
      <c r="A180" s="127" t="s">
        <v>519</v>
      </c>
      <c r="B180" s="128" t="s">
        <v>53</v>
      </c>
      <c r="C180" s="194">
        <f>IF(В!B$173=FALSE,0,1)*В!A180</f>
        <v>0</v>
      </c>
      <c r="D180" s="134"/>
      <c r="E180" s="198">
        <v>976.3</v>
      </c>
      <c r="F180" s="131"/>
      <c r="G180" s="196"/>
      <c r="H180" s="130">
        <f>C180*E180</f>
        <v>0</v>
      </c>
      <c r="I180" s="132"/>
    </row>
    <row r="181" spans="1:9" ht="16.5" hidden="1" customHeight="1" outlineLevel="1">
      <c r="A181" s="127" t="s">
        <v>520</v>
      </c>
      <c r="B181" s="128" t="s">
        <v>53</v>
      </c>
      <c r="C181" s="194">
        <f>IF(В!B$173=FALSE,0,1)*В!A181</f>
        <v>0</v>
      </c>
      <c r="D181" s="134"/>
      <c r="E181" s="198">
        <v>431.3</v>
      </c>
      <c r="F181" s="131"/>
      <c r="G181" s="196"/>
      <c r="H181" s="130">
        <f>C181*E181</f>
        <v>0</v>
      </c>
      <c r="I181" s="132"/>
    </row>
    <row r="182" spans="1:9" ht="16.5" hidden="1" customHeight="1" outlineLevel="1">
      <c r="A182" s="127" t="s">
        <v>521</v>
      </c>
      <c r="B182" s="128" t="s">
        <v>53</v>
      </c>
      <c r="C182" s="194">
        <f>IF(В!B$173=FALSE,0,1)*В!A182</f>
        <v>0</v>
      </c>
      <c r="D182" s="134"/>
      <c r="E182" s="198">
        <v>891.3</v>
      </c>
      <c r="F182" s="131"/>
      <c r="G182" s="196"/>
      <c r="H182" s="130">
        <f>C182*E182</f>
        <v>0</v>
      </c>
      <c r="I182" s="132"/>
    </row>
    <row r="183" spans="1:9" ht="16.5" customHeight="1" collapsed="1">
      <c r="A183" s="122" t="s">
        <v>147</v>
      </c>
      <c r="B183" s="123" t="s">
        <v>62</v>
      </c>
      <c r="C183" s="228">
        <f>IF(В!B183=FALSE,0,1)*В!A183</f>
        <v>0</v>
      </c>
      <c r="D183" s="125">
        <v>750</v>
      </c>
      <c r="E183" s="126">
        <v>1262</v>
      </c>
      <c r="F183" s="124">
        <f>E183+D183</f>
        <v>2012</v>
      </c>
      <c r="G183" s="125">
        <f>D183*C183</f>
        <v>0</v>
      </c>
      <c r="H183" s="126">
        <f>SUM(H184:H187)</f>
        <v>0</v>
      </c>
      <c r="I183" s="124">
        <f>G183+H183</f>
        <v>0</v>
      </c>
    </row>
    <row r="184" spans="1:9" ht="16.5" hidden="1" customHeight="1" outlineLevel="1">
      <c r="A184" s="127" t="s">
        <v>126</v>
      </c>
      <c r="B184" s="128" t="s">
        <v>56</v>
      </c>
      <c r="C184" s="265">
        <f>IF(В!B$183=FALSE,0,1)*В!A184</f>
        <v>0</v>
      </c>
      <c r="D184" s="134"/>
      <c r="E184" s="130">
        <v>17050</v>
      </c>
      <c r="F184" s="131"/>
      <c r="G184" s="196"/>
      <c r="H184" s="130">
        <f>C184*E184</f>
        <v>0</v>
      </c>
      <c r="I184" s="132"/>
    </row>
    <row r="185" spans="1:9" ht="16.5" hidden="1" customHeight="1" outlineLevel="1">
      <c r="A185" s="127" t="s">
        <v>148</v>
      </c>
      <c r="B185" s="128" t="s">
        <v>62</v>
      </c>
      <c r="C185" s="265">
        <f>IF(В!B$183=FALSE,0,1)*В!A185</f>
        <v>0</v>
      </c>
      <c r="D185" s="134"/>
      <c r="E185" s="198">
        <v>466.9</v>
      </c>
      <c r="F185" s="131"/>
      <c r="G185" s="196"/>
      <c r="H185" s="130">
        <f>C185*E185</f>
        <v>0</v>
      </c>
      <c r="I185" s="132"/>
    </row>
    <row r="186" spans="1:9" s="121" customFormat="1" ht="16.5" hidden="1" customHeight="1" outlineLevel="1">
      <c r="A186" s="127" t="s">
        <v>149</v>
      </c>
      <c r="B186" s="128" t="s">
        <v>69</v>
      </c>
      <c r="C186" s="265">
        <f>IF(В!B$183=FALSE,0,1)*В!A186</f>
        <v>0</v>
      </c>
      <c r="D186" s="134"/>
      <c r="E186" s="198">
        <v>66.7</v>
      </c>
      <c r="F186" s="131"/>
      <c r="G186" s="196"/>
      <c r="H186" s="130">
        <f>C186*E186</f>
        <v>0</v>
      </c>
      <c r="I186" s="132"/>
    </row>
    <row r="187" spans="1:9" ht="16.5" hidden="1" customHeight="1" outlineLevel="1">
      <c r="A187" s="127" t="s">
        <v>150</v>
      </c>
      <c r="B187" s="128" t="s">
        <v>69</v>
      </c>
      <c r="C187" s="265">
        <f>IF(В!B$183=FALSE,0,1)*В!A187</f>
        <v>0</v>
      </c>
      <c r="D187" s="134"/>
      <c r="E187" s="198">
        <v>157.6</v>
      </c>
      <c r="F187" s="131"/>
      <c r="G187" s="196"/>
      <c r="H187" s="130">
        <f>C187*E187</f>
        <v>0</v>
      </c>
      <c r="I187" s="132"/>
    </row>
    <row r="188" spans="1:9" s="83" customFormat="1" ht="16.5" customHeight="1" collapsed="1">
      <c r="A188" s="122" t="s">
        <v>151</v>
      </c>
      <c r="B188" s="123" t="s">
        <v>62</v>
      </c>
      <c r="C188" s="228">
        <f>IF(В!B188=FALSE,0,1)*В!A188</f>
        <v>0</v>
      </c>
      <c r="D188" s="125">
        <v>600</v>
      </c>
      <c r="E188" s="126">
        <v>364</v>
      </c>
      <c r="F188" s="124">
        <f>E188+D188</f>
        <v>964</v>
      </c>
      <c r="G188" s="125">
        <f>IF(В!B188=FALSE,0,1)*D188*C188</f>
        <v>0</v>
      </c>
      <c r="H188" s="126">
        <f>IF(В!B188=FALSE,0,1)*SUM(H189:H189)</f>
        <v>0</v>
      </c>
      <c r="I188" s="124">
        <f>G188+H188</f>
        <v>0</v>
      </c>
    </row>
    <row r="189" spans="1:9" ht="16.5" hidden="1" customHeight="1" outlineLevel="1">
      <c r="A189" s="127" t="s">
        <v>114</v>
      </c>
      <c r="B189" s="128" t="s">
        <v>56</v>
      </c>
      <c r="C189" s="133">
        <f>IF(В!B189=FALSE,0,1)*В!A189</f>
        <v>0</v>
      </c>
      <c r="D189" s="134"/>
      <c r="E189" s="130">
        <v>17050</v>
      </c>
      <c r="F189" s="131"/>
      <c r="G189" s="196"/>
      <c r="H189" s="130">
        <f>C189*E189</f>
        <v>0</v>
      </c>
      <c r="I189" s="132"/>
    </row>
    <row r="190" spans="1:9" ht="16.5" customHeight="1" collapsed="1">
      <c r="A190" s="122" t="s">
        <v>152</v>
      </c>
      <c r="B190" s="123" t="s">
        <v>62</v>
      </c>
      <c r="C190" s="228">
        <f>IF(В!B190=FALSE,0,1)*В!A190</f>
        <v>0</v>
      </c>
      <c r="D190" s="125">
        <v>300</v>
      </c>
      <c r="E190" s="126">
        <v>1987</v>
      </c>
      <c r="F190" s="124">
        <f>E190+D190</f>
        <v>2287</v>
      </c>
      <c r="G190" s="125">
        <f>IF(В!B190=FALSE,0,1)*D190*C190</f>
        <v>0</v>
      </c>
      <c r="H190" s="126">
        <f>IF(В!B190=FALSE,0,1)*SUM(H191:H198)</f>
        <v>0</v>
      </c>
      <c r="I190" s="124">
        <f>G190+H190</f>
        <v>0</v>
      </c>
    </row>
    <row r="191" spans="1:9" ht="16.5" hidden="1" customHeight="1" outlineLevel="1">
      <c r="A191" s="127" t="s">
        <v>127</v>
      </c>
      <c r="B191" s="128" t="s">
        <v>56</v>
      </c>
      <c r="C191" s="133">
        <f>IF(В!B191=FALSE,0,1)*В!A191</f>
        <v>0</v>
      </c>
      <c r="D191" s="134"/>
      <c r="E191" s="195">
        <v>3005</v>
      </c>
      <c r="F191" s="131"/>
      <c r="G191" s="196"/>
      <c r="H191" s="130">
        <f>C191*E191</f>
        <v>0</v>
      </c>
      <c r="I191" s="132"/>
    </row>
    <row r="192" spans="1:9" ht="16.5" hidden="1" customHeight="1" outlineLevel="1">
      <c r="A192" s="238" t="s">
        <v>128</v>
      </c>
      <c r="B192" s="239" t="s">
        <v>62</v>
      </c>
      <c r="C192" s="240">
        <f>IF(В!B192=FALSE,0,1)*В!C192</f>
        <v>0</v>
      </c>
      <c r="D192" s="241"/>
      <c r="E192" s="242">
        <v>27</v>
      </c>
      <c r="F192" s="243"/>
      <c r="G192" s="244"/>
      <c r="H192" s="245">
        <f>C192*E192</f>
        <v>0</v>
      </c>
      <c r="I192" s="246"/>
    </row>
    <row r="193" spans="1:9" ht="16.5" hidden="1" customHeight="1" outlineLevel="1">
      <c r="A193" s="208" t="s">
        <v>129</v>
      </c>
      <c r="B193" s="209" t="s">
        <v>62</v>
      </c>
      <c r="C193" s="216">
        <f>IF(В!B193=FALSE,0,1)*В!C193</f>
        <v>0</v>
      </c>
      <c r="D193" s="211"/>
      <c r="E193" s="247">
        <v>52.8</v>
      </c>
      <c r="F193" s="213"/>
      <c r="G193" s="214"/>
      <c r="H193" s="212">
        <f>C193*E193</f>
        <v>0</v>
      </c>
      <c r="I193" s="215"/>
    </row>
    <row r="194" spans="1:9" ht="16.5" hidden="1" customHeight="1" outlineLevel="1">
      <c r="A194" s="217" t="s">
        <v>130</v>
      </c>
      <c r="B194" s="218" t="s">
        <v>62</v>
      </c>
      <c r="C194" s="219">
        <f>IF(В!B194=FALSE,0,1)*В!C194</f>
        <v>0</v>
      </c>
      <c r="D194" s="220"/>
      <c r="E194" s="248">
        <v>89.1</v>
      </c>
      <c r="F194" s="222"/>
      <c r="G194" s="223"/>
      <c r="H194" s="221">
        <f>C194*E194</f>
        <v>0</v>
      </c>
      <c r="I194" s="224"/>
    </row>
    <row r="195" spans="1:9" ht="16.5" hidden="1" customHeight="1" outlineLevel="1">
      <c r="A195" s="238" t="s">
        <v>132</v>
      </c>
      <c r="B195" s="239" t="s">
        <v>62</v>
      </c>
      <c r="C195" s="240">
        <f>IF(В!B195=FALSE,0,1)*В!C195</f>
        <v>0</v>
      </c>
      <c r="D195" s="241"/>
      <c r="E195" s="242">
        <v>96.8</v>
      </c>
      <c r="F195" s="243"/>
      <c r="G195" s="244"/>
      <c r="H195" s="245">
        <f>C195*E195</f>
        <v>0</v>
      </c>
      <c r="I195" s="246"/>
    </row>
    <row r="196" spans="1:9" ht="16.5" hidden="1" customHeight="1" outlineLevel="1">
      <c r="A196" s="208" t="s">
        <v>132</v>
      </c>
      <c r="B196" s="209" t="s">
        <v>62</v>
      </c>
      <c r="C196" s="216">
        <f>IF(В!B196=FALSE,0,1)*В!C196</f>
        <v>0</v>
      </c>
      <c r="D196" s="211"/>
      <c r="E196" s="247">
        <v>96.8</v>
      </c>
      <c r="F196" s="213"/>
      <c r="G196" s="214"/>
      <c r="H196" s="212">
        <f>C196*E196</f>
        <v>0</v>
      </c>
      <c r="I196" s="215"/>
    </row>
    <row r="197" spans="1:9" ht="16.5" hidden="1" customHeight="1" outlineLevel="1">
      <c r="A197" s="217" t="s">
        <v>115</v>
      </c>
      <c r="B197" s="218" t="s">
        <v>62</v>
      </c>
      <c r="C197" s="219">
        <f>IF(В!B197=FALSE,0,1)*В!C197</f>
        <v>0</v>
      </c>
      <c r="D197" s="220"/>
      <c r="E197" s="248">
        <v>105.6</v>
      </c>
      <c r="F197" s="222"/>
      <c r="G197" s="223"/>
      <c r="H197" s="221">
        <f>C197*E197</f>
        <v>0</v>
      </c>
      <c r="I197" s="224"/>
    </row>
    <row r="198" spans="1:9" ht="16.5" hidden="1" customHeight="1" outlineLevel="1">
      <c r="A198" s="127" t="s">
        <v>117</v>
      </c>
      <c r="B198" s="128" t="s">
        <v>56</v>
      </c>
      <c r="C198" s="234">
        <f>IF(В!B198=FALSE,0,1)*В!A198</f>
        <v>0</v>
      </c>
      <c r="D198" s="134"/>
      <c r="E198" s="130">
        <v>17050</v>
      </c>
      <c r="F198" s="131"/>
      <c r="G198" s="196"/>
      <c r="H198" s="130">
        <f>C198*E198</f>
        <v>0</v>
      </c>
      <c r="I198" s="132"/>
    </row>
    <row r="199" spans="1:9" ht="16.5" customHeight="1">
      <c r="A199" s="136" t="s">
        <v>215</v>
      </c>
      <c r="B199" s="137" t="s">
        <v>485</v>
      </c>
      <c r="C199" s="138"/>
      <c r="D199" s="139"/>
      <c r="E199" s="140"/>
      <c r="F199" s="141"/>
      <c r="G199" s="142"/>
      <c r="H199" s="143"/>
      <c r="I199" s="141"/>
    </row>
    <row r="200" spans="1:9" ht="16.5" customHeight="1">
      <c r="A200" s="145"/>
      <c r="B200" s="146"/>
      <c r="C200" s="147"/>
      <c r="D200" s="148"/>
      <c r="E200" s="149"/>
      <c r="F200" s="150"/>
      <c r="G200" s="151" t="s">
        <v>57</v>
      </c>
      <c r="H200" s="152" t="s">
        <v>58</v>
      </c>
      <c r="I200" s="153" t="s">
        <v>59</v>
      </c>
    </row>
    <row r="201" spans="1:9" ht="16.5" customHeight="1">
      <c r="A201" s="154" t="s">
        <v>47</v>
      </c>
      <c r="B201" s="155"/>
      <c r="C201" s="156"/>
      <c r="D201" s="157"/>
      <c r="E201" s="157"/>
      <c r="F201" s="86"/>
      <c r="G201" s="158">
        <f>SUM(G131:G199)</f>
        <v>573543</v>
      </c>
      <c r="H201" s="159">
        <f>I201-G201</f>
        <v>559529</v>
      </c>
      <c r="I201" s="160">
        <f>SUM(I131:I199)</f>
        <v>1133072</v>
      </c>
    </row>
    <row r="202" spans="1:9" ht="16.5" customHeight="1">
      <c r="A202" s="161" t="s">
        <v>486</v>
      </c>
      <c r="B202" s="162"/>
      <c r="C202" s="163"/>
      <c r="D202" s="164"/>
      <c r="E202" s="164"/>
      <c r="F202" s="165"/>
      <c r="G202" s="166">
        <v>0</v>
      </c>
      <c r="H202" s="167"/>
      <c r="I202" s="168">
        <f>G201*В!A202</f>
        <v>86031</v>
      </c>
    </row>
    <row r="203" spans="1:9" ht="16.5" customHeight="1">
      <c r="A203" s="169" t="s">
        <v>487</v>
      </c>
      <c r="B203" s="170"/>
      <c r="C203" s="171"/>
      <c r="D203" s="172"/>
      <c r="E203" s="173"/>
      <c r="F203" s="170"/>
      <c r="G203" s="174">
        <v>0</v>
      </c>
      <c r="H203" s="175"/>
      <c r="I203" s="176">
        <f>G201*В!A203</f>
        <v>37280</v>
      </c>
    </row>
    <row r="204" spans="1:9" ht="20.25">
      <c r="A204" s="177" t="s">
        <v>522</v>
      </c>
      <c r="B204" s="266"/>
      <c r="C204" s="267"/>
      <c r="D204" s="268"/>
      <c r="E204" s="269"/>
      <c r="F204" s="266"/>
      <c r="G204" s="270"/>
      <c r="H204" s="271"/>
      <c r="I204" s="184">
        <f>SUM(I201:I203)</f>
        <v>1256383</v>
      </c>
    </row>
    <row r="205" spans="1:9" ht="16.5" customHeight="1"/>
    <row r="206" spans="1:9" ht="16.5" customHeight="1">
      <c r="A206" s="102" t="s">
        <v>33</v>
      </c>
      <c r="B206" s="103" t="s">
        <v>34</v>
      </c>
      <c r="C206" s="103" t="s">
        <v>35</v>
      </c>
      <c r="D206" s="104" t="s">
        <v>36</v>
      </c>
      <c r="E206" s="105"/>
      <c r="F206" s="106" t="s">
        <v>37</v>
      </c>
      <c r="G206" s="104" t="s">
        <v>38</v>
      </c>
      <c r="H206" s="107"/>
      <c r="I206" s="106" t="s">
        <v>39</v>
      </c>
    </row>
    <row r="207" spans="1:9" ht="16.5" customHeight="1">
      <c r="A207" s="102"/>
      <c r="B207" s="108"/>
      <c r="C207" s="108"/>
      <c r="D207" s="109" t="s">
        <v>45</v>
      </c>
      <c r="E207" s="109" t="s">
        <v>46</v>
      </c>
      <c r="F207" s="110" t="s">
        <v>47</v>
      </c>
      <c r="G207" s="109" t="s">
        <v>45</v>
      </c>
      <c r="H207" s="109" t="s">
        <v>46</v>
      </c>
      <c r="I207" s="110" t="s">
        <v>47</v>
      </c>
    </row>
    <row r="208" spans="1:9" ht="16.5" customHeight="1">
      <c r="A208" s="114" t="s">
        <v>153</v>
      </c>
      <c r="B208" s="115"/>
      <c r="C208" s="116"/>
      <c r="D208" s="117"/>
      <c r="E208" s="118"/>
      <c r="F208" s="119"/>
      <c r="G208" s="120"/>
      <c r="H208" s="118"/>
      <c r="I208" s="119"/>
    </row>
    <row r="209" spans="1:9" ht="16.5" customHeight="1">
      <c r="A209" s="122" t="s">
        <v>154</v>
      </c>
      <c r="B209" s="123" t="s">
        <v>155</v>
      </c>
      <c r="C209" s="124">
        <f>IF(В!B209=FALSE,0,1)*В!C209</f>
        <v>90</v>
      </c>
      <c r="D209" s="125">
        <v>1300</v>
      </c>
      <c r="E209" s="126">
        <v>0</v>
      </c>
      <c r="F209" s="124">
        <f>E209+D209</f>
        <v>1300</v>
      </c>
      <c r="G209" s="125">
        <f>D209*C209</f>
        <v>117000</v>
      </c>
      <c r="H209" s="126"/>
      <c r="I209" s="124">
        <f>G209+H209</f>
        <v>117000</v>
      </c>
    </row>
    <row r="210" spans="1:9" ht="16.5" customHeight="1" collapsed="1">
      <c r="A210" s="122" t="s">
        <v>156</v>
      </c>
      <c r="B210" s="123" t="s">
        <v>62</v>
      </c>
      <c r="C210" s="124">
        <f>IF(В!B210=FALSE,0,1)*В!A210</f>
        <v>191</v>
      </c>
      <c r="D210" s="125">
        <v>200</v>
      </c>
      <c r="E210" s="126">
        <v>739</v>
      </c>
      <c r="F210" s="124">
        <f>D210+E210</f>
        <v>939</v>
      </c>
      <c r="G210" s="125">
        <f>D210*C210</f>
        <v>38200</v>
      </c>
      <c r="H210" s="126">
        <f>H211</f>
        <v>141240</v>
      </c>
      <c r="I210" s="124">
        <f>G210+H210</f>
        <v>179440</v>
      </c>
    </row>
    <row r="211" spans="1:9" ht="16.5" hidden="1" customHeight="1" outlineLevel="1">
      <c r="A211" s="127" t="s">
        <v>55</v>
      </c>
      <c r="B211" s="128" t="s">
        <v>56</v>
      </c>
      <c r="C211" s="133">
        <f>IF(В!B211=FALSE,0,1)*В!A211</f>
        <v>10.7</v>
      </c>
      <c r="D211" s="134"/>
      <c r="E211" s="130">
        <v>13200</v>
      </c>
      <c r="F211" s="131"/>
      <c r="G211" s="196"/>
      <c r="H211" s="130">
        <f>C211*E211</f>
        <v>141240</v>
      </c>
      <c r="I211" s="132"/>
    </row>
    <row r="212" spans="1:9" ht="16.5" customHeight="1">
      <c r="A212" s="122" t="s">
        <v>157</v>
      </c>
      <c r="B212" s="123" t="s">
        <v>62</v>
      </c>
      <c r="C212" s="124">
        <f>IF(В!B212=FALSE,0,1)*В!A212</f>
        <v>0</v>
      </c>
      <c r="D212" s="125">
        <v>100</v>
      </c>
      <c r="E212" s="126">
        <v>0</v>
      </c>
      <c r="F212" s="124">
        <f>E212+D212</f>
        <v>100</v>
      </c>
      <c r="G212" s="125">
        <f>IF(В!B212=FALSE,0,1)*D212*C212</f>
        <v>0</v>
      </c>
      <c r="H212" s="126"/>
      <c r="I212" s="124">
        <f>G212+H212</f>
        <v>0</v>
      </c>
    </row>
    <row r="213" spans="1:9" s="121" customFormat="1" ht="16.5" customHeight="1" collapsed="1">
      <c r="A213" s="122" t="s">
        <v>158</v>
      </c>
      <c r="B213" s="123" t="s">
        <v>62</v>
      </c>
      <c r="C213" s="193">
        <f>IF(В!B213=FALSE,0,1)*В!A213</f>
        <v>0</v>
      </c>
      <c r="D213" s="125">
        <v>2500</v>
      </c>
      <c r="E213" s="126">
        <v>21838</v>
      </c>
      <c r="F213" s="124">
        <f>E213+D213</f>
        <v>24338</v>
      </c>
      <c r="G213" s="125">
        <f>IF(В!B213=FALSE,0,1)*D213*C213</f>
        <v>0</v>
      </c>
      <c r="H213" s="126">
        <f>IF(В!C1=FALSE,0,1)*SUM(H214:H218)</f>
        <v>0</v>
      </c>
      <c r="I213" s="124">
        <f>G213+H213</f>
        <v>0</v>
      </c>
    </row>
    <row r="214" spans="1:9" ht="16.5" hidden="1" customHeight="1" outlineLevel="1">
      <c r="A214" s="249" t="s">
        <v>159</v>
      </c>
      <c r="B214" s="239" t="s">
        <v>62</v>
      </c>
      <c r="C214" s="272">
        <f>IF(В!B214=FALSE,0,1)*В!C214</f>
        <v>0</v>
      </c>
      <c r="D214" s="241"/>
      <c r="E214" s="245">
        <v>8500</v>
      </c>
      <c r="F214" s="243"/>
      <c r="G214" s="244"/>
      <c r="H214" s="245">
        <f>C214*E214</f>
        <v>0</v>
      </c>
      <c r="I214" s="246"/>
    </row>
    <row r="215" spans="1:9" ht="16.5" hidden="1" customHeight="1" outlineLevel="1">
      <c r="A215" s="250" t="s">
        <v>160</v>
      </c>
      <c r="B215" s="209" t="s">
        <v>62</v>
      </c>
      <c r="C215" s="210">
        <f>IF(В!B215=FALSE,0,1)*В!C215</f>
        <v>0</v>
      </c>
      <c r="D215" s="211"/>
      <c r="E215" s="212">
        <v>9875</v>
      </c>
      <c r="F215" s="213"/>
      <c r="G215" s="214"/>
      <c r="H215" s="212">
        <f>C215*E215</f>
        <v>0</v>
      </c>
      <c r="I215" s="215"/>
    </row>
    <row r="216" spans="1:9" ht="16.5" hidden="1" customHeight="1" outlineLevel="1">
      <c r="A216" s="251" t="s">
        <v>161</v>
      </c>
      <c r="B216" s="218" t="s">
        <v>62</v>
      </c>
      <c r="C216" s="273">
        <f>IF(В!B216=FALSE,0,1)*В!C216</f>
        <v>0</v>
      </c>
      <c r="D216" s="220"/>
      <c r="E216" s="221">
        <v>10850</v>
      </c>
      <c r="F216" s="222"/>
      <c r="G216" s="223"/>
      <c r="H216" s="221">
        <f>C216*E216</f>
        <v>0</v>
      </c>
      <c r="I216" s="224"/>
    </row>
    <row r="217" spans="1:9" ht="16.5" hidden="1" customHeight="1" outlineLevel="1">
      <c r="A217" s="127" t="s">
        <v>162</v>
      </c>
      <c r="B217" s="128" t="s">
        <v>62</v>
      </c>
      <c r="C217" s="133">
        <f>IF(В!B217=FALSE,0,1)*В!A217</f>
        <v>0</v>
      </c>
      <c r="D217" s="134"/>
      <c r="E217" s="130">
        <v>10350</v>
      </c>
      <c r="F217" s="131"/>
      <c r="G217" s="196"/>
      <c r="H217" s="130">
        <f>C217*E217</f>
        <v>0</v>
      </c>
      <c r="I217" s="132"/>
    </row>
    <row r="218" spans="1:9" ht="16.5" hidden="1" customHeight="1" outlineLevel="1">
      <c r="A218" s="127" t="s">
        <v>163</v>
      </c>
      <c r="B218" s="128" t="s">
        <v>62</v>
      </c>
      <c r="C218" s="133">
        <f>IF(В!B218=FALSE,0,1)*В!A218</f>
        <v>0</v>
      </c>
      <c r="D218" s="134"/>
      <c r="E218" s="130">
        <v>14650</v>
      </c>
      <c r="F218" s="131"/>
      <c r="G218" s="196"/>
      <c r="H218" s="130">
        <f>C218*E218</f>
        <v>0</v>
      </c>
      <c r="I218" s="132"/>
    </row>
    <row r="219" spans="1:9" s="83" customFormat="1" ht="16.5" customHeight="1" collapsed="1">
      <c r="A219" s="122" t="s">
        <v>164</v>
      </c>
      <c r="B219" s="123" t="s">
        <v>56</v>
      </c>
      <c r="C219" s="193">
        <f>IF(В!B219=FALSE,0,1)*В!A219</f>
        <v>0</v>
      </c>
      <c r="D219" s="125">
        <v>12000</v>
      </c>
      <c r="E219" s="126">
        <v>19792</v>
      </c>
      <c r="F219" s="124">
        <f>E219+D219</f>
        <v>31792</v>
      </c>
      <c r="G219" s="125">
        <f>D219*C219</f>
        <v>0</v>
      </c>
      <c r="H219" s="126">
        <f>IF(В!B219=FALSE,0,1)*SUM(H220:H230)</f>
        <v>0</v>
      </c>
      <c r="I219" s="124">
        <f>G219+H219</f>
        <v>0</v>
      </c>
    </row>
    <row r="220" spans="1:9" ht="16.5" hidden="1" customHeight="1" outlineLevel="1">
      <c r="A220" s="127" t="s">
        <v>109</v>
      </c>
      <c r="B220" s="128" t="s">
        <v>53</v>
      </c>
      <c r="C220" s="194">
        <f>IF(В!B220=FALSE,0,1)*В!A220</f>
        <v>0</v>
      </c>
      <c r="D220" s="134"/>
      <c r="E220" s="232">
        <v>17.489999999999998</v>
      </c>
      <c r="F220" s="131"/>
      <c r="G220" s="196"/>
      <c r="H220" s="130">
        <f>C220*E220</f>
        <v>0</v>
      </c>
      <c r="I220" s="132"/>
    </row>
    <row r="221" spans="1:9" ht="16.5" hidden="1" customHeight="1" outlineLevel="1">
      <c r="A221" s="127" t="s">
        <v>97</v>
      </c>
      <c r="B221" s="128" t="s">
        <v>69</v>
      </c>
      <c r="C221" s="194">
        <f>IF(В!B221=FALSE,0,1)*В!A221</f>
        <v>0</v>
      </c>
      <c r="D221" s="134"/>
      <c r="E221" s="198">
        <v>496</v>
      </c>
      <c r="F221" s="131"/>
      <c r="G221" s="196"/>
      <c r="H221" s="130">
        <f>C221*E221</f>
        <v>0</v>
      </c>
      <c r="I221" s="132"/>
    </row>
    <row r="222" spans="1:9" s="274" customFormat="1" ht="16.5" hidden="1" customHeight="1" outlineLevel="1">
      <c r="A222" s="127" t="s">
        <v>165</v>
      </c>
      <c r="B222" s="128" t="s">
        <v>53</v>
      </c>
      <c r="C222" s="194">
        <f>IF(В!B222=FALSE,0,1)*В!A222</f>
        <v>0</v>
      </c>
      <c r="D222" s="134"/>
      <c r="E222" s="198">
        <v>98</v>
      </c>
      <c r="F222" s="131"/>
      <c r="G222" s="196"/>
      <c r="H222" s="130">
        <f>C222*E222</f>
        <v>0</v>
      </c>
      <c r="I222" s="132"/>
    </row>
    <row r="223" spans="1:9" s="83" customFormat="1" ht="16.5" hidden="1" customHeight="1" outlineLevel="1">
      <c r="A223" s="127" t="s">
        <v>166</v>
      </c>
      <c r="B223" s="128" t="s">
        <v>69</v>
      </c>
      <c r="C223" s="194">
        <f>IF(В!B223=FALSE,0,1)*В!A223</f>
        <v>0</v>
      </c>
      <c r="D223" s="134"/>
      <c r="E223" s="198">
        <v>194</v>
      </c>
      <c r="F223" s="131"/>
      <c r="G223" s="196"/>
      <c r="H223" s="130">
        <f>C223*E223</f>
        <v>0</v>
      </c>
      <c r="I223" s="132"/>
    </row>
    <row r="224" spans="1:9" s="274" customFormat="1" ht="16.5" hidden="1" customHeight="1" outlineLevel="1">
      <c r="A224" s="127" t="s">
        <v>167</v>
      </c>
      <c r="B224" s="128" t="s">
        <v>53</v>
      </c>
      <c r="C224" s="194">
        <f>IF(В!B224=FALSE,0,1)*В!A224</f>
        <v>0</v>
      </c>
      <c r="D224" s="134"/>
      <c r="E224" s="198">
        <v>2941</v>
      </c>
      <c r="F224" s="131"/>
      <c r="G224" s="196"/>
      <c r="H224" s="130">
        <f>C224*E224</f>
        <v>0</v>
      </c>
      <c r="I224" s="132"/>
    </row>
    <row r="225" spans="1:9" ht="16.5" hidden="1" customHeight="1" outlineLevel="1">
      <c r="A225" s="127" t="s">
        <v>168</v>
      </c>
      <c r="B225" s="128" t="s">
        <v>53</v>
      </c>
      <c r="C225" s="194">
        <f>IF(В!B225=FALSE,0,1)*В!A225</f>
        <v>0</v>
      </c>
      <c r="D225" s="134"/>
      <c r="E225" s="198">
        <v>3224</v>
      </c>
      <c r="F225" s="131"/>
      <c r="G225" s="196"/>
      <c r="H225" s="130">
        <f>C225*E225</f>
        <v>0</v>
      </c>
      <c r="I225" s="132"/>
    </row>
    <row r="226" spans="1:9" s="83" customFormat="1" ht="16.5" hidden="1" customHeight="1" outlineLevel="1">
      <c r="A226" s="127" t="s">
        <v>169</v>
      </c>
      <c r="B226" s="128" t="s">
        <v>53</v>
      </c>
      <c r="C226" s="194">
        <f>IF(В!B226=FALSE,0,1)*В!A226</f>
        <v>0</v>
      </c>
      <c r="D226" s="134"/>
      <c r="E226" s="198">
        <v>3903</v>
      </c>
      <c r="F226" s="131"/>
      <c r="G226" s="196"/>
      <c r="H226" s="130">
        <f>C226*E226</f>
        <v>0</v>
      </c>
      <c r="I226" s="132"/>
    </row>
    <row r="227" spans="1:9" s="274" customFormat="1" ht="16.5" hidden="1" customHeight="1" outlineLevel="1">
      <c r="A227" s="127" t="s">
        <v>170</v>
      </c>
      <c r="B227" s="128" t="s">
        <v>53</v>
      </c>
      <c r="C227" s="194">
        <f>IF(В!B227=FALSE,0,1)*В!A227</f>
        <v>0</v>
      </c>
      <c r="D227" s="134"/>
      <c r="E227" s="198">
        <v>1698</v>
      </c>
      <c r="F227" s="131"/>
      <c r="G227" s="196"/>
      <c r="H227" s="130">
        <f>C227*E227</f>
        <v>0</v>
      </c>
      <c r="I227" s="132"/>
    </row>
    <row r="228" spans="1:9" s="274" customFormat="1" ht="16.5" hidden="1" customHeight="1" outlineLevel="1">
      <c r="A228" s="127" t="s">
        <v>171</v>
      </c>
      <c r="B228" s="128" t="s">
        <v>53</v>
      </c>
      <c r="C228" s="194">
        <f>IF(В!B228=FALSE,0,1)*В!A228</f>
        <v>0</v>
      </c>
      <c r="D228" s="134"/>
      <c r="E228" s="198">
        <v>453</v>
      </c>
      <c r="F228" s="131"/>
      <c r="G228" s="196"/>
      <c r="H228" s="130">
        <f>C228*E228</f>
        <v>0</v>
      </c>
      <c r="I228" s="132"/>
    </row>
    <row r="229" spans="1:9" s="83" customFormat="1" ht="16.5" hidden="1" customHeight="1" outlineLevel="1">
      <c r="A229" s="127" t="s">
        <v>172</v>
      </c>
      <c r="B229" s="128" t="s">
        <v>135</v>
      </c>
      <c r="C229" s="194">
        <f>IF(В!B229=FALSE,0,1)*В!A229</f>
        <v>0</v>
      </c>
      <c r="D229" s="134"/>
      <c r="E229" s="198">
        <v>1393</v>
      </c>
      <c r="F229" s="131"/>
      <c r="G229" s="196"/>
      <c r="H229" s="130">
        <f>C229*E229</f>
        <v>0</v>
      </c>
      <c r="I229" s="132"/>
    </row>
    <row r="230" spans="1:9" s="83" customFormat="1" ht="16.5" hidden="1" customHeight="1" outlineLevel="1">
      <c r="A230" s="127" t="s">
        <v>106</v>
      </c>
      <c r="B230" s="128" t="s">
        <v>80</v>
      </c>
      <c r="C230" s="194">
        <f>IF(В!B230=FALSE,0,1)*В!A230</f>
        <v>0</v>
      </c>
      <c r="D230" s="134"/>
      <c r="E230" s="198">
        <v>6.2</v>
      </c>
      <c r="F230" s="131"/>
      <c r="G230" s="196"/>
      <c r="H230" s="130">
        <f>C230*E230</f>
        <v>0</v>
      </c>
      <c r="I230" s="132"/>
    </row>
    <row r="231" spans="1:9" ht="16.5" customHeight="1" collapsed="1">
      <c r="A231" s="122" t="s">
        <v>173</v>
      </c>
      <c r="B231" s="123" t="s">
        <v>51</v>
      </c>
      <c r="C231" s="124">
        <f>IF(В!B231=FALSE,0,1)*В!A231</f>
        <v>0</v>
      </c>
      <c r="D231" s="125">
        <v>12000</v>
      </c>
      <c r="E231" s="126">
        <v>20592</v>
      </c>
      <c r="F231" s="124">
        <f>E231+D231</f>
        <v>32592</v>
      </c>
      <c r="G231" s="125">
        <f>D231*C231</f>
        <v>0</v>
      </c>
      <c r="H231" s="126">
        <f>SUM(H232:H232)</f>
        <v>0</v>
      </c>
      <c r="I231" s="124">
        <f>G231+H231</f>
        <v>0</v>
      </c>
    </row>
    <row r="232" spans="1:9" ht="16.5" hidden="1" customHeight="1" outlineLevel="1">
      <c r="A232" s="127" t="s">
        <v>174</v>
      </c>
      <c r="B232" s="128" t="s">
        <v>51</v>
      </c>
      <c r="C232" s="194">
        <f>IF(В!B232=FALSE,0,1)*В!A232</f>
        <v>0</v>
      </c>
      <c r="D232" s="134"/>
      <c r="E232" s="198">
        <v>20592</v>
      </c>
      <c r="F232" s="131"/>
      <c r="G232" s="196"/>
      <c r="H232" s="130">
        <f>C232*E232</f>
        <v>0</v>
      </c>
      <c r="I232" s="132"/>
    </row>
    <row r="233" spans="1:9" ht="16.5" customHeight="1" collapsed="1">
      <c r="A233" s="122" t="s">
        <v>175</v>
      </c>
      <c r="B233" s="123" t="s">
        <v>53</v>
      </c>
      <c r="C233" s="124">
        <f>IF(В!B233=FALSE,0,1)*В!A233</f>
        <v>0</v>
      </c>
      <c r="D233" s="125">
        <v>3000</v>
      </c>
      <c r="E233" s="126">
        <v>0</v>
      </c>
      <c r="F233" s="124">
        <f>E233+D233</f>
        <v>3000</v>
      </c>
      <c r="G233" s="125">
        <f>D233*C233</f>
        <v>0</v>
      </c>
      <c r="H233" s="126">
        <f>SUM(H234:H236)</f>
        <v>0</v>
      </c>
      <c r="I233" s="124">
        <f>G233+H233</f>
        <v>0</v>
      </c>
    </row>
    <row r="234" spans="1:9" ht="16.5" hidden="1" customHeight="1" outlineLevel="1">
      <c r="A234" s="225" t="s">
        <v>523</v>
      </c>
      <c r="B234" s="128" t="s">
        <v>53</v>
      </c>
      <c r="C234" s="194">
        <f>IF(В!B234=FALSE,0,1)*В!A234</f>
        <v>0</v>
      </c>
      <c r="D234" s="134"/>
      <c r="E234" s="195">
        <v>19261</v>
      </c>
      <c r="F234" s="131"/>
      <c r="G234" s="196"/>
      <c r="H234" s="130">
        <f>C234*E234</f>
        <v>0</v>
      </c>
      <c r="I234" s="132"/>
    </row>
    <row r="235" spans="1:9" ht="16.5" hidden="1" customHeight="1" outlineLevel="1">
      <c r="A235" s="225" t="s">
        <v>524</v>
      </c>
      <c r="B235" s="128" t="s">
        <v>53</v>
      </c>
      <c r="C235" s="194">
        <f>IF(В!B235=FALSE,0,1)*В!A235</f>
        <v>0</v>
      </c>
      <c r="D235" s="134"/>
      <c r="E235" s="195">
        <v>9537</v>
      </c>
      <c r="F235" s="131"/>
      <c r="G235" s="196"/>
      <c r="H235" s="130">
        <f>C235*E235</f>
        <v>0</v>
      </c>
      <c r="I235" s="132"/>
    </row>
    <row r="236" spans="1:9" ht="16.5" hidden="1" customHeight="1" outlineLevel="1">
      <c r="A236" s="225" t="s">
        <v>525</v>
      </c>
      <c r="B236" s="128" t="s">
        <v>53</v>
      </c>
      <c r="C236" s="194">
        <f>IF(В!B236=FALSE,0,1)*В!A236</f>
        <v>0</v>
      </c>
      <c r="D236" s="134"/>
      <c r="E236" s="195">
        <v>7106</v>
      </c>
      <c r="F236" s="131"/>
      <c r="G236" s="196"/>
      <c r="H236" s="130">
        <f>C236*E236</f>
        <v>0</v>
      </c>
      <c r="I236" s="132"/>
    </row>
    <row r="237" spans="1:9" ht="16.5" customHeight="1" collapsed="1">
      <c r="A237" s="122" t="s">
        <v>176</v>
      </c>
      <c r="B237" s="123" t="s">
        <v>56</v>
      </c>
      <c r="C237" s="193">
        <f>IF(В!B237=FALSE,0,1)*В!A237</f>
        <v>0</v>
      </c>
      <c r="D237" s="125">
        <v>15000</v>
      </c>
      <c r="E237" s="126">
        <v>15500</v>
      </c>
      <c r="F237" s="124">
        <f>E237+D237</f>
        <v>30500</v>
      </c>
      <c r="G237" s="125">
        <f>IF(В!B237=FALSE,0,1)*D237*C237</f>
        <v>0</v>
      </c>
      <c r="H237" s="126">
        <f>IF(В!B237=FALSE,0,1)*SUM(H238:H242)</f>
        <v>0</v>
      </c>
      <c r="I237" s="124">
        <f>G237+H237</f>
        <v>0</v>
      </c>
    </row>
    <row r="238" spans="1:9" s="83" customFormat="1" ht="16.5" hidden="1" customHeight="1" outlineLevel="1">
      <c r="A238" s="127" t="s">
        <v>70</v>
      </c>
      <c r="B238" s="128" t="s">
        <v>69</v>
      </c>
      <c r="C238" s="194">
        <f>IF(В!B238=FALSE,0,1)*В!A238</f>
        <v>0</v>
      </c>
      <c r="D238" s="134"/>
      <c r="E238" s="198">
        <v>33.9</v>
      </c>
      <c r="F238" s="131"/>
      <c r="G238" s="196"/>
      <c r="H238" s="130">
        <f>C238*E238</f>
        <v>0</v>
      </c>
      <c r="I238" s="132"/>
    </row>
    <row r="239" spans="1:9" s="83" customFormat="1" ht="16.5" hidden="1" customHeight="1" outlineLevel="1">
      <c r="A239" s="127" t="s">
        <v>71</v>
      </c>
      <c r="B239" s="128" t="s">
        <v>69</v>
      </c>
      <c r="C239" s="194">
        <f>IF(В!B239=FALSE,0,1)*В!A239</f>
        <v>0</v>
      </c>
      <c r="D239" s="134"/>
      <c r="E239" s="198">
        <v>45</v>
      </c>
      <c r="F239" s="131"/>
      <c r="G239" s="196"/>
      <c r="H239" s="130">
        <f>C239*E239</f>
        <v>0</v>
      </c>
      <c r="I239" s="132"/>
    </row>
    <row r="240" spans="1:9" ht="16.5" hidden="1" customHeight="1" outlineLevel="1">
      <c r="A240" s="127" t="s">
        <v>75</v>
      </c>
      <c r="B240" s="128" t="s">
        <v>56</v>
      </c>
      <c r="C240" s="133">
        <f>IF(В!B240=FALSE,0,1)*В!A240</f>
        <v>0</v>
      </c>
      <c r="D240" s="134"/>
      <c r="E240" s="130">
        <v>13200</v>
      </c>
      <c r="F240" s="131"/>
      <c r="G240" s="196"/>
      <c r="H240" s="130">
        <f>C240*E240</f>
        <v>0</v>
      </c>
      <c r="I240" s="132"/>
    </row>
    <row r="241" spans="1:9" ht="16.5" hidden="1" customHeight="1" outlineLevel="1">
      <c r="A241" s="127" t="s">
        <v>98</v>
      </c>
      <c r="B241" s="128" t="s">
        <v>80</v>
      </c>
      <c r="C241" s="194">
        <f>IF(В!B241=FALSE,0,1)*В!A241</f>
        <v>0</v>
      </c>
      <c r="D241" s="134"/>
      <c r="E241" s="198">
        <v>6.4</v>
      </c>
      <c r="F241" s="131"/>
      <c r="G241" s="196"/>
      <c r="H241" s="130">
        <f>C241*E241</f>
        <v>0</v>
      </c>
      <c r="I241" s="132"/>
    </row>
    <row r="242" spans="1:9" ht="16.5" hidden="1" customHeight="1" outlineLevel="1">
      <c r="A242" s="127" t="s">
        <v>77</v>
      </c>
      <c r="B242" s="128" t="s">
        <v>78</v>
      </c>
      <c r="C242" s="194">
        <f>IF(В!B242=FALSE,0,1)*В!C242</f>
        <v>0</v>
      </c>
      <c r="D242" s="134"/>
      <c r="E242" s="130">
        <v>138</v>
      </c>
      <c r="F242" s="131"/>
      <c r="G242" s="196"/>
      <c r="H242" s="130">
        <f>C242*E242</f>
        <v>0</v>
      </c>
      <c r="I242" s="132"/>
    </row>
    <row r="243" spans="1:9" ht="16.5" customHeight="1" collapsed="1">
      <c r="A243" s="233" t="s">
        <v>309</v>
      </c>
      <c r="B243" s="123" t="s">
        <v>177</v>
      </c>
      <c r="C243" s="124">
        <f>IF(В!B243=FALSE,0,1)*В!A243</f>
        <v>0</v>
      </c>
      <c r="D243" s="125">
        <v>4300</v>
      </c>
      <c r="E243" s="126">
        <v>3109</v>
      </c>
      <c r="F243" s="124">
        <f>E243+D243</f>
        <v>7409</v>
      </c>
      <c r="G243" s="125">
        <f>IF(В!B243=FALSE,0,1)*D243*C243</f>
        <v>0</v>
      </c>
      <c r="H243" s="126">
        <f>IF(В!B243=FALSE,0,1)*SUM(H244:H251)</f>
        <v>0</v>
      </c>
      <c r="I243" s="124">
        <f>G243+H243</f>
        <v>0</v>
      </c>
    </row>
    <row r="244" spans="1:9" ht="16.5" hidden="1" customHeight="1" outlineLevel="1">
      <c r="A244" s="127" t="s">
        <v>70</v>
      </c>
      <c r="B244" s="128" t="s">
        <v>69</v>
      </c>
      <c r="C244" s="194">
        <f>IF(В!B244=FALSE,0,1)*В!A244</f>
        <v>0</v>
      </c>
      <c r="D244" s="134"/>
      <c r="E244" s="198">
        <v>33.9</v>
      </c>
      <c r="F244" s="131"/>
      <c r="G244" s="196"/>
      <c r="H244" s="130">
        <f>C244*E244</f>
        <v>0</v>
      </c>
      <c r="I244" s="132"/>
    </row>
    <row r="245" spans="1:9" ht="16.5" hidden="1" customHeight="1" outlineLevel="1">
      <c r="A245" s="127" t="s">
        <v>72</v>
      </c>
      <c r="B245" s="128" t="s">
        <v>69</v>
      </c>
      <c r="C245" s="194">
        <f>IF(В!B245=FALSE,0,1)*В!A245</f>
        <v>0</v>
      </c>
      <c r="D245" s="134"/>
      <c r="E245" s="198">
        <v>60.5</v>
      </c>
      <c r="F245" s="131"/>
      <c r="G245" s="196"/>
      <c r="H245" s="130">
        <f>C245*E245</f>
        <v>0</v>
      </c>
      <c r="I245" s="132"/>
    </row>
    <row r="246" spans="1:9" ht="16.5" hidden="1" customHeight="1" outlineLevel="1">
      <c r="A246" s="127" t="s">
        <v>75</v>
      </c>
      <c r="B246" s="128" t="s">
        <v>56</v>
      </c>
      <c r="C246" s="133">
        <f>IF(В!B246=FALSE,0,1)*В!A246</f>
        <v>0</v>
      </c>
      <c r="D246" s="134"/>
      <c r="E246" s="130">
        <v>13200</v>
      </c>
      <c r="F246" s="131"/>
      <c r="G246" s="196"/>
      <c r="H246" s="130">
        <f>C246*E246</f>
        <v>0</v>
      </c>
      <c r="I246" s="132"/>
    </row>
    <row r="247" spans="1:9" ht="16.5" hidden="1" customHeight="1" outlineLevel="1">
      <c r="A247" s="127" t="s">
        <v>76</v>
      </c>
      <c r="B247" s="128" t="s">
        <v>56</v>
      </c>
      <c r="C247" s="133">
        <f>IF(В!B247=FALSE,0,1)*В!A247</f>
        <v>0</v>
      </c>
      <c r="D247" s="134"/>
      <c r="E247" s="130">
        <v>13200</v>
      </c>
      <c r="F247" s="131"/>
      <c r="G247" s="196"/>
      <c r="H247" s="130">
        <f>C247*E247</f>
        <v>0</v>
      </c>
      <c r="I247" s="132"/>
    </row>
    <row r="248" spans="1:9" ht="16.5" hidden="1" customHeight="1" outlineLevel="1">
      <c r="A248" s="127" t="s">
        <v>113</v>
      </c>
      <c r="B248" s="128" t="s">
        <v>62</v>
      </c>
      <c r="C248" s="133">
        <f>IF(В!B248=FALSE,0,1)*В!A248</f>
        <v>0</v>
      </c>
      <c r="D248" s="134"/>
      <c r="E248" s="130">
        <v>251</v>
      </c>
      <c r="F248" s="131"/>
      <c r="G248" s="196"/>
      <c r="H248" s="130">
        <f>C248*E248</f>
        <v>0</v>
      </c>
      <c r="I248" s="132"/>
    </row>
    <row r="249" spans="1:9" ht="16.5" hidden="1" customHeight="1" outlineLevel="1">
      <c r="A249" s="127" t="s">
        <v>98</v>
      </c>
      <c r="B249" s="128" t="s">
        <v>80</v>
      </c>
      <c r="C249" s="194">
        <f>IF(В!B249=FALSE,0,1)*В!A249</f>
        <v>0</v>
      </c>
      <c r="D249" s="134"/>
      <c r="E249" s="198">
        <v>6.4</v>
      </c>
      <c r="F249" s="131"/>
      <c r="G249" s="196"/>
      <c r="H249" s="130">
        <f>C249*E249</f>
        <v>0</v>
      </c>
      <c r="I249" s="132"/>
    </row>
    <row r="250" spans="1:9" ht="16.5" hidden="1" customHeight="1" outlineLevel="1">
      <c r="A250" s="127" t="s">
        <v>77</v>
      </c>
      <c r="B250" s="128" t="s">
        <v>78</v>
      </c>
      <c r="C250" s="194">
        <f>IF(В!B250=FALSE,0,1)*В!C250</f>
        <v>0</v>
      </c>
      <c r="D250" s="134"/>
      <c r="E250" s="130">
        <v>138</v>
      </c>
      <c r="F250" s="131"/>
      <c r="G250" s="196"/>
      <c r="H250" s="130">
        <f>C250*E250</f>
        <v>0</v>
      </c>
      <c r="I250" s="132"/>
    </row>
    <row r="251" spans="1:9" ht="16.5" hidden="1" customHeight="1" outlineLevel="1">
      <c r="A251" s="127" t="s">
        <v>65</v>
      </c>
      <c r="B251" s="128" t="s">
        <v>62</v>
      </c>
      <c r="C251" s="194">
        <f>IF(В!B251=FALSE,0,1)*В!A251</f>
        <v>0</v>
      </c>
      <c r="D251" s="134"/>
      <c r="E251" s="198">
        <v>24.6</v>
      </c>
      <c r="F251" s="131"/>
      <c r="G251" s="196"/>
      <c r="H251" s="130">
        <f>C251*E251</f>
        <v>0</v>
      </c>
      <c r="I251" s="132"/>
    </row>
    <row r="252" spans="1:9" ht="16.5" customHeight="1" collapsed="1">
      <c r="A252" s="122" t="s">
        <v>178</v>
      </c>
      <c r="B252" s="226" t="s">
        <v>69</v>
      </c>
      <c r="C252" s="228">
        <f>IF(В!B252=FALSE,0,1)*В!A252</f>
        <v>0</v>
      </c>
      <c r="D252" s="125">
        <v>1800</v>
      </c>
      <c r="E252" s="126">
        <v>1669</v>
      </c>
      <c r="F252" s="124">
        <f>E252+D252</f>
        <v>3469</v>
      </c>
      <c r="G252" s="125">
        <f>D252*C252</f>
        <v>0</v>
      </c>
      <c r="H252" s="126">
        <f>SUM(H253:H257)</f>
        <v>0</v>
      </c>
      <c r="I252" s="124">
        <f>G252+H252</f>
        <v>0</v>
      </c>
    </row>
    <row r="253" spans="1:9" ht="16.5" hidden="1" customHeight="1" outlineLevel="1">
      <c r="A253" s="127" t="s">
        <v>179</v>
      </c>
      <c r="B253" s="128" t="s">
        <v>53</v>
      </c>
      <c r="C253" s="194">
        <f>IF(В!B253=FALSE,0,1)*В!A253</f>
        <v>0</v>
      </c>
      <c r="D253" s="134"/>
      <c r="E253" s="130">
        <v>212</v>
      </c>
      <c r="F253" s="131"/>
      <c r="G253" s="196"/>
      <c r="H253" s="130">
        <f>C253*E253</f>
        <v>0</v>
      </c>
      <c r="I253" s="132"/>
    </row>
    <row r="254" spans="1:9" ht="16.5" hidden="1" customHeight="1" outlineLevel="1">
      <c r="A254" s="127" t="s">
        <v>180</v>
      </c>
      <c r="B254" s="128" t="s">
        <v>53</v>
      </c>
      <c r="C254" s="194">
        <f>IF(В!B254=FALSE,0,1)*В!A254</f>
        <v>0</v>
      </c>
      <c r="D254" s="134"/>
      <c r="E254" s="130">
        <v>836</v>
      </c>
      <c r="F254" s="131"/>
      <c r="G254" s="196"/>
      <c r="H254" s="130">
        <f>C254*E254</f>
        <v>0</v>
      </c>
      <c r="I254" s="132"/>
    </row>
    <row r="255" spans="1:9" ht="16.5" hidden="1" customHeight="1" outlineLevel="1">
      <c r="A255" s="127" t="s">
        <v>181</v>
      </c>
      <c r="B255" s="128" t="s">
        <v>53</v>
      </c>
      <c r="C255" s="194">
        <f>IF(В!B255=FALSE,0,1)*В!A255</f>
        <v>0</v>
      </c>
      <c r="D255" s="134"/>
      <c r="E255" s="198">
        <v>3033</v>
      </c>
      <c r="F255" s="131"/>
      <c r="G255" s="196"/>
      <c r="H255" s="130">
        <f>C255*E255</f>
        <v>0</v>
      </c>
      <c r="I255" s="132"/>
    </row>
    <row r="256" spans="1:9" ht="16.5" hidden="1" customHeight="1" outlineLevel="1">
      <c r="A256" s="127" t="s">
        <v>182</v>
      </c>
      <c r="B256" s="128" t="s">
        <v>53</v>
      </c>
      <c r="C256" s="194">
        <f>IF(В!B256=FALSE,0,1)*В!A256</f>
        <v>0</v>
      </c>
      <c r="D256" s="134"/>
      <c r="E256" s="130">
        <v>1219</v>
      </c>
      <c r="F256" s="131"/>
      <c r="G256" s="196"/>
      <c r="H256" s="130">
        <f>C256*E256</f>
        <v>0</v>
      </c>
      <c r="I256" s="132"/>
    </row>
    <row r="257" spans="1:9" ht="16.5" hidden="1" customHeight="1" outlineLevel="1">
      <c r="A257" s="127" t="s">
        <v>183</v>
      </c>
      <c r="B257" s="128" t="s">
        <v>69</v>
      </c>
      <c r="C257" s="194">
        <f>IF(В!B257=FALSE,0,1)*В!A257</f>
        <v>0</v>
      </c>
      <c r="D257" s="134"/>
      <c r="E257" s="130">
        <v>416</v>
      </c>
      <c r="F257" s="131"/>
      <c r="G257" s="196"/>
      <c r="H257" s="130">
        <f>C257*E257</f>
        <v>0</v>
      </c>
      <c r="I257" s="132"/>
    </row>
    <row r="258" spans="1:9" ht="16.5" customHeight="1" collapsed="1">
      <c r="A258" s="122" t="s">
        <v>311</v>
      </c>
      <c r="B258" s="226" t="s">
        <v>62</v>
      </c>
      <c r="C258" s="193">
        <f>IF(В!B258=FALSE,0,1)*В!A258</f>
        <v>0</v>
      </c>
      <c r="D258" s="125">
        <v>1500</v>
      </c>
      <c r="E258" s="126">
        <v>2150</v>
      </c>
      <c r="F258" s="124">
        <f>E258+D258</f>
        <v>3650</v>
      </c>
      <c r="G258" s="125">
        <f>D258*C258</f>
        <v>0</v>
      </c>
      <c r="H258" s="126">
        <f>SUM(H259:H265)</f>
        <v>0</v>
      </c>
      <c r="I258" s="124">
        <f>G258+H258</f>
        <v>0</v>
      </c>
    </row>
    <row r="259" spans="1:9" ht="16.5" hidden="1" customHeight="1" outlineLevel="1">
      <c r="A259" s="127" t="s">
        <v>63</v>
      </c>
      <c r="B259" s="128" t="s">
        <v>56</v>
      </c>
      <c r="C259" s="194">
        <f>IF(В!B259=FALSE,0,1)*В!A259</f>
        <v>0</v>
      </c>
      <c r="D259" s="134"/>
      <c r="E259" s="130">
        <v>748</v>
      </c>
      <c r="F259" s="131"/>
      <c r="G259" s="196"/>
      <c r="H259" s="130">
        <f>C259*E259</f>
        <v>0</v>
      </c>
      <c r="I259" s="132"/>
    </row>
    <row r="260" spans="1:9" ht="16.5" hidden="1" customHeight="1" outlineLevel="1">
      <c r="A260" s="127" t="s">
        <v>68</v>
      </c>
      <c r="B260" s="128" t="s">
        <v>56</v>
      </c>
      <c r="C260" s="133">
        <f>IF(В!B260=FALSE,0,1)*В!A260</f>
        <v>0</v>
      </c>
      <c r="D260" s="134"/>
      <c r="E260" s="130">
        <v>9396</v>
      </c>
      <c r="F260" s="131"/>
      <c r="G260" s="196"/>
      <c r="H260" s="130">
        <f>C260*E260</f>
        <v>0</v>
      </c>
      <c r="I260" s="132"/>
    </row>
    <row r="261" spans="1:9" ht="16.5" hidden="1" customHeight="1" outlineLevel="1">
      <c r="A261" s="127" t="s">
        <v>65</v>
      </c>
      <c r="B261" s="128" t="s">
        <v>62</v>
      </c>
      <c r="C261" s="194">
        <f>IF(В!B261=FALSE,0,1)*В!A261</f>
        <v>0</v>
      </c>
      <c r="D261" s="134"/>
      <c r="E261" s="198">
        <v>24.6</v>
      </c>
      <c r="F261" s="131"/>
      <c r="G261" s="196"/>
      <c r="H261" s="130">
        <f>C261*E261</f>
        <v>0</v>
      </c>
      <c r="I261" s="132"/>
    </row>
    <row r="262" spans="1:9" ht="16.5" hidden="1" customHeight="1" outlineLevel="1">
      <c r="A262" s="127" t="s">
        <v>55</v>
      </c>
      <c r="B262" s="128" t="s">
        <v>56</v>
      </c>
      <c r="C262" s="133">
        <f>IF(В!B262=FALSE,0,1)*В!A262</f>
        <v>0</v>
      </c>
      <c r="D262" s="134"/>
      <c r="E262" s="130">
        <v>13200</v>
      </c>
      <c r="F262" s="131"/>
      <c r="G262" s="196"/>
      <c r="H262" s="130">
        <f>C262*E262</f>
        <v>0</v>
      </c>
      <c r="I262" s="132"/>
    </row>
    <row r="263" spans="1:9" ht="16.5" hidden="1" customHeight="1" outlineLevel="1">
      <c r="A263" s="127" t="s">
        <v>99</v>
      </c>
      <c r="B263" s="128" t="s">
        <v>56</v>
      </c>
      <c r="C263" s="133">
        <f>IF(В!B263=FALSE,0,1)*В!A263</f>
        <v>0</v>
      </c>
      <c r="D263" s="134"/>
      <c r="E263" s="130">
        <v>6458</v>
      </c>
      <c r="F263" s="131"/>
      <c r="G263" s="196"/>
      <c r="H263" s="130">
        <f>C263*E263</f>
        <v>0</v>
      </c>
      <c r="I263" s="132"/>
    </row>
    <row r="264" spans="1:9" ht="16.5" hidden="1" customHeight="1" outlineLevel="1">
      <c r="A264" s="127" t="s">
        <v>100</v>
      </c>
      <c r="B264" s="128" t="s">
        <v>62</v>
      </c>
      <c r="C264" s="194">
        <f>IF(В!B264=FALSE,0,1)*В!A264</f>
        <v>0</v>
      </c>
      <c r="D264" s="134"/>
      <c r="E264" s="130">
        <v>114</v>
      </c>
      <c r="F264" s="131"/>
      <c r="G264" s="196"/>
      <c r="H264" s="130">
        <f>C264*E264</f>
        <v>0</v>
      </c>
      <c r="I264" s="132"/>
    </row>
    <row r="265" spans="1:9" ht="16.5" hidden="1" customHeight="1" outlineLevel="1">
      <c r="A265" s="127" t="s">
        <v>67</v>
      </c>
      <c r="B265" s="128" t="s">
        <v>62</v>
      </c>
      <c r="C265" s="194">
        <f>IF(В!B265=FALSE,0,1)*В!A265</f>
        <v>0</v>
      </c>
      <c r="D265" s="134"/>
      <c r="E265" s="198">
        <v>50</v>
      </c>
      <c r="F265" s="131"/>
      <c r="G265" s="196"/>
      <c r="H265" s="130">
        <f>C265*E265</f>
        <v>0</v>
      </c>
      <c r="I265" s="132"/>
    </row>
    <row r="266" spans="1:9" ht="16.5" customHeight="1" collapsed="1">
      <c r="A266" s="122" t="s">
        <v>184</v>
      </c>
      <c r="B266" s="123" t="s">
        <v>69</v>
      </c>
      <c r="C266" s="228">
        <f>IF(В!B266=FALSE,0,1)*В!A266</f>
        <v>0</v>
      </c>
      <c r="D266" s="125">
        <v>900</v>
      </c>
      <c r="E266" s="126">
        <v>480</v>
      </c>
      <c r="F266" s="124">
        <f>E266+D266</f>
        <v>1380</v>
      </c>
      <c r="G266" s="125">
        <f>D266*C266</f>
        <v>0</v>
      </c>
      <c r="H266" s="126">
        <f>SUM(H267:H269)</f>
        <v>0</v>
      </c>
      <c r="I266" s="124">
        <f>G266+H266</f>
        <v>0</v>
      </c>
    </row>
    <row r="267" spans="1:9" ht="16.5" hidden="1" customHeight="1" outlineLevel="1">
      <c r="A267" s="127" t="s">
        <v>185</v>
      </c>
      <c r="B267" s="128" t="s">
        <v>53</v>
      </c>
      <c r="C267" s="133">
        <f>IF(В!B267=FALSE,0,1)*В!A267</f>
        <v>0</v>
      </c>
      <c r="D267" s="134"/>
      <c r="E267" s="130">
        <v>945</v>
      </c>
      <c r="F267" s="131"/>
      <c r="G267" s="196"/>
      <c r="H267" s="130">
        <f>C267*E267</f>
        <v>0</v>
      </c>
      <c r="I267" s="132"/>
    </row>
    <row r="268" spans="1:9" ht="16.5" hidden="1" customHeight="1" outlineLevel="1">
      <c r="A268" s="127" t="s">
        <v>186</v>
      </c>
      <c r="B268" s="128" t="s">
        <v>51</v>
      </c>
      <c r="C268" s="133">
        <f>IF(В!B268=FALSE,0,1)*В!A268</f>
        <v>0</v>
      </c>
      <c r="D268" s="134"/>
      <c r="E268" s="198">
        <v>531</v>
      </c>
      <c r="F268" s="131"/>
      <c r="G268" s="196"/>
      <c r="H268" s="130">
        <f>C268*E268</f>
        <v>0</v>
      </c>
      <c r="I268" s="132"/>
    </row>
    <row r="269" spans="1:9" ht="16.5" hidden="1" customHeight="1" outlineLevel="1">
      <c r="A269" s="127" t="s">
        <v>88</v>
      </c>
      <c r="B269" s="128" t="s">
        <v>69</v>
      </c>
      <c r="C269" s="194">
        <f>IF(В!B269=FALSE,0,1)*В!A269</f>
        <v>0</v>
      </c>
      <c r="D269" s="134"/>
      <c r="E269" s="198">
        <v>266</v>
      </c>
      <c r="F269" s="131"/>
      <c r="G269" s="196"/>
      <c r="H269" s="130">
        <f>C269*E269</f>
        <v>0</v>
      </c>
      <c r="I269" s="132"/>
    </row>
    <row r="270" spans="1:9" ht="16.5" customHeight="1" collapsed="1">
      <c r="A270" s="122" t="s">
        <v>187</v>
      </c>
      <c r="B270" s="226" t="s">
        <v>69</v>
      </c>
      <c r="C270" s="193">
        <f>IF(В!B270=FALSE,0,1)*В!A270</f>
        <v>0</v>
      </c>
      <c r="D270" s="125">
        <v>1400</v>
      </c>
      <c r="E270" s="126">
        <v>1700</v>
      </c>
      <c r="F270" s="124">
        <f>E270+D270</f>
        <v>3100</v>
      </c>
      <c r="G270" s="125">
        <f>D270*C270</f>
        <v>0</v>
      </c>
      <c r="H270" s="126">
        <f>SUM(H271:H275)</f>
        <v>0</v>
      </c>
      <c r="I270" s="124">
        <f>G270+H270</f>
        <v>0</v>
      </c>
    </row>
    <row r="271" spans="1:9" ht="16.5" hidden="1" customHeight="1" outlineLevel="1">
      <c r="A271" s="127" t="s">
        <v>63</v>
      </c>
      <c r="B271" s="128" t="s">
        <v>56</v>
      </c>
      <c r="C271" s="194">
        <f>IF(В!B271=FALSE,0,1)*В!A271</f>
        <v>0</v>
      </c>
      <c r="D271" s="134"/>
      <c r="E271" s="130">
        <v>1020</v>
      </c>
      <c r="F271" s="131"/>
      <c r="G271" s="196"/>
      <c r="H271" s="130">
        <f>C271*E271</f>
        <v>0</v>
      </c>
      <c r="I271" s="132"/>
    </row>
    <row r="272" spans="1:9" ht="16.5" hidden="1" customHeight="1" outlineLevel="1">
      <c r="A272" s="127" t="s">
        <v>188</v>
      </c>
      <c r="B272" s="128" t="s">
        <v>69</v>
      </c>
      <c r="C272" s="194">
        <f>IF(В!B272=FALSE,0,1)*В!A272</f>
        <v>0</v>
      </c>
      <c r="D272" s="134"/>
      <c r="E272" s="130">
        <v>636</v>
      </c>
      <c r="F272" s="131"/>
      <c r="G272" s="196"/>
      <c r="H272" s="130">
        <f>C272*E272</f>
        <v>0</v>
      </c>
      <c r="I272" s="132"/>
    </row>
    <row r="273" spans="1:9" ht="16.5" hidden="1" customHeight="1" outlineLevel="1">
      <c r="A273" s="127" t="s">
        <v>189</v>
      </c>
      <c r="B273" s="128" t="s">
        <v>53</v>
      </c>
      <c r="C273" s="194">
        <f>IF(В!B273=FALSE,0,1)*В!A273</f>
        <v>0</v>
      </c>
      <c r="D273" s="134"/>
      <c r="E273" s="198">
        <v>4229</v>
      </c>
      <c r="F273" s="131"/>
      <c r="G273" s="196"/>
      <c r="H273" s="130">
        <f>C273*E273</f>
        <v>0</v>
      </c>
      <c r="I273" s="132"/>
    </row>
    <row r="274" spans="1:9" ht="16.5" hidden="1" customHeight="1" outlineLevel="1">
      <c r="A274" s="127" t="s">
        <v>190</v>
      </c>
      <c r="B274" s="128" t="s">
        <v>53</v>
      </c>
      <c r="C274" s="194">
        <f>IF(В!B274=FALSE,0,1)*В!A274</f>
        <v>0</v>
      </c>
      <c r="D274" s="134"/>
      <c r="E274" s="130">
        <v>7470</v>
      </c>
      <c r="F274" s="131"/>
      <c r="G274" s="196"/>
      <c r="H274" s="130">
        <f>C274*E274</f>
        <v>0</v>
      </c>
      <c r="I274" s="132"/>
    </row>
    <row r="275" spans="1:9" ht="16.5" hidden="1" customHeight="1" outlineLevel="1">
      <c r="A275" s="127" t="s">
        <v>191</v>
      </c>
      <c r="B275" s="128" t="s">
        <v>53</v>
      </c>
      <c r="C275" s="194">
        <f>IF(В!B275=FALSE,0,1)*В!A275</f>
        <v>0</v>
      </c>
      <c r="D275" s="134"/>
      <c r="E275" s="130">
        <v>5837</v>
      </c>
      <c r="F275" s="131"/>
      <c r="G275" s="196"/>
      <c r="H275" s="130">
        <f>C275*E275</f>
        <v>0</v>
      </c>
      <c r="I275" s="132"/>
    </row>
    <row r="276" spans="1:9" ht="16.5" customHeight="1" collapsed="1">
      <c r="A276" s="275" t="s">
        <v>192</v>
      </c>
      <c r="B276" s="123" t="s">
        <v>53</v>
      </c>
      <c r="C276" s="124">
        <f>IF(В!B276=FALSE,0,1)*В!C276</f>
        <v>0</v>
      </c>
      <c r="D276" s="125">
        <v>5000</v>
      </c>
      <c r="E276" s="126">
        <v>8500</v>
      </c>
      <c r="F276" s="124">
        <f>E276+D276</f>
        <v>13500</v>
      </c>
      <c r="G276" s="125">
        <f>IF(В!B276=FALSE,0,1)*D276*C276</f>
        <v>0</v>
      </c>
      <c r="H276" s="126">
        <f>IF(В!B276=FALSE,0,1)*H277</f>
        <v>0</v>
      </c>
      <c r="I276" s="124">
        <f>G276+H276</f>
        <v>0</v>
      </c>
    </row>
    <row r="277" spans="1:9" s="83" customFormat="1" ht="16.5" hidden="1" customHeight="1" outlineLevel="1">
      <c r="A277" s="127" t="s">
        <v>193</v>
      </c>
      <c r="B277" s="128" t="s">
        <v>53</v>
      </c>
      <c r="C277" s="194">
        <f>IF(В!B277=FALSE,0,1)*В!C277</f>
        <v>0</v>
      </c>
      <c r="D277" s="134"/>
      <c r="E277" s="130">
        <v>8500</v>
      </c>
      <c r="F277" s="131"/>
      <c r="G277" s="196"/>
      <c r="H277" s="130">
        <f>C277*E277</f>
        <v>0</v>
      </c>
      <c r="I277" s="132"/>
    </row>
    <row r="278" spans="1:9" s="83" customFormat="1" ht="16.5" customHeight="1">
      <c r="A278" s="136" t="s">
        <v>215</v>
      </c>
      <c r="B278" s="137" t="s">
        <v>485</v>
      </c>
      <c r="C278" s="138"/>
      <c r="D278" s="139"/>
      <c r="E278" s="140"/>
      <c r="F278" s="141"/>
      <c r="G278" s="142"/>
      <c r="H278" s="143"/>
      <c r="I278" s="141"/>
    </row>
    <row r="279" spans="1:9" s="83" customFormat="1" ht="16.5" customHeight="1">
      <c r="A279" s="145"/>
      <c r="B279" s="146"/>
      <c r="C279" s="147"/>
      <c r="D279" s="148"/>
      <c r="E279" s="149"/>
      <c r="F279" s="150"/>
      <c r="G279" s="151" t="s">
        <v>57</v>
      </c>
      <c r="H279" s="152" t="s">
        <v>58</v>
      </c>
      <c r="I279" s="153" t="s">
        <v>59</v>
      </c>
    </row>
    <row r="280" spans="1:9" s="83" customFormat="1" ht="16.5" customHeight="1">
      <c r="A280" s="154" t="s">
        <v>47</v>
      </c>
      <c r="B280" s="155"/>
      <c r="C280" s="156"/>
      <c r="D280" s="157"/>
      <c r="E280" s="157"/>
      <c r="F280" s="86"/>
      <c r="G280" s="158">
        <f>SUM(G208:G278)</f>
        <v>155200</v>
      </c>
      <c r="H280" s="159">
        <f>I280-G280</f>
        <v>141240</v>
      </c>
      <c r="I280" s="160">
        <f>SUM(I208:I278)</f>
        <v>296440</v>
      </c>
    </row>
    <row r="281" spans="1:9" s="83" customFormat="1" ht="16.5" customHeight="1">
      <c r="A281" s="161" t="s">
        <v>486</v>
      </c>
      <c r="B281" s="162"/>
      <c r="C281" s="163"/>
      <c r="D281" s="164"/>
      <c r="E281" s="164"/>
      <c r="F281" s="165"/>
      <c r="G281" s="166">
        <v>0</v>
      </c>
      <c r="H281" s="167"/>
      <c r="I281" s="168">
        <f>G280*В!A281</f>
        <v>23280</v>
      </c>
    </row>
    <row r="282" spans="1:9" s="83" customFormat="1" ht="16.5" customHeight="1">
      <c r="A282" s="169" t="s">
        <v>487</v>
      </c>
      <c r="B282" s="170"/>
      <c r="C282" s="171"/>
      <c r="D282" s="172"/>
      <c r="E282" s="173"/>
      <c r="F282" s="170"/>
      <c r="G282" s="174">
        <v>0</v>
      </c>
      <c r="H282" s="175"/>
      <c r="I282" s="176">
        <f>G280*В!A282</f>
        <v>10088</v>
      </c>
    </row>
    <row r="283" spans="1:9" s="83" customFormat="1" ht="18.75">
      <c r="A283" s="177" t="s">
        <v>526</v>
      </c>
      <c r="B283" s="178"/>
      <c r="C283" s="179"/>
      <c r="D283" s="180"/>
      <c r="E283" s="181"/>
      <c r="F283" s="178"/>
      <c r="G283" s="182"/>
      <c r="H283" s="183"/>
      <c r="I283" s="184">
        <f>SUM(I280:I282)</f>
        <v>329808</v>
      </c>
    </row>
    <row r="284" spans="1:9" s="83" customFormat="1" ht="16.5" customHeight="1">
      <c r="A284" s="276"/>
      <c r="B284" s="277"/>
      <c r="C284" s="278"/>
      <c r="D284" s="278"/>
      <c r="E284" s="279"/>
      <c r="F284" s="280"/>
      <c r="G284" s="278"/>
      <c r="H284" s="279"/>
      <c r="I284" s="280"/>
    </row>
    <row r="285" spans="1:9" s="83" customFormat="1" ht="16.5" customHeight="1">
      <c r="A285" s="102" t="s">
        <v>33</v>
      </c>
      <c r="B285" s="103" t="s">
        <v>34</v>
      </c>
      <c r="C285" s="103" t="s">
        <v>35</v>
      </c>
      <c r="D285" s="104" t="s">
        <v>36</v>
      </c>
      <c r="E285" s="105"/>
      <c r="F285" s="106" t="s">
        <v>37</v>
      </c>
      <c r="G285" s="104" t="s">
        <v>38</v>
      </c>
      <c r="H285" s="107"/>
      <c r="I285" s="106" t="s">
        <v>39</v>
      </c>
    </row>
    <row r="286" spans="1:9" s="83" customFormat="1" ht="16.5" customHeight="1">
      <c r="A286" s="102"/>
      <c r="B286" s="108"/>
      <c r="C286" s="108"/>
      <c r="D286" s="109" t="s">
        <v>45</v>
      </c>
      <c r="E286" s="109" t="s">
        <v>46</v>
      </c>
      <c r="F286" s="110" t="s">
        <v>47</v>
      </c>
      <c r="G286" s="109" t="s">
        <v>45</v>
      </c>
      <c r="H286" s="109" t="s">
        <v>46</v>
      </c>
      <c r="I286" s="110" t="s">
        <v>47</v>
      </c>
    </row>
    <row r="287" spans="1:9" s="83" customFormat="1" ht="16.5" customHeight="1">
      <c r="A287" s="114" t="s">
        <v>195</v>
      </c>
      <c r="B287" s="235"/>
      <c r="C287" s="236"/>
      <c r="D287" s="111"/>
      <c r="E287" s="112"/>
      <c r="F287" s="237"/>
      <c r="G287" s="113"/>
      <c r="H287" s="112"/>
      <c r="I287" s="237"/>
    </row>
    <row r="288" spans="1:9" ht="16.5" customHeight="1">
      <c r="A288" s="122" t="s">
        <v>527</v>
      </c>
      <c r="B288" s="123" t="s">
        <v>62</v>
      </c>
      <c r="C288" s="193">
        <f>IF(В!B288=FALSE,0,1)*В!A288</f>
        <v>0</v>
      </c>
      <c r="D288" s="125">
        <v>350</v>
      </c>
      <c r="E288" s="126">
        <v>259</v>
      </c>
      <c r="F288" s="124">
        <f>E288+D288</f>
        <v>609</v>
      </c>
      <c r="G288" s="125">
        <f>IF(В!B288=FALSE,0,1)*D288*C288</f>
        <v>0</v>
      </c>
      <c r="H288" s="126">
        <f>IF(В!B288=FALSE,0,1)*SUM(H289:H290)</f>
        <v>0</v>
      </c>
      <c r="I288" s="124">
        <f>G288+H288</f>
        <v>0</v>
      </c>
    </row>
    <row r="289" spans="1:9" ht="16.5" customHeight="1" outlineLevel="1">
      <c r="A289" s="225" t="s">
        <v>110</v>
      </c>
      <c r="B289" s="128" t="s">
        <v>56</v>
      </c>
      <c r="C289" s="133">
        <f>IF(В!B289=FALSE,0,1)*В!A289</f>
        <v>0</v>
      </c>
      <c r="D289" s="134"/>
      <c r="E289" s="130">
        <v>576</v>
      </c>
      <c r="F289" s="131"/>
      <c r="G289" s="196"/>
      <c r="H289" s="130">
        <f>C289*E289</f>
        <v>0</v>
      </c>
      <c r="I289" s="132"/>
    </row>
    <row r="290" spans="1:9" ht="16.5" customHeight="1" outlineLevel="1">
      <c r="A290" s="127" t="s">
        <v>180</v>
      </c>
      <c r="B290" s="128" t="s">
        <v>53</v>
      </c>
      <c r="C290" s="194">
        <f>IF(В!B290=FALSE,0,1)*В!A290</f>
        <v>0</v>
      </c>
      <c r="D290" s="134"/>
      <c r="E290" s="130">
        <v>836</v>
      </c>
      <c r="F290" s="131"/>
      <c r="G290" s="196"/>
      <c r="H290" s="130">
        <f>C290*E290</f>
        <v>0</v>
      </c>
      <c r="I290" s="132"/>
    </row>
    <row r="291" spans="1:9" ht="16.5" customHeight="1">
      <c r="A291" s="122" t="s">
        <v>528</v>
      </c>
      <c r="B291" s="123" t="s">
        <v>62</v>
      </c>
      <c r="C291" s="193">
        <f>IF(В!B291=FALSE,0,1)*В!A291</f>
        <v>0</v>
      </c>
      <c r="D291" s="125">
        <v>3150</v>
      </c>
      <c r="E291" s="126">
        <v>2462</v>
      </c>
      <c r="F291" s="124">
        <f>E291+D291</f>
        <v>5612</v>
      </c>
      <c r="G291" s="125">
        <f>IF(В!B291=FALSE,0,1)*D291*C291</f>
        <v>0</v>
      </c>
      <c r="H291" s="281">
        <f>IF(В!B291=FALSE,0,1)*SUM(H292:H293)</f>
        <v>0</v>
      </c>
      <c r="I291" s="124">
        <f>G291+H291</f>
        <v>0</v>
      </c>
    </row>
    <row r="292" spans="1:9" ht="16.5" customHeight="1" outlineLevel="1">
      <c r="A292" s="225" t="s">
        <v>502</v>
      </c>
      <c r="B292" s="128" t="s">
        <v>53</v>
      </c>
      <c r="C292" s="194">
        <f>IF(В!B292=FALSE,0,1)*В!A292</f>
        <v>0</v>
      </c>
      <c r="D292" s="134"/>
      <c r="E292" s="232">
        <v>37.590000000000003</v>
      </c>
      <c r="F292" s="131"/>
      <c r="G292" s="196"/>
      <c r="H292" s="130">
        <f>C292*E292</f>
        <v>0</v>
      </c>
      <c r="I292" s="132"/>
    </row>
    <row r="293" spans="1:9" ht="16.5" customHeight="1" outlineLevel="1">
      <c r="A293" s="127" t="s">
        <v>106</v>
      </c>
      <c r="B293" s="128" t="s">
        <v>80</v>
      </c>
      <c r="C293" s="194">
        <f>IF(В!B293=FALSE,0,1)*В!A293</f>
        <v>0</v>
      </c>
      <c r="D293" s="134"/>
      <c r="E293" s="198">
        <v>6.2</v>
      </c>
      <c r="F293" s="131"/>
      <c r="G293" s="196"/>
      <c r="H293" s="130">
        <f>C293*E293</f>
        <v>0</v>
      </c>
      <c r="I293" s="132"/>
    </row>
    <row r="294" spans="1:9" ht="16.5" customHeight="1" collapsed="1">
      <c r="A294" s="122" t="s">
        <v>196</v>
      </c>
      <c r="B294" s="123" t="s">
        <v>69</v>
      </c>
      <c r="C294" s="193">
        <f>IF(В!B294=FALSE,0,1)*В!A294</f>
        <v>0</v>
      </c>
      <c r="D294" s="125">
        <v>150</v>
      </c>
      <c r="E294" s="126">
        <v>52</v>
      </c>
      <c r="F294" s="124">
        <f>E294+D294</f>
        <v>202</v>
      </c>
      <c r="G294" s="125">
        <f>IF(В!B294=FALSE,0,1)*D294*C294</f>
        <v>0</v>
      </c>
      <c r="H294" s="126">
        <f>IF(В!B294=FALSE,0,1)*SUM(H295:H296)</f>
        <v>0</v>
      </c>
      <c r="I294" s="124">
        <f>G294+H294</f>
        <v>0</v>
      </c>
    </row>
    <row r="295" spans="1:9" ht="16.5" hidden="1" customHeight="1" outlineLevel="1">
      <c r="A295" s="127" t="s">
        <v>197</v>
      </c>
      <c r="B295" s="128" t="s">
        <v>69</v>
      </c>
      <c r="C295" s="194">
        <f>IF(В!B295=FALSE,0,1)*В!A295</f>
        <v>0</v>
      </c>
      <c r="D295" s="134"/>
      <c r="E295" s="195">
        <v>11</v>
      </c>
      <c r="F295" s="131"/>
      <c r="G295" s="196"/>
      <c r="H295" s="130">
        <f>C295*E295</f>
        <v>0</v>
      </c>
      <c r="I295" s="132"/>
    </row>
    <row r="296" spans="1:9" ht="16.5" hidden="1" customHeight="1" outlineLevel="1">
      <c r="A296" s="127" t="s">
        <v>108</v>
      </c>
      <c r="B296" s="128" t="s">
        <v>62</v>
      </c>
      <c r="C296" s="194">
        <f>IF(В!B296=FALSE,0,1)*В!A296</f>
        <v>0</v>
      </c>
      <c r="D296" s="134"/>
      <c r="E296" s="195">
        <v>330</v>
      </c>
      <c r="F296" s="131"/>
      <c r="G296" s="196"/>
      <c r="H296" s="130">
        <f>C296*E296</f>
        <v>0</v>
      </c>
      <c r="I296" s="132"/>
    </row>
    <row r="297" spans="1:9" ht="16.5" customHeight="1" collapsed="1">
      <c r="A297" s="122" t="s">
        <v>198</v>
      </c>
      <c r="B297" s="123" t="s">
        <v>69</v>
      </c>
      <c r="C297" s="228">
        <f>IF(В!B297=FALSE,0,1)*В!A297</f>
        <v>0</v>
      </c>
      <c r="D297" s="125">
        <v>4000</v>
      </c>
      <c r="E297" s="126">
        <v>1954</v>
      </c>
      <c r="F297" s="124">
        <f>E297+D297</f>
        <v>5954</v>
      </c>
      <c r="G297" s="125">
        <f>IF(В!B297=FALSE,0,1)*D297*C297</f>
        <v>0</v>
      </c>
      <c r="H297" s="126">
        <f>IF(В!B297=FALSE,0,1)*SUM(H298:H300)</f>
        <v>0</v>
      </c>
      <c r="I297" s="124">
        <f>G297+H297</f>
        <v>0</v>
      </c>
    </row>
    <row r="298" spans="1:9" ht="16.5" hidden="1" customHeight="1" outlineLevel="1">
      <c r="A298" s="127" t="s">
        <v>199</v>
      </c>
      <c r="B298" s="128" t="s">
        <v>53</v>
      </c>
      <c r="C298" s="194">
        <f>IF(В!B298=FALSE,0,1)*В!A298</f>
        <v>0</v>
      </c>
      <c r="D298" s="134"/>
      <c r="E298" s="198">
        <v>1449.8</v>
      </c>
      <c r="F298" s="131"/>
      <c r="G298" s="196"/>
      <c r="H298" s="130">
        <f>C298*E298</f>
        <v>0</v>
      </c>
      <c r="I298" s="132"/>
    </row>
    <row r="299" spans="1:9" ht="16.5" hidden="1" customHeight="1" outlineLevel="1">
      <c r="A299" s="127" t="s">
        <v>200</v>
      </c>
      <c r="B299" s="128" t="s">
        <v>53</v>
      </c>
      <c r="C299" s="194">
        <f>IF(В!B299=FALSE,0,1)*В!A299</f>
        <v>0</v>
      </c>
      <c r="D299" s="134"/>
      <c r="E299" s="198">
        <v>156.19999999999999</v>
      </c>
      <c r="F299" s="131"/>
      <c r="G299" s="196"/>
      <c r="H299" s="130">
        <f>C299*E299</f>
        <v>0</v>
      </c>
      <c r="I299" s="132"/>
    </row>
    <row r="300" spans="1:9" ht="16.5" hidden="1" customHeight="1" outlineLevel="1">
      <c r="A300" s="127" t="s">
        <v>201</v>
      </c>
      <c r="B300" s="128" t="s">
        <v>53</v>
      </c>
      <c r="C300" s="194">
        <f>IF(В!B300=FALSE,0,1)*В!A300</f>
        <v>0</v>
      </c>
      <c r="D300" s="134"/>
      <c r="E300" s="198">
        <v>190.3</v>
      </c>
      <c r="F300" s="131"/>
      <c r="G300" s="196"/>
      <c r="H300" s="130">
        <f>C300*E300</f>
        <v>0</v>
      </c>
      <c r="I300" s="132"/>
    </row>
    <row r="301" spans="1:9" ht="16.5" customHeight="1">
      <c r="A301" s="122" t="s">
        <v>202</v>
      </c>
      <c r="B301" s="123" t="s">
        <v>51</v>
      </c>
      <c r="C301" s="124">
        <f>IF(В!B301=FALSE,0,1)*В!A301</f>
        <v>0</v>
      </c>
      <c r="D301" s="125">
        <v>12500</v>
      </c>
      <c r="E301" s="126"/>
      <c r="F301" s="124">
        <f>E301+D301</f>
        <v>12500</v>
      </c>
      <c r="G301" s="125">
        <f>IF(В!B301=FALSE,0,1)*D301*C301</f>
        <v>0</v>
      </c>
      <c r="H301" s="126"/>
      <c r="I301" s="124">
        <f>G301+H301</f>
        <v>0</v>
      </c>
    </row>
    <row r="302" spans="1:9" s="83" customFormat="1" ht="16.5" customHeight="1">
      <c r="A302" s="136" t="s">
        <v>215</v>
      </c>
      <c r="B302" s="137" t="s">
        <v>485</v>
      </c>
      <c r="C302" s="138"/>
      <c r="D302" s="139"/>
      <c r="E302" s="140"/>
      <c r="F302" s="141"/>
      <c r="G302" s="142"/>
      <c r="H302" s="143"/>
      <c r="I302" s="141"/>
    </row>
    <row r="303" spans="1:9" s="83" customFormat="1" ht="16.5" customHeight="1">
      <c r="A303" s="145"/>
      <c r="B303" s="146"/>
      <c r="C303" s="147"/>
      <c r="D303" s="148"/>
      <c r="E303" s="149"/>
      <c r="F303" s="150"/>
      <c r="G303" s="282" t="s">
        <v>57</v>
      </c>
      <c r="H303" s="152" t="s">
        <v>58</v>
      </c>
      <c r="I303" s="153" t="s">
        <v>59</v>
      </c>
    </row>
    <row r="304" spans="1:9" s="83" customFormat="1" ht="16.5" customHeight="1">
      <c r="A304" s="154" t="s">
        <v>47</v>
      </c>
      <c r="B304" s="155"/>
      <c r="C304" s="156"/>
      <c r="D304" s="157"/>
      <c r="E304" s="157"/>
      <c r="F304" s="86"/>
      <c r="G304" s="283">
        <f>SUM(G287:G302)</f>
        <v>0</v>
      </c>
      <c r="H304" s="159">
        <f>I304-G304</f>
        <v>0</v>
      </c>
      <c r="I304" s="160">
        <f>SUM(I287:I302)</f>
        <v>0</v>
      </c>
    </row>
    <row r="305" spans="1:9" s="83" customFormat="1" ht="16.5" customHeight="1">
      <c r="A305" s="161" t="s">
        <v>486</v>
      </c>
      <c r="B305" s="162"/>
      <c r="C305" s="163"/>
      <c r="D305" s="164"/>
      <c r="E305" s="164"/>
      <c r="F305" s="165"/>
      <c r="G305" s="166">
        <v>0</v>
      </c>
      <c r="H305" s="167"/>
      <c r="I305" s="168">
        <f>G304*В!A305</f>
        <v>0</v>
      </c>
    </row>
    <row r="306" spans="1:9" s="83" customFormat="1" ht="16.5" customHeight="1" thickBot="1">
      <c r="A306" s="284" t="s">
        <v>487</v>
      </c>
      <c r="B306" s="285"/>
      <c r="C306" s="286"/>
      <c r="D306" s="287"/>
      <c r="E306" s="288"/>
      <c r="F306" s="285"/>
      <c r="G306" s="289">
        <v>0</v>
      </c>
      <c r="H306" s="290"/>
      <c r="I306" s="291">
        <f>G304*В!A306</f>
        <v>0</v>
      </c>
    </row>
    <row r="307" spans="1:9" s="83" customFormat="1" ht="18.75">
      <c r="A307" s="177" t="s">
        <v>529</v>
      </c>
      <c r="B307" s="186"/>
      <c r="C307" s="187"/>
      <c r="D307" s="188"/>
      <c r="E307" s="189"/>
      <c r="F307" s="186"/>
      <c r="G307" s="292"/>
      <c r="H307" s="191"/>
      <c r="I307" s="184">
        <f>SUM(I304:I306)</f>
        <v>0</v>
      </c>
    </row>
    <row r="308" spans="1:9" s="83" customFormat="1" ht="16.5" customHeight="1">
      <c r="A308" s="185"/>
      <c r="B308" s="186"/>
      <c r="C308" s="187"/>
      <c r="D308" s="188"/>
      <c r="E308" s="189"/>
      <c r="F308" s="186"/>
      <c r="G308" s="190"/>
      <c r="H308" s="191"/>
      <c r="I308" s="192"/>
    </row>
    <row r="309" spans="1:9" s="83" customFormat="1" ht="16.5" customHeight="1">
      <c r="A309" s="102" t="s">
        <v>33</v>
      </c>
      <c r="B309" s="103" t="s">
        <v>34</v>
      </c>
      <c r="C309" s="103" t="s">
        <v>35</v>
      </c>
      <c r="D309" s="104" t="s">
        <v>36</v>
      </c>
      <c r="E309" s="105"/>
      <c r="F309" s="106" t="s">
        <v>37</v>
      </c>
      <c r="G309" s="104" t="s">
        <v>38</v>
      </c>
      <c r="H309" s="107"/>
      <c r="I309" s="106" t="s">
        <v>39</v>
      </c>
    </row>
    <row r="310" spans="1:9" s="83" customFormat="1" ht="16.5" customHeight="1">
      <c r="A310" s="102"/>
      <c r="B310" s="108"/>
      <c r="C310" s="108"/>
      <c r="D310" s="109" t="s">
        <v>45</v>
      </c>
      <c r="E310" s="109" t="s">
        <v>46</v>
      </c>
      <c r="F310" s="110" t="s">
        <v>47</v>
      </c>
      <c r="G310" s="109" t="s">
        <v>45</v>
      </c>
      <c r="H310" s="109" t="s">
        <v>46</v>
      </c>
      <c r="I310" s="110" t="s">
        <v>47</v>
      </c>
    </row>
    <row r="311" spans="1:9" s="83" customFormat="1" ht="16.5" customHeight="1">
      <c r="A311" s="114" t="s">
        <v>203</v>
      </c>
      <c r="B311" s="235"/>
      <c r="C311" s="236"/>
      <c r="D311" s="111"/>
      <c r="E311" s="112"/>
      <c r="F311" s="237"/>
      <c r="G311" s="113"/>
      <c r="H311" s="112"/>
      <c r="I311" s="237"/>
    </row>
    <row r="312" spans="1:9" s="83" customFormat="1" ht="16.5" customHeight="1" collapsed="1">
      <c r="A312" s="122" t="s">
        <v>204</v>
      </c>
      <c r="B312" s="123" t="s">
        <v>62</v>
      </c>
      <c r="C312" s="228">
        <f>IF(В!B312=FALSE,0,1)*В!A312</f>
        <v>0</v>
      </c>
      <c r="D312" s="125">
        <v>450</v>
      </c>
      <c r="E312" s="126">
        <v>1232</v>
      </c>
      <c r="F312" s="124">
        <f>E312+D312</f>
        <v>1682</v>
      </c>
      <c r="G312" s="125">
        <f>IF(В!B312=FALSE,0,1)*D312*C312</f>
        <v>0</v>
      </c>
      <c r="H312" s="126">
        <f>IF(В!B312=FALSE,0,1)*SUM(H313:H314)</f>
        <v>0</v>
      </c>
      <c r="I312" s="124">
        <f>G312+H312</f>
        <v>0</v>
      </c>
    </row>
    <row r="313" spans="1:9" s="83" customFormat="1" ht="16.5" hidden="1" customHeight="1" outlineLevel="1">
      <c r="A313" s="127" t="s">
        <v>68</v>
      </c>
      <c r="B313" s="128" t="s">
        <v>56</v>
      </c>
      <c r="C313" s="133">
        <f>IF(В!B313=FALSE,0,1)*В!A313</f>
        <v>0</v>
      </c>
      <c r="D313" s="134"/>
      <c r="E313" s="130">
        <v>9396</v>
      </c>
      <c r="F313" s="131"/>
      <c r="G313" s="196"/>
      <c r="H313" s="130">
        <f>E313*C313</f>
        <v>0</v>
      </c>
      <c r="I313" s="132"/>
    </row>
    <row r="314" spans="1:9" s="83" customFormat="1" ht="16.5" hidden="1" customHeight="1" outlineLevel="1">
      <c r="A314" s="127" t="s">
        <v>180</v>
      </c>
      <c r="B314" s="128" t="s">
        <v>53</v>
      </c>
      <c r="C314" s="194">
        <f>IF(В!B314=FALSE,0,1)*В!A314</f>
        <v>0</v>
      </c>
      <c r="D314" s="134"/>
      <c r="E314" s="130">
        <v>836</v>
      </c>
      <c r="F314" s="131"/>
      <c r="G314" s="196"/>
      <c r="H314" s="130">
        <f>E314*C314</f>
        <v>0</v>
      </c>
      <c r="I314" s="132"/>
    </row>
    <row r="315" spans="1:9" s="83" customFormat="1" ht="16.5" customHeight="1" collapsed="1">
      <c r="A315" s="122" t="s">
        <v>207</v>
      </c>
      <c r="B315" s="123" t="s">
        <v>62</v>
      </c>
      <c r="C315" s="228">
        <f>IF(В!B315=FALSE,0,1)*В!A315</f>
        <v>0</v>
      </c>
      <c r="D315" s="125">
        <v>530</v>
      </c>
      <c r="E315" s="126">
        <v>680</v>
      </c>
      <c r="F315" s="124">
        <f>E315+D315</f>
        <v>1210</v>
      </c>
      <c r="G315" s="125">
        <f>IF(В!B315=FALSE,0,1)*D315*C315</f>
        <v>0</v>
      </c>
      <c r="H315" s="126">
        <f>IF(В!B315=FALSE,0,1)*SUM(H316:H318)</f>
        <v>0</v>
      </c>
      <c r="I315" s="124">
        <f>G315+H315</f>
        <v>0</v>
      </c>
    </row>
    <row r="316" spans="1:9" s="83" customFormat="1" ht="16.5" hidden="1" customHeight="1" outlineLevel="1">
      <c r="A316" s="127" t="s">
        <v>205</v>
      </c>
      <c r="B316" s="128" t="s">
        <v>56</v>
      </c>
      <c r="C316" s="197">
        <f>IF(В!B316=FALSE,0,1)*В!A316</f>
        <v>0</v>
      </c>
      <c r="D316" s="134"/>
      <c r="E316" s="198">
        <v>4830</v>
      </c>
      <c r="F316" s="131"/>
      <c r="G316" s="196"/>
      <c r="H316" s="130">
        <f>E316*C316</f>
        <v>0</v>
      </c>
      <c r="I316" s="132"/>
    </row>
    <row r="317" spans="1:9" s="83" customFormat="1" ht="16.5" hidden="1" customHeight="1" outlineLevel="1">
      <c r="A317" s="127" t="s">
        <v>100</v>
      </c>
      <c r="B317" s="128" t="s">
        <v>62</v>
      </c>
      <c r="C317" s="194">
        <f>IF(В!B317=FALSE,0,1)*В!A317</f>
        <v>0</v>
      </c>
      <c r="D317" s="134"/>
      <c r="E317" s="130">
        <v>114</v>
      </c>
      <c r="F317" s="131"/>
      <c r="G317" s="196"/>
      <c r="H317" s="130">
        <f>E317*C317</f>
        <v>0</v>
      </c>
      <c r="I317" s="132"/>
    </row>
    <row r="318" spans="1:9" s="83" customFormat="1" ht="16.5" hidden="1" customHeight="1" outlineLevel="1">
      <c r="A318" s="127" t="s">
        <v>206</v>
      </c>
      <c r="B318" s="128" t="s">
        <v>135</v>
      </c>
      <c r="C318" s="194">
        <f>IF(В!B318=FALSE,0,1)*В!A318</f>
        <v>0</v>
      </c>
      <c r="D318" s="134"/>
      <c r="E318" s="198">
        <v>493.8</v>
      </c>
      <c r="F318" s="131"/>
      <c r="G318" s="196"/>
      <c r="H318" s="130">
        <f>E318*C318</f>
        <v>0</v>
      </c>
      <c r="I318" s="132"/>
    </row>
    <row r="319" spans="1:9" s="83" customFormat="1" ht="16.5" customHeight="1" collapsed="1">
      <c r="A319" s="122" t="s">
        <v>208</v>
      </c>
      <c r="B319" s="123" t="s">
        <v>62</v>
      </c>
      <c r="C319" s="228">
        <f>IF(В!B319=FALSE,0,1)*В!A319</f>
        <v>0</v>
      </c>
      <c r="D319" s="125">
        <v>500</v>
      </c>
      <c r="E319" s="126">
        <v>467</v>
      </c>
      <c r="F319" s="124">
        <f>E319+D319</f>
        <v>967</v>
      </c>
      <c r="G319" s="125">
        <f>IF(В!B319=FALSE,0,1)*D319*C319</f>
        <v>0</v>
      </c>
      <c r="H319" s="126">
        <f>IF(В!B319=FALSE,0,1)*SUM(H320:H322)</f>
        <v>0</v>
      </c>
      <c r="I319" s="124">
        <f>G319+H319</f>
        <v>0</v>
      </c>
    </row>
    <row r="320" spans="1:9" s="83" customFormat="1" ht="16.5" hidden="1" customHeight="1" outlineLevel="1">
      <c r="A320" s="127" t="s">
        <v>205</v>
      </c>
      <c r="B320" s="128" t="s">
        <v>56</v>
      </c>
      <c r="C320" s="197">
        <f>IF(В!B320=FALSE,0,1)*В!A320</f>
        <v>0</v>
      </c>
      <c r="D320" s="134"/>
      <c r="E320" s="198">
        <v>4830</v>
      </c>
      <c r="F320" s="131"/>
      <c r="G320" s="196"/>
      <c r="H320" s="130">
        <f>E320*C320</f>
        <v>0</v>
      </c>
      <c r="I320" s="132"/>
    </row>
    <row r="321" spans="1:9" s="83" customFormat="1" ht="16.5" hidden="1" customHeight="1" outlineLevel="1">
      <c r="A321" s="127" t="s">
        <v>100</v>
      </c>
      <c r="B321" s="128" t="s">
        <v>62</v>
      </c>
      <c r="C321" s="194">
        <f>IF(В!B321=FALSE,0,1)*В!A321</f>
        <v>0</v>
      </c>
      <c r="D321" s="134"/>
      <c r="E321" s="130">
        <v>114</v>
      </c>
      <c r="F321" s="131"/>
      <c r="G321" s="196"/>
      <c r="H321" s="130">
        <f>E321*C321</f>
        <v>0</v>
      </c>
      <c r="I321" s="132"/>
    </row>
    <row r="322" spans="1:9" s="83" customFormat="1" ht="16.5" hidden="1" customHeight="1" outlineLevel="1">
      <c r="A322" s="127" t="s">
        <v>206</v>
      </c>
      <c r="B322" s="128" t="s">
        <v>135</v>
      </c>
      <c r="C322" s="194">
        <f>IF(В!B322=FALSE,0,1)*В!A322</f>
        <v>0</v>
      </c>
      <c r="D322" s="134"/>
      <c r="E322" s="198">
        <v>493.8</v>
      </c>
      <c r="F322" s="131"/>
      <c r="G322" s="196"/>
      <c r="H322" s="130">
        <f>E322*C322</f>
        <v>0</v>
      </c>
      <c r="I322" s="132"/>
    </row>
    <row r="323" spans="1:9" ht="16.5" customHeight="1" collapsed="1">
      <c r="A323" s="122" t="s">
        <v>209</v>
      </c>
      <c r="B323" s="123" t="s">
        <v>62</v>
      </c>
      <c r="C323" s="228">
        <f>IF(В!B323=FALSE,0,1)*В!A323</f>
        <v>0</v>
      </c>
      <c r="D323" s="125">
        <v>40</v>
      </c>
      <c r="E323" s="126">
        <v>48</v>
      </c>
      <c r="F323" s="124">
        <f>D323+E323</f>
        <v>88</v>
      </c>
      <c r="G323" s="125">
        <f>D323*C323</f>
        <v>0</v>
      </c>
      <c r="H323" s="126">
        <f>H324</f>
        <v>0</v>
      </c>
      <c r="I323" s="124">
        <f>G323+H323</f>
        <v>0</v>
      </c>
    </row>
    <row r="324" spans="1:9" ht="16.5" hidden="1" customHeight="1" outlineLevel="1">
      <c r="A324" s="127" t="s">
        <v>210</v>
      </c>
      <c r="B324" s="128" t="s">
        <v>53</v>
      </c>
      <c r="C324" s="194">
        <f>IF(В!B324=FALSE,0,1)*В!A324</f>
        <v>0</v>
      </c>
      <c r="D324" s="134"/>
      <c r="E324" s="130">
        <v>2826</v>
      </c>
      <c r="F324" s="131"/>
      <c r="G324" s="196"/>
      <c r="H324" s="130">
        <f>C324*E324</f>
        <v>0</v>
      </c>
      <c r="I324" s="132"/>
    </row>
    <row r="325" spans="1:9" s="83" customFormat="1" ht="16.5" customHeight="1" collapsed="1">
      <c r="A325" s="122" t="s">
        <v>212</v>
      </c>
      <c r="B325" s="123" t="s">
        <v>62</v>
      </c>
      <c r="C325" s="228">
        <f>IF(В!B325=FALSE,0,1)*В!A325</f>
        <v>0</v>
      </c>
      <c r="D325" s="125">
        <v>750</v>
      </c>
      <c r="E325" s="126">
        <v>453</v>
      </c>
      <c r="F325" s="124">
        <f>E325+D325</f>
        <v>1203</v>
      </c>
      <c r="G325" s="125">
        <f>IF(В!B325=FALSE,0,1)*D325*C325</f>
        <v>0</v>
      </c>
      <c r="H325" s="126">
        <f>IF(В!B325=FALSE,0,1)*SUM(H326:H327)</f>
        <v>0</v>
      </c>
      <c r="I325" s="124">
        <f>G325+H325</f>
        <v>0</v>
      </c>
    </row>
    <row r="326" spans="1:9" s="83" customFormat="1" ht="16.5" hidden="1" customHeight="1" outlineLevel="1">
      <c r="A326" s="127" t="s">
        <v>211</v>
      </c>
      <c r="B326" s="128" t="s">
        <v>53</v>
      </c>
      <c r="C326" s="194">
        <f>IF(В!B326=FALSE,0,1)*В!A326</f>
        <v>0</v>
      </c>
      <c r="D326" s="134"/>
      <c r="E326" s="198">
        <v>133.80000000000001</v>
      </c>
      <c r="F326" s="131"/>
      <c r="G326" s="196"/>
      <c r="H326" s="130">
        <f>E326*C326</f>
        <v>0</v>
      </c>
      <c r="I326" s="132"/>
    </row>
    <row r="327" spans="1:9" s="83" customFormat="1" ht="16.5" hidden="1" customHeight="1" outlineLevel="1">
      <c r="A327" s="127" t="s">
        <v>106</v>
      </c>
      <c r="B327" s="128" t="s">
        <v>80</v>
      </c>
      <c r="C327" s="194">
        <f>IF(В!B327=FALSE,0,1)*В!A327</f>
        <v>0</v>
      </c>
      <c r="D327" s="134"/>
      <c r="E327" s="198">
        <v>6.2</v>
      </c>
      <c r="F327" s="131"/>
      <c r="G327" s="196"/>
      <c r="H327" s="130">
        <f>E327*C327</f>
        <v>0</v>
      </c>
      <c r="I327" s="132"/>
    </row>
    <row r="328" spans="1:9" s="83" customFormat="1" ht="16.5" customHeight="1" collapsed="1">
      <c r="A328" s="122" t="s">
        <v>213</v>
      </c>
      <c r="B328" s="123" t="s">
        <v>62</v>
      </c>
      <c r="C328" s="228">
        <f>IF(В!B328=FALSE,0,1)*В!A328</f>
        <v>0</v>
      </c>
      <c r="D328" s="125">
        <v>750</v>
      </c>
      <c r="E328" s="126">
        <v>452</v>
      </c>
      <c r="F328" s="124">
        <f>E328+D328</f>
        <v>1202</v>
      </c>
      <c r="G328" s="125">
        <f>IF(В!B328=FALSE,0,1)*D328*C328</f>
        <v>0</v>
      </c>
      <c r="H328" s="126">
        <f>IF(В!B328=FALSE,0,1)*SUM(H329:H330)</f>
        <v>0</v>
      </c>
      <c r="I328" s="124">
        <f>G328+H328</f>
        <v>0</v>
      </c>
    </row>
    <row r="329" spans="1:9" s="83" customFormat="1" ht="16.5" hidden="1" customHeight="1" outlineLevel="1">
      <c r="A329" s="127" t="s">
        <v>211</v>
      </c>
      <c r="B329" s="128" t="s">
        <v>53</v>
      </c>
      <c r="C329" s="194">
        <f>IF(В!B329=FALSE,0,1)*В!A329</f>
        <v>0</v>
      </c>
      <c r="D329" s="134"/>
      <c r="E329" s="198">
        <v>133.80000000000001</v>
      </c>
      <c r="F329" s="131"/>
      <c r="G329" s="196"/>
      <c r="H329" s="130">
        <f>E329*C329</f>
        <v>0</v>
      </c>
      <c r="I329" s="132"/>
    </row>
    <row r="330" spans="1:9" s="83" customFormat="1" ht="16.5" hidden="1" customHeight="1" outlineLevel="1">
      <c r="A330" s="127" t="s">
        <v>106</v>
      </c>
      <c r="B330" s="128" t="s">
        <v>80</v>
      </c>
      <c r="C330" s="194">
        <f>IF(В!B330=FALSE,0,1)*В!A330</f>
        <v>0</v>
      </c>
      <c r="D330" s="134"/>
      <c r="E330" s="198">
        <v>6.2</v>
      </c>
      <c r="F330" s="131"/>
      <c r="G330" s="196"/>
      <c r="H330" s="130">
        <f>E330*C330</f>
        <v>0</v>
      </c>
      <c r="I330" s="132"/>
    </row>
    <row r="331" spans="1:9" s="83" customFormat="1" ht="16.5" customHeight="1" collapsed="1">
      <c r="A331" s="122" t="s">
        <v>214</v>
      </c>
      <c r="B331" s="123" t="s">
        <v>69</v>
      </c>
      <c r="C331" s="228">
        <f>IF(В!B331=FALSE,0,1)*В!A331</f>
        <v>0</v>
      </c>
      <c r="D331" s="125">
        <v>500</v>
      </c>
      <c r="E331" s="126">
        <v>201</v>
      </c>
      <c r="F331" s="124">
        <f>E331+D331</f>
        <v>701</v>
      </c>
      <c r="G331" s="125">
        <f>IF(В!B331=FALSE,0,1)*D331*C331</f>
        <v>0</v>
      </c>
      <c r="H331" s="126">
        <f>IF(В!B331=FALSE,0,1)*SUM(H332:H333)</f>
        <v>0</v>
      </c>
      <c r="I331" s="124">
        <f>G331+H331</f>
        <v>0</v>
      </c>
    </row>
    <row r="332" spans="1:9" s="83" customFormat="1" ht="16.5" hidden="1" customHeight="1" outlineLevel="1">
      <c r="A332" s="127" t="s">
        <v>211</v>
      </c>
      <c r="B332" s="128" t="s">
        <v>53</v>
      </c>
      <c r="C332" s="194">
        <f>IF(В!B332=FALSE,0,1)*В!A332</f>
        <v>0</v>
      </c>
      <c r="D332" s="134"/>
      <c r="E332" s="198">
        <v>133.80000000000001</v>
      </c>
      <c r="F332" s="131"/>
      <c r="G332" s="196"/>
      <c r="H332" s="130">
        <f>E332*C332</f>
        <v>0</v>
      </c>
      <c r="I332" s="132"/>
    </row>
    <row r="333" spans="1:9" s="83" customFormat="1" ht="16.5" hidden="1" customHeight="1" outlineLevel="1">
      <c r="A333" s="127" t="s">
        <v>106</v>
      </c>
      <c r="B333" s="128" t="s">
        <v>80</v>
      </c>
      <c r="C333" s="194">
        <f>IF(В!B333=FALSE,0,1)*В!A333</f>
        <v>0</v>
      </c>
      <c r="D333" s="134"/>
      <c r="E333" s="198">
        <v>6.2</v>
      </c>
      <c r="F333" s="131"/>
      <c r="G333" s="196"/>
      <c r="H333" s="130">
        <f>E333*C333</f>
        <v>0</v>
      </c>
      <c r="I333" s="132"/>
    </row>
    <row r="334" spans="1:9" s="83" customFormat="1" ht="16.5" customHeight="1">
      <c r="A334" s="293" t="s">
        <v>215</v>
      </c>
      <c r="B334" s="137" t="s">
        <v>485</v>
      </c>
      <c r="C334" s="138"/>
      <c r="D334" s="139"/>
      <c r="E334" s="140"/>
      <c r="F334" s="141"/>
      <c r="G334" s="142"/>
      <c r="H334" s="143"/>
      <c r="I334" s="141"/>
    </row>
    <row r="335" spans="1:9" s="83" customFormat="1" ht="16.5" customHeight="1">
      <c r="A335" s="145"/>
      <c r="B335" s="146"/>
      <c r="C335" s="147"/>
      <c r="D335" s="148"/>
      <c r="E335" s="149"/>
      <c r="F335" s="150"/>
      <c r="G335" s="282" t="s">
        <v>57</v>
      </c>
      <c r="H335" s="152" t="s">
        <v>58</v>
      </c>
      <c r="I335" s="153" t="s">
        <v>59</v>
      </c>
    </row>
    <row r="336" spans="1:9" s="83" customFormat="1" ht="16.5" customHeight="1">
      <c r="A336" s="154" t="s">
        <v>47</v>
      </c>
      <c r="B336" s="155"/>
      <c r="C336" s="156"/>
      <c r="D336" s="157"/>
      <c r="E336" s="157"/>
      <c r="F336" s="86"/>
      <c r="G336" s="283">
        <f>SUM(G311:G334)</f>
        <v>0</v>
      </c>
      <c r="H336" s="159">
        <f>I336-G336</f>
        <v>0</v>
      </c>
      <c r="I336" s="160">
        <f>SUM(I311:I334)</f>
        <v>0</v>
      </c>
    </row>
    <row r="337" spans="1:9" s="83" customFormat="1" ht="16.5" customHeight="1">
      <c r="A337" s="161" t="s">
        <v>530</v>
      </c>
      <c r="B337" s="162"/>
      <c r="C337" s="163"/>
      <c r="D337" s="164"/>
      <c r="E337" s="164"/>
      <c r="F337" s="165"/>
      <c r="G337" s="166">
        <v>0</v>
      </c>
      <c r="H337" s="167"/>
      <c r="I337" s="168">
        <f>G336*В!A337</f>
        <v>0</v>
      </c>
    </row>
    <row r="338" spans="1:9" s="83" customFormat="1" ht="16.5" customHeight="1" thickBot="1">
      <c r="A338" s="284" t="s">
        <v>487</v>
      </c>
      <c r="B338" s="285"/>
      <c r="C338" s="286"/>
      <c r="D338" s="287"/>
      <c r="E338" s="288"/>
      <c r="F338" s="285"/>
      <c r="G338" s="289">
        <v>0</v>
      </c>
      <c r="H338" s="290"/>
      <c r="I338" s="291">
        <f>G336*В!A338</f>
        <v>0</v>
      </c>
    </row>
    <row r="339" spans="1:9" s="83" customFormat="1" ht="18.75">
      <c r="A339" s="177" t="s">
        <v>531</v>
      </c>
      <c r="B339" s="186"/>
      <c r="C339" s="187"/>
      <c r="D339" s="188"/>
      <c r="E339" s="189"/>
      <c r="F339" s="186"/>
      <c r="G339" s="292"/>
      <c r="H339" s="191"/>
      <c r="I339" s="184">
        <f>SUM(I336:I338)</f>
        <v>0</v>
      </c>
    </row>
    <row r="340" spans="1:9" s="83" customFormat="1" ht="16.5" customHeight="1">
      <c r="A340" s="185"/>
      <c r="B340" s="186"/>
      <c r="C340" s="187"/>
      <c r="D340" s="188"/>
      <c r="E340" s="189"/>
      <c r="F340" s="186"/>
      <c r="G340" s="190"/>
      <c r="H340" s="191"/>
      <c r="I340" s="192"/>
    </row>
    <row r="341" spans="1:9" s="83" customFormat="1" ht="16.5" customHeight="1">
      <c r="A341" s="102" t="s">
        <v>33</v>
      </c>
      <c r="B341" s="103" t="s">
        <v>34</v>
      </c>
      <c r="C341" s="103" t="s">
        <v>35</v>
      </c>
      <c r="D341" s="104" t="s">
        <v>36</v>
      </c>
      <c r="E341" s="105"/>
      <c r="F341" s="106" t="s">
        <v>37</v>
      </c>
      <c r="G341" s="104" t="s">
        <v>38</v>
      </c>
      <c r="H341" s="107"/>
      <c r="I341" s="106" t="s">
        <v>39</v>
      </c>
    </row>
    <row r="342" spans="1:9" s="83" customFormat="1" ht="16.5" customHeight="1">
      <c r="A342" s="102"/>
      <c r="B342" s="108"/>
      <c r="C342" s="108"/>
      <c r="D342" s="109" t="s">
        <v>45</v>
      </c>
      <c r="E342" s="109" t="s">
        <v>46</v>
      </c>
      <c r="F342" s="110" t="s">
        <v>47</v>
      </c>
      <c r="G342" s="109" t="s">
        <v>45</v>
      </c>
      <c r="H342" s="109" t="s">
        <v>46</v>
      </c>
      <c r="I342" s="110" t="s">
        <v>47</v>
      </c>
    </row>
    <row r="343" spans="1:9" s="83" customFormat="1" ht="16.5" customHeight="1">
      <c r="A343" s="114" t="s">
        <v>216</v>
      </c>
      <c r="B343" s="235"/>
      <c r="C343" s="236"/>
      <c r="D343" s="111"/>
      <c r="E343" s="112"/>
      <c r="F343" s="237"/>
      <c r="G343" s="113"/>
      <c r="H343" s="112"/>
      <c r="I343" s="237"/>
    </row>
    <row r="344" spans="1:9" s="83" customFormat="1" ht="16.5" customHeight="1">
      <c r="A344" s="122" t="s">
        <v>217</v>
      </c>
      <c r="B344" s="123" t="s">
        <v>69</v>
      </c>
      <c r="C344" s="124">
        <f>IF(В!B344=FALSE,0,1)*В!C344</f>
        <v>0</v>
      </c>
      <c r="D344" s="125">
        <v>3000</v>
      </c>
      <c r="E344" s="126">
        <v>0</v>
      </c>
      <c r="F344" s="124">
        <f>E344+D344</f>
        <v>3000</v>
      </c>
      <c r="G344" s="125">
        <f>IF(В!B344=FALSE,0,1)*D344*C344</f>
        <v>0</v>
      </c>
      <c r="H344" s="126"/>
      <c r="I344" s="124">
        <f>G344+H344</f>
        <v>0</v>
      </c>
    </row>
    <row r="345" spans="1:9" ht="16.5" customHeight="1" collapsed="1">
      <c r="A345" s="122" t="s">
        <v>218</v>
      </c>
      <c r="B345" s="123" t="s">
        <v>51</v>
      </c>
      <c r="C345" s="124">
        <f>IF(В!B345=FALSE,0,1)*В!C345</f>
        <v>0</v>
      </c>
      <c r="D345" s="125">
        <v>20500</v>
      </c>
      <c r="E345" s="126">
        <v>135900</v>
      </c>
      <c r="F345" s="124">
        <f>D345+E345</f>
        <v>156400</v>
      </c>
      <c r="G345" s="125">
        <f>D345*C345</f>
        <v>0</v>
      </c>
      <c r="H345" s="126">
        <f>H346</f>
        <v>0</v>
      </c>
      <c r="I345" s="124">
        <f>G345+H345</f>
        <v>0</v>
      </c>
    </row>
    <row r="346" spans="1:9" ht="16.5" hidden="1" customHeight="1" outlineLevel="1">
      <c r="A346" s="294" t="s">
        <v>532</v>
      </c>
      <c r="B346" s="128" t="s">
        <v>51</v>
      </c>
      <c r="C346" s="194">
        <f>IF(В!B346=FALSE,0,1)*В!C346</f>
        <v>0</v>
      </c>
      <c r="D346" s="134"/>
      <c r="E346" s="130">
        <v>135900</v>
      </c>
      <c r="F346" s="131"/>
      <c r="G346" s="196"/>
      <c r="H346" s="130">
        <f>C346*E346</f>
        <v>0</v>
      </c>
      <c r="I346" s="132"/>
    </row>
    <row r="347" spans="1:9" s="83" customFormat="1" ht="16.5" customHeight="1" collapsed="1">
      <c r="A347" s="122" t="s">
        <v>319</v>
      </c>
      <c r="B347" s="123" t="s">
        <v>51</v>
      </c>
      <c r="C347" s="124">
        <f>IF(В!B347=FALSE,0,1)*В!C347</f>
        <v>0</v>
      </c>
      <c r="D347" s="125">
        <v>29900</v>
      </c>
      <c r="E347" s="126">
        <v>215631</v>
      </c>
      <c r="F347" s="124">
        <f>E347+D347</f>
        <v>245531</v>
      </c>
      <c r="G347" s="125">
        <f>IF(В!B347=FALSE,0,1)*D347*C347</f>
        <v>0</v>
      </c>
      <c r="H347" s="126">
        <f>IF(В!B347=FALSE,0,1)*SUM(H348:H352)</f>
        <v>0</v>
      </c>
      <c r="I347" s="124">
        <f>G347+H347</f>
        <v>0</v>
      </c>
    </row>
    <row r="348" spans="1:9" s="83" customFormat="1" ht="16.5" hidden="1" customHeight="1" outlineLevel="1">
      <c r="A348" s="127" t="s">
        <v>533</v>
      </c>
      <c r="B348" s="128" t="s">
        <v>51</v>
      </c>
      <c r="C348" s="194">
        <f>IF(В!B348=FALSE,0,1)*В!C348</f>
        <v>0</v>
      </c>
      <c r="D348" s="134"/>
      <c r="E348" s="130">
        <v>198900</v>
      </c>
      <c r="F348" s="131"/>
      <c r="G348" s="196"/>
      <c r="H348" s="130">
        <f>E348*C348</f>
        <v>0</v>
      </c>
      <c r="I348" s="132"/>
    </row>
    <row r="349" spans="1:9" s="83" customFormat="1" ht="16.5" hidden="1" customHeight="1" outlineLevel="1">
      <c r="A349" s="127" t="s">
        <v>219</v>
      </c>
      <c r="B349" s="128" t="s">
        <v>53</v>
      </c>
      <c r="C349" s="194">
        <f>IF(В!B349=FALSE,0,1)*В!C349</f>
        <v>0</v>
      </c>
      <c r="D349" s="134"/>
      <c r="E349" s="198">
        <v>561</v>
      </c>
      <c r="F349" s="131"/>
      <c r="G349" s="196"/>
      <c r="H349" s="130">
        <f>E349*C349</f>
        <v>0</v>
      </c>
      <c r="I349" s="132"/>
    </row>
    <row r="350" spans="1:9" s="83" customFormat="1" ht="16.5" hidden="1" customHeight="1" outlineLevel="1">
      <c r="A350" s="127" t="s">
        <v>68</v>
      </c>
      <c r="B350" s="128" t="s">
        <v>56</v>
      </c>
      <c r="C350" s="133">
        <f>IF(В!B350=FALSE,0,1)*В!C350</f>
        <v>0</v>
      </c>
      <c r="D350" s="134"/>
      <c r="E350" s="130">
        <v>9396</v>
      </c>
      <c r="F350" s="131"/>
      <c r="G350" s="196"/>
      <c r="H350" s="130">
        <f>E350*C350</f>
        <v>0</v>
      </c>
      <c r="I350" s="132"/>
    </row>
    <row r="351" spans="1:9" s="83" customFormat="1" ht="16.5" hidden="1" customHeight="1" outlineLevel="1">
      <c r="A351" s="127" t="s">
        <v>92</v>
      </c>
      <c r="B351" s="128" t="s">
        <v>69</v>
      </c>
      <c r="C351" s="194">
        <f>IF(В!B351=FALSE,0,1)*В!C351</f>
        <v>0</v>
      </c>
      <c r="D351" s="134"/>
      <c r="E351" s="130">
        <v>469</v>
      </c>
      <c r="F351" s="131"/>
      <c r="G351" s="196"/>
      <c r="H351" s="130">
        <f>E351*C351</f>
        <v>0</v>
      </c>
      <c r="I351" s="132"/>
    </row>
    <row r="352" spans="1:9" s="83" customFormat="1" ht="16.5" hidden="1" customHeight="1" outlineLevel="1">
      <c r="A352" s="127" t="s">
        <v>220</v>
      </c>
      <c r="B352" s="128" t="s">
        <v>56</v>
      </c>
      <c r="C352" s="194">
        <f>IF(В!B352=FALSE,0,1)*В!C352</f>
        <v>0</v>
      </c>
      <c r="D352" s="134"/>
      <c r="E352" s="130">
        <v>1547</v>
      </c>
      <c r="F352" s="131"/>
      <c r="G352" s="196"/>
      <c r="H352" s="130">
        <f>E352*C352</f>
        <v>0</v>
      </c>
      <c r="I352" s="132"/>
    </row>
    <row r="353" spans="1:9" s="83" customFormat="1" ht="16.5" customHeight="1">
      <c r="A353" s="136" t="s">
        <v>215</v>
      </c>
      <c r="B353" s="137" t="s">
        <v>485</v>
      </c>
      <c r="C353" s="138"/>
      <c r="D353" s="139"/>
      <c r="E353" s="140"/>
      <c r="F353" s="141"/>
      <c r="G353" s="142"/>
      <c r="H353" s="143"/>
      <c r="I353" s="141"/>
    </row>
    <row r="354" spans="1:9" s="83" customFormat="1" ht="16.5" customHeight="1">
      <c r="A354" s="145"/>
      <c r="B354" s="146"/>
      <c r="C354" s="147"/>
      <c r="D354" s="148"/>
      <c r="E354" s="149"/>
      <c r="F354" s="150"/>
      <c r="G354" s="282" t="s">
        <v>57</v>
      </c>
      <c r="H354" s="152" t="s">
        <v>58</v>
      </c>
      <c r="I354" s="153" t="s">
        <v>59</v>
      </c>
    </row>
    <row r="355" spans="1:9" s="83" customFormat="1" ht="16.5" customHeight="1">
      <c r="A355" s="154" t="s">
        <v>47</v>
      </c>
      <c r="B355" s="155"/>
      <c r="C355" s="156"/>
      <c r="D355" s="157"/>
      <c r="E355" s="157"/>
      <c r="F355" s="86"/>
      <c r="G355" s="283">
        <f>SUM(G343:G353)</f>
        <v>0</v>
      </c>
      <c r="H355" s="159">
        <f>I355-G355</f>
        <v>0</v>
      </c>
      <c r="I355" s="160">
        <f>SUM(I343:I353)</f>
        <v>0</v>
      </c>
    </row>
    <row r="356" spans="1:9" s="83" customFormat="1" ht="16.5" customHeight="1">
      <c r="A356" s="295" t="s">
        <v>534</v>
      </c>
      <c r="B356" s="162"/>
      <c r="C356" s="163"/>
      <c r="D356" s="164"/>
      <c r="E356" s="164"/>
      <c r="F356" s="165"/>
      <c r="G356" s="166">
        <v>0</v>
      </c>
      <c r="H356" s="167"/>
      <c r="I356" s="168">
        <f>G355*В!A356</f>
        <v>0</v>
      </c>
    </row>
    <row r="357" spans="1:9" s="83" customFormat="1" ht="16.5" customHeight="1" thickBot="1">
      <c r="A357" s="284" t="s">
        <v>487</v>
      </c>
      <c r="B357" s="285"/>
      <c r="C357" s="286"/>
      <c r="D357" s="287"/>
      <c r="E357" s="288"/>
      <c r="F357" s="285"/>
      <c r="G357" s="289">
        <v>0</v>
      </c>
      <c r="H357" s="290"/>
      <c r="I357" s="291">
        <f>G355*В!A357</f>
        <v>0</v>
      </c>
    </row>
    <row r="358" spans="1:9" s="83" customFormat="1" ht="18.75">
      <c r="A358" s="177" t="s">
        <v>535</v>
      </c>
      <c r="B358" s="186"/>
      <c r="C358" s="187"/>
      <c r="D358" s="188"/>
      <c r="E358" s="189"/>
      <c r="F358" s="186"/>
      <c r="G358" s="292"/>
      <c r="H358" s="191"/>
      <c r="I358" s="184">
        <f>SUM(I355:I357)</f>
        <v>0</v>
      </c>
    </row>
    <row r="359" spans="1:9" s="83" customFormat="1" ht="16.5" customHeight="1">
      <c r="A359" s="185"/>
      <c r="B359" s="186"/>
      <c r="C359" s="187"/>
      <c r="D359" s="188"/>
      <c r="E359" s="189"/>
      <c r="F359" s="186"/>
      <c r="G359" s="190"/>
      <c r="H359" s="191"/>
      <c r="I359" s="192"/>
    </row>
    <row r="360" spans="1:9" s="83" customFormat="1" ht="16.5" customHeight="1">
      <c r="A360" s="102" t="s">
        <v>33</v>
      </c>
      <c r="B360" s="103" t="s">
        <v>34</v>
      </c>
      <c r="C360" s="103" t="s">
        <v>35</v>
      </c>
      <c r="D360" s="104" t="s">
        <v>36</v>
      </c>
      <c r="E360" s="105"/>
      <c r="F360" s="106" t="s">
        <v>37</v>
      </c>
      <c r="G360" s="104" t="s">
        <v>38</v>
      </c>
      <c r="H360" s="107"/>
      <c r="I360" s="106" t="s">
        <v>39</v>
      </c>
    </row>
    <row r="361" spans="1:9" s="83" customFormat="1" ht="16.5" customHeight="1">
      <c r="A361" s="102"/>
      <c r="B361" s="108"/>
      <c r="C361" s="108"/>
      <c r="D361" s="109" t="s">
        <v>45</v>
      </c>
      <c r="E361" s="109" t="s">
        <v>46</v>
      </c>
      <c r="F361" s="110" t="s">
        <v>47</v>
      </c>
      <c r="G361" s="109" t="s">
        <v>45</v>
      </c>
      <c r="H361" s="109" t="s">
        <v>46</v>
      </c>
      <c r="I361" s="110" t="s">
        <v>47</v>
      </c>
    </row>
    <row r="362" spans="1:9" s="83" customFormat="1" ht="16.5" customHeight="1">
      <c r="A362" s="114" t="s">
        <v>221</v>
      </c>
      <c r="B362" s="235"/>
      <c r="C362" s="236"/>
      <c r="D362" s="111"/>
      <c r="E362" s="112"/>
      <c r="F362" s="237"/>
      <c r="G362" s="113"/>
      <c r="H362" s="112"/>
      <c r="I362" s="237"/>
    </row>
    <row r="363" spans="1:9" s="83" customFormat="1" ht="16.5" customHeight="1" collapsed="1">
      <c r="A363" s="122" t="s">
        <v>222</v>
      </c>
      <c r="B363" s="123" t="s">
        <v>51</v>
      </c>
      <c r="C363" s="124">
        <f>IF(В!B363=FALSE,0,1)*В!A363</f>
        <v>0</v>
      </c>
      <c r="D363" s="125">
        <v>344645</v>
      </c>
      <c r="E363" s="126">
        <v>421233</v>
      </c>
      <c r="F363" s="124">
        <f>D363+E363</f>
        <v>765878</v>
      </c>
      <c r="G363" s="125">
        <f>C363*D363</f>
        <v>0</v>
      </c>
      <c r="H363" s="126">
        <f>E363*C363</f>
        <v>0</v>
      </c>
      <c r="I363" s="124">
        <f>F363*C363</f>
        <v>0</v>
      </c>
    </row>
    <row r="364" spans="1:9" s="83" customFormat="1" ht="16.5" hidden="1" customHeight="1" outlineLevel="1">
      <c r="A364" s="127" t="s">
        <v>223</v>
      </c>
      <c r="B364" s="128" t="s">
        <v>51</v>
      </c>
      <c r="C364" s="194">
        <f>IF(В!B364=FALSE,0,1)*В!A364</f>
        <v>0</v>
      </c>
      <c r="D364" s="134"/>
      <c r="E364" s="198">
        <v>0</v>
      </c>
      <c r="F364" s="131"/>
      <c r="G364" s="196"/>
      <c r="H364" s="130">
        <f>E364*C364</f>
        <v>0</v>
      </c>
      <c r="I364" s="132"/>
    </row>
    <row r="365" spans="1:9" s="83" customFormat="1" ht="16.5" hidden="1" customHeight="1" outlineLevel="1">
      <c r="A365" s="127" t="s">
        <v>224</v>
      </c>
      <c r="B365" s="128" t="s">
        <v>51</v>
      </c>
      <c r="C365" s="194">
        <f>IF(В!B365=FALSE,0,1)*В!A365</f>
        <v>0</v>
      </c>
      <c r="D365" s="134"/>
      <c r="E365" s="198">
        <v>0</v>
      </c>
      <c r="F365" s="131"/>
      <c r="G365" s="196"/>
      <c r="H365" s="130">
        <f>E365*C365</f>
        <v>0</v>
      </c>
      <c r="I365" s="132"/>
    </row>
    <row r="366" spans="1:9" s="83" customFormat="1" ht="16.5" hidden="1" customHeight="1" outlineLevel="1">
      <c r="A366" s="127" t="s">
        <v>225</v>
      </c>
      <c r="B366" s="128" t="s">
        <v>51</v>
      </c>
      <c r="C366" s="194">
        <f>IF(В!B366=FALSE,0,1)*В!A366</f>
        <v>0</v>
      </c>
      <c r="D366" s="134"/>
      <c r="E366" s="198">
        <v>0</v>
      </c>
      <c r="F366" s="131"/>
      <c r="G366" s="196"/>
      <c r="H366" s="130">
        <f>E366*C366</f>
        <v>0</v>
      </c>
      <c r="I366" s="132"/>
    </row>
    <row r="367" spans="1:9" s="83" customFormat="1" ht="16.5" hidden="1" customHeight="1" outlineLevel="1">
      <c r="A367" s="127" t="s">
        <v>226</v>
      </c>
      <c r="B367" s="128" t="s">
        <v>51</v>
      </c>
      <c r="C367" s="194">
        <f>IF(В!B367=FALSE,0,1)*В!A367</f>
        <v>0</v>
      </c>
      <c r="D367" s="134"/>
      <c r="E367" s="198">
        <v>0</v>
      </c>
      <c r="F367" s="131"/>
      <c r="G367" s="196"/>
      <c r="H367" s="130">
        <f>E367*C367</f>
        <v>0</v>
      </c>
      <c r="I367" s="132"/>
    </row>
    <row r="368" spans="1:9" s="83" customFormat="1" ht="16.5" hidden="1" customHeight="1" outlineLevel="1">
      <c r="A368" s="127" t="s">
        <v>227</v>
      </c>
      <c r="B368" s="128" t="s">
        <v>51</v>
      </c>
      <c r="C368" s="194">
        <f>IF(В!B368=FALSE,0,1)*В!A368</f>
        <v>0</v>
      </c>
      <c r="D368" s="134"/>
      <c r="E368" s="198">
        <v>0</v>
      </c>
      <c r="F368" s="131"/>
      <c r="G368" s="196"/>
      <c r="H368" s="130">
        <f>E368*C368</f>
        <v>0</v>
      </c>
      <c r="I368" s="132"/>
    </row>
    <row r="369" spans="1:9" s="83" customFormat="1" ht="16.5" hidden="1" customHeight="1" outlineLevel="1">
      <c r="A369" s="127" t="s">
        <v>228</v>
      </c>
      <c r="B369" s="128" t="s">
        <v>51</v>
      </c>
      <c r="C369" s="194">
        <f>IF(В!B369=FALSE,0,1)*В!A369</f>
        <v>0</v>
      </c>
      <c r="D369" s="134"/>
      <c r="E369" s="198">
        <v>0</v>
      </c>
      <c r="F369" s="131"/>
      <c r="G369" s="196"/>
      <c r="H369" s="130">
        <f>E369*C369</f>
        <v>0</v>
      </c>
      <c r="I369" s="132"/>
    </row>
    <row r="370" spans="1:9" s="83" customFormat="1" ht="16.5" hidden="1" customHeight="1" outlineLevel="1">
      <c r="A370" s="127" t="s">
        <v>229</v>
      </c>
      <c r="B370" s="128" t="s">
        <v>51</v>
      </c>
      <c r="C370" s="194">
        <f>IF(В!B370=FALSE,0,1)*В!A370</f>
        <v>0</v>
      </c>
      <c r="D370" s="134"/>
      <c r="E370" s="198">
        <v>0</v>
      </c>
      <c r="F370" s="131"/>
      <c r="G370" s="196"/>
      <c r="H370" s="130">
        <f>E370*C370</f>
        <v>0</v>
      </c>
      <c r="I370" s="132"/>
    </row>
    <row r="371" spans="1:9" s="83" customFormat="1" ht="16.5" hidden="1" customHeight="1" outlineLevel="1">
      <c r="A371" s="127" t="s">
        <v>230</v>
      </c>
      <c r="B371" s="128" t="s">
        <v>51</v>
      </c>
      <c r="C371" s="194">
        <f>IF(В!B371=FALSE,0,1)*В!A371</f>
        <v>0</v>
      </c>
      <c r="D371" s="134"/>
      <c r="E371" s="198">
        <v>0</v>
      </c>
      <c r="F371" s="131"/>
      <c r="G371" s="196"/>
      <c r="H371" s="130">
        <f>E371*C371</f>
        <v>0</v>
      </c>
      <c r="I371" s="132"/>
    </row>
    <row r="372" spans="1:9" s="83" customFormat="1" ht="16.5" hidden="1" customHeight="1" outlineLevel="1">
      <c r="A372" s="127" t="s">
        <v>231</v>
      </c>
      <c r="B372" s="128" t="s">
        <v>51</v>
      </c>
      <c r="C372" s="194">
        <f>IF(В!B372=FALSE,0,1)*В!A372</f>
        <v>0</v>
      </c>
      <c r="D372" s="134"/>
      <c r="E372" s="198">
        <v>0</v>
      </c>
      <c r="F372" s="131"/>
      <c r="G372" s="196"/>
      <c r="H372" s="130">
        <f>E372*C372</f>
        <v>0</v>
      </c>
      <c r="I372" s="132"/>
    </row>
    <row r="373" spans="1:9" s="83" customFormat="1" ht="16.5" hidden="1" customHeight="1" outlineLevel="1">
      <c r="A373" s="225" t="s">
        <v>232</v>
      </c>
      <c r="B373" s="128" t="s">
        <v>51</v>
      </c>
      <c r="C373" s="194">
        <f>IF(В!B373=FALSE,0,1)*В!A373</f>
        <v>0</v>
      </c>
      <c r="D373" s="134"/>
      <c r="E373" s="198">
        <v>0</v>
      </c>
      <c r="F373" s="131"/>
      <c r="G373" s="196"/>
      <c r="H373" s="130">
        <f>E373*C373</f>
        <v>0</v>
      </c>
      <c r="I373" s="132"/>
    </row>
    <row r="374" spans="1:9" s="83" customFormat="1" ht="16.5" hidden="1" customHeight="1" outlineLevel="1">
      <c r="A374" s="225" t="s">
        <v>233</v>
      </c>
      <c r="B374" s="128" t="s">
        <v>53</v>
      </c>
      <c r="C374" s="194">
        <f>IF(В!B374=FALSE,0,1)*В!A374</f>
        <v>0</v>
      </c>
      <c r="D374" s="134"/>
      <c r="E374" s="198">
        <v>0</v>
      </c>
      <c r="F374" s="131"/>
      <c r="G374" s="196"/>
      <c r="H374" s="130">
        <f>E374*C374</f>
        <v>0</v>
      </c>
      <c r="I374" s="132"/>
    </row>
    <row r="375" spans="1:9" s="83" customFormat="1" ht="16.5" hidden="1" customHeight="1" outlineLevel="1">
      <c r="A375" s="225" t="s">
        <v>234</v>
      </c>
      <c r="B375" s="128" t="s">
        <v>51</v>
      </c>
      <c r="C375" s="194">
        <f>IF(В!B375=FALSE,0,1)*В!A375</f>
        <v>0</v>
      </c>
      <c r="D375" s="134"/>
      <c r="E375" s="198">
        <v>0</v>
      </c>
      <c r="F375" s="131"/>
      <c r="G375" s="196"/>
      <c r="H375" s="130">
        <f>E375*C375</f>
        <v>0</v>
      </c>
      <c r="I375" s="132"/>
    </row>
    <row r="376" spans="1:9" s="83" customFormat="1" ht="16.5" hidden="1" customHeight="1" outlineLevel="1">
      <c r="A376" s="127" t="s">
        <v>235</v>
      </c>
      <c r="B376" s="128" t="s">
        <v>51</v>
      </c>
      <c r="C376" s="194">
        <f>IF(В!B376=FALSE,0,1)*В!A376</f>
        <v>0</v>
      </c>
      <c r="D376" s="134"/>
      <c r="E376" s="198">
        <v>0</v>
      </c>
      <c r="F376" s="131"/>
      <c r="G376" s="196"/>
      <c r="H376" s="130">
        <f>E376*C376</f>
        <v>0</v>
      </c>
      <c r="I376" s="132"/>
    </row>
    <row r="377" spans="1:9" s="83" customFormat="1" ht="16.5" customHeight="1" collapsed="1">
      <c r="A377" s="122" t="s">
        <v>236</v>
      </c>
      <c r="B377" s="123" t="s">
        <v>51</v>
      </c>
      <c r="C377" s="124">
        <f>IF(В!B377=FALSE,0,1)*В!A377</f>
        <v>0</v>
      </c>
      <c r="D377" s="125">
        <v>475483</v>
      </c>
      <c r="E377" s="126">
        <v>656619</v>
      </c>
      <c r="F377" s="124">
        <f>D377+E377</f>
        <v>1132102</v>
      </c>
      <c r="G377" s="125">
        <f>C377*D377</f>
        <v>0</v>
      </c>
      <c r="H377" s="126">
        <f>E377*C377</f>
        <v>0</v>
      </c>
      <c r="I377" s="124">
        <f>F377*C377</f>
        <v>0</v>
      </c>
    </row>
    <row r="378" spans="1:9" s="83" customFormat="1" ht="16.5" hidden="1" customHeight="1" outlineLevel="1">
      <c r="A378" s="127" t="s">
        <v>237</v>
      </c>
      <c r="B378" s="128" t="s">
        <v>51</v>
      </c>
      <c r="C378" s="194">
        <f>IF(В!B378=FALSE,0,1)*В!A378</f>
        <v>0</v>
      </c>
      <c r="D378" s="134"/>
      <c r="E378" s="198">
        <v>0</v>
      </c>
      <c r="F378" s="131"/>
      <c r="G378" s="196"/>
      <c r="H378" s="130">
        <f>E378*C378</f>
        <v>0</v>
      </c>
      <c r="I378" s="132"/>
    </row>
    <row r="379" spans="1:9" s="83" customFormat="1" ht="16.5" hidden="1" customHeight="1" outlineLevel="1">
      <c r="A379" s="127" t="s">
        <v>224</v>
      </c>
      <c r="B379" s="128" t="s">
        <v>51</v>
      </c>
      <c r="C379" s="194">
        <f>IF(В!B379=FALSE,0,1)*В!A379</f>
        <v>0</v>
      </c>
      <c r="D379" s="134"/>
      <c r="E379" s="198">
        <v>0</v>
      </c>
      <c r="F379" s="131"/>
      <c r="G379" s="196"/>
      <c r="H379" s="130">
        <f>E379*C379</f>
        <v>0</v>
      </c>
      <c r="I379" s="132"/>
    </row>
    <row r="380" spans="1:9" s="83" customFormat="1" ht="16.5" hidden="1" customHeight="1" outlineLevel="1">
      <c r="A380" s="225" t="s">
        <v>536</v>
      </c>
      <c r="B380" s="128" t="s">
        <v>53</v>
      </c>
      <c r="C380" s="194">
        <f>IF(В!B380=FALSE,0,1)*В!A380</f>
        <v>0</v>
      </c>
      <c r="D380" s="134"/>
      <c r="E380" s="198">
        <v>0</v>
      </c>
      <c r="F380" s="131"/>
      <c r="G380" s="196"/>
      <c r="H380" s="130">
        <f>E380*C380</f>
        <v>0</v>
      </c>
      <c r="I380" s="132"/>
    </row>
    <row r="381" spans="1:9" s="83" customFormat="1" ht="16.5" hidden="1" customHeight="1" outlineLevel="1">
      <c r="A381" s="127" t="s">
        <v>226</v>
      </c>
      <c r="B381" s="128" t="s">
        <v>51</v>
      </c>
      <c r="C381" s="194">
        <f>IF(В!B381=FALSE,0,1)*В!A381</f>
        <v>0</v>
      </c>
      <c r="D381" s="134"/>
      <c r="E381" s="198">
        <v>0</v>
      </c>
      <c r="F381" s="131"/>
      <c r="G381" s="196"/>
      <c r="H381" s="130">
        <f>E381*C381</f>
        <v>0</v>
      </c>
      <c r="I381" s="132"/>
    </row>
    <row r="382" spans="1:9" s="83" customFormat="1" ht="16.5" hidden="1" customHeight="1" outlineLevel="1">
      <c r="A382" s="127" t="s">
        <v>227</v>
      </c>
      <c r="B382" s="128" t="s">
        <v>51</v>
      </c>
      <c r="C382" s="194">
        <f>IF(В!B382=FALSE,0,1)*В!A382</f>
        <v>0</v>
      </c>
      <c r="D382" s="134"/>
      <c r="E382" s="198">
        <v>0</v>
      </c>
      <c r="F382" s="131"/>
      <c r="G382" s="196"/>
      <c r="H382" s="130">
        <f>E382*C382</f>
        <v>0</v>
      </c>
      <c r="I382" s="132"/>
    </row>
    <row r="383" spans="1:9" s="83" customFormat="1" ht="16.5" hidden="1" customHeight="1" outlineLevel="1">
      <c r="A383" s="225" t="s">
        <v>233</v>
      </c>
      <c r="B383" s="128" t="s">
        <v>53</v>
      </c>
      <c r="C383" s="194">
        <f>IF(В!B383=FALSE,0,1)*В!A383</f>
        <v>0</v>
      </c>
      <c r="D383" s="134"/>
      <c r="E383" s="198">
        <v>0</v>
      </c>
      <c r="F383" s="131"/>
      <c r="G383" s="196"/>
      <c r="H383" s="130">
        <f>E383*C383</f>
        <v>0</v>
      </c>
      <c r="I383" s="132"/>
    </row>
    <row r="384" spans="1:9" s="83" customFormat="1" ht="16.5" hidden="1" customHeight="1" outlineLevel="1">
      <c r="A384" s="225" t="s">
        <v>238</v>
      </c>
      <c r="B384" s="128" t="s">
        <v>53</v>
      </c>
      <c r="C384" s="194">
        <f>IF(В!B384=FALSE,0,1)*В!A384</f>
        <v>0</v>
      </c>
      <c r="D384" s="134"/>
      <c r="E384" s="198">
        <v>0</v>
      </c>
      <c r="F384" s="131"/>
      <c r="G384" s="196"/>
      <c r="H384" s="130">
        <f>E384*C384</f>
        <v>0</v>
      </c>
      <c r="I384" s="132"/>
    </row>
    <row r="385" spans="1:9" s="83" customFormat="1" ht="16.5" hidden="1" customHeight="1" outlineLevel="1">
      <c r="A385" s="225" t="s">
        <v>234</v>
      </c>
      <c r="B385" s="128" t="s">
        <v>53</v>
      </c>
      <c r="C385" s="194">
        <f>IF(В!B385=FALSE,0,1)*В!A385</f>
        <v>0</v>
      </c>
      <c r="D385" s="134"/>
      <c r="E385" s="198">
        <v>0</v>
      </c>
      <c r="F385" s="131"/>
      <c r="G385" s="196"/>
      <c r="H385" s="130">
        <f>E385*C385</f>
        <v>0</v>
      </c>
      <c r="I385" s="132"/>
    </row>
    <row r="386" spans="1:9" s="83" customFormat="1" ht="16.5" hidden="1" customHeight="1" outlineLevel="1">
      <c r="A386" s="127" t="s">
        <v>228</v>
      </c>
      <c r="B386" s="128" t="s">
        <v>51</v>
      </c>
      <c r="C386" s="194">
        <f>IF(В!B386=FALSE,0,1)*В!A386</f>
        <v>0</v>
      </c>
      <c r="D386" s="134"/>
      <c r="E386" s="198">
        <v>0</v>
      </c>
      <c r="F386" s="131"/>
      <c r="G386" s="196"/>
      <c r="H386" s="130">
        <f>E386*C386</f>
        <v>0</v>
      </c>
      <c r="I386" s="132"/>
    </row>
    <row r="387" spans="1:9" s="83" customFormat="1" ht="16.5" hidden="1" customHeight="1" outlineLevel="1">
      <c r="A387" s="127" t="s">
        <v>229</v>
      </c>
      <c r="B387" s="128" t="s">
        <v>51</v>
      </c>
      <c r="C387" s="194">
        <f>IF(В!B387=FALSE,0,1)*В!A387</f>
        <v>0</v>
      </c>
      <c r="D387" s="134"/>
      <c r="E387" s="198">
        <v>0</v>
      </c>
      <c r="F387" s="131"/>
      <c r="G387" s="196"/>
      <c r="H387" s="130">
        <f>E387*C387</f>
        <v>0</v>
      </c>
      <c r="I387" s="132"/>
    </row>
    <row r="388" spans="1:9" s="83" customFormat="1" ht="16.5" hidden="1" customHeight="1" outlineLevel="1">
      <c r="A388" s="127" t="s">
        <v>230</v>
      </c>
      <c r="B388" s="128" t="s">
        <v>51</v>
      </c>
      <c r="C388" s="194">
        <f>IF(В!B388=FALSE,0,1)*В!A388</f>
        <v>0</v>
      </c>
      <c r="D388" s="134"/>
      <c r="E388" s="198">
        <v>0</v>
      </c>
      <c r="F388" s="131"/>
      <c r="G388" s="196"/>
      <c r="H388" s="130">
        <f>E388*C388</f>
        <v>0</v>
      </c>
      <c r="I388" s="132"/>
    </row>
    <row r="389" spans="1:9" s="83" customFormat="1" ht="16.5" hidden="1" customHeight="1" outlineLevel="1">
      <c r="A389" s="127" t="s">
        <v>239</v>
      </c>
      <c r="B389" s="128" t="s">
        <v>51</v>
      </c>
      <c r="C389" s="194">
        <f>IF(В!B389=FALSE,0,1)*В!A389</f>
        <v>0</v>
      </c>
      <c r="D389" s="134"/>
      <c r="E389" s="198">
        <v>0</v>
      </c>
      <c r="F389" s="131"/>
      <c r="G389" s="196"/>
      <c r="H389" s="130">
        <f>E389*C389</f>
        <v>0</v>
      </c>
      <c r="I389" s="132"/>
    </row>
    <row r="390" spans="1:9" s="83" customFormat="1" ht="16.5" hidden="1" customHeight="1" outlineLevel="1">
      <c r="A390" s="127" t="s">
        <v>240</v>
      </c>
      <c r="B390" s="128" t="s">
        <v>51</v>
      </c>
      <c r="C390" s="194">
        <f>IF(В!B390=FALSE,0,1)*В!A390</f>
        <v>0</v>
      </c>
      <c r="D390" s="134"/>
      <c r="E390" s="198">
        <v>0</v>
      </c>
      <c r="F390" s="131"/>
      <c r="G390" s="196"/>
      <c r="H390" s="130">
        <f>E390*C390</f>
        <v>0</v>
      </c>
      <c r="I390" s="132"/>
    </row>
    <row r="391" spans="1:9" s="83" customFormat="1" ht="16.5" hidden="1" customHeight="1" outlineLevel="1">
      <c r="A391" s="127" t="s">
        <v>241</v>
      </c>
      <c r="B391" s="128" t="s">
        <v>51</v>
      </c>
      <c r="C391" s="194">
        <f>IF(В!B391=FALSE,0,1)*В!A391</f>
        <v>0</v>
      </c>
      <c r="D391" s="134"/>
      <c r="E391" s="198">
        <v>0</v>
      </c>
      <c r="F391" s="131"/>
      <c r="G391" s="196"/>
      <c r="H391" s="130">
        <f>E391*C391</f>
        <v>0</v>
      </c>
      <c r="I391" s="132"/>
    </row>
    <row r="392" spans="1:9" s="83" customFormat="1" ht="16.5" hidden="1" customHeight="1" outlineLevel="1">
      <c r="A392" s="127" t="s">
        <v>242</v>
      </c>
      <c r="B392" s="128" t="s">
        <v>51</v>
      </c>
      <c r="C392" s="194">
        <f>IF(В!B392=FALSE,0,1)*В!A392</f>
        <v>0</v>
      </c>
      <c r="D392" s="134"/>
      <c r="E392" s="198">
        <v>0</v>
      </c>
      <c r="F392" s="131"/>
      <c r="G392" s="196"/>
      <c r="H392" s="130">
        <f>E392*C392</f>
        <v>0</v>
      </c>
      <c r="I392" s="132"/>
    </row>
    <row r="393" spans="1:9" s="83" customFormat="1" ht="16.5" hidden="1" customHeight="1" outlineLevel="1">
      <c r="A393" s="127" t="s">
        <v>243</v>
      </c>
      <c r="B393" s="128" t="s">
        <v>51</v>
      </c>
      <c r="C393" s="194">
        <f>IF(В!B393=FALSE,0,1)*В!A393</f>
        <v>0</v>
      </c>
      <c r="D393" s="134"/>
      <c r="E393" s="198">
        <v>0</v>
      </c>
      <c r="F393" s="131"/>
      <c r="G393" s="196"/>
      <c r="H393" s="130">
        <f>E393*C393</f>
        <v>0</v>
      </c>
      <c r="I393" s="132"/>
    </row>
    <row r="394" spans="1:9" s="83" customFormat="1" ht="16.5" hidden="1" customHeight="1" outlineLevel="1">
      <c r="A394" s="127" t="s">
        <v>244</v>
      </c>
      <c r="B394" s="128" t="s">
        <v>51</v>
      </c>
      <c r="C394" s="194">
        <f>IF(В!B394=FALSE,0,1)*В!A394</f>
        <v>0</v>
      </c>
      <c r="D394" s="134"/>
      <c r="E394" s="198">
        <v>0</v>
      </c>
      <c r="F394" s="131"/>
      <c r="G394" s="196"/>
      <c r="H394" s="130">
        <f>E394*C394</f>
        <v>0</v>
      </c>
      <c r="I394" s="132"/>
    </row>
    <row r="395" spans="1:9" s="83" customFormat="1" ht="16.5" hidden="1" customHeight="1" outlineLevel="1">
      <c r="A395" s="127" t="s">
        <v>235</v>
      </c>
      <c r="B395" s="128" t="s">
        <v>51</v>
      </c>
      <c r="C395" s="194">
        <f>IF(В!B395=FALSE,0,1)*В!A395</f>
        <v>0</v>
      </c>
      <c r="D395" s="134"/>
      <c r="E395" s="198">
        <v>0</v>
      </c>
      <c r="F395" s="131"/>
      <c r="G395" s="196"/>
      <c r="H395" s="130">
        <f>E395*C395</f>
        <v>0</v>
      </c>
      <c r="I395" s="132"/>
    </row>
    <row r="396" spans="1:9" s="83" customFormat="1" ht="16.5" customHeight="1" collapsed="1">
      <c r="A396" s="122" t="s">
        <v>245</v>
      </c>
      <c r="B396" s="123" t="s">
        <v>51</v>
      </c>
      <c r="C396" s="124">
        <f>IF(В!B396=FALSE,0,1)*В!A396</f>
        <v>0</v>
      </c>
      <c r="D396" s="125">
        <v>722114</v>
      </c>
      <c r="E396" s="126">
        <v>1083171</v>
      </c>
      <c r="F396" s="124">
        <f>D396+E396</f>
        <v>1805285</v>
      </c>
      <c r="G396" s="125">
        <f>C396*D396</f>
        <v>0</v>
      </c>
      <c r="H396" s="126">
        <f>E396*C396</f>
        <v>0</v>
      </c>
      <c r="I396" s="124">
        <f>F396*C396</f>
        <v>0</v>
      </c>
    </row>
    <row r="397" spans="1:9" s="83" customFormat="1" ht="16.5" hidden="1" customHeight="1" outlineLevel="1">
      <c r="A397" s="127" t="s">
        <v>237</v>
      </c>
      <c r="B397" s="128" t="s">
        <v>51</v>
      </c>
      <c r="C397" s="194">
        <f>IF(В!B397=FALSE,0,1)*В!A397</f>
        <v>0</v>
      </c>
      <c r="D397" s="134"/>
      <c r="E397" s="198">
        <v>0</v>
      </c>
      <c r="F397" s="131"/>
      <c r="G397" s="196"/>
      <c r="H397" s="130">
        <f>E397*C397</f>
        <v>0</v>
      </c>
      <c r="I397" s="132"/>
    </row>
    <row r="398" spans="1:9" s="83" customFormat="1" ht="16.5" hidden="1" customHeight="1" outlineLevel="1">
      <c r="A398" s="127" t="s">
        <v>224</v>
      </c>
      <c r="B398" s="128" t="s">
        <v>51</v>
      </c>
      <c r="C398" s="194">
        <f>IF(В!B398=FALSE,0,1)*В!A398</f>
        <v>0</v>
      </c>
      <c r="D398" s="134"/>
      <c r="E398" s="198">
        <v>0</v>
      </c>
      <c r="F398" s="131"/>
      <c r="G398" s="196"/>
      <c r="H398" s="130">
        <f>E398*C398</f>
        <v>0</v>
      </c>
      <c r="I398" s="132"/>
    </row>
    <row r="399" spans="1:9" s="83" customFormat="1" ht="16.5" hidden="1" customHeight="1" outlineLevel="1">
      <c r="A399" s="225" t="s">
        <v>536</v>
      </c>
      <c r="B399" s="128" t="s">
        <v>51</v>
      </c>
      <c r="C399" s="194">
        <f>IF(В!B399=FALSE,0,1)*В!A399</f>
        <v>0</v>
      </c>
      <c r="D399" s="134"/>
      <c r="E399" s="198">
        <v>0</v>
      </c>
      <c r="F399" s="131"/>
      <c r="G399" s="196"/>
      <c r="H399" s="130">
        <f>E399*C399</f>
        <v>0</v>
      </c>
      <c r="I399" s="132"/>
    </row>
    <row r="400" spans="1:9" s="83" customFormat="1" ht="16.5" hidden="1" customHeight="1" outlineLevel="1">
      <c r="A400" s="127" t="s">
        <v>226</v>
      </c>
      <c r="B400" s="128" t="s">
        <v>51</v>
      </c>
      <c r="C400" s="194">
        <f>IF(В!B400=FALSE,0,1)*В!A400</f>
        <v>0</v>
      </c>
      <c r="D400" s="134"/>
      <c r="E400" s="198">
        <v>0</v>
      </c>
      <c r="F400" s="131"/>
      <c r="G400" s="196"/>
      <c r="H400" s="130">
        <f>E400*C400</f>
        <v>0</v>
      </c>
      <c r="I400" s="132"/>
    </row>
    <row r="401" spans="1:9" s="83" customFormat="1" ht="16.5" hidden="1" customHeight="1" outlineLevel="1">
      <c r="A401" s="127" t="s">
        <v>246</v>
      </c>
      <c r="B401" s="128" t="s">
        <v>51</v>
      </c>
      <c r="C401" s="194">
        <f>IF(В!B401=FALSE,0,1)*В!A401</f>
        <v>0</v>
      </c>
      <c r="D401" s="134"/>
      <c r="E401" s="198">
        <v>0</v>
      </c>
      <c r="F401" s="131"/>
      <c r="G401" s="196"/>
      <c r="H401" s="130">
        <f>E401*C401</f>
        <v>0</v>
      </c>
      <c r="I401" s="132"/>
    </row>
    <row r="402" spans="1:9" s="83" customFormat="1" ht="16.5" hidden="1" customHeight="1" outlineLevel="1">
      <c r="A402" s="127" t="s">
        <v>227</v>
      </c>
      <c r="B402" s="128" t="s">
        <v>51</v>
      </c>
      <c r="C402" s="194">
        <f>IF(В!B402=FALSE,0,1)*В!A402</f>
        <v>0</v>
      </c>
      <c r="D402" s="134"/>
      <c r="E402" s="198">
        <v>0</v>
      </c>
      <c r="F402" s="131"/>
      <c r="G402" s="196"/>
      <c r="H402" s="130">
        <f>E402*C402</f>
        <v>0</v>
      </c>
      <c r="I402" s="132"/>
    </row>
    <row r="403" spans="1:9" s="83" customFormat="1" ht="16.5" hidden="1" customHeight="1" outlineLevel="1">
      <c r="A403" s="127" t="s">
        <v>233</v>
      </c>
      <c r="B403" s="128" t="s">
        <v>53</v>
      </c>
      <c r="C403" s="194">
        <f>IF(В!B403=FALSE,0,1)*В!A403</f>
        <v>0</v>
      </c>
      <c r="D403" s="134"/>
      <c r="E403" s="198">
        <v>0</v>
      </c>
      <c r="F403" s="131"/>
      <c r="G403" s="196"/>
      <c r="H403" s="130">
        <f>E403*C403</f>
        <v>0</v>
      </c>
      <c r="I403" s="132"/>
    </row>
    <row r="404" spans="1:9" s="83" customFormat="1" ht="16.5" hidden="1" customHeight="1" outlineLevel="1">
      <c r="A404" s="127" t="s">
        <v>238</v>
      </c>
      <c r="B404" s="128" t="s">
        <v>53</v>
      </c>
      <c r="C404" s="194">
        <f>IF(В!B404=FALSE,0,1)*В!A404</f>
        <v>0</v>
      </c>
      <c r="D404" s="134"/>
      <c r="E404" s="198">
        <v>0</v>
      </c>
      <c r="F404" s="131"/>
      <c r="G404" s="196"/>
      <c r="H404" s="130">
        <f>E404*C404</f>
        <v>0</v>
      </c>
      <c r="I404" s="132"/>
    </row>
    <row r="405" spans="1:9" s="83" customFormat="1" ht="16.5" hidden="1" customHeight="1" outlineLevel="1">
      <c r="A405" s="127" t="s">
        <v>234</v>
      </c>
      <c r="B405" s="128" t="s">
        <v>53</v>
      </c>
      <c r="C405" s="194">
        <f>IF(В!B405=FALSE,0,1)*В!A405</f>
        <v>0</v>
      </c>
      <c r="D405" s="134"/>
      <c r="E405" s="198">
        <v>0</v>
      </c>
      <c r="F405" s="131"/>
      <c r="G405" s="196"/>
      <c r="H405" s="130">
        <f>E405*C405</f>
        <v>0</v>
      </c>
      <c r="I405" s="132"/>
    </row>
    <row r="406" spans="1:9" s="83" customFormat="1" ht="16.5" hidden="1" customHeight="1" outlineLevel="1">
      <c r="A406" s="127" t="s">
        <v>228</v>
      </c>
      <c r="B406" s="128" t="s">
        <v>51</v>
      </c>
      <c r="C406" s="194">
        <f>IF(В!B406=FALSE,0,1)*В!A406</f>
        <v>0</v>
      </c>
      <c r="D406" s="134"/>
      <c r="E406" s="198">
        <v>0</v>
      </c>
      <c r="F406" s="131"/>
      <c r="G406" s="196"/>
      <c r="H406" s="130">
        <f>E406*C406</f>
        <v>0</v>
      </c>
      <c r="I406" s="132"/>
    </row>
    <row r="407" spans="1:9" s="83" customFormat="1" ht="16.5" hidden="1" customHeight="1" outlineLevel="1">
      <c r="A407" s="127" t="s">
        <v>229</v>
      </c>
      <c r="B407" s="128" t="s">
        <v>51</v>
      </c>
      <c r="C407" s="194">
        <f>IF(В!B407=FALSE,0,1)*В!A407</f>
        <v>0</v>
      </c>
      <c r="D407" s="134"/>
      <c r="E407" s="198">
        <v>0</v>
      </c>
      <c r="F407" s="131"/>
      <c r="G407" s="196"/>
      <c r="H407" s="130">
        <f>E407*C407</f>
        <v>0</v>
      </c>
      <c r="I407" s="132"/>
    </row>
    <row r="408" spans="1:9" s="83" customFormat="1" ht="16.5" hidden="1" customHeight="1" outlineLevel="1">
      <c r="A408" s="127" t="s">
        <v>230</v>
      </c>
      <c r="B408" s="128" t="s">
        <v>51</v>
      </c>
      <c r="C408" s="194">
        <f>IF(В!B408=FALSE,0,1)*В!A408</f>
        <v>0</v>
      </c>
      <c r="D408" s="134"/>
      <c r="E408" s="198">
        <v>0</v>
      </c>
      <c r="F408" s="131"/>
      <c r="G408" s="196"/>
      <c r="H408" s="130">
        <f>E408*C408</f>
        <v>0</v>
      </c>
      <c r="I408" s="132"/>
    </row>
    <row r="409" spans="1:9" s="83" customFormat="1" ht="16.5" hidden="1" customHeight="1" outlineLevel="1">
      <c r="A409" s="127" t="s">
        <v>239</v>
      </c>
      <c r="B409" s="128" t="s">
        <v>51</v>
      </c>
      <c r="C409" s="194">
        <f>IF(В!B409=FALSE,0,1)*В!A409</f>
        <v>0</v>
      </c>
      <c r="D409" s="134"/>
      <c r="E409" s="198">
        <v>0</v>
      </c>
      <c r="F409" s="131"/>
      <c r="G409" s="196"/>
      <c r="H409" s="130">
        <f>E409*C409</f>
        <v>0</v>
      </c>
      <c r="I409" s="132"/>
    </row>
    <row r="410" spans="1:9" s="83" customFormat="1" ht="16.5" hidden="1" customHeight="1" outlineLevel="1">
      <c r="A410" s="127" t="s">
        <v>240</v>
      </c>
      <c r="B410" s="128" t="s">
        <v>51</v>
      </c>
      <c r="C410" s="194">
        <f>IF(В!B410=FALSE,0,1)*В!A410</f>
        <v>0</v>
      </c>
      <c r="D410" s="134"/>
      <c r="E410" s="198">
        <v>0</v>
      </c>
      <c r="F410" s="131"/>
      <c r="G410" s="196"/>
      <c r="H410" s="130">
        <f>E410*C410</f>
        <v>0</v>
      </c>
      <c r="I410" s="132"/>
    </row>
    <row r="411" spans="1:9" s="83" customFormat="1" ht="16.5" hidden="1" customHeight="1" outlineLevel="1">
      <c r="A411" s="127" t="s">
        <v>247</v>
      </c>
      <c r="B411" s="128" t="s">
        <v>51</v>
      </c>
      <c r="C411" s="194">
        <f>IF(В!B411=FALSE,0,1)*В!A411</f>
        <v>0</v>
      </c>
      <c r="D411" s="134"/>
      <c r="E411" s="198">
        <v>0</v>
      </c>
      <c r="F411" s="131"/>
      <c r="G411" s="196"/>
      <c r="H411" s="130">
        <f>E411*C411</f>
        <v>0</v>
      </c>
      <c r="I411" s="132"/>
    </row>
    <row r="412" spans="1:9" s="83" customFormat="1" ht="16.5" hidden="1" customHeight="1" outlineLevel="1">
      <c r="A412" s="127" t="s">
        <v>248</v>
      </c>
      <c r="B412" s="128" t="s">
        <v>51</v>
      </c>
      <c r="C412" s="194">
        <f>IF(В!B412=FALSE,0,1)*В!A412</f>
        <v>0</v>
      </c>
      <c r="D412" s="134"/>
      <c r="E412" s="198">
        <v>0</v>
      </c>
      <c r="F412" s="131"/>
      <c r="G412" s="196"/>
      <c r="H412" s="130">
        <f>E412*C412</f>
        <v>0</v>
      </c>
      <c r="I412" s="132"/>
    </row>
    <row r="413" spans="1:9" s="83" customFormat="1" ht="16.5" hidden="1" customHeight="1" outlineLevel="1">
      <c r="A413" s="127" t="s">
        <v>241</v>
      </c>
      <c r="B413" s="128" t="s">
        <v>51</v>
      </c>
      <c r="C413" s="194">
        <f>IF(В!B413=FALSE,0,1)*В!A413</f>
        <v>0</v>
      </c>
      <c r="D413" s="134"/>
      <c r="E413" s="198">
        <v>0</v>
      </c>
      <c r="F413" s="131"/>
      <c r="G413" s="196"/>
      <c r="H413" s="130">
        <f>E413*C413</f>
        <v>0</v>
      </c>
      <c r="I413" s="132"/>
    </row>
    <row r="414" spans="1:9" s="83" customFormat="1" ht="16.5" hidden="1" customHeight="1" outlineLevel="1">
      <c r="A414" s="127" t="s">
        <v>249</v>
      </c>
      <c r="B414" s="128" t="s">
        <v>51</v>
      </c>
      <c r="C414" s="194">
        <f>IF(В!B414=FALSE,0,1)*В!A414</f>
        <v>0</v>
      </c>
      <c r="D414" s="134"/>
      <c r="E414" s="198">
        <v>0</v>
      </c>
      <c r="F414" s="131"/>
      <c r="G414" s="196"/>
      <c r="H414" s="130">
        <f>E414*C414</f>
        <v>0</v>
      </c>
      <c r="I414" s="132"/>
    </row>
    <row r="415" spans="1:9" s="83" customFormat="1" ht="16.5" hidden="1" customHeight="1" outlineLevel="1">
      <c r="A415" s="127" t="s">
        <v>250</v>
      </c>
      <c r="B415" s="128" t="s">
        <v>51</v>
      </c>
      <c r="C415" s="194">
        <f>IF(В!B415=FALSE,0,1)*В!A415</f>
        <v>0</v>
      </c>
      <c r="D415" s="134"/>
      <c r="E415" s="198">
        <v>0</v>
      </c>
      <c r="F415" s="131"/>
      <c r="G415" s="196"/>
      <c r="H415" s="130">
        <f>E415*C415</f>
        <v>0</v>
      </c>
      <c r="I415" s="132"/>
    </row>
    <row r="416" spans="1:9" s="83" customFormat="1" ht="16.5" hidden="1" customHeight="1" outlineLevel="1">
      <c r="A416" s="127" t="s">
        <v>243</v>
      </c>
      <c r="B416" s="128" t="s">
        <v>51</v>
      </c>
      <c r="C416" s="194">
        <f>IF(В!B416=FALSE,0,1)*В!A416</f>
        <v>0</v>
      </c>
      <c r="D416" s="134"/>
      <c r="E416" s="198">
        <v>0</v>
      </c>
      <c r="F416" s="131"/>
      <c r="G416" s="196"/>
      <c r="H416" s="130">
        <f>E416*C416</f>
        <v>0</v>
      </c>
      <c r="I416" s="132"/>
    </row>
    <row r="417" spans="1:9" s="83" customFormat="1" ht="16.5" hidden="1" customHeight="1" outlineLevel="1">
      <c r="A417" s="127" t="s">
        <v>244</v>
      </c>
      <c r="B417" s="128" t="s">
        <v>51</v>
      </c>
      <c r="C417" s="194">
        <f>IF(В!B417=FALSE,0,1)*В!A417</f>
        <v>0</v>
      </c>
      <c r="D417" s="134"/>
      <c r="E417" s="198">
        <v>0</v>
      </c>
      <c r="F417" s="131"/>
      <c r="G417" s="196"/>
      <c r="H417" s="130">
        <f>E417*C417</f>
        <v>0</v>
      </c>
      <c r="I417" s="132"/>
    </row>
    <row r="418" spans="1:9" s="83" customFormat="1" ht="16.5" hidden="1" customHeight="1" outlineLevel="1">
      <c r="A418" s="127" t="s">
        <v>235</v>
      </c>
      <c r="B418" s="128" t="s">
        <v>51</v>
      </c>
      <c r="C418" s="194">
        <f>IF(В!B418=FALSE,0,1)*В!A418</f>
        <v>0</v>
      </c>
      <c r="D418" s="134"/>
      <c r="E418" s="198">
        <v>0</v>
      </c>
      <c r="F418" s="131"/>
      <c r="G418" s="196"/>
      <c r="H418" s="130">
        <f>E418*C418</f>
        <v>0</v>
      </c>
      <c r="I418" s="132"/>
    </row>
    <row r="419" spans="1:9" s="83" customFormat="1" ht="16.5" customHeight="1" collapsed="1">
      <c r="A419" s="122" t="s">
        <v>251</v>
      </c>
      <c r="B419" s="123" t="s">
        <v>51</v>
      </c>
      <c r="C419" s="124">
        <f>IF(В!B419=FALSE,0,1)*В!A419</f>
        <v>0</v>
      </c>
      <c r="D419" s="125">
        <v>195573</v>
      </c>
      <c r="E419" s="126">
        <v>239033</v>
      </c>
      <c r="F419" s="124">
        <f>D419+E419</f>
        <v>434606</v>
      </c>
      <c r="G419" s="125">
        <f>C419*D419</f>
        <v>0</v>
      </c>
      <c r="H419" s="126">
        <f>E419*C419</f>
        <v>0</v>
      </c>
      <c r="I419" s="124">
        <f>F419*C419</f>
        <v>0</v>
      </c>
    </row>
    <row r="420" spans="1:9" s="83" customFormat="1" ht="16.5" hidden="1" customHeight="1" outlineLevel="1">
      <c r="A420" s="127" t="s">
        <v>252</v>
      </c>
      <c r="B420" s="128" t="s">
        <v>51</v>
      </c>
      <c r="C420" s="194">
        <f>IF(В!B420=FALSE,0,1)*В!A420</f>
        <v>0</v>
      </c>
      <c r="D420" s="134"/>
      <c r="E420" s="198"/>
      <c r="F420" s="131"/>
      <c r="G420" s="196"/>
      <c r="H420" s="130">
        <f>E420*C420</f>
        <v>0</v>
      </c>
      <c r="I420" s="132"/>
    </row>
    <row r="421" spans="1:9" s="83" customFormat="1" ht="16.5" hidden="1" customHeight="1" outlineLevel="1">
      <c r="A421" s="127" t="s">
        <v>253</v>
      </c>
      <c r="B421" s="128" t="s">
        <v>51</v>
      </c>
      <c r="C421" s="194">
        <f>IF(В!B421=FALSE,0,1)*В!A421</f>
        <v>0</v>
      </c>
      <c r="D421" s="134"/>
      <c r="E421" s="198"/>
      <c r="F421" s="131"/>
      <c r="G421" s="196"/>
      <c r="H421" s="130">
        <f>E421*C421</f>
        <v>0</v>
      </c>
      <c r="I421" s="132"/>
    </row>
    <row r="422" spans="1:9" s="83" customFormat="1" ht="16.5" hidden="1" customHeight="1" outlineLevel="1">
      <c r="A422" s="127" t="s">
        <v>254</v>
      </c>
      <c r="B422" s="128" t="s">
        <v>51</v>
      </c>
      <c r="C422" s="194">
        <f>IF(В!B422=FALSE,0,1)*В!A422</f>
        <v>0</v>
      </c>
      <c r="D422" s="134"/>
      <c r="E422" s="198"/>
      <c r="F422" s="131"/>
      <c r="G422" s="196"/>
      <c r="H422" s="130">
        <f>E422*C422</f>
        <v>0</v>
      </c>
      <c r="I422" s="132"/>
    </row>
    <row r="423" spans="1:9" s="83" customFormat="1" ht="16.5" hidden="1" customHeight="1" outlineLevel="1">
      <c r="A423" s="127" t="s">
        <v>255</v>
      </c>
      <c r="B423" s="128" t="s">
        <v>51</v>
      </c>
      <c r="C423" s="194">
        <f>IF(В!B423=FALSE,0,1)*В!A423</f>
        <v>0</v>
      </c>
      <c r="D423" s="134"/>
      <c r="E423" s="198"/>
      <c r="F423" s="131"/>
      <c r="G423" s="196"/>
      <c r="H423" s="130">
        <f>E423*C423</f>
        <v>0</v>
      </c>
      <c r="I423" s="132"/>
    </row>
    <row r="424" spans="1:9" s="83" customFormat="1" ht="16.5" hidden="1" customHeight="1" outlineLevel="1">
      <c r="A424" s="127" t="s">
        <v>235</v>
      </c>
      <c r="B424" s="128" t="s">
        <v>51</v>
      </c>
      <c r="C424" s="194">
        <f>IF(В!B424=FALSE,0,1)*В!A424</f>
        <v>0</v>
      </c>
      <c r="D424" s="134"/>
      <c r="E424" s="198"/>
      <c r="F424" s="131"/>
      <c r="G424" s="196"/>
      <c r="H424" s="130">
        <f>E424*C424</f>
        <v>0</v>
      </c>
      <c r="I424" s="132"/>
    </row>
    <row r="425" spans="1:9" s="83" customFormat="1" ht="16.5" customHeight="1" collapsed="1">
      <c r="A425" s="122" t="s">
        <v>256</v>
      </c>
      <c r="B425" s="123" t="s">
        <v>51</v>
      </c>
      <c r="C425" s="124">
        <f>IF(В!B425=FALSE,0,1)*В!A425</f>
        <v>0</v>
      </c>
      <c r="D425" s="125">
        <v>257846</v>
      </c>
      <c r="E425" s="126">
        <v>356072</v>
      </c>
      <c r="F425" s="124">
        <f>D425+E425</f>
        <v>613918</v>
      </c>
      <c r="G425" s="125">
        <f>C425*D425</f>
        <v>0</v>
      </c>
      <c r="H425" s="126">
        <f>E425*C425</f>
        <v>0</v>
      </c>
      <c r="I425" s="124">
        <f>F425*C425</f>
        <v>0</v>
      </c>
    </row>
    <row r="426" spans="1:9" s="83" customFormat="1" ht="16.5" hidden="1" customHeight="1" outlineLevel="1">
      <c r="A426" s="127" t="s">
        <v>252</v>
      </c>
      <c r="B426" s="128" t="s">
        <v>51</v>
      </c>
      <c r="C426" s="194">
        <f>IF(В!B426=FALSE,0,1)*В!A426</f>
        <v>0</v>
      </c>
      <c r="D426" s="134"/>
      <c r="E426" s="198"/>
      <c r="F426" s="131"/>
      <c r="G426" s="196"/>
      <c r="H426" s="130">
        <f>E426*C426</f>
        <v>0</v>
      </c>
      <c r="I426" s="132"/>
    </row>
    <row r="427" spans="1:9" s="83" customFormat="1" ht="16.5" hidden="1" customHeight="1" outlineLevel="1">
      <c r="A427" s="127" t="s">
        <v>253</v>
      </c>
      <c r="B427" s="128" t="s">
        <v>51</v>
      </c>
      <c r="C427" s="194">
        <f>IF(В!B427=FALSE,0,1)*В!A427</f>
        <v>0</v>
      </c>
      <c r="D427" s="134"/>
      <c r="E427" s="198"/>
      <c r="F427" s="131"/>
      <c r="G427" s="196"/>
      <c r="H427" s="130">
        <f>E427*C427</f>
        <v>0</v>
      </c>
      <c r="I427" s="132"/>
    </row>
    <row r="428" spans="1:9" s="83" customFormat="1" ht="16.5" hidden="1" customHeight="1" outlineLevel="1">
      <c r="A428" s="127" t="s">
        <v>257</v>
      </c>
      <c r="B428" s="128" t="s">
        <v>51</v>
      </c>
      <c r="C428" s="194">
        <f>IF(В!B428=FALSE,0,1)*В!A428</f>
        <v>0</v>
      </c>
      <c r="D428" s="134"/>
      <c r="E428" s="198"/>
      <c r="F428" s="131"/>
      <c r="G428" s="196"/>
      <c r="H428" s="130">
        <f>E428*C428</f>
        <v>0</v>
      </c>
      <c r="I428" s="132"/>
    </row>
    <row r="429" spans="1:9" s="83" customFormat="1" ht="16.5" hidden="1" customHeight="1" outlineLevel="1">
      <c r="A429" s="127" t="s">
        <v>258</v>
      </c>
      <c r="B429" s="128" t="s">
        <v>51</v>
      </c>
      <c r="C429" s="194">
        <f>IF(В!B429=FALSE,0,1)*В!A429</f>
        <v>0</v>
      </c>
      <c r="D429" s="134"/>
      <c r="E429" s="198"/>
      <c r="F429" s="131"/>
      <c r="G429" s="196"/>
      <c r="H429" s="130">
        <f>E429*C429</f>
        <v>0</v>
      </c>
      <c r="I429" s="132"/>
    </row>
    <row r="430" spans="1:9" s="83" customFormat="1" ht="16.5" hidden="1" customHeight="1" outlineLevel="1">
      <c r="A430" s="127" t="s">
        <v>259</v>
      </c>
      <c r="B430" s="128" t="s">
        <v>51</v>
      </c>
      <c r="C430" s="194">
        <f>IF(В!B430=FALSE,0,1)*В!A430</f>
        <v>0</v>
      </c>
      <c r="D430" s="134"/>
      <c r="E430" s="198"/>
      <c r="F430" s="131"/>
      <c r="G430" s="196"/>
      <c r="H430" s="130">
        <f>E430*C430</f>
        <v>0</v>
      </c>
      <c r="I430" s="132"/>
    </row>
    <row r="431" spans="1:9" s="83" customFormat="1" ht="16.5" hidden="1" customHeight="1" outlineLevel="1">
      <c r="A431" s="127" t="s">
        <v>260</v>
      </c>
      <c r="B431" s="128" t="s">
        <v>51</v>
      </c>
      <c r="C431" s="194">
        <f>IF(В!B431=FALSE,0,1)*В!A431</f>
        <v>0</v>
      </c>
      <c r="D431" s="134"/>
      <c r="E431" s="198"/>
      <c r="F431" s="131"/>
      <c r="G431" s="196"/>
      <c r="H431" s="130">
        <f>E431*C431</f>
        <v>0</v>
      </c>
      <c r="I431" s="132"/>
    </row>
    <row r="432" spans="1:9" s="83" customFormat="1" ht="16.5" hidden="1" customHeight="1" outlineLevel="1">
      <c r="A432" s="127" t="s">
        <v>255</v>
      </c>
      <c r="B432" s="128" t="s">
        <v>51</v>
      </c>
      <c r="C432" s="194">
        <f>IF(В!B432=FALSE,0,1)*В!A432</f>
        <v>0</v>
      </c>
      <c r="D432" s="134"/>
      <c r="E432" s="198"/>
      <c r="F432" s="131"/>
      <c r="G432" s="196"/>
      <c r="H432" s="130">
        <f>E432*C432</f>
        <v>0</v>
      </c>
      <c r="I432" s="132"/>
    </row>
    <row r="433" spans="1:9" s="83" customFormat="1" ht="16.5" hidden="1" customHeight="1" outlineLevel="1">
      <c r="A433" s="127" t="s">
        <v>235</v>
      </c>
      <c r="B433" s="128" t="s">
        <v>51</v>
      </c>
      <c r="C433" s="194">
        <f>IF(В!B433=FALSE,0,1)*В!A433</f>
        <v>0</v>
      </c>
      <c r="D433" s="134"/>
      <c r="E433" s="198"/>
      <c r="F433" s="131"/>
      <c r="G433" s="196"/>
      <c r="H433" s="130">
        <f>E433*C433</f>
        <v>0</v>
      </c>
      <c r="I433" s="132"/>
    </row>
    <row r="434" spans="1:9" s="83" customFormat="1" ht="16.5" customHeight="1" collapsed="1">
      <c r="A434" s="122" t="s">
        <v>261</v>
      </c>
      <c r="B434" s="123" t="s">
        <v>51</v>
      </c>
      <c r="C434" s="124">
        <f>IF(В!B434=FALSE,0,1)*В!A434</f>
        <v>0</v>
      </c>
      <c r="D434" s="125">
        <v>322155</v>
      </c>
      <c r="E434" s="126">
        <v>483233</v>
      </c>
      <c r="F434" s="124">
        <f>D434+E434</f>
        <v>805388</v>
      </c>
      <c r="G434" s="125">
        <f>C434*D434</f>
        <v>0</v>
      </c>
      <c r="H434" s="126">
        <f>E434*C434</f>
        <v>0</v>
      </c>
      <c r="I434" s="124">
        <f>F434*C434</f>
        <v>0</v>
      </c>
    </row>
    <row r="435" spans="1:9" s="83" customFormat="1" ht="16.5" hidden="1" customHeight="1" outlineLevel="1">
      <c r="A435" s="127" t="s">
        <v>252</v>
      </c>
      <c r="B435" s="128" t="s">
        <v>51</v>
      </c>
      <c r="C435" s="194">
        <f>IF(В!B435=FALSE,0,1)*В!A435</f>
        <v>0</v>
      </c>
      <c r="D435" s="134"/>
      <c r="E435" s="198"/>
      <c r="F435" s="131"/>
      <c r="G435" s="196"/>
      <c r="H435" s="130">
        <f>E435*C435</f>
        <v>0</v>
      </c>
      <c r="I435" s="132"/>
    </row>
    <row r="436" spans="1:9" s="83" customFormat="1" ht="16.5" hidden="1" customHeight="1" outlineLevel="1">
      <c r="A436" s="127" t="s">
        <v>253</v>
      </c>
      <c r="B436" s="128" t="s">
        <v>51</v>
      </c>
      <c r="C436" s="194">
        <f>IF(В!B436=FALSE,0,1)*В!A436</f>
        <v>0</v>
      </c>
      <c r="D436" s="134"/>
      <c r="E436" s="198"/>
      <c r="F436" s="131"/>
      <c r="G436" s="196"/>
      <c r="H436" s="130">
        <f>E436*C436</f>
        <v>0</v>
      </c>
      <c r="I436" s="132"/>
    </row>
    <row r="437" spans="1:9" s="83" customFormat="1" ht="16.5" hidden="1" customHeight="1" outlineLevel="1">
      <c r="A437" s="127" t="s">
        <v>262</v>
      </c>
      <c r="B437" s="128" t="s">
        <v>51</v>
      </c>
      <c r="C437" s="194">
        <f>IF(В!B437=FALSE,0,1)*В!A437</f>
        <v>0</v>
      </c>
      <c r="D437" s="134"/>
      <c r="E437" s="198"/>
      <c r="F437" s="131"/>
      <c r="G437" s="196"/>
      <c r="H437" s="130">
        <f>E437*C437</f>
        <v>0</v>
      </c>
      <c r="I437" s="132"/>
    </row>
    <row r="438" spans="1:9" s="83" customFormat="1" ht="16.5" hidden="1" customHeight="1" outlineLevel="1">
      <c r="A438" s="127" t="s">
        <v>258</v>
      </c>
      <c r="B438" s="128" t="s">
        <v>51</v>
      </c>
      <c r="C438" s="194">
        <f>IF(В!B438=FALSE,0,1)*В!A438</f>
        <v>0</v>
      </c>
      <c r="D438" s="134"/>
      <c r="E438" s="198"/>
      <c r="F438" s="131"/>
      <c r="G438" s="196"/>
      <c r="H438" s="130">
        <f>E438*C438</f>
        <v>0</v>
      </c>
      <c r="I438" s="132"/>
    </row>
    <row r="439" spans="1:9" s="83" customFormat="1" ht="16.5" hidden="1" customHeight="1" outlineLevel="1">
      <c r="A439" s="127" t="s">
        <v>263</v>
      </c>
      <c r="B439" s="128" t="s">
        <v>51</v>
      </c>
      <c r="C439" s="194">
        <f>IF(В!B439=FALSE,0,1)*В!A439</f>
        <v>0</v>
      </c>
      <c r="D439" s="134"/>
      <c r="E439" s="198"/>
      <c r="F439" s="131"/>
      <c r="G439" s="196"/>
      <c r="H439" s="130">
        <f>E439*C439</f>
        <v>0</v>
      </c>
      <c r="I439" s="132"/>
    </row>
    <row r="440" spans="1:9" s="83" customFormat="1" ht="16.5" hidden="1" customHeight="1" outlineLevel="1">
      <c r="A440" s="127" t="s">
        <v>260</v>
      </c>
      <c r="B440" s="128" t="s">
        <v>51</v>
      </c>
      <c r="C440" s="194">
        <f>IF(В!B440=FALSE,0,1)*В!A440</f>
        <v>0</v>
      </c>
      <c r="D440" s="134"/>
      <c r="E440" s="198"/>
      <c r="F440" s="131"/>
      <c r="G440" s="196"/>
      <c r="H440" s="130">
        <f>E440*C440</f>
        <v>0</v>
      </c>
      <c r="I440" s="132"/>
    </row>
    <row r="441" spans="1:9" s="83" customFormat="1" ht="16.5" hidden="1" customHeight="1" outlineLevel="1">
      <c r="A441" s="127" t="s">
        <v>255</v>
      </c>
      <c r="B441" s="128" t="s">
        <v>51</v>
      </c>
      <c r="C441" s="194">
        <f>IF(В!B441=FALSE,0,1)*В!A441</f>
        <v>0</v>
      </c>
      <c r="D441" s="134"/>
      <c r="E441" s="198"/>
      <c r="F441" s="131"/>
      <c r="G441" s="196"/>
      <c r="H441" s="130">
        <f>E441*C441</f>
        <v>0</v>
      </c>
      <c r="I441" s="132"/>
    </row>
    <row r="442" spans="1:9" s="83" customFormat="1" ht="16.5" hidden="1" customHeight="1" outlineLevel="1">
      <c r="A442" s="127" t="s">
        <v>235</v>
      </c>
      <c r="B442" s="128" t="s">
        <v>51</v>
      </c>
      <c r="C442" s="194">
        <f>IF(В!B442=FALSE,0,1)*В!A442</f>
        <v>0</v>
      </c>
      <c r="D442" s="134"/>
      <c r="E442" s="198"/>
      <c r="F442" s="131"/>
      <c r="G442" s="196"/>
      <c r="H442" s="130">
        <f>E442*C442</f>
        <v>0</v>
      </c>
      <c r="I442" s="132"/>
    </row>
    <row r="443" spans="1:9" s="83" customFormat="1" ht="16.5" customHeight="1">
      <c r="A443" s="136" t="s">
        <v>215</v>
      </c>
      <c r="B443" s="137" t="s">
        <v>485</v>
      </c>
      <c r="C443" s="138"/>
      <c r="D443" s="139"/>
      <c r="E443" s="140"/>
      <c r="F443" s="141"/>
      <c r="G443" s="142"/>
      <c r="H443" s="143"/>
      <c r="I443" s="141"/>
    </row>
    <row r="444" spans="1:9" s="83" customFormat="1" ht="16.5" customHeight="1">
      <c r="A444" s="145"/>
      <c r="B444" s="146"/>
      <c r="C444" s="147"/>
      <c r="D444" s="148"/>
      <c r="E444" s="149"/>
      <c r="F444" s="150"/>
      <c r="G444" s="282" t="s">
        <v>57</v>
      </c>
      <c r="H444" s="152" t="s">
        <v>58</v>
      </c>
      <c r="I444" s="153" t="s">
        <v>59</v>
      </c>
    </row>
    <row r="445" spans="1:9" s="83" customFormat="1" ht="16.5" customHeight="1">
      <c r="A445" s="154" t="s">
        <v>47</v>
      </c>
      <c r="B445" s="155"/>
      <c r="C445" s="156"/>
      <c r="D445" s="157"/>
      <c r="E445" s="157"/>
      <c r="F445" s="86"/>
      <c r="G445" s="283">
        <f>SUM(G362:G443)</f>
        <v>0</v>
      </c>
      <c r="H445" s="159">
        <f>I445-G445</f>
        <v>0</v>
      </c>
      <c r="I445" s="160">
        <f>SUM(I362:I443)</f>
        <v>0</v>
      </c>
    </row>
    <row r="446" spans="1:9" s="83" customFormat="1" ht="16.5" customHeight="1">
      <c r="A446" s="295" t="s">
        <v>534</v>
      </c>
      <c r="B446" s="162"/>
      <c r="C446" s="163"/>
      <c r="D446" s="164"/>
      <c r="E446" s="164"/>
      <c r="F446" s="165"/>
      <c r="G446" s="166">
        <v>0</v>
      </c>
      <c r="H446" s="167"/>
      <c r="I446" s="168">
        <f>G445*В!A446</f>
        <v>0</v>
      </c>
    </row>
    <row r="447" spans="1:9" s="83" customFormat="1" ht="16.5" customHeight="1" thickBot="1">
      <c r="A447" s="284" t="s">
        <v>487</v>
      </c>
      <c r="B447" s="285"/>
      <c r="C447" s="286"/>
      <c r="D447" s="287"/>
      <c r="E447" s="288"/>
      <c r="F447" s="285"/>
      <c r="G447" s="289">
        <v>0</v>
      </c>
      <c r="H447" s="290"/>
      <c r="I447" s="291">
        <f>G445*В!A447</f>
        <v>0</v>
      </c>
    </row>
    <row r="448" spans="1:9" s="83" customFormat="1" ht="18.75">
      <c r="A448" s="177" t="s">
        <v>537</v>
      </c>
      <c r="B448" s="186"/>
      <c r="C448" s="187"/>
      <c r="D448" s="188"/>
      <c r="E448" s="189"/>
      <c r="F448" s="186"/>
      <c r="G448" s="292"/>
      <c r="H448" s="191"/>
      <c r="I448" s="184">
        <f>SUM(I445:I447)</f>
        <v>0</v>
      </c>
    </row>
    <row r="449" spans="1:9" s="83" customFormat="1" ht="16.5" customHeight="1">
      <c r="A449" s="185"/>
      <c r="B449" s="186"/>
      <c r="C449" s="187"/>
      <c r="D449" s="188"/>
      <c r="E449" s="189"/>
      <c r="F449" s="186"/>
      <c r="G449" s="190"/>
      <c r="H449" s="191"/>
      <c r="I449" s="192"/>
    </row>
    <row r="450" spans="1:9" s="83" customFormat="1" ht="16.5" customHeight="1">
      <c r="A450" s="102" t="s">
        <v>33</v>
      </c>
      <c r="B450" s="103" t="s">
        <v>34</v>
      </c>
      <c r="C450" s="103" t="s">
        <v>35</v>
      </c>
      <c r="D450" s="104" t="s">
        <v>36</v>
      </c>
      <c r="E450" s="105"/>
      <c r="F450" s="106" t="s">
        <v>37</v>
      </c>
      <c r="G450" s="104" t="s">
        <v>38</v>
      </c>
      <c r="H450" s="107"/>
      <c r="I450" s="106" t="s">
        <v>39</v>
      </c>
    </row>
    <row r="451" spans="1:9" s="83" customFormat="1" ht="16.5" customHeight="1">
      <c r="A451" s="102"/>
      <c r="B451" s="108"/>
      <c r="C451" s="108"/>
      <c r="D451" s="109" t="s">
        <v>45</v>
      </c>
      <c r="E451" s="109" t="s">
        <v>46</v>
      </c>
      <c r="F451" s="110" t="s">
        <v>47</v>
      </c>
      <c r="G451" s="109" t="s">
        <v>45</v>
      </c>
      <c r="H451" s="109" t="s">
        <v>46</v>
      </c>
      <c r="I451" s="110" t="s">
        <v>47</v>
      </c>
    </row>
    <row r="452" spans="1:9" s="83" customFormat="1" ht="16.5" customHeight="1">
      <c r="A452" s="114" t="s">
        <v>264</v>
      </c>
      <c r="B452" s="235"/>
      <c r="C452" s="236"/>
      <c r="D452" s="111"/>
      <c r="E452" s="112"/>
      <c r="F452" s="237"/>
      <c r="G452" s="113"/>
      <c r="H452" s="112"/>
      <c r="I452" s="237"/>
    </row>
    <row r="453" spans="1:9" s="83" customFormat="1" ht="16.5" customHeight="1" collapsed="1">
      <c r="A453" s="122" t="s">
        <v>265</v>
      </c>
      <c r="B453" s="123" t="s">
        <v>51</v>
      </c>
      <c r="C453" s="124">
        <f>IF(В!B453=FALSE,0,1)*В!A453</f>
        <v>1</v>
      </c>
      <c r="D453" s="125">
        <v>0</v>
      </c>
      <c r="E453" s="126">
        <v>404500</v>
      </c>
      <c r="F453" s="124">
        <f>E453+D453</f>
        <v>404500</v>
      </c>
      <c r="G453" s="125" t="str">
        <f>""</f>
        <v/>
      </c>
      <c r="H453" s="126">
        <f>SUM(H454:H474)</f>
        <v>404500</v>
      </c>
      <c r="I453" s="124">
        <f>SUM(G453:H453)</f>
        <v>404500</v>
      </c>
    </row>
    <row r="454" spans="1:9" s="83" customFormat="1" ht="16.5" hidden="1" customHeight="1" outlineLevel="1">
      <c r="A454" s="127" t="s">
        <v>266</v>
      </c>
      <c r="B454" s="128" t="s">
        <v>56</v>
      </c>
      <c r="C454" s="194">
        <f>В!C454</f>
        <v>100</v>
      </c>
      <c r="D454" s="134"/>
      <c r="E454" s="130">
        <v>300</v>
      </c>
      <c r="F454" s="131"/>
      <c r="G454" s="196"/>
      <c r="H454" s="130">
        <f>C454*E454</f>
        <v>30000</v>
      </c>
      <c r="I454" s="132"/>
    </row>
    <row r="455" spans="1:9" s="83" customFormat="1" ht="16.5" hidden="1" customHeight="1" outlineLevel="1">
      <c r="A455" s="127" t="s">
        <v>267</v>
      </c>
      <c r="B455" s="128" t="s">
        <v>56</v>
      </c>
      <c r="C455" s="197">
        <f>В!C455</f>
        <v>65</v>
      </c>
      <c r="D455" s="134"/>
      <c r="E455" s="130">
        <v>700</v>
      </c>
      <c r="F455" s="131"/>
      <c r="G455" s="196"/>
      <c r="H455" s="130">
        <f>C455*E455</f>
        <v>45500</v>
      </c>
      <c r="I455" s="132"/>
    </row>
    <row r="456" spans="1:9" s="83" customFormat="1" ht="16.5" hidden="1" customHeight="1" outlineLevel="1">
      <c r="A456" s="127" t="s">
        <v>268</v>
      </c>
      <c r="B456" s="128" t="s">
        <v>56</v>
      </c>
      <c r="C456" s="197">
        <f>В!C456</f>
        <v>0</v>
      </c>
      <c r="D456" s="134"/>
      <c r="E456" s="130">
        <v>600</v>
      </c>
      <c r="F456" s="131"/>
      <c r="G456" s="196"/>
      <c r="H456" s="130">
        <f>C456*E456</f>
        <v>0</v>
      </c>
      <c r="I456" s="132"/>
    </row>
    <row r="457" spans="1:9" s="83" customFormat="1" ht="16.5" hidden="1" customHeight="1" outlineLevel="1">
      <c r="A457" s="127" t="s">
        <v>269</v>
      </c>
      <c r="B457" s="128" t="s">
        <v>270</v>
      </c>
      <c r="C457" s="194">
        <f>IF(В!B457=FALSE,0,1)*В!C457</f>
        <v>0</v>
      </c>
      <c r="D457" s="134"/>
      <c r="E457" s="130">
        <v>14000</v>
      </c>
      <c r="F457" s="131"/>
      <c r="G457" s="196"/>
      <c r="H457" s="130">
        <f>E457*C457</f>
        <v>0</v>
      </c>
      <c r="I457" s="132"/>
    </row>
    <row r="458" spans="1:9" s="83" customFormat="1" ht="16.5" hidden="1" customHeight="1" outlineLevel="1">
      <c r="A458" s="127" t="s">
        <v>271</v>
      </c>
      <c r="B458" s="128" t="s">
        <v>270</v>
      </c>
      <c r="C458" s="194">
        <f>IF(В!B458=FALSE,0,1)*В!A458</f>
        <v>2</v>
      </c>
      <c r="D458" s="134"/>
      <c r="E458" s="130">
        <v>30000</v>
      </c>
      <c r="F458" s="131"/>
      <c r="G458" s="196"/>
      <c r="H458" s="130">
        <f>C458*E458</f>
        <v>60000</v>
      </c>
      <c r="I458" s="132"/>
    </row>
    <row r="459" spans="1:9" s="83" customFormat="1" ht="16.5" hidden="1" customHeight="1" outlineLevel="1">
      <c r="A459" s="127" t="s">
        <v>272</v>
      </c>
      <c r="B459" s="128" t="s">
        <v>270</v>
      </c>
      <c r="C459" s="194">
        <f>IF(В!B459=FALSE,0,1)*(В!A459+В!C459)</f>
        <v>4</v>
      </c>
      <c r="D459" s="134"/>
      <c r="E459" s="130">
        <v>13000</v>
      </c>
      <c r="F459" s="131"/>
      <c r="G459" s="196"/>
      <c r="H459" s="130">
        <f>C459*E459</f>
        <v>52000</v>
      </c>
      <c r="I459" s="132"/>
    </row>
    <row r="460" spans="1:9" s="83" customFormat="1" ht="16.5" hidden="1" customHeight="1" outlineLevel="1">
      <c r="A460" s="127" t="s">
        <v>273</v>
      </c>
      <c r="B460" s="128" t="s">
        <v>274</v>
      </c>
      <c r="C460" s="194">
        <f>IF(В!B460=FALSE,0,1)*В!A460</f>
        <v>1</v>
      </c>
      <c r="D460" s="134"/>
      <c r="E460" s="130">
        <v>13000</v>
      </c>
      <c r="F460" s="131"/>
      <c r="G460" s="196"/>
      <c r="H460" s="130">
        <f>C460*E460</f>
        <v>13000</v>
      </c>
      <c r="I460" s="132"/>
    </row>
    <row r="461" spans="1:9" s="83" customFormat="1" ht="16.5" hidden="1" customHeight="1" outlineLevel="1">
      <c r="A461" s="127" t="s">
        <v>275</v>
      </c>
      <c r="B461" s="128" t="s">
        <v>274</v>
      </c>
      <c r="C461" s="194">
        <f>IF(В!B461=FALSE,0,1)*В!A461</f>
        <v>3</v>
      </c>
      <c r="D461" s="134"/>
      <c r="E461" s="130">
        <v>13000</v>
      </c>
      <c r="F461" s="131"/>
      <c r="G461" s="196"/>
      <c r="H461" s="130">
        <f>C461*E461</f>
        <v>39000</v>
      </c>
      <c r="I461" s="132"/>
    </row>
    <row r="462" spans="1:9" s="83" customFormat="1" ht="16.5" hidden="1" customHeight="1" outlineLevel="1">
      <c r="A462" s="127" t="s">
        <v>276</v>
      </c>
      <c r="B462" s="128" t="s">
        <v>274</v>
      </c>
      <c r="C462" s="194">
        <f>IF(В!B462=FALSE,0,1)*В!A462</f>
        <v>5</v>
      </c>
      <c r="D462" s="134"/>
      <c r="E462" s="130">
        <v>6000</v>
      </c>
      <c r="F462" s="131"/>
      <c r="G462" s="196"/>
      <c r="H462" s="130">
        <f>C462*E462</f>
        <v>30000</v>
      </c>
      <c r="I462" s="132"/>
    </row>
    <row r="463" spans="1:9" s="83" customFormat="1" ht="16.5" hidden="1" customHeight="1" outlineLevel="1">
      <c r="A463" s="127" t="s">
        <v>277</v>
      </c>
      <c r="B463" s="128" t="s">
        <v>274</v>
      </c>
      <c r="C463" s="194">
        <f>IF(В!B463=FALSE,0,1)*В!A463</f>
        <v>3</v>
      </c>
      <c r="D463" s="134"/>
      <c r="E463" s="130">
        <v>32000</v>
      </c>
      <c r="F463" s="131"/>
      <c r="G463" s="196"/>
      <c r="H463" s="130">
        <f>C463*E463</f>
        <v>96000</v>
      </c>
      <c r="I463" s="132"/>
    </row>
    <row r="464" spans="1:9" s="83" customFormat="1" ht="16.5" hidden="1" customHeight="1" outlineLevel="1">
      <c r="A464" s="127" t="s">
        <v>278</v>
      </c>
      <c r="B464" s="128" t="s">
        <v>274</v>
      </c>
      <c r="C464" s="194">
        <f>IF(В!B464=FALSE,0,1)*В!C464</f>
        <v>0</v>
      </c>
      <c r="D464" s="134"/>
      <c r="E464" s="130">
        <v>5000</v>
      </c>
      <c r="F464" s="131"/>
      <c r="G464" s="196"/>
      <c r="H464" s="130">
        <f>C464*E464</f>
        <v>0</v>
      </c>
      <c r="I464" s="132"/>
    </row>
    <row r="465" spans="1:9" s="83" customFormat="1" ht="16.5" hidden="1" customHeight="1" outlineLevel="1">
      <c r="A465" s="127" t="s">
        <v>279</v>
      </c>
      <c r="B465" s="128" t="s">
        <v>274</v>
      </c>
      <c r="C465" s="194">
        <f>IF(В!B465=FALSE,0,1)*В!A465</f>
        <v>0</v>
      </c>
      <c r="D465" s="134"/>
      <c r="E465" s="130">
        <v>45000</v>
      </c>
      <c r="F465" s="131"/>
      <c r="G465" s="196"/>
      <c r="H465" s="130">
        <f>C465*E465</f>
        <v>0</v>
      </c>
      <c r="I465" s="132"/>
    </row>
    <row r="466" spans="1:9" s="83" customFormat="1" ht="16.5" hidden="1" customHeight="1" outlineLevel="1">
      <c r="A466" s="127" t="s">
        <v>280</v>
      </c>
      <c r="B466" s="128" t="s">
        <v>274</v>
      </c>
      <c r="C466" s="194">
        <f>IF(В!B466=FALSE,0,1)*В!C466</f>
        <v>2</v>
      </c>
      <c r="D466" s="134"/>
      <c r="E466" s="130">
        <v>15000</v>
      </c>
      <c r="F466" s="131"/>
      <c r="G466" s="196"/>
      <c r="H466" s="130">
        <f>C466*E466</f>
        <v>30000</v>
      </c>
      <c r="I466" s="132"/>
    </row>
    <row r="467" spans="1:9" s="83" customFormat="1" ht="16.5" hidden="1" customHeight="1" outlineLevel="1">
      <c r="A467" s="127" t="s">
        <v>281</v>
      </c>
      <c r="B467" s="128" t="s">
        <v>274</v>
      </c>
      <c r="C467" s="194">
        <f>В!C467</f>
        <v>0</v>
      </c>
      <c r="D467" s="134"/>
      <c r="E467" s="130">
        <v>14000</v>
      </c>
      <c r="F467" s="131"/>
      <c r="G467" s="196"/>
      <c r="H467" s="130">
        <f>C467*E467</f>
        <v>0</v>
      </c>
      <c r="I467" s="132"/>
    </row>
    <row r="468" spans="1:9" s="83" customFormat="1" ht="16.5" hidden="1" customHeight="1" outlineLevel="1">
      <c r="A468" s="127" t="s">
        <v>282</v>
      </c>
      <c r="B468" s="128" t="s">
        <v>274</v>
      </c>
      <c r="C468" s="194">
        <f>В!C468</f>
        <v>0</v>
      </c>
      <c r="D468" s="134"/>
      <c r="E468" s="130">
        <v>14000</v>
      </c>
      <c r="F468" s="131"/>
      <c r="G468" s="196"/>
      <c r="H468" s="130">
        <f>C468*E468</f>
        <v>0</v>
      </c>
      <c r="I468" s="132"/>
    </row>
    <row r="469" spans="1:9" s="83" customFormat="1" ht="16.5" hidden="1" customHeight="1" outlineLevel="1">
      <c r="A469" s="127" t="s">
        <v>283</v>
      </c>
      <c r="B469" s="128" t="s">
        <v>274</v>
      </c>
      <c r="C469" s="194">
        <f>В!C469</f>
        <v>0</v>
      </c>
      <c r="D469" s="134"/>
      <c r="E469" s="130">
        <v>8000</v>
      </c>
      <c r="F469" s="131"/>
      <c r="G469" s="196"/>
      <c r="H469" s="130">
        <f>C469*E469</f>
        <v>0</v>
      </c>
      <c r="I469" s="132"/>
    </row>
    <row r="470" spans="1:9" s="83" customFormat="1" ht="16.5" hidden="1" customHeight="1" outlineLevel="1">
      <c r="A470" s="127" t="s">
        <v>284</v>
      </c>
      <c r="B470" s="128" t="s">
        <v>274</v>
      </c>
      <c r="C470" s="194">
        <f>В!C470</f>
        <v>0</v>
      </c>
      <c r="D470" s="134"/>
      <c r="E470" s="130">
        <v>6000</v>
      </c>
      <c r="F470" s="131"/>
      <c r="G470" s="196"/>
      <c r="H470" s="130">
        <f>C470*E470</f>
        <v>0</v>
      </c>
      <c r="I470" s="132"/>
    </row>
    <row r="471" spans="1:9" s="83" customFormat="1" ht="16.5" hidden="1" customHeight="1" outlineLevel="1">
      <c r="A471" s="127" t="s">
        <v>285</v>
      </c>
      <c r="B471" s="128" t="s">
        <v>274</v>
      </c>
      <c r="C471" s="194">
        <f>IF(В!B471=FALSE,0,1)*В!A471</f>
        <v>1</v>
      </c>
      <c r="D471" s="134"/>
      <c r="E471" s="130">
        <v>9000</v>
      </c>
      <c r="F471" s="131"/>
      <c r="G471" s="196"/>
      <c r="H471" s="130">
        <f>C471*E471</f>
        <v>9000</v>
      </c>
      <c r="I471" s="132"/>
    </row>
    <row r="472" spans="1:9" s="83" customFormat="1" ht="16.5" hidden="1" customHeight="1" outlineLevel="1">
      <c r="A472" s="127" t="s">
        <v>286</v>
      </c>
      <c r="B472" s="128" t="s">
        <v>274</v>
      </c>
      <c r="C472" s="194">
        <f>IF(В!B472=FALSE,0,1)*В!A472</f>
        <v>0</v>
      </c>
      <c r="D472" s="134"/>
      <c r="E472" s="130">
        <v>7000</v>
      </c>
      <c r="F472" s="131"/>
      <c r="G472" s="196"/>
      <c r="H472" s="130">
        <f>C472*E472</f>
        <v>0</v>
      </c>
      <c r="I472" s="132"/>
    </row>
    <row r="473" spans="1:9" s="83" customFormat="1" ht="16.5" hidden="1" customHeight="1" outlineLevel="1">
      <c r="A473" s="127" t="s">
        <v>287</v>
      </c>
      <c r="B473" s="128" t="s">
        <v>274</v>
      </c>
      <c r="C473" s="194">
        <f>IF(В!B473=FALSE,0,1)*В!C473</f>
        <v>0</v>
      </c>
      <c r="D473" s="134"/>
      <c r="E473" s="130">
        <v>6000</v>
      </c>
      <c r="F473" s="131"/>
      <c r="G473" s="196"/>
      <c r="H473" s="130">
        <f>C473*E473</f>
        <v>0</v>
      </c>
      <c r="I473" s="132"/>
    </row>
    <row r="474" spans="1:9" s="83" customFormat="1" ht="16.5" customHeight="1">
      <c r="A474" s="136" t="s">
        <v>215</v>
      </c>
      <c r="B474" s="137" t="s">
        <v>485</v>
      </c>
      <c r="C474" s="138"/>
      <c r="D474" s="139"/>
      <c r="E474" s="140"/>
      <c r="F474" s="141"/>
      <c r="G474" s="142"/>
      <c r="H474" s="143"/>
      <c r="I474" s="141"/>
    </row>
    <row r="475" spans="1:9" s="83" customFormat="1" ht="16.5" customHeight="1">
      <c r="A475" s="145"/>
      <c r="B475" s="146"/>
      <c r="C475" s="147"/>
      <c r="D475" s="148"/>
      <c r="E475" s="149"/>
      <c r="F475" s="150"/>
      <c r="G475" s="296" t="s">
        <v>57</v>
      </c>
      <c r="H475" s="152" t="s">
        <v>58</v>
      </c>
      <c r="I475" s="153" t="s">
        <v>59</v>
      </c>
    </row>
    <row r="476" spans="1:9" s="83" customFormat="1" ht="16.5" customHeight="1">
      <c r="A476" s="154" t="s">
        <v>47</v>
      </c>
      <c r="B476" s="155"/>
      <c r="C476" s="156"/>
      <c r="D476" s="157"/>
      <c r="E476" s="157"/>
      <c r="F476" s="86"/>
      <c r="G476" s="158">
        <f>SUM(G452:G474)</f>
        <v>0</v>
      </c>
      <c r="H476" s="159">
        <f>I476-G476</f>
        <v>404500</v>
      </c>
      <c r="I476" s="160">
        <f>SUM(I452:I474)</f>
        <v>404500</v>
      </c>
    </row>
    <row r="477" spans="1:9" s="83" customFormat="1" ht="16.5" customHeight="1">
      <c r="A477" s="161"/>
      <c r="B477" s="162"/>
      <c r="C477" s="163"/>
      <c r="D477" s="164"/>
      <c r="E477" s="164"/>
      <c r="F477" s="165"/>
      <c r="G477" s="166">
        <v>0</v>
      </c>
      <c r="H477" s="167"/>
      <c r="I477" s="168"/>
    </row>
    <row r="478" spans="1:9" s="83" customFormat="1" ht="16.5" customHeight="1">
      <c r="A478" s="169"/>
      <c r="B478" s="170"/>
      <c r="C478" s="171"/>
      <c r="D478" s="172"/>
      <c r="E478" s="173"/>
      <c r="F478" s="170"/>
      <c r="G478" s="174">
        <v>0</v>
      </c>
      <c r="H478" s="175"/>
      <c r="I478" s="176"/>
    </row>
    <row r="479" spans="1:9" s="83" customFormat="1" ht="18.75">
      <c r="A479" s="177" t="s">
        <v>538</v>
      </c>
      <c r="B479" s="186"/>
      <c r="C479" s="187"/>
      <c r="D479" s="188"/>
      <c r="E479" s="189"/>
      <c r="F479" s="186"/>
      <c r="G479" s="292"/>
      <c r="H479" s="191"/>
      <c r="I479" s="184">
        <f>SUM(I476:I478)</f>
        <v>404500</v>
      </c>
    </row>
    <row r="480" spans="1:9" s="83" customFormat="1" ht="16.5" customHeight="1">
      <c r="A480" s="297"/>
      <c r="B480" s="186"/>
      <c r="C480" s="187"/>
      <c r="D480" s="188"/>
      <c r="E480" s="189"/>
      <c r="F480" s="186"/>
      <c r="G480" s="292"/>
      <c r="H480" s="191"/>
      <c r="I480" s="298"/>
    </row>
    <row r="481" spans="1:9" s="83" customFormat="1" ht="16.5" customHeight="1">
      <c r="A481" s="229"/>
      <c r="B481" s="230"/>
      <c r="C481" s="97"/>
      <c r="D481" s="97"/>
      <c r="E481" s="98"/>
      <c r="F481" s="231"/>
      <c r="G481" s="97"/>
      <c r="H481" s="98"/>
      <c r="I481" s="231"/>
    </row>
    <row r="482" spans="1:9" s="83" customFormat="1" ht="16.5" customHeight="1">
      <c r="A482" s="154" t="s">
        <v>288</v>
      </c>
      <c r="B482" s="155"/>
      <c r="C482" s="156"/>
      <c r="D482" s="157"/>
      <c r="E482" s="157"/>
      <c r="F482" s="86"/>
      <c r="G482" s="158">
        <f>IFERROR(SUMIF($A12:$A481,"=ВСЕГО",G12:G481),0)</f>
        <v>1848374</v>
      </c>
      <c r="H482" s="159">
        <f>IFERROR(SUMIF($A12:$A481,"=ВСЕГО",H12:H481),0)</f>
        <v>3074765</v>
      </c>
      <c r="I482" s="160">
        <f>IFERROR(SUMIF($A12:$A481,"=ВСЕГО",I12:I481),0)</f>
        <v>4923139</v>
      </c>
    </row>
    <row r="483" spans="1:9" s="83" customFormat="1" ht="16.5" customHeight="1">
      <c r="A483" s="161" t="s">
        <v>486</v>
      </c>
      <c r="B483" s="162"/>
      <c r="C483" s="163"/>
      <c r="D483" s="164"/>
      <c r="E483" s="164"/>
      <c r="F483" s="165"/>
      <c r="G483" s="166">
        <v>0</v>
      </c>
      <c r="H483" s="167"/>
      <c r="I483" s="168">
        <f>IFERROR(SUMIF($A12:$A481,"=Материалы прочие*",I12:I481),0)</f>
        <v>277256</v>
      </c>
    </row>
    <row r="484" spans="1:9" s="83" customFormat="1" ht="16.5" customHeight="1" thickBot="1">
      <c r="A484" s="161" t="s">
        <v>487</v>
      </c>
      <c r="B484" s="299"/>
      <c r="C484" s="300"/>
      <c r="D484" s="301"/>
      <c r="E484" s="302"/>
      <c r="F484" s="299"/>
      <c r="G484" s="166">
        <v>0</v>
      </c>
      <c r="H484" s="303"/>
      <c r="I484" s="304">
        <f>IFERROR(SUMIF($A12:$A481,"=Накладные расходы*",I12:I481),0)</f>
        <v>120144</v>
      </c>
    </row>
    <row r="485" spans="1:9" s="83" customFormat="1" ht="21" thickTop="1">
      <c r="A485" s="305" t="s">
        <v>289</v>
      </c>
      <c r="B485" s="306"/>
      <c r="C485" s="307"/>
      <c r="D485" s="308"/>
      <c r="E485" s="309"/>
      <c r="F485" s="306"/>
      <c r="G485" s="310"/>
      <c r="H485" s="311"/>
      <c r="I485" s="312">
        <f>IFERROR(SUM(I482:I484),0)</f>
        <v>5320539</v>
      </c>
    </row>
    <row r="486" spans="1:9" s="83" customFormat="1" ht="16.5" customHeight="1">
      <c r="A486" s="185"/>
      <c r="B486" s="186"/>
      <c r="C486" s="187"/>
      <c r="D486" s="188"/>
      <c r="E486" s="189"/>
      <c r="F486" s="186"/>
      <c r="G486" s="190"/>
      <c r="H486" s="191"/>
      <c r="I486" s="192"/>
    </row>
    <row r="487" spans="1:9" s="91" customFormat="1" ht="16.5" customHeight="1">
      <c r="A487" s="313"/>
      <c r="B487" s="230"/>
      <c r="C487" s="97"/>
      <c r="D487" s="97"/>
      <c r="E487" s="98"/>
      <c r="F487" s="231"/>
      <c r="G487" s="97"/>
      <c r="H487" s="98"/>
      <c r="I487" s="314" t="s">
        <v>573</v>
      </c>
    </row>
    <row r="488" spans="1:9" s="83" customFormat="1" ht="16.5" customHeight="1">
      <c r="A488" s="315"/>
      <c r="B488" s="277"/>
      <c r="C488" s="278"/>
      <c r="D488" s="278"/>
      <c r="E488" s="279"/>
      <c r="F488" s="280"/>
      <c r="G488" s="278"/>
      <c r="H488" s="279"/>
      <c r="I488" s="314" t="str">
        <f>IF('ПОДРОБНАЯ СМЕТА'!I485=0,0,IF(OR('ПОДРОБНАЯ СМЕТА'!I485=0,В!A487=0),0,"** Расчетная стоимость строительства "&amp;+TEXT(ROUND('ПОДРОБНАЯ СМЕТА'!I485/В!A487,2),"# ##0,00")&amp;+" рублей за м²"))</f>
        <v>** Расчетная стоимость строительства 27 834,37 рублей за м²</v>
      </c>
    </row>
    <row r="489" spans="1:9" s="83" customFormat="1" ht="16.5" customHeight="1">
      <c r="A489" s="316" t="s">
        <v>290</v>
      </c>
      <c r="B489" s="277"/>
      <c r="C489" s="278"/>
      <c r="D489" s="278"/>
      <c r="E489" s="279"/>
      <c r="F489" s="280"/>
      <c r="G489" s="278"/>
      <c r="H489" s="279"/>
      <c r="I489" s="280"/>
    </row>
    <row r="490" spans="1:9" s="83" customFormat="1" ht="16.5" customHeight="1">
      <c r="A490" s="317" t="s">
        <v>539</v>
      </c>
      <c r="B490" s="318"/>
      <c r="C490" s="318"/>
      <c r="D490" s="318"/>
      <c r="E490" s="318"/>
      <c r="F490" s="318"/>
      <c r="G490" s="318"/>
      <c r="H490" s="318"/>
      <c r="I490" s="318"/>
    </row>
    <row r="491" spans="1:9" s="83" customFormat="1" ht="16.5" customHeight="1">
      <c r="A491" s="316" t="s">
        <v>291</v>
      </c>
      <c r="B491" s="277"/>
      <c r="C491" s="278"/>
      <c r="D491" s="278"/>
      <c r="E491" s="279"/>
      <c r="F491" s="280"/>
      <c r="G491" s="278"/>
      <c r="H491" s="279"/>
      <c r="I491" s="280"/>
    </row>
    <row r="492" spans="1:9" s="83" customFormat="1" ht="16.5" customHeight="1">
      <c r="A492" s="319" t="s">
        <v>292</v>
      </c>
      <c r="B492" s="320"/>
      <c r="C492" s="321"/>
      <c r="D492" s="321"/>
      <c r="E492" s="322"/>
      <c r="F492" s="323"/>
      <c r="G492" s="321"/>
      <c r="H492" s="322"/>
      <c r="I492" s="323"/>
    </row>
    <row r="493" spans="1:9" s="83" customFormat="1" ht="16.5" customHeight="1">
      <c r="A493" s="316" t="s">
        <v>293</v>
      </c>
      <c r="B493" s="277"/>
      <c r="C493" s="278"/>
      <c r="D493" s="278"/>
      <c r="E493" s="279"/>
      <c r="F493" s="280"/>
      <c r="G493" s="278"/>
      <c r="H493" s="279"/>
      <c r="I493" s="280"/>
    </row>
    <row r="494" spans="1:9" s="83" customFormat="1" ht="16.5" customHeight="1">
      <c r="A494" s="317" t="s">
        <v>540</v>
      </c>
      <c r="B494" s="318"/>
      <c r="C494" s="318"/>
      <c r="D494" s="318"/>
      <c r="E494" s="318"/>
      <c r="F494" s="318"/>
      <c r="G494" s="318"/>
      <c r="H494" s="318"/>
      <c r="I494" s="318"/>
    </row>
  </sheetData>
  <dataConsolidate algorithmName="SHA-512" hashValue="gYvqRPQDMrAEj3dgX9lMpmQyBRtoA8lmE0fo4dsSaLkbv8uGWqVrIzswfOzd9s9JAqFx33ZS2awY/w5tldsxnA==" saltValue="TM9WjcyPHIjJ10hqSjoV1Q==" spinCount="100000"/>
  <mergeCells count="36">
    <mergeCell ref="A8:I8"/>
    <mergeCell ref="A490:I490"/>
    <mergeCell ref="A494:I494"/>
    <mergeCell ref="A450:A451"/>
    <mergeCell ref="B450:B451"/>
    <mergeCell ref="C450:C451"/>
    <mergeCell ref="A341:A342"/>
    <mergeCell ref="B341:B342"/>
    <mergeCell ref="C341:C342"/>
    <mergeCell ref="A360:A361"/>
    <mergeCell ref="B360:B361"/>
    <mergeCell ref="C360:C361"/>
    <mergeCell ref="A285:A286"/>
    <mergeCell ref="B285:B286"/>
    <mergeCell ref="C285:C286"/>
    <mergeCell ref="A309:A310"/>
    <mergeCell ref="B309:B310"/>
    <mergeCell ref="C309:C310"/>
    <mergeCell ref="A206:A207"/>
    <mergeCell ref="B206:B207"/>
    <mergeCell ref="C206:C207"/>
    <mergeCell ref="A129:A130"/>
    <mergeCell ref="B129:B130"/>
    <mergeCell ref="C129:C130"/>
    <mergeCell ref="A68:A69"/>
    <mergeCell ref="B68:B69"/>
    <mergeCell ref="C68:C69"/>
    <mergeCell ref="A24:A25"/>
    <mergeCell ref="B24:B25"/>
    <mergeCell ref="C24:C25"/>
    <mergeCell ref="A10:A11"/>
    <mergeCell ref="B10:B11"/>
    <mergeCell ref="C10:C11"/>
    <mergeCell ref="H1:I1"/>
    <mergeCell ref="A5:I6"/>
    <mergeCell ref="A7:I7"/>
  </mergeCells>
  <conditionalFormatting sqref="J1">
    <cfRule type="cellIs" dxfId="117" priority="530" operator="equal">
      <formula>"ПРЕМИУМ"</formula>
    </cfRule>
    <cfRule type="cellIs" dxfId="116" priority="531" operator="equal">
      <formula>"СТАНДАРТ"</formula>
    </cfRule>
    <cfRule type="cellIs" dxfId="115" priority="532" operator="equal">
      <formula>"ЭКОНОМ"</formula>
    </cfRule>
  </conditionalFormatting>
  <dataValidations count="35">
    <dataValidation allowBlank="1" showInputMessage="1" showErrorMessage="1" promptTitle="ОЧИСТНОЕ СООРУЖЕНИЕ" prompt="Для наших клиентов мы рекомендуем систему очистки премиум класса. В отличие от более дешевых аналогов она очень надежна, проста и недорога в обслуживании." sqref="A347" xr:uid="{3EC9C688-C569-4476-828A-6F6694FBA955}"/>
    <dataValidation allowBlank="1" showInputMessage="1" showErrorMessage="1" promptTitle="МОНТАЖ КЕССОНА" prompt="Мы предлагаем обустройство скважины пластиковым кессоном, который устойчив к коррозии и деформациям. Кессоны Korsu - премиум сегмент. Мы подбираем всё самое лучшее для наших клиентов." sqref="A345" xr:uid="{CD72DB8B-5D2D-48B3-8A3F-C14403AED542}"/>
    <dataValidation allowBlank="1" showInputMessage="1" showErrorMessage="1" promptTitle="БУРЕНИЕ СКВАЖИНЫ НА ВОДУ" prompt="Для организации надежного и независимого источника воды предлагаем бурение скважины. Фактический метраж бурения будет уточняться после уточнения места бурения." sqref="A344" xr:uid="{B6D4D1E1-47A4-4D18-B5F8-FA00A4A9C54D}"/>
    <dataValidation allowBlank="1" showInputMessage="1" showErrorMessage="1" promptTitle="УСТРОЙСТВО ПЕРЕМЫЧЕК В ОБЛИЦОВКЕ" prompt="Необходимо правильно организовать перемычки при облицовке дверных и оконных проемов лицевым кирпичом." sqref="A297" xr:uid="{1F345D64-9B40-481A-9997-D643B319070B}"/>
    <dataValidation allowBlank="1" showInputMessage="1" showErrorMessage="1" promptTitle="АРМИРОВАНИЕ ЛИЦЕВОЙ КЛАДКИ" prompt="Для обеспечения прочности лицевой клади выполняется ее армирование арматурой или сеткой." sqref="A294" xr:uid="{B8572B77-2E84-4361-945F-32AC8FF364CE}"/>
    <dataValidation allowBlank="1" showInputMessage="1" showErrorMessage="1" promptTitle="ОБЛИЦОВКА ФАСАДА КИРПИЧОМ" prompt="Если требуется облицевать дом лицевым кирпичом на первом этапе, то данную опцию сметы нужно включить. По умолчанию предлагается облицовка фасада одним кирпичом без разделения на разные цвета. Предлагается Голицынский кирпич - слоновая кость." sqref="A291" xr:uid="{89D34B06-97F0-4E63-BF2E-DE42A02B4D89}"/>
    <dataValidation allowBlank="1" showInputMessage="1" showErrorMessage="1" promptTitle="УТЕПЛЕНИЕ ФАСАДА" prompt="Мы настоятельно рекомендуем не пренебрегать утеплением фасада, чтобы дом отвечал современным требованиям по термическому сопротивлению стен, был долговечным и энергоэффективным." sqref="A288" xr:uid="{2791DD5B-CD47-4D05-81BE-4A8B440A9C80}"/>
    <dataValidation allowBlank="1" showInputMessage="1" showErrorMessage="1" promptTitle="ВЫВОЗ МУСОРА" prompt="Обычно вывоз мусора согласовывается индивидуально в процессе строительства. Но это не мешает нам посчитать какой объем мусора придется вывозить и во что это обойдется." sqref="A276" xr:uid="{E0538CC1-8962-419D-8075-E0001B21CCE6}"/>
    <dataValidation allowBlank="1" showInputMessage="1" showErrorMessage="1" promptTitle="УСТРОЙСТВО ЧЕРНОВОЙ ОТМОСТКИ" prompt="Изготовление черновой отмостки с утеплением и бетонированием. Черновая отмостка является основой для укладки тротуарной плитки, брусчатки или декоративного камня." sqref="A258 A270" xr:uid="{2BE823B3-66E2-42D8-8F21-CDA52C47A3AD}"/>
    <dataValidation allowBlank="1" showInputMessage="1" showErrorMessage="1" promptTitle="УТЕПЛЕНИЕ ФУНДАМЕНТА" prompt="Рекомендуется произвести утепление фундамента перед последующей его отделкой." sqref="A252" xr:uid="{2ECC0CAD-301C-4FB9-AA47-9285D50E7F54}"/>
    <dataValidation allowBlank="1" showInputMessage="1" showErrorMessage="1" promptTitle="МОНОЛИТНАЯ МЕЖЭТАЖНАЯ ЛЕСТНИЦА" prompt="Изготовление монолитной межэтажной лестницы без чистовой отделки." sqref="A243" xr:uid="{5CACB71A-A688-4C6F-9F99-0D2D03E965C6}"/>
    <dataValidation allowBlank="1" showInputMessage="1" showErrorMessage="1" promptTitle="СТУПЕНИ КРЫЛЕЧЕК И ТЕРРАС" prompt="Организация бетонных ступеней для крылечек и террас. Рекомендуется делать, когда есть понимание по высотным отметкам: уровень грунта, отмостки, пола первого этажа)." sqref="A237" xr:uid="{25BCDB55-42B8-48BC-A48F-65D9443249A9}"/>
    <dataValidation allowBlank="1" showInputMessage="1" showErrorMessage="1" promptTitle="ВЕНТИЛЯЦИЯ, ДЫМОХОДЫ, ГАЗОХОДЫ" prompt="По умолчанию мы всегда считаем вентиляционные каналы, дымоходы и газоходы (даже если они не обозначены в проекте) исходя из назначения помещений, таких как, бойлерная/котельная, санузлы, кухня и т.п." sqref="A219" xr:uid="{E7C1D8FE-16BD-4204-BF6A-2C6FBCF2C029}"/>
    <dataValidation allowBlank="1" showInputMessage="1" showErrorMessage="1" promptTitle="УСТАНОВКА ОКОН, ДВЕРЕЙ, ВОРОТ" prompt="Данный пункт сметы позволяет получить представление о стоимости организации закрытого контура: остекление, установка входных дверей и гаражных ворот." sqref="A213" xr:uid="{3491FCB6-3605-4EBF-9537-673BAC7674C0}"/>
    <dataValidation allowBlank="1" showInputMessage="1" showErrorMessage="1" promptTitle="ДЕМОНТАЖ ЛЕСОВ" prompt="В случае если будут выполнены все работы по кровле, трубам на кровле и фасадные работы, то тогда данный пункт сметы рекомендуется включить." sqref="A212" xr:uid="{DAF78354-C05F-4A15-ABEA-6CE8571C9A08}"/>
    <dataValidation allowBlank="1" showInputMessage="1" showErrorMessage="1" promptTitle="УТЕПЛЕНИЕ ПЕРЕКРЫТИЙ" prompt="Если требуется утепление перекрытий (например, чердачных) на первом этапе строительства, то данный пункт сметы можно включить." sqref="A190" xr:uid="{C37A6320-72E1-4725-B4B0-C5483528EFE9}"/>
    <dataValidation allowBlank="1" showInputMessage="1" showErrorMessage="1" promptTitle="БАЛКИ ДЕРЕВЯННОГО ПЕРЕКРЫТИЯ" prompt="Основные каркасообразующие балки деревянных перекрытий посчитаны в основной смете и не являются опцией. Сюда же вынесены не обязательные позиции, например, для организации ровного потолка на крыльце или террасе." sqref="A188" xr:uid="{CE24405C-7A0F-4663-B720-F13528D3C508}"/>
    <dataValidation allowBlank="1" showInputMessage="1" showErrorMessage="1" promptTitle="ПОДШИВ СВЕСОВ СОФИТАМИ" prompt="Для завершения кровли необходимо подшить свесы кровли снизу и произвести отделку карнизов и лобовой доски кровли. Данное предложение реализовано с помощью пластиковых софитов." sqref="A183" xr:uid="{D6B99BF2-6335-4473-B646-24BD1B9C269D}"/>
    <dataValidation allowBlank="1" showInputMessage="1" showErrorMessage="1" promptTitle="МОНТАЖ ВОДОСТОЧНЫХ КРЮКОВ" prompt="Поскольку мы практикуем установку длинных, усиленных водосточных крюков, которые монтируются в кровельный пирог, то данная опция по умолчанию включена в смете. Водосточные крюки нужны для монтажа водосточной системы." sqref="A168" xr:uid="{A035A30D-DBB8-4E52-BD7B-D1F6F9C59637}"/>
    <dataValidation allowBlank="1" showInputMessage="1" showErrorMessage="1" promptTitle="МОНТАЖ ВОДОСТОЧНОЙ СИСТЕМЫ" prompt="Если необходимо на первом этапе строительства произвести установку отведения сточных вод с кровли, то данный пункт сметы можно включить. Для деревянных домов монтаж водосточной системы делается после завершения основных усадочных процессов." sqref="A173" xr:uid="{13939113-4697-424D-8239-27EB13AD91FE}"/>
    <dataValidation allowBlank="1" showInputMessage="1" showErrorMessage="1" promptTitle="МОНТАЖ МАНСАРДНЫХ ОКОН" prompt="Если данный пункт присутствует в смете, значит по проекту предполагается установка окон в кровле мансардного этажа. Если они не нудны, то данный пункт сметы можно отключить. Если нужны другие размеры или количество окон, то они могут быть скорректированы." sqref="A170" xr:uid="{0AE7E103-89BD-4F04-9640-B91466FDA232}"/>
    <dataValidation allowBlank="1" showInputMessage="1" showErrorMessage="1" promptTitle="МОНТАЖ ОКЛАДОВ ДЫМОХОДОВ" prompt="Этот пункт автоматически включится если в смете будет включена опция возведения дымоходов, газоходов и вентиляционных каналов. Для обеспечения правильного примыкания кровли к трубам нужна эта позиция сметы." sqref="A231" xr:uid="{CC11BC2A-04CA-4C1E-9D64-849F32D318F9}"/>
    <dataValidation allowBlank="1" showInputMessage="1" showErrorMessage="1" promptTitle="УСТАНОВКА СНЕГОЗАДЕРЖАТЕЛЕЙ" prompt="Чтобы избежать лавинного схода снега с кровли необходимо установить систему снегозадержания. По умолчанию предлагается установка по всему периметру дома, но можно ограничиться установкой, например, только в зоне входа и выхода людей." sqref="A163" xr:uid="{5F37A13B-21C7-4679-8579-A99E059589D1}"/>
    <dataValidation allowBlank="1" showInputMessage="1" showErrorMessage="1" promptTitle="УТЕПЛЕНИЕ КРОВЛИ" prompt="В некоторых случаях утепление можно перенести на следующий этап строительства или оно может не тпебоваться вообще в случае организации холодного чердака с утеплением чердачных перекрытий." sqref="A139" xr:uid="{3EFAB715-C541-460F-87D1-F559CDB30417}"/>
    <dataValidation allowBlank="1" showInputMessage="1" showErrorMessage="1" promptTitle="МОНТАЖ ВРЕМЕННОЙ КРОВЛИ" prompt="Данный пункт сметы в основном требуется для строительства деревянных домов, чтобы избезать деформации кровли в процессе усадки строения. Включив данный пункт сметы автоматически отключатся все пункты сметы, которые относятся к чистовой кровле." sqref="A132" xr:uid="{AC08D6C2-4CAA-4F2D-B066-01D420AB55AC}"/>
    <dataValidation allowBlank="1" showInputMessage="1" showErrorMessage="1" promptTitle="УСТРОЙСТВО ЛЕГКИХ ПЕРЕГОРОДОК" prompt="Если планируется возведение легких, не несущих перегородок (например из гипсокартона) на этапе производства отделочных работ или с целью экономии средств на первом этапе строительства, то данный пункт сметы можно отключить." sqref="A95" xr:uid="{0B544883-8F1C-433C-8104-2AFCF4263D1A}"/>
    <dataValidation allowBlank="1" showInputMessage="1" showErrorMessage="1" promptTitle="ОРГАНИЗАЦИЯ РЕЗЕРВНЫХ ЗАКЛАДНЫХ" prompt="Рекомендуем добавить резервные закладные, через которые в любой момент можно будет ввести/вывести такие коммуникации как: отопление, водоснабжение, электрику и т.п. Например, на отопление и водоснабжение бани или гостевого дома." sqref="A58" xr:uid="{8C8976D2-5C1B-488F-85DB-97AB735EF61D}"/>
    <dataValidation allowBlank="1" showInputMessage="1" showErrorMessage="1" promptTitle="ОРГАНИЗАЦИЯ ПРОЖИВАНИЯ РАБОЧИХ" prompt="Если на момент строительства нужно организовать проживание рабочих, то мы возьмем это на себя. Будет завезена и обутроена строительная бытовка, которая останется у Вас и пригодится на всех последующих этапах строительных и отделочных работ." sqref="A13" xr:uid="{9174A251-E75B-4BF5-8146-978BDA3A053D}"/>
    <dataValidation type="list" allowBlank="1" showInputMessage="1" showErrorMessage="1" errorTitle="ВНИМАНИЕ!" error="Содержимое данных ячеек менять нельзя!" sqref="B42:B43 B276:B277 B345:B346 B34 B71:B78 B266:B269 B13:B16 B453:B473 B363:B442 B312:B333 B288:B301 B209:B251 B132:B198 B79:B121" xr:uid="{1063E89F-3C22-4AB9-851C-6AD21222C4FF}">
      <formula1>ед</formula1>
    </dataValidation>
    <dataValidation type="custom" allowBlank="1" showInputMessage="1" showErrorMessage="1" errorTitle="ВНИМАНИЕ!" error="Содержимое данных ячеек менять нельзя!" sqref="B208 C469:I473 B452 C129 B2:I4 D450:I451 B491:I491 B493:I493 B12:I12 C13:I13 C206 B309:C309 I305:I306 I337:I338 B9:B10 B278:B283 B285:C285 C24 C10 B17:B24 B26 D24:I25 B68:C68 B70 D68:I69 B131 D129:I130 B199:B206 D206:I207 D285:I286 B308:I308 D309:I310 B450:C450 F9 D10:I11 H9:I9 B340:I362 H336 H304 E14 B443:I449 B474:I489 H458:H468 C452:G468 I452:I468 H452:H456 C288:I301 C208:I283 C165:I205 C131:I162 B122:B129 C70:I128 B61:I66 C26:I60 C15:I23" xr:uid="{5800D38F-A379-48F7-9BAA-BF42A055F721}">
      <formula1>"="</formula1>
    </dataValidation>
    <dataValidation type="list" allowBlank="1" showInputMessage="1" showErrorMessage="1" sqref="B347:B352 B344 B27:B33 B44:B60 B252:B265 B270:B275 B35:B41" xr:uid="{4A7D8BB3-9969-46ED-A15D-D2F513B4416D}">
      <formula1>ед</formula1>
    </dataValidation>
    <dataValidation errorStyle="information" allowBlank="1" showInputMessage="1" showErrorMessage="1" errorTitle="ВНИМАНИЕ!" error="Вы хотите внести изменение?" sqref="I347:I352 I344 D347:F352 G348:H352 C348:C352 D344:F344 H457" xr:uid="{F5701718-0DF3-4F4F-94E3-46D8DCC1E7FD}"/>
    <dataValidation type="custom" errorStyle="information" allowBlank="1" showInputMessage="1" showErrorMessage="1" sqref="D311:I311 D343:I343 D287:I287 D362:I362" xr:uid="{A6112523-5B48-4C3E-BE7B-76E6AA9AD791}">
      <formula1>"="</formula1>
    </dataValidation>
    <dataValidation type="list" allowBlank="1" showInputMessage="1" showErrorMessage="1" errorTitle="ВНИМАНИЕ!" error="Содержимое данных ячеек менять нельзя!" promptTitle="ВЫБЕРИТЕ ВАРИАНТ СМЕТЫ" prompt="_x000a_ЭКОНОМ - Простые, но вполне надежные технологии и материалы._x000a__x000a_СТАНДАРТ - Вариант сметы по внутренним стандартам компании Приват-Строй._x000a__x000a_ПРЕМИУМ - Материалы и технологии для амбициозных клиентов." sqref="J1" xr:uid="{8D0810DE-C2E0-4C8C-865C-046D6EC873EE}">
      <formula1>"ЭКОНОМ,СТАНДАРТ,ПРЕМИУМ"</formula1>
    </dataValidation>
    <dataValidation allowBlank="1" showInputMessage="1" showErrorMessage="1" errorTitle="ВНИМЕНИЕ!" error="Данные Ячейки редактировать нельзя!!!" sqref="B492:I492 B490:I490" xr:uid="{C998D6B2-2B28-4727-9980-B1E668D7000F}"/>
  </dataValidations>
  <printOptions horizontalCentered="1"/>
  <pageMargins left="0.23622047244094502" right="0.23622047244094502" top="0.47244094488189003" bottom="0.47244094488189003" header="0.31496062992126" footer="0.31496062992126"/>
  <pageSetup paperSize="9" scale="62" fitToHeight="0" orientation="portrait" r:id="rId1"/>
  <headerFooter alignWithMargins="0">
    <oddHeader>&amp;RСМЕТА на первый этап строительства по проекту Д-170ПБ</oddHeader>
    <oddFooter>&amp;LПОДРЯДЧИК: ______________________________&amp;CСтраница &amp;P из &amp;N&amp;RЗАКАЗЧИК: ______________________________</oddFooter>
  </headerFooter>
  <rowBreaks count="3" manualBreakCount="3">
    <brk id="67" max="8" man="1"/>
    <brk id="205" max="8" man="1"/>
    <brk id="359" max="8" man="1"/>
  </rowBreaks>
  <drawing r:id="rId2"/>
  <legacyDrawing r:id="rId3"/>
  <mc:AlternateContent xmlns:mc="http://schemas.openxmlformats.org/markup-compatibility/2006">
    <mc:Choice Requires="x14">
      <controls>
        <mc:AlternateContent xmlns:mc="http://schemas.openxmlformats.org/markup-compatibility/2006">
          <mc:Choice Requires="x14">
            <control shapeId="3073" r:id="rId4" name="Ф_Проживание">
              <controlPr defaultSize="0" print="0" autoFill="0" autoLine="0" autoPict="0">
                <anchor moveWithCells="1">
                  <from>
                    <xdr:col>0</xdr:col>
                    <xdr:colOff>4972050</xdr:colOff>
                    <xdr:row>12</xdr:row>
                    <xdr:rowOff>9525</xdr:rowOff>
                  </from>
                  <to>
                    <xdr:col>0</xdr:col>
                    <xdr:colOff>5181600</xdr:colOff>
                    <xdr:row>12</xdr:row>
                    <xdr:rowOff>200025</xdr:rowOff>
                  </to>
                </anchor>
              </controlPr>
            </control>
          </mc:Choice>
        </mc:AlternateContent>
        <mc:AlternateContent xmlns:mc="http://schemas.openxmlformats.org/markup-compatibility/2006">
          <mc:Choice Requires="x14">
            <control shapeId="3074" r:id="rId5" name="Ф_вывоз_мусора">
              <controlPr defaultSize="0" print="0" autoFill="0" autoLine="0" autoPict="0">
                <anchor moveWithCells="1">
                  <from>
                    <xdr:col>0</xdr:col>
                    <xdr:colOff>4981575</xdr:colOff>
                    <xdr:row>275</xdr:row>
                    <xdr:rowOff>9525</xdr:rowOff>
                  </from>
                  <to>
                    <xdr:col>0</xdr:col>
                    <xdr:colOff>5181600</xdr:colOff>
                    <xdr:row>275</xdr:row>
                    <xdr:rowOff>200025</xdr:rowOff>
                  </to>
                </anchor>
              </controlPr>
            </control>
          </mc:Choice>
        </mc:AlternateContent>
        <mc:AlternateContent xmlns:mc="http://schemas.openxmlformats.org/markup-compatibility/2006">
          <mc:Choice Requires="x14">
            <control shapeId="3076" r:id="rId6" name="Ф_Закладные">
              <controlPr defaultSize="0" print="0" autoFill="0" autoLine="0" autoPict="0">
                <anchor moveWithCells="1">
                  <from>
                    <xdr:col>0</xdr:col>
                    <xdr:colOff>4972050</xdr:colOff>
                    <xdr:row>57</xdr:row>
                    <xdr:rowOff>9525</xdr:rowOff>
                  </from>
                  <to>
                    <xdr:col>0</xdr:col>
                    <xdr:colOff>5181600</xdr:colOff>
                    <xdr:row>57</xdr:row>
                    <xdr:rowOff>200025</xdr:rowOff>
                  </to>
                </anchor>
              </controlPr>
            </control>
          </mc:Choice>
        </mc:AlternateContent>
        <mc:AlternateContent xmlns:mc="http://schemas.openxmlformats.org/markup-compatibility/2006">
          <mc:Choice Requires="x14">
            <control shapeId="3077" r:id="rId7" name="Ф_утепл_фасада">
              <controlPr defaultSize="0" print="0" autoFill="0" autoLine="0" autoPict="0">
                <anchor moveWithCells="1">
                  <from>
                    <xdr:col>0</xdr:col>
                    <xdr:colOff>4972050</xdr:colOff>
                    <xdr:row>287</xdr:row>
                    <xdr:rowOff>9525</xdr:rowOff>
                  </from>
                  <to>
                    <xdr:col>0</xdr:col>
                    <xdr:colOff>5181600</xdr:colOff>
                    <xdr:row>287</xdr:row>
                    <xdr:rowOff>200025</xdr:rowOff>
                  </to>
                </anchor>
              </controlPr>
            </control>
          </mc:Choice>
        </mc:AlternateContent>
        <mc:AlternateContent xmlns:mc="http://schemas.openxmlformats.org/markup-compatibility/2006">
          <mc:Choice Requires="x14">
            <control shapeId="3078" r:id="rId8" name="Ф_обл_кирпич">
              <controlPr defaultSize="0" print="0" autoFill="0" autoLine="0" autoPict="0">
                <anchor moveWithCells="1">
                  <from>
                    <xdr:col>0</xdr:col>
                    <xdr:colOff>4972050</xdr:colOff>
                    <xdr:row>290</xdr:row>
                    <xdr:rowOff>9525</xdr:rowOff>
                  </from>
                  <to>
                    <xdr:col>0</xdr:col>
                    <xdr:colOff>5181600</xdr:colOff>
                    <xdr:row>290</xdr:row>
                    <xdr:rowOff>200025</xdr:rowOff>
                  </to>
                </anchor>
              </controlPr>
            </control>
          </mc:Choice>
        </mc:AlternateContent>
        <mc:AlternateContent xmlns:mc="http://schemas.openxmlformats.org/markup-compatibility/2006">
          <mc:Choice Requires="x14">
            <control shapeId="3079" r:id="rId9" name="Ф_ступени">
              <controlPr defaultSize="0" print="0" autoFill="0" autoLine="0" autoPict="0">
                <anchor moveWithCells="1">
                  <from>
                    <xdr:col>0</xdr:col>
                    <xdr:colOff>4981575</xdr:colOff>
                    <xdr:row>236</xdr:row>
                    <xdr:rowOff>9525</xdr:rowOff>
                  </from>
                  <to>
                    <xdr:col>0</xdr:col>
                    <xdr:colOff>5181600</xdr:colOff>
                    <xdr:row>236</xdr:row>
                    <xdr:rowOff>200025</xdr:rowOff>
                  </to>
                </anchor>
              </controlPr>
            </control>
          </mc:Choice>
        </mc:AlternateContent>
        <mc:AlternateContent xmlns:mc="http://schemas.openxmlformats.org/markup-compatibility/2006">
          <mc:Choice Requires="x14">
            <control shapeId="3080" r:id="rId10" name="Ф_лестница">
              <controlPr defaultSize="0" print="0" autoFill="0" autoLine="0" autoPict="0">
                <anchor moveWithCells="1">
                  <from>
                    <xdr:col>0</xdr:col>
                    <xdr:colOff>4981575</xdr:colOff>
                    <xdr:row>242</xdr:row>
                    <xdr:rowOff>9525</xdr:rowOff>
                  </from>
                  <to>
                    <xdr:col>0</xdr:col>
                    <xdr:colOff>5181600</xdr:colOff>
                    <xdr:row>242</xdr:row>
                    <xdr:rowOff>200025</xdr:rowOff>
                  </to>
                </anchor>
              </controlPr>
            </control>
          </mc:Choice>
        </mc:AlternateContent>
        <mc:AlternateContent xmlns:mc="http://schemas.openxmlformats.org/markup-compatibility/2006">
          <mc:Choice Requires="x14">
            <control shapeId="3081" r:id="rId11" name="Ф_обл_кирпич_армирование">
              <controlPr defaultSize="0" print="0" autoFill="0" autoLine="0" autoPict="0">
                <anchor moveWithCells="1">
                  <from>
                    <xdr:col>0</xdr:col>
                    <xdr:colOff>4972050</xdr:colOff>
                    <xdr:row>293</xdr:row>
                    <xdr:rowOff>9525</xdr:rowOff>
                  </from>
                  <to>
                    <xdr:col>0</xdr:col>
                    <xdr:colOff>5181600</xdr:colOff>
                    <xdr:row>293</xdr:row>
                    <xdr:rowOff>200025</xdr:rowOff>
                  </to>
                </anchor>
              </controlPr>
            </control>
          </mc:Choice>
        </mc:AlternateContent>
        <mc:AlternateContent xmlns:mc="http://schemas.openxmlformats.org/markup-compatibility/2006">
          <mc:Choice Requires="x14">
            <control shapeId="3082" r:id="rId12" name="Ф_обл_кирп_перемычки">
              <controlPr defaultSize="0" print="0" autoFill="0" autoLine="0" autoPict="0">
                <anchor moveWithCells="1">
                  <from>
                    <xdr:col>0</xdr:col>
                    <xdr:colOff>4972050</xdr:colOff>
                    <xdr:row>296</xdr:row>
                    <xdr:rowOff>9525</xdr:rowOff>
                  </from>
                  <to>
                    <xdr:col>0</xdr:col>
                    <xdr:colOff>5181600</xdr:colOff>
                    <xdr:row>296</xdr:row>
                    <xdr:rowOff>200025</xdr:rowOff>
                  </to>
                </anchor>
              </controlPr>
            </control>
          </mc:Choice>
        </mc:AlternateContent>
        <mc:AlternateContent xmlns:mc="http://schemas.openxmlformats.org/markup-compatibility/2006">
          <mc:Choice Requires="x14">
            <control shapeId="3083" r:id="rId13" name="Ф_водосточные_крюки">
              <controlPr defaultSize="0" print="0" autoFill="0" autoLine="0" autoPict="0">
                <anchor moveWithCells="1">
                  <from>
                    <xdr:col>0</xdr:col>
                    <xdr:colOff>4972050</xdr:colOff>
                    <xdr:row>167</xdr:row>
                    <xdr:rowOff>9525</xdr:rowOff>
                  </from>
                  <to>
                    <xdr:col>0</xdr:col>
                    <xdr:colOff>5181600</xdr:colOff>
                    <xdr:row>167</xdr:row>
                    <xdr:rowOff>200025</xdr:rowOff>
                  </to>
                </anchor>
              </controlPr>
            </control>
          </mc:Choice>
        </mc:AlternateContent>
        <mc:AlternateContent xmlns:mc="http://schemas.openxmlformats.org/markup-compatibility/2006">
          <mc:Choice Requires="x14">
            <control shapeId="3084" r:id="rId14" name="Ф_водосток">
              <controlPr defaultSize="0" print="0" autoFill="0" autoLine="0" autoPict="0">
                <anchor moveWithCells="1">
                  <from>
                    <xdr:col>0</xdr:col>
                    <xdr:colOff>4972050</xdr:colOff>
                    <xdr:row>172</xdr:row>
                    <xdr:rowOff>9525</xdr:rowOff>
                  </from>
                  <to>
                    <xdr:col>0</xdr:col>
                    <xdr:colOff>5181600</xdr:colOff>
                    <xdr:row>172</xdr:row>
                    <xdr:rowOff>200025</xdr:rowOff>
                  </to>
                </anchor>
              </controlPr>
            </control>
          </mc:Choice>
        </mc:AlternateContent>
        <mc:AlternateContent xmlns:mc="http://schemas.openxmlformats.org/markup-compatibility/2006">
          <mc:Choice Requires="x14">
            <control shapeId="3086" r:id="rId15" name="Ф_Подшив_свесов">
              <controlPr defaultSize="0" print="0" autoFill="0" autoLine="0" autoPict="0">
                <anchor moveWithCells="1">
                  <from>
                    <xdr:col>0</xdr:col>
                    <xdr:colOff>4972050</xdr:colOff>
                    <xdr:row>182</xdr:row>
                    <xdr:rowOff>9525</xdr:rowOff>
                  </from>
                  <to>
                    <xdr:col>0</xdr:col>
                    <xdr:colOff>5181600</xdr:colOff>
                    <xdr:row>182</xdr:row>
                    <xdr:rowOff>200025</xdr:rowOff>
                  </to>
                </anchor>
              </controlPr>
            </control>
          </mc:Choice>
        </mc:AlternateContent>
        <mc:AlternateContent xmlns:mc="http://schemas.openxmlformats.org/markup-compatibility/2006">
          <mc:Choice Requires="x14">
            <control shapeId="3088" r:id="rId16" name="Ф_Временная_кровля">
              <controlPr defaultSize="0" print="0" autoFill="0" autoLine="0" autoPict="0">
                <anchor moveWithCells="1">
                  <from>
                    <xdr:col>0</xdr:col>
                    <xdr:colOff>4972050</xdr:colOff>
                    <xdr:row>131</xdr:row>
                    <xdr:rowOff>9525</xdr:rowOff>
                  </from>
                  <to>
                    <xdr:col>0</xdr:col>
                    <xdr:colOff>5181600</xdr:colOff>
                    <xdr:row>131</xdr:row>
                    <xdr:rowOff>200025</xdr:rowOff>
                  </to>
                </anchor>
              </controlPr>
            </control>
          </mc:Choice>
        </mc:AlternateContent>
        <mc:AlternateContent xmlns:mc="http://schemas.openxmlformats.org/markup-compatibility/2006">
          <mc:Choice Requires="x14">
            <control shapeId="3089" r:id="rId17" name="Ф_утепл_кровли">
              <controlPr defaultSize="0" print="0" autoFill="0" autoLine="0" autoPict="0">
                <anchor moveWithCells="1">
                  <from>
                    <xdr:col>0</xdr:col>
                    <xdr:colOff>4972050</xdr:colOff>
                    <xdr:row>138</xdr:row>
                    <xdr:rowOff>9525</xdr:rowOff>
                  </from>
                  <to>
                    <xdr:col>0</xdr:col>
                    <xdr:colOff>5181600</xdr:colOff>
                    <xdr:row>138</xdr:row>
                    <xdr:rowOff>200025</xdr:rowOff>
                  </to>
                </anchor>
              </controlPr>
            </control>
          </mc:Choice>
        </mc:AlternateContent>
        <mc:AlternateContent xmlns:mc="http://schemas.openxmlformats.org/markup-compatibility/2006">
          <mc:Choice Requires="x14">
            <control shapeId="3090" r:id="rId18" name="Ф_утепл_черд_перекр">
              <controlPr defaultSize="0" print="0" autoFill="0" autoLine="0" autoPict="0">
                <anchor moveWithCells="1">
                  <from>
                    <xdr:col>0</xdr:col>
                    <xdr:colOff>4972050</xdr:colOff>
                    <xdr:row>189</xdr:row>
                    <xdr:rowOff>9525</xdr:rowOff>
                  </from>
                  <to>
                    <xdr:col>0</xdr:col>
                    <xdr:colOff>5181600</xdr:colOff>
                    <xdr:row>189</xdr:row>
                    <xdr:rowOff>200025</xdr:rowOff>
                  </to>
                </anchor>
              </controlPr>
            </control>
          </mc:Choice>
        </mc:AlternateContent>
        <mc:AlternateContent xmlns:mc="http://schemas.openxmlformats.org/markup-compatibility/2006">
          <mc:Choice Requires="x14">
            <control shapeId="3091" r:id="rId19" name="Ф_черд_перекр">
              <controlPr defaultSize="0" print="0" autoFill="0" autoLine="0" autoPict="0">
                <anchor moveWithCells="1">
                  <from>
                    <xdr:col>0</xdr:col>
                    <xdr:colOff>4972050</xdr:colOff>
                    <xdr:row>187</xdr:row>
                    <xdr:rowOff>9525</xdr:rowOff>
                  </from>
                  <to>
                    <xdr:col>0</xdr:col>
                    <xdr:colOff>5181600</xdr:colOff>
                    <xdr:row>187</xdr:row>
                    <xdr:rowOff>200025</xdr:rowOff>
                  </to>
                </anchor>
              </controlPr>
            </control>
          </mc:Choice>
        </mc:AlternateContent>
        <mc:AlternateContent xmlns:mc="http://schemas.openxmlformats.org/markup-compatibility/2006">
          <mc:Choice Requires="x14">
            <control shapeId="3092" r:id="rId20" name="Ф_перегородкиГБ">
              <controlPr defaultSize="0" print="0" autoFill="0" autoLine="0" autoPict="0">
                <anchor moveWithCells="1">
                  <from>
                    <xdr:col>0</xdr:col>
                    <xdr:colOff>4972050</xdr:colOff>
                    <xdr:row>94</xdr:row>
                    <xdr:rowOff>9525</xdr:rowOff>
                  </from>
                  <to>
                    <xdr:col>0</xdr:col>
                    <xdr:colOff>5181600</xdr:colOff>
                    <xdr:row>94</xdr:row>
                    <xdr:rowOff>200025</xdr:rowOff>
                  </to>
                </anchor>
              </controlPr>
            </control>
          </mc:Choice>
        </mc:AlternateContent>
        <mc:AlternateContent xmlns:mc="http://schemas.openxmlformats.org/markup-compatibility/2006">
          <mc:Choice Requires="x14">
            <control shapeId="3098" r:id="rId21" name="Ф_окна_двери">
              <controlPr defaultSize="0" print="0" autoFill="0" autoLine="0" autoPict="0">
                <anchor moveWithCells="1">
                  <from>
                    <xdr:col>0</xdr:col>
                    <xdr:colOff>4981575</xdr:colOff>
                    <xdr:row>212</xdr:row>
                    <xdr:rowOff>9525</xdr:rowOff>
                  </from>
                  <to>
                    <xdr:col>0</xdr:col>
                    <xdr:colOff>5181600</xdr:colOff>
                    <xdr:row>212</xdr:row>
                    <xdr:rowOff>200025</xdr:rowOff>
                  </to>
                </anchor>
              </controlPr>
            </control>
          </mc:Choice>
        </mc:AlternateContent>
        <mc:AlternateContent xmlns:mc="http://schemas.openxmlformats.org/markup-compatibility/2006">
          <mc:Choice Requires="x14">
            <control shapeId="3106" r:id="rId22" name="Ф_упепл_цоколя">
              <controlPr defaultSize="0" print="0" autoFill="0" autoLine="0" autoPict="0">
                <anchor moveWithCells="1">
                  <from>
                    <xdr:col>0</xdr:col>
                    <xdr:colOff>4981575</xdr:colOff>
                    <xdr:row>251</xdr:row>
                    <xdr:rowOff>9525</xdr:rowOff>
                  </from>
                  <to>
                    <xdr:col>0</xdr:col>
                    <xdr:colOff>5181600</xdr:colOff>
                    <xdr:row>251</xdr:row>
                    <xdr:rowOff>200025</xdr:rowOff>
                  </to>
                </anchor>
              </controlPr>
            </control>
          </mc:Choice>
        </mc:AlternateContent>
        <mc:AlternateContent xmlns:mc="http://schemas.openxmlformats.org/markup-compatibility/2006">
          <mc:Choice Requires="x14">
            <control shapeId="3107" r:id="rId23" name="Ф_отмостка">
              <controlPr defaultSize="0" print="0" autoFill="0" autoLine="0" autoPict="0">
                <anchor moveWithCells="1">
                  <from>
                    <xdr:col>0</xdr:col>
                    <xdr:colOff>4981575</xdr:colOff>
                    <xdr:row>257</xdr:row>
                    <xdr:rowOff>9525</xdr:rowOff>
                  </from>
                  <to>
                    <xdr:col>0</xdr:col>
                    <xdr:colOff>5181600</xdr:colOff>
                    <xdr:row>257</xdr:row>
                    <xdr:rowOff>200025</xdr:rowOff>
                  </to>
                </anchor>
              </controlPr>
            </control>
          </mc:Choice>
        </mc:AlternateContent>
        <mc:AlternateContent xmlns:mc="http://schemas.openxmlformats.org/markup-compatibility/2006">
          <mc:Choice Requires="x14">
            <control shapeId="3108" r:id="rId24" name="Ф_демонтад_лесов">
              <controlPr defaultSize="0" print="0" autoFill="0" autoLine="0" autoPict="0">
                <anchor moveWithCells="1">
                  <from>
                    <xdr:col>0</xdr:col>
                    <xdr:colOff>4981575</xdr:colOff>
                    <xdr:row>211</xdr:row>
                    <xdr:rowOff>9525</xdr:rowOff>
                  </from>
                  <to>
                    <xdr:col>0</xdr:col>
                    <xdr:colOff>5181600</xdr:colOff>
                    <xdr:row>211</xdr:row>
                    <xdr:rowOff>200025</xdr:rowOff>
                  </to>
                </anchor>
              </controlPr>
            </control>
          </mc:Choice>
        </mc:AlternateContent>
        <mc:AlternateContent xmlns:mc="http://schemas.openxmlformats.org/markup-compatibility/2006">
          <mc:Choice Requires="x14">
            <control shapeId="3109" r:id="rId25" name="Ф_септик">
              <controlPr defaultSize="0" print="0" autoFill="0" autoLine="0" autoPict="0">
                <anchor moveWithCells="1">
                  <from>
                    <xdr:col>0</xdr:col>
                    <xdr:colOff>4972050</xdr:colOff>
                    <xdr:row>346</xdr:row>
                    <xdr:rowOff>9525</xdr:rowOff>
                  </from>
                  <to>
                    <xdr:col>0</xdr:col>
                    <xdr:colOff>5181600</xdr:colOff>
                    <xdr:row>346</xdr:row>
                    <xdr:rowOff>200025</xdr:rowOff>
                  </to>
                </anchor>
              </controlPr>
            </control>
          </mc:Choice>
        </mc:AlternateContent>
        <mc:AlternateContent xmlns:mc="http://schemas.openxmlformats.org/markup-compatibility/2006">
          <mc:Choice Requires="x14">
            <control shapeId="3111" r:id="rId26" name="Ф_скважина">
              <controlPr defaultSize="0" print="0" autoFill="0" autoLine="0" autoPict="0">
                <anchor moveWithCells="1">
                  <from>
                    <xdr:col>0</xdr:col>
                    <xdr:colOff>4972050</xdr:colOff>
                    <xdr:row>343</xdr:row>
                    <xdr:rowOff>9525</xdr:rowOff>
                  </from>
                  <to>
                    <xdr:col>0</xdr:col>
                    <xdr:colOff>5181600</xdr:colOff>
                    <xdr:row>343</xdr:row>
                    <xdr:rowOff>200025</xdr:rowOff>
                  </to>
                </anchor>
              </controlPr>
            </control>
          </mc:Choice>
        </mc:AlternateContent>
        <mc:AlternateContent xmlns:mc="http://schemas.openxmlformats.org/markup-compatibility/2006">
          <mc:Choice Requires="x14">
            <control shapeId="3112" r:id="rId27" name="Ф_кессон">
              <controlPr defaultSize="0" print="0" autoFill="0" autoLine="0" autoPict="0">
                <anchor moveWithCells="1">
                  <from>
                    <xdr:col>0</xdr:col>
                    <xdr:colOff>4972050</xdr:colOff>
                    <xdr:row>344</xdr:row>
                    <xdr:rowOff>9525</xdr:rowOff>
                  </from>
                  <to>
                    <xdr:col>0</xdr:col>
                    <xdr:colOff>5181600</xdr:colOff>
                    <xdr:row>344</xdr:row>
                    <xdr:rowOff>200025</xdr:rowOff>
                  </to>
                </anchor>
              </controlPr>
            </control>
          </mc:Choice>
        </mc:AlternateContent>
        <mc:AlternateContent xmlns:mc="http://schemas.openxmlformats.org/markup-compatibility/2006">
          <mc:Choice Requires="x14">
            <control shapeId="3113" r:id="rId28" name="Ф_венканалы">
              <controlPr defaultSize="0" print="0" autoFill="0" autoLine="0" autoPict="0">
                <anchor moveWithCells="1">
                  <from>
                    <xdr:col>0</xdr:col>
                    <xdr:colOff>4981575</xdr:colOff>
                    <xdr:row>218</xdr:row>
                    <xdr:rowOff>9525</xdr:rowOff>
                  </from>
                  <to>
                    <xdr:col>0</xdr:col>
                    <xdr:colOff>5181600</xdr:colOff>
                    <xdr:row>218</xdr:row>
                    <xdr:rowOff>200025</xdr:rowOff>
                  </to>
                </anchor>
              </controlPr>
            </control>
          </mc:Choice>
        </mc:AlternateContent>
        <mc:AlternateContent xmlns:mc="http://schemas.openxmlformats.org/markup-compatibility/2006">
          <mc:Choice Requires="x14">
            <control shapeId="3115" r:id="rId29" name="Ф_снегостопы2">
              <controlPr defaultSize="0" print="0" autoFill="0" autoLine="0" autoPict="0">
                <anchor moveWithCells="1">
                  <from>
                    <xdr:col>0</xdr:col>
                    <xdr:colOff>4972050</xdr:colOff>
                    <xdr:row>162</xdr:row>
                    <xdr:rowOff>9525</xdr:rowOff>
                  </from>
                  <to>
                    <xdr:col>0</xdr:col>
                    <xdr:colOff>5181600</xdr:colOff>
                    <xdr:row>162</xdr:row>
                    <xdr:rowOff>200025</xdr:rowOff>
                  </to>
                </anchor>
              </controlPr>
            </control>
          </mc:Choice>
        </mc:AlternateContent>
        <mc:AlternateContent xmlns:mc="http://schemas.openxmlformats.org/markup-compatibility/2006">
          <mc:Choice Requires="x14">
            <control shapeId="3141" r:id="rId30" name="Ф_Мансардные_окна">
              <controlPr defaultSize="0" print="0" autoFill="0" autoLine="0" autoPict="0">
                <anchor moveWithCells="1">
                  <from>
                    <xdr:col>0</xdr:col>
                    <xdr:colOff>4972050</xdr:colOff>
                    <xdr:row>169</xdr:row>
                    <xdr:rowOff>9525</xdr:rowOff>
                  </from>
                  <to>
                    <xdr:col>0</xdr:col>
                    <xdr:colOff>5181600</xdr:colOff>
                    <xdr:row>169</xdr:row>
                    <xdr:rowOff>200025</xdr:rowOff>
                  </to>
                </anchor>
              </controlPr>
            </control>
          </mc:Choice>
        </mc:AlternateContent>
        <mc:AlternateContent xmlns:mc="http://schemas.openxmlformats.org/markup-compatibility/2006">
          <mc:Choice Requires="x14">
            <control shapeId="3153" r:id="rId31" name="Ф_Дренаж">
              <controlPr defaultSize="0" print="0" autoFill="0" autoLine="0" autoPict="0">
                <anchor moveWithCells="1">
                  <from>
                    <xdr:col>0</xdr:col>
                    <xdr:colOff>4981575</xdr:colOff>
                    <xdr:row>269</xdr:row>
                    <xdr:rowOff>9525</xdr:rowOff>
                  </from>
                  <to>
                    <xdr:col>0</xdr:col>
                    <xdr:colOff>5181600</xdr:colOff>
                    <xdr:row>269</xdr:row>
                    <xdr:rowOff>200025</xdr:rowOff>
                  </to>
                </anchor>
              </controlPr>
            </control>
          </mc:Choice>
        </mc:AlternateContent>
        <mc:AlternateContent xmlns:mc="http://schemas.openxmlformats.org/markup-compatibility/2006">
          <mc:Choice Requires="x14">
            <control shapeId="3156" r:id="rId32" name="ВО_ЭППС пола">
              <controlPr defaultSize="0" print="0" autoFill="0" autoLine="0" autoPict="0">
                <anchor moveWithCells="1">
                  <from>
                    <xdr:col>0</xdr:col>
                    <xdr:colOff>4972050</xdr:colOff>
                    <xdr:row>311</xdr:row>
                    <xdr:rowOff>9525</xdr:rowOff>
                  </from>
                  <to>
                    <xdr:col>0</xdr:col>
                    <xdr:colOff>5181600</xdr:colOff>
                    <xdr:row>311</xdr:row>
                    <xdr:rowOff>200025</xdr:rowOff>
                  </to>
                </anchor>
              </controlPr>
            </control>
          </mc:Choice>
        </mc:AlternateContent>
        <mc:AlternateContent xmlns:mc="http://schemas.openxmlformats.org/markup-compatibility/2006">
          <mc:Choice Requires="x14">
            <control shapeId="3158" r:id="rId33" name="Ф_Стяжка_2 эт">
              <controlPr defaultSize="0" print="0" autoFill="0" autoLine="0" autoPict="0">
                <anchor moveWithCells="1">
                  <from>
                    <xdr:col>0</xdr:col>
                    <xdr:colOff>4972050</xdr:colOff>
                    <xdr:row>318</xdr:row>
                    <xdr:rowOff>9525</xdr:rowOff>
                  </from>
                  <to>
                    <xdr:col>0</xdr:col>
                    <xdr:colOff>5181600</xdr:colOff>
                    <xdr:row>318</xdr:row>
                    <xdr:rowOff>200025</xdr:rowOff>
                  </to>
                </anchor>
              </controlPr>
            </control>
          </mc:Choice>
        </mc:AlternateContent>
        <mc:AlternateContent xmlns:mc="http://schemas.openxmlformats.org/markup-compatibility/2006">
          <mc:Choice Requires="x14">
            <control shapeId="3159" r:id="rId34" name="Ф_Стяжка_1 эт">
              <controlPr defaultSize="0" print="0" autoFill="0" autoLine="0" autoPict="0">
                <anchor moveWithCells="1">
                  <from>
                    <xdr:col>0</xdr:col>
                    <xdr:colOff>4972050</xdr:colOff>
                    <xdr:row>314</xdr:row>
                    <xdr:rowOff>9525</xdr:rowOff>
                  </from>
                  <to>
                    <xdr:col>0</xdr:col>
                    <xdr:colOff>5181600</xdr:colOff>
                    <xdr:row>314</xdr:row>
                    <xdr:rowOff>200025</xdr:rowOff>
                  </to>
                </anchor>
              </controlPr>
            </control>
          </mc:Choice>
        </mc:AlternateContent>
        <mc:AlternateContent xmlns:mc="http://schemas.openxmlformats.org/markup-compatibility/2006">
          <mc:Choice Requires="x14">
            <control shapeId="3161" r:id="rId35" name="Ф_ВО_грунт_стен">
              <controlPr defaultSize="0" print="0" autoFill="0" autoLine="0" autoPict="0">
                <anchor moveWithCells="1">
                  <from>
                    <xdr:col>0</xdr:col>
                    <xdr:colOff>4972050</xdr:colOff>
                    <xdr:row>322</xdr:row>
                    <xdr:rowOff>9525</xdr:rowOff>
                  </from>
                  <to>
                    <xdr:col>0</xdr:col>
                    <xdr:colOff>5181600</xdr:colOff>
                    <xdr:row>322</xdr:row>
                    <xdr:rowOff>200025</xdr:rowOff>
                  </to>
                </anchor>
              </controlPr>
            </control>
          </mc:Choice>
        </mc:AlternateContent>
        <mc:AlternateContent xmlns:mc="http://schemas.openxmlformats.org/markup-compatibility/2006">
          <mc:Choice Requires="x14">
            <control shapeId="3162" r:id="rId36" name="Ф_ВО_Штукатурка М этаж">
              <controlPr defaultSize="0" print="0" autoFill="0" autoLine="0" autoPict="0">
                <anchor moveWithCells="1">
                  <from>
                    <xdr:col>0</xdr:col>
                    <xdr:colOff>4972050</xdr:colOff>
                    <xdr:row>327</xdr:row>
                    <xdr:rowOff>9525</xdr:rowOff>
                  </from>
                  <to>
                    <xdr:col>0</xdr:col>
                    <xdr:colOff>5181600</xdr:colOff>
                    <xdr:row>327</xdr:row>
                    <xdr:rowOff>200025</xdr:rowOff>
                  </to>
                </anchor>
              </controlPr>
            </control>
          </mc:Choice>
        </mc:AlternateContent>
        <mc:AlternateContent xmlns:mc="http://schemas.openxmlformats.org/markup-compatibility/2006">
          <mc:Choice Requires="x14">
            <control shapeId="3164" r:id="rId37" name="Ф_ВО_Штукатурка 1 этаж">
              <controlPr defaultSize="0" print="0" autoFill="0" autoLine="0" autoPict="0">
                <anchor moveWithCells="1">
                  <from>
                    <xdr:col>0</xdr:col>
                    <xdr:colOff>4972050</xdr:colOff>
                    <xdr:row>324</xdr:row>
                    <xdr:rowOff>9525</xdr:rowOff>
                  </from>
                  <to>
                    <xdr:col>0</xdr:col>
                    <xdr:colOff>5181600</xdr:colOff>
                    <xdr:row>324</xdr:row>
                    <xdr:rowOff>200025</xdr:rowOff>
                  </to>
                </anchor>
              </controlPr>
            </control>
          </mc:Choice>
        </mc:AlternateContent>
        <mc:AlternateContent xmlns:mc="http://schemas.openxmlformats.org/markup-compatibility/2006">
          <mc:Choice Requires="x14">
            <control shapeId="3169" r:id="rId38" name="Д_Колпаки">
              <controlPr defaultSize="0" print="0" autoFill="0" autoLine="0" autoPict="0">
                <anchor moveWithCells="1">
                  <from>
                    <xdr:col>0</xdr:col>
                    <xdr:colOff>4981575</xdr:colOff>
                    <xdr:row>232</xdr:row>
                    <xdr:rowOff>9525</xdr:rowOff>
                  </from>
                  <to>
                    <xdr:col>0</xdr:col>
                    <xdr:colOff>5181600</xdr:colOff>
                    <xdr:row>232</xdr:row>
                    <xdr:rowOff>200025</xdr:rowOff>
                  </to>
                </anchor>
              </controlPr>
            </control>
          </mc:Choice>
        </mc:AlternateContent>
        <mc:AlternateContent xmlns:mc="http://schemas.openxmlformats.org/markup-compatibility/2006">
          <mc:Choice Requires="x14">
            <control shapeId="3170" r:id="rId39" name="Ф_ВО_Штукатурка откосов">
              <controlPr defaultSize="0" print="0" autoFill="0" autoLine="0" autoPict="0">
                <anchor moveWithCells="1">
                  <from>
                    <xdr:col>0</xdr:col>
                    <xdr:colOff>4972050</xdr:colOff>
                    <xdr:row>330</xdr:row>
                    <xdr:rowOff>9525</xdr:rowOff>
                  </from>
                  <to>
                    <xdr:col>0</xdr:col>
                    <xdr:colOff>5181600</xdr:colOff>
                    <xdr:row>330</xdr:row>
                    <xdr:rowOff>200025</xdr:rowOff>
                  </to>
                </anchor>
              </controlPr>
            </control>
          </mc:Choice>
        </mc:AlternateContent>
        <mc:AlternateContent xmlns:mc="http://schemas.openxmlformats.org/markup-compatibility/2006">
          <mc:Choice Requires="x14">
            <control shapeId="3171" r:id="rId40" name="ОВК-О3">
              <controlPr defaultSize="0" print="0" autoFill="0" autoLine="0" autoPict="0">
                <anchor moveWithCells="1">
                  <from>
                    <xdr:col>0</xdr:col>
                    <xdr:colOff>4972050</xdr:colOff>
                    <xdr:row>395</xdr:row>
                    <xdr:rowOff>9525</xdr:rowOff>
                  </from>
                  <to>
                    <xdr:col>0</xdr:col>
                    <xdr:colOff>5181600</xdr:colOff>
                    <xdr:row>395</xdr:row>
                    <xdr:rowOff>200025</xdr:rowOff>
                  </to>
                </anchor>
              </controlPr>
            </control>
          </mc:Choice>
        </mc:AlternateContent>
        <mc:AlternateContent xmlns:mc="http://schemas.openxmlformats.org/markup-compatibility/2006">
          <mc:Choice Requires="x14">
            <control shapeId="3172" r:id="rId41" name="ОВК-О2">
              <controlPr defaultSize="0" print="0" autoFill="0" autoLine="0" autoPict="0">
                <anchor moveWithCells="1">
                  <from>
                    <xdr:col>0</xdr:col>
                    <xdr:colOff>4972050</xdr:colOff>
                    <xdr:row>376</xdr:row>
                    <xdr:rowOff>9525</xdr:rowOff>
                  </from>
                  <to>
                    <xdr:col>0</xdr:col>
                    <xdr:colOff>5181600</xdr:colOff>
                    <xdr:row>376</xdr:row>
                    <xdr:rowOff>200025</xdr:rowOff>
                  </to>
                </anchor>
              </controlPr>
            </control>
          </mc:Choice>
        </mc:AlternateContent>
        <mc:AlternateContent xmlns:mc="http://schemas.openxmlformats.org/markup-compatibility/2006">
          <mc:Choice Requires="x14">
            <control shapeId="3173" r:id="rId42" name="ОВК-О1">
              <controlPr defaultSize="0" print="0" autoFill="0" autoLine="0" autoPict="0">
                <anchor moveWithCells="1">
                  <from>
                    <xdr:col>0</xdr:col>
                    <xdr:colOff>4972050</xdr:colOff>
                    <xdr:row>362</xdr:row>
                    <xdr:rowOff>9525</xdr:rowOff>
                  </from>
                  <to>
                    <xdr:col>0</xdr:col>
                    <xdr:colOff>5181600</xdr:colOff>
                    <xdr:row>362</xdr:row>
                    <xdr:rowOff>200025</xdr:rowOff>
                  </to>
                </anchor>
              </controlPr>
            </control>
          </mc:Choice>
        </mc:AlternateContent>
        <mc:AlternateContent xmlns:mc="http://schemas.openxmlformats.org/markup-compatibility/2006">
          <mc:Choice Requires="x14">
            <control shapeId="3175" r:id="rId43" name="ОВК-Э1">
              <controlPr defaultSize="0" print="0" autoFill="0" autoLine="0" autoPict="0">
                <anchor moveWithCells="1">
                  <from>
                    <xdr:col>0</xdr:col>
                    <xdr:colOff>4972050</xdr:colOff>
                    <xdr:row>418</xdr:row>
                    <xdr:rowOff>9525</xdr:rowOff>
                  </from>
                  <to>
                    <xdr:col>0</xdr:col>
                    <xdr:colOff>5181600</xdr:colOff>
                    <xdr:row>418</xdr:row>
                    <xdr:rowOff>200025</xdr:rowOff>
                  </to>
                </anchor>
              </controlPr>
            </control>
          </mc:Choice>
        </mc:AlternateContent>
        <mc:AlternateContent xmlns:mc="http://schemas.openxmlformats.org/markup-compatibility/2006">
          <mc:Choice Requires="x14">
            <control shapeId="3176" r:id="rId44" name="ОВК-Э2">
              <controlPr defaultSize="0" print="0" autoFill="0" autoLine="0" autoPict="0">
                <anchor moveWithCells="1">
                  <from>
                    <xdr:col>0</xdr:col>
                    <xdr:colOff>4972050</xdr:colOff>
                    <xdr:row>424</xdr:row>
                    <xdr:rowOff>9525</xdr:rowOff>
                  </from>
                  <to>
                    <xdr:col>0</xdr:col>
                    <xdr:colOff>5181600</xdr:colOff>
                    <xdr:row>424</xdr:row>
                    <xdr:rowOff>200025</xdr:rowOff>
                  </to>
                </anchor>
              </controlPr>
            </control>
          </mc:Choice>
        </mc:AlternateContent>
        <mc:AlternateContent xmlns:mc="http://schemas.openxmlformats.org/markup-compatibility/2006">
          <mc:Choice Requires="x14">
            <control shapeId="3177" r:id="rId45" name="ОВК-Э3">
              <controlPr defaultSize="0" print="0" autoFill="0" autoLine="0" autoPict="0">
                <anchor moveWithCells="1">
                  <from>
                    <xdr:col>0</xdr:col>
                    <xdr:colOff>4972050</xdr:colOff>
                    <xdr:row>433</xdr:row>
                    <xdr:rowOff>9525</xdr:rowOff>
                  </from>
                  <to>
                    <xdr:col>0</xdr:col>
                    <xdr:colOff>5181600</xdr:colOff>
                    <xdr:row>433</xdr:row>
                    <xdr:rowOff>200025</xdr:rowOff>
                  </to>
                </anchor>
              </controlPr>
            </control>
          </mc:Choice>
        </mc:AlternateContent>
        <mc:AlternateContent xmlns:mc="http://schemas.openxmlformats.org/markup-compatibility/2006">
          <mc:Choice Requires="x14">
            <control shapeId="3178" r:id="rId46" name="ДОП_Ливневка">
              <controlPr defaultSize="0" print="0" autoFill="0" autoLine="0" autoPict="0">
                <anchor moveWithCells="1">
                  <from>
                    <xdr:col>0</xdr:col>
                    <xdr:colOff>4981575</xdr:colOff>
                    <xdr:row>265</xdr:row>
                    <xdr:rowOff>9525</xdr:rowOff>
                  </from>
                  <to>
                    <xdr:col>0</xdr:col>
                    <xdr:colOff>5181600</xdr:colOff>
                    <xdr:row>265</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000" stopIfTrue="1" id="{334F54C3-AB17-46D2-A85F-DCDB39C19DCA}">
            <xm:f>В!$B$276=FALSE</xm:f>
            <x14:dxf>
              <font>
                <strike/>
              </font>
              <fill>
                <patternFill patternType="solid">
                  <fgColor rgb="FFEBEAE5"/>
                  <bgColor rgb="FFE1E1DC"/>
                </patternFill>
              </fill>
            </x14:dxf>
          </x14:cfRule>
          <xm:sqref>A276:I277</xm:sqref>
        </x14:conditionalFormatting>
        <x14:conditionalFormatting xmlns:xm="http://schemas.microsoft.com/office/excel/2006/main">
          <x14:cfRule type="expression" priority="3001" stopIfTrue="1" id="{9C57342E-E081-4328-BE63-8868EAEEB87D}">
            <xm:f>В!$B$13=FALSE</xm:f>
            <x14:dxf>
              <font>
                <strike/>
              </font>
              <fill>
                <patternFill patternType="solid">
                  <fgColor rgb="FFE1E1DC"/>
                  <bgColor rgb="FFE1E1DC"/>
                </patternFill>
              </fill>
            </x14:dxf>
          </x14:cfRule>
          <xm:sqref>A13:I14</xm:sqref>
        </x14:conditionalFormatting>
        <x14:conditionalFormatting xmlns:xm="http://schemas.microsoft.com/office/excel/2006/main">
          <x14:cfRule type="expression" priority="3002" stopIfTrue="1" id="{6F6976AF-11C6-4338-BB9F-47242B4D7A37}">
            <xm:f>В!$C$3=FALSE</xm:f>
            <x14:dxf>
              <font>
                <strike/>
              </font>
              <fill>
                <patternFill patternType="solid">
                  <fgColor rgb="FFF5F5F5"/>
                  <bgColor rgb="FFE1E1DC"/>
                </patternFill>
              </fill>
            </x14:dxf>
          </x14:cfRule>
          <xm:sqref>A237:I242</xm:sqref>
        </x14:conditionalFormatting>
        <x14:conditionalFormatting xmlns:xm="http://schemas.microsoft.com/office/excel/2006/main">
          <x14:cfRule type="expression" priority="3003" stopIfTrue="1" id="{95B3DDD7-457E-4419-935B-26056CE8666F}">
            <xm:f>В!$C$4=FALSE</xm:f>
            <x14:dxf>
              <font>
                <strike/>
              </font>
              <fill>
                <patternFill patternType="solid">
                  <fgColor rgb="FFF5F5F5"/>
                  <bgColor rgb="FFE1E1DC"/>
                </patternFill>
              </fill>
            </x14:dxf>
          </x14:cfRule>
          <xm:sqref>A243:I251</xm:sqref>
        </x14:conditionalFormatting>
        <x14:conditionalFormatting xmlns:xm="http://schemas.microsoft.com/office/excel/2006/main">
          <x14:cfRule type="expression" priority="3005" stopIfTrue="1" id="{79A4C524-5D8E-4E1A-9392-221FBEC2800E}">
            <xm:f>В!$B$472=FALSE</xm:f>
            <x14:dxf>
              <font>
                <strike/>
              </font>
              <fill>
                <patternFill patternType="solid">
                  <fgColor rgb="FFF5F5F5"/>
                  <bgColor rgb="FFE1E1DC"/>
                </patternFill>
              </fill>
            </x14:dxf>
          </x14:cfRule>
          <xm:sqref>A472:I472</xm:sqref>
        </x14:conditionalFormatting>
        <x14:conditionalFormatting xmlns:xm="http://schemas.microsoft.com/office/excel/2006/main">
          <x14:cfRule type="expression" priority="3006" stopIfTrue="1" id="{C789F346-8AF6-4BCE-B0D6-CDAFCD8F54AB}">
            <xm:f>В!$C$468=0</xm:f>
            <x14:dxf>
              <font>
                <strike/>
              </font>
              <fill>
                <patternFill patternType="solid">
                  <fgColor rgb="FFF5F5F5"/>
                  <bgColor rgb="FFE1E1DC"/>
                </patternFill>
              </fill>
            </x14:dxf>
          </x14:cfRule>
          <xm:sqref>A468:I468</xm:sqref>
        </x14:conditionalFormatting>
        <x14:conditionalFormatting xmlns:xm="http://schemas.microsoft.com/office/excel/2006/main">
          <x14:cfRule type="expression" priority="3007" stopIfTrue="1" id="{5CF731B3-306D-411C-A6DD-2C00F4F0A66A}">
            <xm:f>В!$B$465=FALSE</xm:f>
            <x14:dxf>
              <font>
                <strike/>
              </font>
              <fill>
                <patternFill patternType="solid">
                  <fgColor rgb="FFF5F5F5"/>
                  <bgColor rgb="FFE1E1DC"/>
                </patternFill>
              </fill>
            </x14:dxf>
          </x14:cfRule>
          <xm:sqref>A465:I465</xm:sqref>
        </x14:conditionalFormatting>
        <x14:conditionalFormatting xmlns:xm="http://schemas.microsoft.com/office/excel/2006/main">
          <x14:cfRule type="expression" priority="3008" stopIfTrue="1" id="{75227C45-BFC1-4D47-8787-DF0B4B3C5D6C}">
            <xm:f>В!$B$233=FALSE</xm:f>
            <x14:dxf>
              <font>
                <strike/>
              </font>
              <fill>
                <patternFill patternType="solid">
                  <fgColor rgb="FFF5F5F5"/>
                  <bgColor rgb="FFE1E1DC"/>
                </patternFill>
              </fill>
            </x14:dxf>
          </x14:cfRule>
          <xm:sqref>A233:I236</xm:sqref>
        </x14:conditionalFormatting>
        <x14:conditionalFormatting xmlns:xm="http://schemas.microsoft.com/office/excel/2006/main">
          <x14:cfRule type="expression" priority="3009" stopIfTrue="1" id="{E78CE89B-BD3E-498C-A3D4-56052FA3C2D3}">
            <xm:f>В!$A$2=FALSE</xm:f>
            <x14:dxf>
              <font>
                <strike/>
              </font>
              <fill>
                <patternFill patternType="solid">
                  <fgColor rgb="FFE1E1DC"/>
                  <bgColor rgb="FFE1E1DC"/>
                </patternFill>
              </fill>
            </x14:dxf>
          </x14:cfRule>
          <xm:sqref>A58:I59</xm:sqref>
        </x14:conditionalFormatting>
        <x14:conditionalFormatting xmlns:xm="http://schemas.microsoft.com/office/excel/2006/main">
          <x14:cfRule type="expression" priority="3010" stopIfTrue="1" id="{F198937C-9CAD-42B7-A734-16DD3E2D8B8B}">
            <xm:f>В!$B$288=FALSE</xm:f>
            <x14:dxf>
              <font>
                <strike/>
              </font>
              <fill>
                <patternFill patternType="solid">
                  <fgColor rgb="FFF5F5F5"/>
                  <bgColor rgb="FFE1E1DC"/>
                </patternFill>
              </fill>
            </x14:dxf>
          </x14:cfRule>
          <xm:sqref>A288:I290</xm:sqref>
        </x14:conditionalFormatting>
        <x14:conditionalFormatting xmlns:xm="http://schemas.microsoft.com/office/excel/2006/main">
          <x14:cfRule type="expression" priority="3011" stopIfTrue="1" id="{7CF1D91B-F757-4E01-9540-E62B4259F714}">
            <xm:f>В!$C$467=0</xm:f>
            <x14:dxf>
              <font>
                <strike/>
              </font>
              <fill>
                <patternFill patternType="solid">
                  <fgColor rgb="FFF5F5F5"/>
                  <bgColor rgb="FFE1E1DC"/>
                </patternFill>
              </fill>
            </x14:dxf>
          </x14:cfRule>
          <xm:sqref>A467:I467</xm:sqref>
        </x14:conditionalFormatting>
        <x14:conditionalFormatting xmlns:xm="http://schemas.microsoft.com/office/excel/2006/main">
          <x14:cfRule type="expression" priority="3012" stopIfTrue="1" id="{68A1DEE7-06DC-4904-8D63-6DF7D9FB2A2D}">
            <xm:f>В!$C$5=FALSE</xm:f>
            <x14:dxf>
              <font>
                <strike/>
              </font>
              <fill>
                <patternFill patternType="solid">
                  <fgColor rgb="FFE1E1DC"/>
                  <bgColor rgb="FFE1E1DC"/>
                </patternFill>
              </fill>
            </x14:dxf>
          </x14:cfRule>
          <xm:sqref>A252:I265</xm:sqref>
        </x14:conditionalFormatting>
        <x14:conditionalFormatting xmlns:xm="http://schemas.microsoft.com/office/excel/2006/main">
          <x14:cfRule type="expression" priority="3013" stopIfTrue="1" id="{8A7378A6-FF46-4123-A229-F53E458A3620}">
            <xm:f>В!$B$212=FALSE</xm:f>
            <x14:dxf>
              <font>
                <strike/>
              </font>
              <fill>
                <patternFill patternType="solid">
                  <fgColor rgb="FFE1E1DC"/>
                  <bgColor rgb="FFE1E1DC"/>
                </patternFill>
              </fill>
            </x14:dxf>
          </x14:cfRule>
          <xm:sqref>A212:I212</xm:sqref>
        </x14:conditionalFormatting>
        <x14:conditionalFormatting xmlns:xm="http://schemas.microsoft.com/office/excel/2006/main">
          <x14:cfRule type="expression" priority="3014" stopIfTrue="1" id="{09106444-ACE7-4863-9AC5-34B371A3EA60}">
            <xm:f>В!$D$1=FALSE</xm:f>
            <x14:dxf>
              <font>
                <strike/>
              </font>
              <fill>
                <patternFill patternType="solid">
                  <fgColor rgb="FFE1E1DC"/>
                  <bgColor rgb="FFE1E1DC"/>
                </patternFill>
              </fill>
            </x14:dxf>
          </x14:cfRule>
          <xm:sqref>A344:I344</xm:sqref>
        </x14:conditionalFormatting>
        <x14:conditionalFormatting xmlns:xm="http://schemas.microsoft.com/office/excel/2006/main">
          <x14:cfRule type="expression" priority="3015" stopIfTrue="1" id="{000D1B6E-1948-4E62-84AC-9D3579AF8691}">
            <xm:f>В!$D$3=FALSE</xm:f>
            <x14:dxf>
              <font>
                <strike/>
              </font>
              <fill>
                <patternFill patternType="solid">
                  <fgColor rgb="FFE1E1DC"/>
                  <bgColor rgb="FFE1E1DC"/>
                </patternFill>
              </fill>
            </x14:dxf>
          </x14:cfRule>
          <xm:sqref>A347:I352</xm:sqref>
        </x14:conditionalFormatting>
        <x14:conditionalFormatting xmlns:xm="http://schemas.microsoft.com/office/excel/2006/main">
          <x14:cfRule type="expression" priority="3016" stopIfTrue="1" id="{B2BF7E5F-45AA-4279-9EBE-85718E4A22AE}">
            <xm:f>В!$D$2=FALSE</xm:f>
            <x14:dxf>
              <font>
                <strike/>
              </font>
              <fill>
                <patternFill patternType="solid">
                  <fgColor rgb="FFE1E1DC"/>
                  <bgColor rgb="FFE1E1DC"/>
                </patternFill>
              </fill>
            </x14:dxf>
          </x14:cfRule>
          <xm:sqref>A345:I346</xm:sqref>
        </x14:conditionalFormatting>
        <x14:conditionalFormatting xmlns:xm="http://schemas.microsoft.com/office/excel/2006/main">
          <x14:cfRule type="expression" priority="3017" stopIfTrue="1" id="{33B238AE-050C-47A4-8009-6F378CC54EA4}">
            <xm:f>В!$B$473=FALSE</xm:f>
            <x14:dxf>
              <font>
                <strike/>
              </font>
              <fill>
                <patternFill patternType="solid">
                  <fgColor rgb="FFE1E1DC"/>
                  <bgColor rgb="FFE1E1DC"/>
                </patternFill>
              </fill>
            </x14:dxf>
          </x14:cfRule>
          <xm:sqref>A473:I473 A457:I457</xm:sqref>
        </x14:conditionalFormatting>
        <x14:conditionalFormatting xmlns:xm="http://schemas.microsoft.com/office/excel/2006/main">
          <x14:cfRule type="expression" priority="3019" id="{9EF87D18-6A18-4DF8-BC42-91F1F3D66C1F}">
            <xm:f>В!$A$6=FALSE</xm:f>
            <x14:dxf>
              <font>
                <strike/>
              </font>
              <fill>
                <patternFill patternType="solid">
                  <fgColor rgb="FFE1E1DC"/>
                  <bgColor rgb="FFE1E1DC"/>
                </patternFill>
              </fill>
            </x14:dxf>
          </x14:cfRule>
          <xm:sqref>A95:I97</xm:sqref>
        </x14:conditionalFormatting>
        <x14:conditionalFormatting xmlns:xm="http://schemas.microsoft.com/office/excel/2006/main">
          <x14:cfRule type="expression" priority="3025" id="{1E998AF6-D6AE-42B3-BF2B-47FD0CF34679}">
            <xm:f>В!$B$1=FALSE</xm:f>
            <x14:dxf>
              <font>
                <strike/>
              </font>
              <fill>
                <patternFill patternType="solid">
                  <fgColor rgb="FFE1E1DC"/>
                  <bgColor rgb="FFE1E1DC"/>
                </patternFill>
              </fill>
            </x14:dxf>
          </x14:cfRule>
          <xm:sqref>A132:I133</xm:sqref>
        </x14:conditionalFormatting>
        <x14:conditionalFormatting xmlns:xm="http://schemas.microsoft.com/office/excel/2006/main">
          <x14:cfRule type="expression" priority="3026" id="{0CDD6E39-6189-47C1-B344-42750A0B627C}">
            <xm:f>В!$B$168=FALSE</xm:f>
            <x14:dxf>
              <font>
                <strike/>
              </font>
              <fill>
                <patternFill patternType="solid">
                  <fgColor rgb="FFE1E1DC"/>
                  <bgColor rgb="FFE1E1DC"/>
                </patternFill>
              </fill>
            </x14:dxf>
          </x14:cfRule>
          <xm:sqref>A168:I169</xm:sqref>
        </x14:conditionalFormatting>
        <x14:conditionalFormatting xmlns:xm="http://schemas.microsoft.com/office/excel/2006/main">
          <x14:cfRule type="expression" priority="3028" id="{C5CE1290-F6C4-47AD-9E89-F81EA434C043}">
            <xm:f>В!$B$5=FALSE</xm:f>
            <x14:dxf>
              <font>
                <strike/>
              </font>
              <fill>
                <patternFill patternType="solid">
                  <fgColor rgb="FFE1E1DC"/>
                  <bgColor rgb="FFE1E1DC"/>
                </patternFill>
              </fill>
            </x14:dxf>
          </x14:cfRule>
          <xm:sqref>A188:I189</xm:sqref>
        </x14:conditionalFormatting>
        <x14:conditionalFormatting xmlns:xm="http://schemas.microsoft.com/office/excel/2006/main">
          <x14:cfRule type="expression" priority="3029" id="{83CCBEEA-475B-4BE6-B01D-932533D0223A}">
            <xm:f>В!$B$170=FALSE</xm:f>
            <x14:dxf>
              <font>
                <strike/>
              </font>
              <fill>
                <patternFill patternType="solid">
                  <fgColor rgb="FFE1E1DC"/>
                  <bgColor rgb="FFE1E1DC"/>
                </patternFill>
              </fill>
            </x14:dxf>
          </x14:cfRule>
          <xm:sqref>A170:I172</xm:sqref>
        </x14:conditionalFormatting>
        <x14:conditionalFormatting xmlns:xm="http://schemas.microsoft.com/office/excel/2006/main">
          <x14:cfRule type="expression" priority="3030" id="{F19684E9-4B47-4FFC-A8DB-4C1CD5090084}">
            <xm:f>В!$B$1=TRUE</xm:f>
            <x14:dxf>
              <font>
                <strike/>
              </font>
              <numFmt numFmtId="30" formatCode="@"/>
              <fill>
                <patternFill patternType="solid">
                  <fgColor rgb="FFE1E1DC"/>
                  <bgColor rgb="FFE1E1DC"/>
                </patternFill>
              </fill>
            </x14:dxf>
          </x14:cfRule>
          <xm:sqref>A231:I232</xm:sqref>
        </x14:conditionalFormatting>
        <x14:conditionalFormatting xmlns:xm="http://schemas.microsoft.com/office/excel/2006/main">
          <x14:cfRule type="expression" priority="3031" stopIfTrue="1" id="{AE625397-5D40-4C75-952F-20A18F969DC2}">
            <xm:f>В!$B$163=FALSE</xm:f>
            <x14:dxf>
              <font>
                <strike/>
              </font>
              <fill>
                <patternFill patternType="solid">
                  <fgColor rgb="FFE1E1DC"/>
                  <bgColor rgb="FFE1E1DC"/>
                </patternFill>
              </fill>
            </x14:dxf>
          </x14:cfRule>
          <xm:sqref>A163:I164</xm:sqref>
        </x14:conditionalFormatting>
        <x14:conditionalFormatting xmlns:xm="http://schemas.microsoft.com/office/excel/2006/main">
          <x14:cfRule type="expression" priority="3032" stopIfTrue="1" id="{744DC698-635D-4F57-A92F-E9F2BFE23C9A}">
            <xm:f>В!$C$2=FALSE</xm:f>
            <x14:dxf>
              <font>
                <strike/>
              </font>
              <fill>
                <patternFill patternType="solid">
                  <fgColor rgb="FFF5F5F5"/>
                  <bgColor rgb="FFE1E1DC"/>
                </patternFill>
              </fill>
            </x14:dxf>
          </x14:cfRule>
          <xm:sqref>A219:I232</xm:sqref>
        </x14:conditionalFormatting>
        <x14:conditionalFormatting xmlns:xm="http://schemas.microsoft.com/office/excel/2006/main">
          <x14:cfRule type="expression" priority="3033" stopIfTrue="1" id="{B5B53C04-E169-4526-BFC6-320305721C00}">
            <xm:f>В!$C$7=FALSE</xm:f>
            <x14:dxf>
              <font>
                <strike/>
              </font>
              <fill>
                <patternFill patternType="solid">
                  <fgColor rgb="FFE1E1DC"/>
                  <bgColor rgb="FFE1E1DC"/>
                </patternFill>
              </fill>
            </x14:dxf>
          </x14:cfRule>
          <xm:sqref>A270:I275</xm:sqref>
        </x14:conditionalFormatting>
        <x14:conditionalFormatting xmlns:xm="http://schemas.microsoft.com/office/excel/2006/main">
          <x14:cfRule type="expression" priority="3034" stopIfTrue="1" id="{B7F33972-9485-484D-9266-56ECB5F3BF17}">
            <xm:f>В!$A$6=FALSE</xm:f>
            <x14:dxf>
              <font>
                <strike/>
              </font>
              <fill>
                <patternFill patternType="solid">
                  <fgColor rgb="FFE1E1DC"/>
                  <bgColor rgb="FFE1E1DC"/>
                </patternFill>
              </fill>
            </x14:dxf>
          </x14:cfRule>
          <xm:sqref>A99:I99</xm:sqref>
        </x14:conditionalFormatting>
        <x14:conditionalFormatting xmlns:xm="http://schemas.microsoft.com/office/excel/2006/main">
          <x14:cfRule type="expression" priority="3035" id="{FAF27F81-1DAA-46F5-BFD7-F42168D7C154}">
            <xm:f>В!$B$190=FALSE</xm:f>
            <x14:dxf>
              <font>
                <strike/>
              </font>
              <fill>
                <patternFill patternType="solid">
                  <fgColor rgb="FFE1E1DC"/>
                  <bgColor rgb="FFE1E1DC"/>
                </patternFill>
              </fill>
            </x14:dxf>
          </x14:cfRule>
          <xm:sqref>A190:I198</xm:sqref>
        </x14:conditionalFormatting>
        <x14:conditionalFormatting xmlns:xm="http://schemas.microsoft.com/office/excel/2006/main">
          <x14:cfRule type="expression" priority="3037" id="{39E3D9C2-F622-4B82-893B-1ED46D394967}">
            <xm:f>В!$B$139=FALSE</xm:f>
            <x14:dxf>
              <font>
                <strike/>
              </font>
              <fill>
                <patternFill patternType="solid">
                  <fgColor rgb="FFE1E1DC"/>
                  <bgColor rgb="FFE1E1DC"/>
                </patternFill>
              </fill>
            </x14:dxf>
          </x14:cfRule>
          <xm:sqref>A139:I144</xm:sqref>
        </x14:conditionalFormatting>
        <x14:conditionalFormatting xmlns:xm="http://schemas.microsoft.com/office/excel/2006/main">
          <x14:cfRule type="expression" priority="3038" stopIfTrue="1" id="{E08C3C00-061E-47D4-A6F5-0D542A277EBB}">
            <xm:f>В!$B$312=FALSE</xm:f>
            <x14:dxf>
              <font>
                <strike/>
              </font>
              <fill>
                <patternFill patternType="solid">
                  <fgColor rgb="FFE1E1DC"/>
                  <bgColor rgb="FFE1E1DC"/>
                </patternFill>
              </fill>
            </x14:dxf>
          </x14:cfRule>
          <xm:sqref>A312:I314</xm:sqref>
        </x14:conditionalFormatting>
        <x14:conditionalFormatting xmlns:xm="http://schemas.microsoft.com/office/excel/2006/main">
          <x14:cfRule type="expression" priority="3039" stopIfTrue="1" id="{69495844-1BB3-4DD3-B8D9-FB8C03AAB293}">
            <xm:f>В!$B$315=FALSE</xm:f>
            <x14:dxf>
              <font>
                <strike/>
              </font>
              <fill>
                <patternFill patternType="solid">
                  <fgColor rgb="FFE1E1DC"/>
                  <bgColor rgb="FFE1E1DC"/>
                </patternFill>
              </fill>
            </x14:dxf>
          </x14:cfRule>
          <xm:sqref>A315:I318</xm:sqref>
        </x14:conditionalFormatting>
        <x14:conditionalFormatting xmlns:xm="http://schemas.microsoft.com/office/excel/2006/main">
          <x14:cfRule type="expression" priority="3040" id="{B3C5B254-1B01-478A-96DB-43F8AB936650}">
            <xm:f>В!$B$456=FALSE</xm:f>
            <x14:dxf>
              <font>
                <strike/>
              </font>
              <fill>
                <patternFill>
                  <fgColor rgb="FFE1E1DC"/>
                  <bgColor rgb="FFE1E1DC"/>
                </patternFill>
              </fill>
            </x14:dxf>
          </x14:cfRule>
          <xm:sqref>A456:I456</xm:sqref>
        </x14:conditionalFormatting>
        <x14:conditionalFormatting xmlns:xm="http://schemas.microsoft.com/office/excel/2006/main">
          <x14:cfRule type="expression" priority="3041" stopIfTrue="1" id="{E9ABD73B-937F-44F0-9CED-DF9BFF0B7BEA}">
            <xm:f>В!$B$319=FALSE</xm:f>
            <x14:dxf>
              <font>
                <strike/>
              </font>
              <fill>
                <patternFill patternType="solid">
                  <fgColor rgb="FFE1E1DC"/>
                  <bgColor rgb="FFE1E1DC"/>
                </patternFill>
              </fill>
            </x14:dxf>
          </x14:cfRule>
          <xm:sqref>A319:I322</xm:sqref>
        </x14:conditionalFormatting>
        <x14:conditionalFormatting xmlns:xm="http://schemas.microsoft.com/office/excel/2006/main">
          <x14:cfRule type="expression" priority="3042" stopIfTrue="1" id="{634AF563-4228-481E-BFB5-CBDBA788B3E3}">
            <xm:f>В!$B$323=FALSE</xm:f>
            <x14:dxf>
              <font>
                <strike/>
              </font>
              <fill>
                <patternFill patternType="solid">
                  <fgColor rgb="FFE1E1DC"/>
                  <bgColor rgb="FFE1E1DC"/>
                </patternFill>
              </fill>
            </x14:dxf>
          </x14:cfRule>
          <xm:sqref>A323:I324</xm:sqref>
        </x14:conditionalFormatting>
        <x14:conditionalFormatting xmlns:xm="http://schemas.microsoft.com/office/excel/2006/main">
          <x14:cfRule type="expression" priority="3043" stopIfTrue="1" id="{E206682C-AE19-417A-8C59-CA06CC77C8DC}">
            <xm:f>В!$B$325=FALSE</xm:f>
            <x14:dxf>
              <font>
                <strike/>
              </font>
              <fill>
                <patternFill patternType="solid">
                  <fgColor rgb="FFE1E1DC"/>
                  <bgColor rgb="FFE1E1DC"/>
                </patternFill>
              </fill>
            </x14:dxf>
          </x14:cfRule>
          <xm:sqref>A325:I327</xm:sqref>
        </x14:conditionalFormatting>
        <x14:conditionalFormatting xmlns:xm="http://schemas.microsoft.com/office/excel/2006/main">
          <x14:cfRule type="expression" priority="3044" stopIfTrue="1" id="{BFBFE34A-75BD-49B1-86CC-E4A621FB026C}">
            <xm:f>В!$B$328=FALSE</xm:f>
            <x14:dxf>
              <font>
                <strike/>
              </font>
              <fill>
                <patternFill patternType="solid">
                  <fgColor rgb="FFE1E1DC"/>
                  <bgColor rgb="FFE1E1DC"/>
                </patternFill>
              </fill>
            </x14:dxf>
          </x14:cfRule>
          <xm:sqref>A328:I330</xm:sqref>
        </x14:conditionalFormatting>
        <x14:conditionalFormatting xmlns:xm="http://schemas.microsoft.com/office/excel/2006/main">
          <x14:cfRule type="expression" priority="3045" id="{C52FD697-83B9-493A-ADC5-9E8D00D4C3F4}">
            <xm:f>В!$C$452&lt;&gt;1</xm:f>
            <x14:dxf>
              <font>
                <strike/>
              </font>
              <fill>
                <patternFill patternType="solid">
                  <fgColor rgb="FFE1E1DC"/>
                  <bgColor rgb="FFE1E1DC"/>
                </patternFill>
              </fill>
            </x14:dxf>
          </x14:cfRule>
          <xm:sqref>A141:I141 A146:I146</xm:sqref>
        </x14:conditionalFormatting>
        <x14:conditionalFormatting xmlns:xm="http://schemas.microsoft.com/office/excel/2006/main">
          <x14:cfRule type="expression" priority="3046" id="{CE6C2AE2-B73F-4B10-9A5A-C4315F520115}">
            <xm:f>В!$C$452&lt;&gt;3</xm:f>
            <x14:dxf>
              <font>
                <strike/>
              </font>
              <fill>
                <patternFill patternType="solid">
                  <fgColor rgb="FFE1E1DC"/>
                  <bgColor rgb="FFE1E1DC"/>
                </patternFill>
              </fill>
            </x14:dxf>
          </x14:cfRule>
          <xm:sqref>A155:I155</xm:sqref>
        </x14:conditionalFormatting>
        <x14:conditionalFormatting xmlns:xm="http://schemas.microsoft.com/office/excel/2006/main">
          <x14:cfRule type="expression" priority="3047" id="{C96444AA-FE13-4C38-97E5-948274BF07DF}">
            <xm:f>В!$C$452&lt;&gt;2</xm:f>
            <x14:dxf>
              <font>
                <strike/>
              </font>
              <fill>
                <patternFill patternType="solid">
                  <fgColor rgb="FFE1E1DC"/>
                  <bgColor rgb="FFE1E1DC"/>
                </patternFill>
              </fill>
            </x14:dxf>
          </x14:cfRule>
          <xm:sqref>A154:I154</xm:sqref>
        </x14:conditionalFormatting>
        <x14:conditionalFormatting xmlns:xm="http://schemas.microsoft.com/office/excel/2006/main">
          <x14:cfRule type="expression" priority="3048" id="{7C54CC03-C413-4B7D-8DD6-90D8B0449236}">
            <xm:f>В!$C$452&lt;&gt;2</xm:f>
            <x14:dxf>
              <font>
                <strike/>
              </font>
              <fill>
                <patternFill>
                  <fgColor rgb="FFE1E1DC"/>
                  <bgColor rgb="FFE1E1DC"/>
                </patternFill>
              </fill>
            </x14:dxf>
          </x14:cfRule>
          <xm:sqref>A142:I142 A215:I215 A147:I147 A193:I193 A196:I196</xm:sqref>
        </x14:conditionalFormatting>
        <x14:conditionalFormatting xmlns:xm="http://schemas.microsoft.com/office/excel/2006/main">
          <x14:cfRule type="expression" priority="3049" id="{E4B3ECD1-10AF-4003-AE2A-E1FB6BFDB833}">
            <xm:f>В!$C$452=3</xm:f>
            <x14:dxf>
              <fill>
                <patternFill>
                  <fgColor rgb="FFFFF5D7"/>
                  <bgColor rgb="FFFFF5D7"/>
                </patternFill>
              </fill>
            </x14:dxf>
          </x14:cfRule>
          <xm:sqref>A42:I43</xm:sqref>
        </x14:conditionalFormatting>
        <x14:conditionalFormatting xmlns:xm="http://schemas.microsoft.com/office/excel/2006/main">
          <x14:cfRule type="expression" priority="3050" id="{C82B50D3-09AC-4601-B339-AB757B81C481}">
            <xm:f>В!$C$452=1</xm:f>
            <x14:dxf>
              <font>
                <strike/>
              </font>
              <fill>
                <patternFill>
                  <fgColor rgb="FFE1E1DC"/>
                  <bgColor rgb="FFE1E1DC"/>
                </patternFill>
              </fill>
            </x14:dxf>
          </x14:cfRule>
          <xm:sqref>A42:I42</xm:sqref>
        </x14:conditionalFormatting>
        <x14:conditionalFormatting xmlns:xm="http://schemas.microsoft.com/office/excel/2006/main">
          <x14:cfRule type="expression" priority="3051" id="{AC9674AE-6CA9-42DB-A12C-73DD5DBB6A6E}">
            <xm:f>В!$C$452&lt;&gt;3</xm:f>
            <x14:dxf>
              <font>
                <strike/>
              </font>
              <fill>
                <patternFill>
                  <fgColor rgb="FFE1E1DC"/>
                  <bgColor rgb="FFE1E1DC"/>
                </patternFill>
              </fill>
            </x14:dxf>
          </x14:cfRule>
          <xm:sqref>A43:I43 A148:I148 A194:I194 A197:I197</xm:sqref>
        </x14:conditionalFormatting>
        <x14:conditionalFormatting xmlns:xm="http://schemas.microsoft.com/office/excel/2006/main">
          <x14:cfRule type="expression" priority="3053" id="{E7CC037E-7BF2-4132-B0E8-687E702AE647}">
            <xm:f>В!$B$173=FALSE</xm:f>
            <x14:dxf>
              <font>
                <strike/>
              </font>
              <fill>
                <patternFill patternType="solid">
                  <fgColor rgb="FFE1E1DC"/>
                  <bgColor rgb="FFE1E1DC"/>
                </patternFill>
              </fill>
            </x14:dxf>
          </x14:cfRule>
          <xm:sqref>A173:I182</xm:sqref>
        </x14:conditionalFormatting>
        <x14:conditionalFormatting xmlns:xm="http://schemas.microsoft.com/office/excel/2006/main">
          <x14:cfRule type="expression" priority="3055" id="{36AD69B0-62D9-4A15-9E36-8008F17127CF}">
            <xm:f>В!$B$183=FALSE</xm:f>
            <x14:dxf>
              <fill>
                <patternFill>
                  <fgColor rgb="FFE1E1DC"/>
                  <bgColor rgb="FFE1E1DC"/>
                </patternFill>
              </fill>
            </x14:dxf>
          </x14:cfRule>
          <xm:sqref>A183:I187</xm:sqref>
        </x14:conditionalFormatting>
        <x14:conditionalFormatting xmlns:xm="http://schemas.microsoft.com/office/excel/2006/main">
          <x14:cfRule type="expression" priority="3058" id="{70B4EAE9-7497-4E6B-8CD5-343BB7147A45}">
            <xm:f>В!$A$4=FALSE</xm:f>
            <x14:dxf>
              <font>
                <strike/>
              </font>
              <fill>
                <patternFill patternType="solid">
                  <fgColor rgb="FFF5F5F5"/>
                  <bgColor rgb="FFE1E1DC"/>
                </patternFill>
              </fill>
            </x14:dxf>
          </x14:cfRule>
          <xm:sqref>A291:I301</xm:sqref>
        </x14:conditionalFormatting>
        <x14:conditionalFormatting xmlns:xm="http://schemas.microsoft.com/office/excel/2006/main">
          <x14:cfRule type="expression" priority="3059" stopIfTrue="1" id="{F4C514E2-C29C-4FD8-85F3-BB760B41F575}">
            <xm:f>В!$B$331=FALSE</xm:f>
            <x14:dxf>
              <font>
                <strike/>
              </font>
              <fill>
                <patternFill patternType="solid">
                  <fgColor rgb="FFE1E1DC"/>
                  <bgColor rgb="FFE1E1DC"/>
                </patternFill>
              </fill>
            </x14:dxf>
          </x14:cfRule>
          <xm:sqref>A331:I333</xm:sqref>
        </x14:conditionalFormatting>
        <x14:conditionalFormatting xmlns:xm="http://schemas.microsoft.com/office/excel/2006/main">
          <x14:cfRule type="expression" priority="3060" stopIfTrue="1" id="{FB990BF7-6A86-4DA3-8CAE-57FFFA58ABD9}">
            <xm:f>В!$C$363=FALSE</xm:f>
            <x14:dxf>
              <font>
                <strike/>
              </font>
              <fill>
                <patternFill>
                  <fgColor rgb="FFE1E1DC"/>
                  <bgColor rgb="FFE1E1DC"/>
                </patternFill>
              </fill>
            </x14:dxf>
          </x14:cfRule>
          <xm:sqref>A363:I418</xm:sqref>
        </x14:conditionalFormatting>
        <x14:conditionalFormatting xmlns:xm="http://schemas.microsoft.com/office/excel/2006/main">
          <x14:cfRule type="expression" priority="3069" id="{B78160F6-9866-4C67-A124-80A53CF46B86}">
            <xm:f>В!$C$452&lt;&gt;3</xm:f>
            <x14:dxf>
              <font>
                <strike/>
              </font>
              <fill>
                <patternFill>
                  <fgColor rgb="FFE1E1DC"/>
                  <bgColor rgb="FFE1E1DC"/>
                </patternFill>
              </fill>
            </x14:dxf>
          </x14:cfRule>
          <x14:cfRule type="expression" priority="3070" id="{ACECCCC3-20B3-483B-9B19-A7F1799B9917}">
            <xm:f>В!$C$452=3</xm:f>
            <x14:dxf>
              <fill>
                <patternFill>
                  <fgColor rgb="FFFFF0C3"/>
                  <bgColor rgb="FFFFF0C3"/>
                </patternFill>
              </fill>
            </x14:dxf>
          </x14:cfRule>
          <xm:sqref>A396:I418</xm:sqref>
        </x14:conditionalFormatting>
        <x14:conditionalFormatting xmlns:xm="http://schemas.microsoft.com/office/excel/2006/main">
          <x14:cfRule type="expression" priority="3079" id="{6CCB8154-F9DF-417C-A696-F748BA988450}">
            <xm:f>В!$C$452=2</xm:f>
            <x14:dxf>
              <fill>
                <patternFill>
                  <fgColor rgb="FFE1FFB9"/>
                  <bgColor rgb="FFE1FFB9"/>
                </patternFill>
              </fill>
            </x14:dxf>
          </x14:cfRule>
          <x14:cfRule type="expression" priority="3080" id="{28017683-0495-479A-B749-F84B37EC75D6}">
            <xm:f>В!$C$452&lt;&gt;2</xm:f>
            <x14:dxf>
              <font>
                <strike/>
              </font>
              <fill>
                <patternFill>
                  <fgColor rgb="FFE1E1DC"/>
                  <bgColor rgb="FFE1E1DC"/>
                </patternFill>
              </fill>
            </x14:dxf>
          </x14:cfRule>
          <xm:sqref>A377:I395</xm:sqref>
        </x14:conditionalFormatting>
        <x14:conditionalFormatting xmlns:xm="http://schemas.microsoft.com/office/excel/2006/main">
          <x14:cfRule type="expression" priority="3085" id="{9087A77D-E146-4EDA-94A8-84D2DD797A32}">
            <xm:f>В!$C$452=1</xm:f>
            <x14:dxf>
              <fill>
                <patternFill>
                  <fgColor rgb="FFC3FAFF"/>
                  <bgColor rgb="FFC3FAFF"/>
                </patternFill>
              </fill>
            </x14:dxf>
          </x14:cfRule>
          <x14:cfRule type="expression" priority="3086" id="{7E5695C3-717B-4947-B818-5606E17303B2}">
            <xm:f>В!$C$452&lt;&gt;1</xm:f>
            <x14:dxf>
              <font>
                <strike/>
              </font>
              <fill>
                <patternFill>
                  <fgColor rgb="FFE1E1DC"/>
                  <bgColor rgb="FFE1E1DC"/>
                </patternFill>
              </fill>
            </x14:dxf>
          </x14:cfRule>
          <xm:sqref>A363:I376</xm:sqref>
        </x14:conditionalFormatting>
        <x14:conditionalFormatting xmlns:xm="http://schemas.microsoft.com/office/excel/2006/main">
          <x14:cfRule type="expression" priority="3097" id="{C4DBB6CD-FFC4-4455-A66D-E25642EA15E0}">
            <xm:f>В!$C$419=FALSE</xm:f>
            <x14:dxf>
              <font>
                <strike/>
              </font>
              <fill>
                <patternFill>
                  <fgColor rgb="FFE1E1DC"/>
                  <bgColor rgb="FFE1E1DC"/>
                </patternFill>
              </fill>
            </x14:dxf>
          </x14:cfRule>
          <xm:sqref>A419:I442</xm:sqref>
        </x14:conditionalFormatting>
        <x14:conditionalFormatting xmlns:xm="http://schemas.microsoft.com/office/excel/2006/main">
          <x14:cfRule type="expression" priority="3101" id="{8C57225F-9F4F-4907-AA78-FCAAA55646B2}">
            <xm:f>В!$C$452&lt;&gt;1</xm:f>
            <x14:dxf>
              <font>
                <strike/>
              </font>
              <fill>
                <patternFill>
                  <fgColor rgb="FFE1E1DC"/>
                  <bgColor rgb="FFE1E1DC"/>
                </patternFill>
              </fill>
            </x14:dxf>
          </x14:cfRule>
          <x14:cfRule type="expression" priority="3102" id="{410AA7A9-FDF2-4385-AF09-E10D01938FF4}">
            <xm:f>В!$C$452=1</xm:f>
            <x14:dxf>
              <font>
                <strike val="0"/>
              </font>
              <fill>
                <patternFill>
                  <fgColor rgb="FFC3FAFF"/>
                  <bgColor rgb="FFC3FAFF"/>
                </patternFill>
              </fill>
            </x14:dxf>
          </x14:cfRule>
          <xm:sqref>A419:I424</xm:sqref>
        </x14:conditionalFormatting>
        <x14:conditionalFormatting xmlns:xm="http://schemas.microsoft.com/office/excel/2006/main">
          <x14:cfRule type="expression" priority="3105" id="{390BEF59-E681-4572-A56C-7B7DC85A5025}">
            <xm:f>В!$C$452&lt;&gt;2</xm:f>
            <x14:dxf>
              <fill>
                <patternFill>
                  <fgColor rgb="FFE1E1DC"/>
                  <bgColor rgb="FFE1E1DC"/>
                </patternFill>
              </fill>
            </x14:dxf>
          </x14:cfRule>
          <x14:cfRule type="expression" priority="3106" id="{1101412B-C72A-4A66-8663-60631D2C3079}">
            <xm:f>В!$C$452=2</xm:f>
            <x14:dxf>
              <fill>
                <patternFill>
                  <fgColor rgb="FFE1FFB9"/>
                  <bgColor rgb="FFE1FFB9"/>
                </patternFill>
              </fill>
            </x14:dxf>
          </x14:cfRule>
          <xm:sqref>A425:I433</xm:sqref>
        </x14:conditionalFormatting>
        <x14:conditionalFormatting xmlns:xm="http://schemas.microsoft.com/office/excel/2006/main">
          <x14:cfRule type="expression" priority="3109" id="{FB51FC4F-1E40-49CA-BD8A-1D1B63986649}">
            <xm:f>В!$C$452&lt;&gt;3</xm:f>
            <x14:dxf>
              <fill>
                <patternFill>
                  <fgColor rgb="FFE1E1DC"/>
                  <bgColor rgb="FFE1E1DC"/>
                </patternFill>
              </fill>
            </x14:dxf>
          </x14:cfRule>
          <x14:cfRule type="expression" priority="3110" id="{E22B1675-A034-4430-8FC3-AE00B67D339F}">
            <xm:f>В!$C$452=3</xm:f>
            <x14:dxf>
              <fill>
                <patternFill>
                  <fgColor rgb="FFFFF0C3"/>
                  <bgColor rgb="FFFFF0C3"/>
                </patternFill>
              </fill>
            </x14:dxf>
          </x14:cfRule>
          <xm:sqref>A434:I442</xm:sqref>
        </x14:conditionalFormatting>
        <x14:conditionalFormatting xmlns:xm="http://schemas.microsoft.com/office/excel/2006/main">
          <x14:cfRule type="expression" priority="3158" id="{B1C2D992-FA39-4FBA-B4B1-E61AED463D65}">
            <xm:f>В!$B$266=FALSE</xm:f>
            <x14:dxf>
              <font>
                <strike/>
              </font>
              <fill>
                <patternFill>
                  <bgColor rgb="FFE1E1DC"/>
                </patternFill>
              </fill>
            </x14:dxf>
          </x14:cfRule>
          <xm:sqref>A266:I269</xm:sqref>
        </x14:conditionalFormatting>
        <x14:conditionalFormatting xmlns:xm="http://schemas.microsoft.com/office/excel/2006/main">
          <x14:cfRule type="expression" priority="3159" id="{E8F889EC-11A7-46A9-A91A-E292D8D04489}">
            <xm:f>В!$B$145=FALSE</xm:f>
            <x14:dxf>
              <font>
                <strike/>
              </font>
              <fill>
                <patternFill patternType="solid">
                  <fgColor rgb="FFE1E1DC"/>
                  <bgColor rgb="FFE1E1DC"/>
                </patternFill>
              </fill>
            </x14:dxf>
          </x14:cfRule>
          <xm:sqref>A145:I149</xm:sqref>
        </x14:conditionalFormatting>
        <x14:conditionalFormatting xmlns:xm="http://schemas.microsoft.com/office/excel/2006/main">
          <x14:cfRule type="expression" priority="3160" id="{4D00549C-7CB6-4BA6-AFAF-BDAD52D38D9C}">
            <xm:f>В!$B$152=FALSE</xm:f>
            <x14:dxf>
              <font>
                <strike/>
              </font>
              <fill>
                <patternFill patternType="solid">
                  <fgColor rgb="FFE1E1DC"/>
                  <bgColor rgb="FFE1E1DC"/>
                </patternFill>
              </fill>
            </x14:dxf>
          </x14:cfRule>
          <xm:sqref>A152:I155</xm:sqref>
        </x14:conditionalFormatting>
        <x14:conditionalFormatting xmlns:xm="http://schemas.microsoft.com/office/excel/2006/main">
          <x14:cfRule type="expression" priority="3161" id="{861B65B0-EFD7-4AD0-9F6F-898AB502A7AC}">
            <xm:f>В!$B$156=FALSE</xm:f>
            <x14:dxf>
              <font>
                <strike/>
              </font>
              <fill>
                <patternFill patternType="solid">
                  <fgColor rgb="FFE1E1DC"/>
                  <bgColor rgb="FFE1E1DC"/>
                </patternFill>
              </fill>
            </x14:dxf>
          </x14:cfRule>
          <xm:sqref>A156:I162</xm:sqref>
        </x14:conditionalFormatting>
        <x14:conditionalFormatting xmlns:xm="http://schemas.microsoft.com/office/excel/2006/main">
          <x14:cfRule type="expression" priority="3162" id="{62C9A3CF-23DD-4ADE-BA5F-3A859375098E}">
            <xm:f>В!$C$452&lt;&gt;1</xm:f>
            <x14:dxf>
              <font>
                <strike/>
              </font>
              <fill>
                <patternFill>
                  <fgColor rgb="FFE1E1DC"/>
                  <bgColor rgb="FFE1E1DC"/>
                </patternFill>
              </fill>
            </x14:dxf>
          </x14:cfRule>
          <xm:sqref>A153:I153 A214:I214 A192:I192 A195:I195 A166:I166</xm:sqref>
        </x14:conditionalFormatting>
        <x14:conditionalFormatting xmlns:xm="http://schemas.microsoft.com/office/excel/2006/main">
          <x14:cfRule type="expression" priority="3167" id="{73D7743E-E85E-4013-BFC6-07973498A58A}">
            <xm:f>В!$C$1=FALSE</xm:f>
            <x14:dxf>
              <font>
                <strike/>
              </font>
              <fill>
                <patternFill patternType="solid">
                  <fgColor rgb="FFEBEAE5"/>
                  <bgColor rgb="FFE1E1DC"/>
                </patternFill>
              </fill>
            </x14:dxf>
          </x14:cfRule>
          <xm:sqref>A213:I218</xm:sqref>
        </x14:conditionalFormatting>
        <x14:conditionalFormatting xmlns:xm="http://schemas.microsoft.com/office/excel/2006/main">
          <x14:cfRule type="expression" priority="3174" id="{C727DF9D-FAE0-41BC-BDFC-3F36DBD3CFCA}">
            <xm:f>В!$C$452=1</xm:f>
            <x14:dxf>
              <font>
                <strike/>
              </font>
              <fill>
                <patternFill>
                  <fgColor rgb="FFE1E1DC"/>
                  <bgColor rgb="FFE1E1DC"/>
                </patternFill>
              </fill>
            </x14:dxf>
          </x14:cfRule>
          <x14:cfRule type="expression" priority="3175" id="{B108B256-1324-4FB2-BDE4-CCC4A24BA060}">
            <xm:f>В!$C$452=3</xm:f>
            <x14:dxf>
              <fill>
                <patternFill>
                  <fgColor rgb="FFFFF5D7"/>
                  <bgColor rgb="FFFFF5D7"/>
                </patternFill>
              </fill>
            </x14:dxf>
          </x14:cfRule>
          <xm:sqref>A167:I167 A115:I115 A109:I109 A32:I32 A34:I34</xm:sqref>
        </x14:conditionalFormatting>
        <x14:conditionalFormatting xmlns:xm="http://schemas.microsoft.com/office/excel/2006/main">
          <x14:cfRule type="expression" priority="3177" id="{24215CA9-95EF-4E9D-B96E-F5C0313C4770}">
            <xm:f>В!$C$452&lt;&gt;3</xm:f>
            <x14:dxf>
              <fill>
                <patternFill>
                  <fgColor rgb="FFE1E1DC"/>
                  <bgColor rgb="FFE1E1DC"/>
                </patternFill>
              </fill>
            </x14:dxf>
          </x14:cfRule>
          <xm:sqref>A143:I143</xm:sqref>
        </x14:conditionalFormatting>
        <x14:conditionalFormatting xmlns:xm="http://schemas.microsoft.com/office/excel/2006/main">
          <x14:cfRule type="expression" priority="3186" id="{4D5CBDCD-D609-41F0-96F7-08D753DE27BE}">
            <xm:f>В!$C$452=3</xm:f>
            <x14:dxf>
              <fill>
                <patternFill>
                  <fgColor rgb="FFFFF5D7"/>
                  <bgColor rgb="FFFFF5D7"/>
                </patternFill>
              </fill>
            </x14:dxf>
          </x14:cfRule>
          <x14:cfRule type="expression" priority="3187" id="{A2850675-EC22-4FEC-8222-33F30BD245A4}">
            <xm:f>В!$C$452=1</xm:f>
            <x14:dxf>
              <font>
                <strike/>
              </font>
              <fill>
                <patternFill>
                  <fgColor rgb="FFE1E1DC"/>
                  <bgColor rgb="FFE1E1DC"/>
                </patternFill>
              </fill>
            </x14:dxf>
          </x14:cfRule>
          <xm:sqref>A84:I84 A94:I94</xm:sqref>
        </x14:conditionalFormatting>
        <x14:conditionalFormatting xmlns:xm="http://schemas.microsoft.com/office/excel/2006/main">
          <x14:cfRule type="expression" priority="3190" stopIfTrue="1" id="{4AEE4D95-C71A-465B-A0D1-962FF580D130}">
            <xm:f>В!$B$464=FALSE</xm:f>
            <x14:dxf>
              <font>
                <strike/>
              </font>
              <fill>
                <patternFill patternType="solid">
                  <fgColor rgb="FFF5F5F5"/>
                  <bgColor rgb="FFE1E1DC"/>
                </patternFill>
              </fill>
            </x14:dxf>
          </x14:cfRule>
          <xm:sqref>A464:I464</xm:sqref>
        </x14:conditionalFormatting>
        <x14:conditionalFormatting xmlns:xm="http://schemas.microsoft.com/office/excel/2006/main">
          <x14:cfRule type="expression" priority="3191" stopIfTrue="1" id="{2EC4C383-3E57-4E9F-8B09-02BF14510C8E}">
            <xm:f>В!$C$7=FALSE</xm:f>
            <x14:dxf>
              <font>
                <strike/>
              </font>
              <fill>
                <patternFill patternType="solid">
                  <fgColor rgb="FFF5F5F5"/>
                  <bgColor rgb="FFE1E1DC"/>
                </patternFill>
              </fill>
            </x14:dxf>
          </x14:cfRule>
          <xm:sqref>A470:I470</xm:sqref>
        </x14:conditionalFormatting>
        <x14:conditionalFormatting xmlns:xm="http://schemas.microsoft.com/office/excel/2006/main">
          <x14:cfRule type="expression" priority="3192" stopIfTrue="1" id="{0A16D59E-265E-48DD-AC43-16DC52DC0578}">
            <xm:f>В!$C$5=FALSE</xm:f>
            <x14:dxf>
              <font>
                <strike/>
              </font>
              <fill>
                <patternFill patternType="solid">
                  <fgColor rgb="FFF5F5F5"/>
                  <bgColor rgb="FFE1E1DC"/>
                </patternFill>
              </fill>
            </x14:dxf>
          </x14:cfRule>
          <xm:sqref>A469:I469</xm:sqref>
        </x14:conditionalFormatting>
        <x14:conditionalFormatting xmlns:xm="http://schemas.microsoft.com/office/excel/2006/main">
          <x14:cfRule type="expression" priority="3194" id="{B2DF94AA-7D07-4EA8-89E3-CE44FF7F9B73}">
            <xm:f>В!$C$452&lt;&gt;3</xm:f>
            <x14:dxf>
              <font>
                <strike/>
              </font>
              <fill>
                <patternFill>
                  <fgColor rgb="FFE1E1DC"/>
                  <bgColor rgb="FFE1E1DC"/>
                </patternFill>
              </fill>
            </x14:dxf>
          </x14:cfRule>
          <x14:cfRule type="expression" priority="3195" stopIfTrue="1" id="{A695AC7A-F199-4513-8780-10295EF016BA}">
            <xm:f>В!$C$1=FALSE</xm:f>
            <x14:dxf>
              <font>
                <strike/>
              </font>
              <fill>
                <patternFill patternType="solid">
                  <fgColor rgb="FFEBEAE5"/>
                  <bgColor rgb="FFE1E1DC"/>
                </patternFill>
              </fill>
            </x14:dxf>
          </x14:cfRule>
          <xm:sqref>A216:I216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34C3D-7DDB-496F-BFF3-54888E452448}">
  <sheetPr codeName="Лист17">
    <tabColor rgb="FFF7994B"/>
    <outlinePr summaryBelow="0" summaryRight="0"/>
    <pageSetUpPr fitToPage="1"/>
  </sheetPr>
  <dimension ref="B1:R51"/>
  <sheetViews>
    <sheetView showGridLines="0" showRowColHeaders="0" showZeros="0" zoomScaleNormal="100" workbookViewId="0">
      <pane ySplit="3" topLeftCell="A4" activePane="bottomLeft" state="frozen"/>
      <selection pane="bottomLeft" activeCell="M2" sqref="M2"/>
    </sheetView>
  </sheetViews>
  <sheetFormatPr defaultRowHeight="12.75"/>
  <cols>
    <col min="1" max="1" width="3.6640625" style="334" customWidth="1"/>
    <col min="2" max="2" width="3.33203125" style="334" customWidth="1"/>
    <col min="3" max="3" width="3.6640625" style="334" customWidth="1"/>
    <col min="4" max="4" width="21.1640625" style="334" customWidth="1"/>
    <col min="5" max="5" width="3.83203125" style="334" customWidth="1"/>
    <col min="6" max="6" width="25" style="334" customWidth="1"/>
    <col min="7" max="7" width="3.83203125" style="334" customWidth="1"/>
    <col min="8" max="8" width="25" style="334" customWidth="1"/>
    <col min="9" max="9" width="3.33203125" style="334" customWidth="1"/>
    <col min="10" max="10" width="9.5" style="334" customWidth="1"/>
    <col min="11" max="12" width="9.33203125" style="334"/>
    <col min="13" max="13" width="13.33203125" style="334" customWidth="1"/>
    <col min="14" max="15" width="9.33203125" style="334"/>
    <col min="16" max="16" width="10.1640625" style="334" bestFit="1" customWidth="1"/>
    <col min="17" max="17" width="9.33203125" style="334"/>
    <col min="18" max="18" width="13.33203125" style="334" customWidth="1"/>
    <col min="19" max="16384" width="9.33203125" style="334"/>
  </cols>
  <sheetData>
    <row r="1" spans="2:18" ht="4.5" customHeight="1">
      <c r="B1" s="324"/>
      <c r="C1" s="324"/>
      <c r="D1" s="324"/>
      <c r="E1" s="324"/>
      <c r="F1" s="324"/>
      <c r="G1" s="324"/>
      <c r="H1" s="324"/>
      <c r="I1" s="324"/>
    </row>
    <row r="2" spans="2:18" s="326" customFormat="1" ht="24.75" customHeight="1">
      <c r="B2" s="324"/>
      <c r="C2" s="325" t="s">
        <v>30</v>
      </c>
      <c r="D2" s="325"/>
      <c r="E2" s="325"/>
      <c r="F2" s="325"/>
      <c r="G2" s="325"/>
      <c r="H2" s="325">
        <f>'ПОДРОБНАЯ СМЕТА'!I485</f>
        <v>5320539</v>
      </c>
      <c r="I2" s="324"/>
      <c r="L2" s="327" t="s">
        <v>294</v>
      </c>
      <c r="M2" s="328">
        <v>45212</v>
      </c>
      <c r="Q2" s="327" t="s">
        <v>295</v>
      </c>
      <c r="R2" s="329">
        <f>M2+В!H6</f>
        <v>45339</v>
      </c>
    </row>
    <row r="3" spans="2:18" s="326" customFormat="1" ht="4.5" customHeight="1">
      <c r="B3" s="330"/>
      <c r="C3" s="331"/>
      <c r="D3" s="332"/>
      <c r="E3" s="332"/>
      <c r="F3" s="332"/>
      <c r="G3" s="332"/>
      <c r="H3" s="332"/>
      <c r="I3" s="333"/>
    </row>
    <row r="4" spans="2:18" ht="4.5" customHeight="1">
      <c r="B4" s="324"/>
      <c r="C4" s="324"/>
      <c r="D4" s="324"/>
      <c r="E4" s="324"/>
      <c r="F4" s="324"/>
      <c r="G4" s="324"/>
      <c r="H4" s="324"/>
      <c r="I4" s="324"/>
    </row>
    <row r="5" spans="2:18" ht="43.5">
      <c r="B5" s="324"/>
      <c r="C5" s="335" t="s">
        <v>296</v>
      </c>
      <c r="D5" s="335"/>
      <c r="E5" s="335"/>
      <c r="F5" s="335"/>
      <c r="G5" s="335"/>
      <c r="H5" s="335"/>
      <c r="I5" s="324"/>
    </row>
    <row r="6" spans="2:18" ht="3.75" customHeight="1" thickBot="1">
      <c r="B6" s="324"/>
      <c r="C6" s="324"/>
      <c r="D6" s="324"/>
      <c r="E6" s="324"/>
      <c r="F6" s="324"/>
      <c r="G6" s="324"/>
      <c r="H6" s="324"/>
      <c r="I6" s="324"/>
    </row>
    <row r="7" spans="2:18" ht="18" thickTop="1" thickBot="1">
      <c r="B7" s="338"/>
      <c r="C7" s="339" t="s">
        <v>3</v>
      </c>
      <c r="D7" s="340"/>
      <c r="E7" s="333"/>
      <c r="F7" s="341" t="s">
        <v>5</v>
      </c>
      <c r="G7" s="333"/>
      <c r="H7" s="341" t="s">
        <v>297</v>
      </c>
      <c r="I7" s="333"/>
    </row>
    <row r="8" spans="2:18" ht="3" customHeight="1" thickTop="1">
      <c r="B8" s="324"/>
      <c r="C8" s="324"/>
      <c r="D8" s="324"/>
      <c r="E8" s="324"/>
      <c r="F8" s="342" t="str">
        <f ca="1">IF(TODAY()&gt;'ПОДРОБНАЯ СМЕТА'!I9+30,"ВОЗМОЖНО СМЕТА УСТАРЕЛА И ТРЕБУЕТ АКТУАЛИЗАЦИИ!","")</f>
        <v/>
      </c>
      <c r="G8" s="324"/>
      <c r="H8" s="324"/>
      <c r="I8" s="324"/>
    </row>
    <row r="9" spans="2:18" ht="19.5" customHeight="1">
      <c r="B9" s="324"/>
      <c r="C9" s="344" t="s">
        <v>298</v>
      </c>
      <c r="D9" s="344"/>
      <c r="E9" s="344"/>
      <c r="F9" s="344"/>
      <c r="G9" s="344"/>
      <c r="H9" s="344"/>
      <c r="I9" s="324"/>
    </row>
    <row r="10" spans="2:18" ht="19.5" customHeight="1">
      <c r="B10" s="324"/>
      <c r="C10" s="344"/>
      <c r="D10" s="344"/>
      <c r="E10" s="344"/>
      <c r="F10" s="344"/>
      <c r="G10" s="344"/>
      <c r="H10" s="344"/>
      <c r="I10" s="324"/>
    </row>
    <row r="11" spans="2:18" ht="19.5" customHeight="1">
      <c r="B11" s="324"/>
      <c r="C11" s="344"/>
      <c r="D11" s="344"/>
      <c r="E11" s="344"/>
      <c r="F11" s="344"/>
      <c r="G11" s="344"/>
      <c r="H11" s="344"/>
      <c r="I11" s="324"/>
    </row>
    <row r="12" spans="2:18" ht="19.5" customHeight="1">
      <c r="B12" s="324"/>
      <c r="C12" s="344"/>
      <c r="D12" s="344"/>
      <c r="E12" s="344"/>
      <c r="F12" s="344"/>
      <c r="G12" s="344"/>
      <c r="H12" s="344"/>
      <c r="I12" s="324"/>
    </row>
    <row r="13" spans="2:18" ht="4.5" customHeight="1">
      <c r="B13" s="324"/>
      <c r="C13" s="324"/>
      <c r="D13" s="324"/>
      <c r="E13" s="324"/>
      <c r="F13" s="324"/>
      <c r="G13" s="324"/>
      <c r="H13" s="324"/>
      <c r="I13" s="324"/>
    </row>
    <row r="14" spans="2:18" ht="16.5" customHeight="1">
      <c r="B14" s="324"/>
      <c r="C14" s="345" t="b">
        <f>В!$A$1</f>
        <v>0</v>
      </c>
      <c r="D14" s="346" t="s">
        <v>50</v>
      </c>
      <c r="E14" s="347"/>
      <c r="F14" s="347"/>
      <c r="G14" s="347"/>
      <c r="H14" s="348"/>
      <c r="I14" s="324"/>
    </row>
    <row r="15" spans="2:18" ht="18" customHeight="1">
      <c r="B15" s="324"/>
      <c r="C15" s="345" t="b">
        <f>В!$A$2</f>
        <v>0</v>
      </c>
      <c r="D15" s="346" t="s">
        <v>94</v>
      </c>
      <c r="E15" s="347"/>
      <c r="F15" s="347"/>
      <c r="G15" s="347"/>
      <c r="H15" s="348"/>
      <c r="I15" s="324"/>
    </row>
    <row r="16" spans="2:18" ht="16.5" customHeight="1">
      <c r="B16" s="324"/>
      <c r="C16" s="345" t="b">
        <f>В!$A$6</f>
        <v>1</v>
      </c>
      <c r="D16" s="346" t="s">
        <v>300</v>
      </c>
      <c r="E16" s="347"/>
      <c r="F16" s="347"/>
      <c r="G16" s="347"/>
      <c r="H16" s="348"/>
      <c r="I16" s="324"/>
    </row>
    <row r="17" spans="2:9" ht="16.5" customHeight="1">
      <c r="B17" s="324"/>
      <c r="C17" s="345" t="b">
        <f>В!$A$3</f>
        <v>0</v>
      </c>
      <c r="D17" s="346" t="s">
        <v>301</v>
      </c>
      <c r="E17" s="347"/>
      <c r="F17" s="347"/>
      <c r="G17" s="347"/>
      <c r="H17" s="348"/>
      <c r="I17" s="324"/>
    </row>
    <row r="18" spans="2:9" ht="16.5" customHeight="1">
      <c r="B18" s="324"/>
      <c r="C18" s="345" t="b">
        <f>В!$A$4</f>
        <v>0</v>
      </c>
      <c r="D18" s="346" t="s">
        <v>302</v>
      </c>
      <c r="E18" s="347"/>
      <c r="F18" s="347"/>
      <c r="G18" s="347"/>
      <c r="H18" s="348"/>
      <c r="I18" s="324"/>
    </row>
    <row r="19" spans="2:9" ht="16.5" customHeight="1">
      <c r="B19" s="324"/>
      <c r="C19" s="349" t="b">
        <f>В!$B$1</f>
        <v>0</v>
      </c>
      <c r="D19" s="350" t="s">
        <v>121</v>
      </c>
      <c r="E19" s="351"/>
      <c r="F19" s="351"/>
      <c r="G19" s="351"/>
      <c r="H19" s="352"/>
      <c r="I19" s="324"/>
    </row>
    <row r="20" spans="2:9" ht="16.5" customHeight="1">
      <c r="B20" s="324"/>
      <c r="C20" s="345" t="b">
        <f>В!$B$2</f>
        <v>0</v>
      </c>
      <c r="D20" s="346" t="s">
        <v>303</v>
      </c>
      <c r="E20" s="347"/>
      <c r="F20" s="347"/>
      <c r="G20" s="347"/>
      <c r="H20" s="348"/>
      <c r="I20" s="324"/>
    </row>
    <row r="21" spans="2:9" ht="16.5" customHeight="1">
      <c r="B21" s="324"/>
      <c r="C21" s="345" t="b">
        <f>В!$D$4</f>
        <v>0</v>
      </c>
      <c r="D21" s="353" t="s">
        <v>144</v>
      </c>
      <c r="E21" s="354"/>
      <c r="F21" s="354"/>
      <c r="G21" s="354"/>
      <c r="H21" s="355"/>
      <c r="I21" s="324"/>
    </row>
    <row r="22" spans="2:9" ht="16.5">
      <c r="B22" s="324"/>
      <c r="C22" s="345" t="b">
        <f>В!$C$6</f>
        <v>1</v>
      </c>
      <c r="D22" s="346" t="s">
        <v>142</v>
      </c>
      <c r="E22" s="347"/>
      <c r="F22" s="347"/>
      <c r="G22" s="347"/>
      <c r="H22" s="348"/>
      <c r="I22" s="324"/>
    </row>
    <row r="23" spans="2:9" ht="16.5" customHeight="1">
      <c r="B23" s="324"/>
      <c r="C23" s="345" t="b">
        <f>В!$B$3</f>
        <v>0</v>
      </c>
      <c r="D23" s="346" t="s">
        <v>146</v>
      </c>
      <c r="E23" s="347"/>
      <c r="F23" s="347"/>
      <c r="G23" s="347"/>
      <c r="H23" s="348"/>
      <c r="I23" s="324"/>
    </row>
    <row r="24" spans="2:9" ht="18" customHeight="1">
      <c r="B24" s="324"/>
      <c r="C24" s="345" t="b">
        <f>В!$B$7</f>
        <v>0</v>
      </c>
      <c r="D24" s="353" t="s">
        <v>304</v>
      </c>
      <c r="E24" s="354"/>
      <c r="F24" s="354"/>
      <c r="G24" s="354"/>
      <c r="H24" s="355"/>
      <c r="I24" s="324"/>
    </row>
    <row r="25" spans="2:9" ht="16.5" customHeight="1">
      <c r="B25" s="324"/>
      <c r="C25" s="345" t="b">
        <f>В!$B$4</f>
        <v>0</v>
      </c>
      <c r="D25" s="346" t="s">
        <v>305</v>
      </c>
      <c r="E25" s="347"/>
      <c r="F25" s="347"/>
      <c r="G25" s="347"/>
      <c r="H25" s="348"/>
      <c r="I25" s="324"/>
    </row>
    <row r="26" spans="2:9" ht="16.5" customHeight="1">
      <c r="B26" s="324"/>
      <c r="C26" s="345" t="b">
        <f>В!$B$5</f>
        <v>0</v>
      </c>
      <c r="D26" s="346" t="s">
        <v>306</v>
      </c>
      <c r="E26" s="347"/>
      <c r="F26" s="347"/>
      <c r="G26" s="347"/>
      <c r="H26" s="348"/>
      <c r="I26" s="324"/>
    </row>
    <row r="27" spans="2:9" ht="18" customHeight="1">
      <c r="B27" s="324"/>
      <c r="C27" s="345" t="b">
        <f>В!$B$6</f>
        <v>0</v>
      </c>
      <c r="D27" s="346" t="s">
        <v>307</v>
      </c>
      <c r="E27" s="347"/>
      <c r="F27" s="347"/>
      <c r="G27" s="347"/>
      <c r="H27" s="348"/>
      <c r="I27" s="324"/>
    </row>
    <row r="28" spans="2:9" ht="16.5" customHeight="1">
      <c r="B28" s="324"/>
      <c r="C28" s="345" t="b">
        <f>В!$D$5</f>
        <v>0</v>
      </c>
      <c r="D28" s="346" t="s">
        <v>157</v>
      </c>
      <c r="E28" s="347"/>
      <c r="F28" s="347"/>
      <c r="G28" s="347"/>
      <c r="H28" s="348"/>
      <c r="I28" s="324"/>
    </row>
    <row r="29" spans="2:9" ht="16.5" customHeight="1">
      <c r="B29" s="324"/>
      <c r="C29" s="345" t="b">
        <f>В!$C$1</f>
        <v>0</v>
      </c>
      <c r="D29" s="346" t="s">
        <v>158</v>
      </c>
      <c r="E29" s="347"/>
      <c r="F29" s="347"/>
      <c r="G29" s="347"/>
      <c r="H29" s="348"/>
      <c r="I29" s="324"/>
    </row>
    <row r="30" spans="2:9" ht="16.5" customHeight="1">
      <c r="B30" s="324"/>
      <c r="C30" s="356" t="b">
        <f>В!$C$2</f>
        <v>0</v>
      </c>
      <c r="D30" s="357" t="s">
        <v>308</v>
      </c>
      <c r="E30" s="358"/>
      <c r="F30" s="358"/>
      <c r="G30" s="358"/>
      <c r="H30" s="359"/>
      <c r="I30" s="324"/>
    </row>
    <row r="31" spans="2:9" ht="16.5" customHeight="1">
      <c r="B31" s="324"/>
      <c r="C31" s="360" t="b">
        <f>В!$C$233</f>
        <v>0</v>
      </c>
      <c r="D31" s="346" t="s">
        <v>175</v>
      </c>
      <c r="E31" s="347"/>
      <c r="F31" s="347"/>
      <c r="G31" s="347"/>
      <c r="H31" s="348"/>
      <c r="I31" s="324"/>
    </row>
    <row r="32" spans="2:9" ht="16.5" customHeight="1">
      <c r="B32" s="324"/>
      <c r="C32" s="345" t="b">
        <f>В!$C$3</f>
        <v>0</v>
      </c>
      <c r="D32" s="346" t="s">
        <v>176</v>
      </c>
      <c r="E32" s="347"/>
      <c r="F32" s="347"/>
      <c r="G32" s="347"/>
      <c r="H32" s="348"/>
      <c r="I32" s="324"/>
    </row>
    <row r="33" spans="2:9" ht="16.5" customHeight="1">
      <c r="B33" s="324"/>
      <c r="C33" s="345" t="b">
        <f>В!$C$4</f>
        <v>0</v>
      </c>
      <c r="D33" s="346" t="s">
        <v>309</v>
      </c>
      <c r="E33" s="347"/>
      <c r="F33" s="347"/>
      <c r="G33" s="347"/>
      <c r="H33" s="348"/>
      <c r="I33" s="324"/>
    </row>
    <row r="34" spans="2:9" ht="16.5" customHeight="1">
      <c r="B34" s="324"/>
      <c r="C34" s="345" t="b">
        <f>В!$C$5</f>
        <v>0</v>
      </c>
      <c r="D34" s="346" t="s">
        <v>310</v>
      </c>
      <c r="E34" s="347"/>
      <c r="F34" s="347"/>
      <c r="G34" s="347"/>
      <c r="H34" s="348"/>
      <c r="I34" s="324"/>
    </row>
    <row r="35" spans="2:9" ht="16.5" customHeight="1">
      <c r="B35" s="324"/>
      <c r="C35" s="345" t="b">
        <f>В!$C$5</f>
        <v>0</v>
      </c>
      <c r="D35" s="346" t="s">
        <v>311</v>
      </c>
      <c r="E35" s="347"/>
      <c r="F35" s="347"/>
      <c r="G35" s="347"/>
      <c r="H35" s="348"/>
      <c r="I35" s="324"/>
    </row>
    <row r="36" spans="2:9" ht="16.5" customHeight="1">
      <c r="B36" s="324"/>
      <c r="C36" s="360" t="b">
        <f>В!$B$266</f>
        <v>0</v>
      </c>
      <c r="D36" s="346" t="s">
        <v>312</v>
      </c>
      <c r="E36" s="347"/>
      <c r="F36" s="347"/>
      <c r="G36" s="347"/>
      <c r="H36" s="348"/>
      <c r="I36" s="324"/>
    </row>
    <row r="37" spans="2:9" ht="16.5" customHeight="1">
      <c r="B37" s="324"/>
      <c r="C37" s="345" t="b">
        <f>В!$C$7</f>
        <v>0</v>
      </c>
      <c r="D37" s="346" t="s">
        <v>313</v>
      </c>
      <c r="E37" s="347"/>
      <c r="F37" s="347"/>
      <c r="G37" s="347"/>
      <c r="H37" s="348"/>
      <c r="I37" s="324"/>
    </row>
    <row r="38" spans="2:9" ht="16.5">
      <c r="B38" s="324"/>
      <c r="C38" s="345" t="b">
        <f>В!$D$6</f>
        <v>0</v>
      </c>
      <c r="D38" s="346" t="s">
        <v>192</v>
      </c>
      <c r="E38" s="347"/>
      <c r="F38" s="347"/>
      <c r="G38" s="347"/>
      <c r="H38" s="348"/>
      <c r="I38" s="324"/>
    </row>
    <row r="39" spans="2:9" ht="16.5">
      <c r="B39" s="324"/>
      <c r="C39" s="360" t="b">
        <f>В!$B$312</f>
        <v>0</v>
      </c>
      <c r="D39" s="346" t="s">
        <v>204</v>
      </c>
      <c r="E39" s="347"/>
      <c r="F39" s="347"/>
      <c r="G39" s="347"/>
      <c r="H39" s="348"/>
      <c r="I39" s="324"/>
    </row>
    <row r="40" spans="2:9" ht="16.5">
      <c r="B40" s="324"/>
      <c r="C40" s="360" t="b">
        <f>В!$B$315</f>
        <v>0</v>
      </c>
      <c r="D40" s="346" t="s">
        <v>314</v>
      </c>
      <c r="E40" s="347"/>
      <c r="F40" s="347"/>
      <c r="G40" s="347"/>
      <c r="H40" s="348"/>
      <c r="I40" s="324"/>
    </row>
    <row r="41" spans="2:9" ht="16.5">
      <c r="B41" s="324"/>
      <c r="C41" s="360" t="b">
        <f>В!$B$319</f>
        <v>0</v>
      </c>
      <c r="D41" s="346" t="s">
        <v>315</v>
      </c>
      <c r="E41" s="347"/>
      <c r="F41" s="347"/>
      <c r="G41" s="347"/>
      <c r="H41" s="348"/>
      <c r="I41" s="324"/>
    </row>
    <row r="42" spans="2:9" ht="16.5">
      <c r="B42" s="324"/>
      <c r="C42" s="360" t="b">
        <f>В!$B$323</f>
        <v>0</v>
      </c>
      <c r="D42" s="346" t="s">
        <v>316</v>
      </c>
      <c r="E42" s="347"/>
      <c r="F42" s="347"/>
      <c r="G42" s="347"/>
      <c r="H42" s="348"/>
      <c r="I42" s="324"/>
    </row>
    <row r="43" spans="2:9" ht="16.5">
      <c r="B43" s="324"/>
      <c r="C43" s="360" t="b">
        <f>В!$B$325</f>
        <v>0</v>
      </c>
      <c r="D43" s="346" t="s">
        <v>317</v>
      </c>
      <c r="E43" s="347"/>
      <c r="F43" s="347"/>
      <c r="G43" s="347"/>
      <c r="H43" s="348"/>
      <c r="I43" s="324"/>
    </row>
    <row r="44" spans="2:9" ht="16.5">
      <c r="B44" s="324"/>
      <c r="C44" s="360" t="b">
        <f>В!$B$328</f>
        <v>0</v>
      </c>
      <c r="D44" s="346" t="s">
        <v>318</v>
      </c>
      <c r="E44" s="347"/>
      <c r="F44" s="347"/>
      <c r="G44" s="347"/>
      <c r="H44" s="348"/>
      <c r="I44" s="324"/>
    </row>
    <row r="45" spans="2:9" ht="16.5" customHeight="1">
      <c r="B45" s="324"/>
      <c r="C45" s="360" t="b">
        <f>В!$B$331</f>
        <v>0</v>
      </c>
      <c r="D45" s="346" t="s">
        <v>214</v>
      </c>
      <c r="E45" s="347"/>
      <c r="F45" s="347"/>
      <c r="G45" s="347"/>
      <c r="H45" s="348"/>
      <c r="I45" s="324"/>
    </row>
    <row r="46" spans="2:9" ht="16.5">
      <c r="B46" s="324"/>
      <c r="C46" s="345" t="b">
        <f>В!$D$1</f>
        <v>0</v>
      </c>
      <c r="D46" s="346" t="s">
        <v>217</v>
      </c>
      <c r="E46" s="347"/>
      <c r="F46" s="347"/>
      <c r="G46" s="347"/>
      <c r="H46" s="348"/>
      <c r="I46" s="324"/>
    </row>
    <row r="47" spans="2:9" ht="16.5">
      <c r="B47" s="324"/>
      <c r="C47" s="345" t="b">
        <f>В!$D$2</f>
        <v>0</v>
      </c>
      <c r="D47" s="346" t="s">
        <v>218</v>
      </c>
      <c r="E47" s="347"/>
      <c r="F47" s="347"/>
      <c r="G47" s="347"/>
      <c r="H47" s="348"/>
      <c r="I47" s="324"/>
    </row>
    <row r="48" spans="2:9" ht="16.5" customHeight="1">
      <c r="B48" s="324"/>
      <c r="C48" s="345" t="b">
        <f>В!$D$3</f>
        <v>0</v>
      </c>
      <c r="D48" s="346" t="s">
        <v>319</v>
      </c>
      <c r="E48" s="347"/>
      <c r="F48" s="347"/>
      <c r="G48" s="347"/>
      <c r="H48" s="348"/>
      <c r="I48" s="324"/>
    </row>
    <row r="49" spans="2:9" ht="16.5" customHeight="1">
      <c r="B49" s="324"/>
      <c r="C49" s="360" t="b">
        <f>В!$C$363</f>
        <v>0</v>
      </c>
      <c r="D49" s="346" t="s">
        <v>320</v>
      </c>
      <c r="E49" s="347"/>
      <c r="F49" s="347"/>
      <c r="G49" s="347"/>
      <c r="H49" s="348"/>
      <c r="I49" s="324"/>
    </row>
    <row r="50" spans="2:9" ht="16.5">
      <c r="B50" s="324"/>
      <c r="C50" s="360" t="b">
        <f>В!$C$419</f>
        <v>0</v>
      </c>
      <c r="D50" s="346" t="s">
        <v>321</v>
      </c>
      <c r="E50" s="347"/>
      <c r="F50" s="347"/>
      <c r="G50" s="347"/>
      <c r="H50" s="348"/>
      <c r="I50" s="324"/>
    </row>
    <row r="51" spans="2:9">
      <c r="B51" s="324"/>
      <c r="C51" s="324"/>
      <c r="D51" s="324"/>
      <c r="E51" s="324"/>
      <c r="F51" s="324"/>
      <c r="G51" s="324"/>
      <c r="H51" s="324"/>
      <c r="I51" s="324"/>
    </row>
  </sheetData>
  <sheetProtection algorithmName="SHA-512" hashValue="JVRWr9MyFDaf1yUmRDAV3FTdboER5r4Yfj9AnhrZ1GwBTpy3Q+sosA76rr2zLOI3D4Zkx1Q9qq60KEyUWLGamg==" saltValue="vi42mAlTDgRxGUBSalSxQA==" spinCount="100000" sheet="1" objects="1" scenarios="1" selectLockedCells="1"/>
  <mergeCells count="40">
    <mergeCell ref="D48:H48"/>
    <mergeCell ref="D49:H49"/>
    <mergeCell ref="D50:H50"/>
    <mergeCell ref="D43:H43"/>
    <mergeCell ref="D44:H44"/>
    <mergeCell ref="D45:H45"/>
    <mergeCell ref="D46:H46"/>
    <mergeCell ref="D47:H47"/>
    <mergeCell ref="D40:H40"/>
    <mergeCell ref="D41:H41"/>
    <mergeCell ref="D42:H42"/>
    <mergeCell ref="D34:H34"/>
    <mergeCell ref="D35:H35"/>
    <mergeCell ref="D36:H36"/>
    <mergeCell ref="D37:H37"/>
    <mergeCell ref="D38:H38"/>
    <mergeCell ref="D39:H39"/>
    <mergeCell ref="D29:H29"/>
    <mergeCell ref="D30:H30"/>
    <mergeCell ref="D31:H31"/>
    <mergeCell ref="D32:H32"/>
    <mergeCell ref="D33:H33"/>
    <mergeCell ref="D23:H23"/>
    <mergeCell ref="D24:H24"/>
    <mergeCell ref="D25:H25"/>
    <mergeCell ref="D26:H26"/>
    <mergeCell ref="D27:H27"/>
    <mergeCell ref="D28:H28"/>
    <mergeCell ref="D21:H21"/>
    <mergeCell ref="D22:H22"/>
    <mergeCell ref="D19:H19"/>
    <mergeCell ref="D20:H20"/>
    <mergeCell ref="D18:H18"/>
    <mergeCell ref="D16:H16"/>
    <mergeCell ref="D17:H17"/>
    <mergeCell ref="D14:H14"/>
    <mergeCell ref="D15:H15"/>
    <mergeCell ref="C5:H5"/>
    <mergeCell ref="C7:D7"/>
    <mergeCell ref="C9:H12"/>
  </mergeCells>
  <conditionalFormatting sqref="D14">
    <cfRule type="expression" dxfId="37" priority="43" stopIfTrue="1">
      <formula>$C$14=FALSE</formula>
    </cfRule>
  </conditionalFormatting>
  <conditionalFormatting sqref="D15">
    <cfRule type="expression" dxfId="36" priority="42" stopIfTrue="1">
      <formula>$C$15=FALSE</formula>
    </cfRule>
  </conditionalFormatting>
  <conditionalFormatting sqref="D16">
    <cfRule type="expression" dxfId="35" priority="41" stopIfTrue="1">
      <formula>$C$16=FALSE</formula>
    </cfRule>
  </conditionalFormatting>
  <conditionalFormatting sqref="D17">
    <cfRule type="expression" dxfId="34" priority="40" stopIfTrue="1">
      <formula>$C$17=FALSE</formula>
    </cfRule>
  </conditionalFormatting>
  <conditionalFormatting sqref="D18">
    <cfRule type="expression" dxfId="33" priority="39" stopIfTrue="1">
      <formula>$C$18=FALSE</formula>
    </cfRule>
  </conditionalFormatting>
  <conditionalFormatting sqref="D19">
    <cfRule type="expression" dxfId="32" priority="37" stopIfTrue="1">
      <formula>$C$19=FALSE</formula>
    </cfRule>
  </conditionalFormatting>
  <conditionalFormatting sqref="D20">
    <cfRule type="expression" dxfId="31" priority="31">
      <formula>$C$20=FALSE</formula>
    </cfRule>
  </conditionalFormatting>
  <conditionalFormatting sqref="D22">
    <cfRule type="expression" dxfId="30" priority="36">
      <formula>$C$22=FALSE</formula>
    </cfRule>
  </conditionalFormatting>
  <conditionalFormatting sqref="D23">
    <cfRule type="expression" dxfId="29" priority="35">
      <formula>$C$23=FALSE</formula>
    </cfRule>
  </conditionalFormatting>
  <conditionalFormatting sqref="D25">
    <cfRule type="expression" dxfId="28" priority="34">
      <formula>$C$25=FALSE</formula>
    </cfRule>
  </conditionalFormatting>
  <conditionalFormatting sqref="D26">
    <cfRule type="expression" dxfId="27" priority="33">
      <formula>$C$26=FALSE</formula>
    </cfRule>
  </conditionalFormatting>
  <conditionalFormatting sqref="D27">
    <cfRule type="expression" dxfId="26" priority="32">
      <formula>$C$27=FALSE</formula>
    </cfRule>
  </conditionalFormatting>
  <conditionalFormatting sqref="D29">
    <cfRule type="expression" dxfId="25" priority="30" stopIfTrue="1">
      <formula>$C$29=FALSE</formula>
    </cfRule>
  </conditionalFormatting>
  <conditionalFormatting sqref="D31">
    <cfRule type="expression" dxfId="24" priority="15">
      <formula>$C$31=FALSE</formula>
    </cfRule>
  </conditionalFormatting>
  <conditionalFormatting sqref="D32">
    <cfRule type="expression" dxfId="23" priority="28" stopIfTrue="1">
      <formula>$C$32=FALSE</formula>
    </cfRule>
  </conditionalFormatting>
  <conditionalFormatting sqref="D33">
    <cfRule type="expression" dxfId="22" priority="27" stopIfTrue="1">
      <formula>$C$33=FALSE</formula>
    </cfRule>
  </conditionalFormatting>
  <conditionalFormatting sqref="D20:H27">
    <cfRule type="expression" dxfId="21" priority="21">
      <formula>$C$19=TRUE</formula>
    </cfRule>
  </conditionalFormatting>
  <conditionalFormatting sqref="D34:D35">
    <cfRule type="expression" dxfId="20" priority="44" stopIfTrue="1">
      <formula>$C$35=FALSE</formula>
    </cfRule>
  </conditionalFormatting>
  <conditionalFormatting sqref="D38">
    <cfRule type="expression" dxfId="19" priority="25" stopIfTrue="1">
      <formula>$C$38=FALSE</formula>
    </cfRule>
  </conditionalFormatting>
  <conditionalFormatting sqref="D46">
    <cfRule type="expression" dxfId="18" priority="24" stopIfTrue="1">
      <formula>$C$46=FALSE</formula>
    </cfRule>
  </conditionalFormatting>
  <conditionalFormatting sqref="D47">
    <cfRule type="expression" dxfId="17" priority="45" stopIfTrue="1">
      <formula>$C$47=FALSE</formula>
    </cfRule>
  </conditionalFormatting>
  <conditionalFormatting sqref="D48">
    <cfRule type="expression" dxfId="16" priority="23" stopIfTrue="1">
      <formula>$C$48=FALSE</formula>
    </cfRule>
  </conditionalFormatting>
  <conditionalFormatting sqref="D21">
    <cfRule type="expression" dxfId="15" priority="26">
      <formula>$C$21=FALSE</formula>
    </cfRule>
  </conditionalFormatting>
  <conditionalFormatting sqref="D24">
    <cfRule type="expression" dxfId="14" priority="22">
      <formula>$C$24=FALSE</formula>
    </cfRule>
  </conditionalFormatting>
  <conditionalFormatting sqref="D37">
    <cfRule type="expression" dxfId="13" priority="19" stopIfTrue="1">
      <formula>$C$37=FALSE</formula>
    </cfRule>
  </conditionalFormatting>
  <conditionalFormatting sqref="D28">
    <cfRule type="expression" dxfId="12" priority="18" stopIfTrue="1">
      <formula>$C$28=FALSE</formula>
    </cfRule>
  </conditionalFormatting>
  <conditionalFormatting sqref="D30">
    <cfRule type="expression" dxfId="11" priority="16">
      <formula>$C$30=FALSE</formula>
    </cfRule>
  </conditionalFormatting>
  <conditionalFormatting sqref="D31:H31">
    <cfRule type="expression" dxfId="10" priority="29" stopIfTrue="1">
      <formula>$C$30=FALSE</formula>
    </cfRule>
  </conditionalFormatting>
  <conditionalFormatting sqref="D39">
    <cfRule type="expression" dxfId="9" priority="14" stopIfTrue="1">
      <formula>$C$39=FALSE</formula>
    </cfRule>
  </conditionalFormatting>
  <conditionalFormatting sqref="D40">
    <cfRule type="expression" dxfId="8" priority="12" stopIfTrue="1">
      <formula>$C$40=FALSE</formula>
    </cfRule>
  </conditionalFormatting>
  <conditionalFormatting sqref="D41">
    <cfRule type="expression" dxfId="7" priority="11" stopIfTrue="1">
      <formula>$C$41=FALSE</formula>
    </cfRule>
  </conditionalFormatting>
  <conditionalFormatting sqref="D42">
    <cfRule type="expression" dxfId="6" priority="9" stopIfTrue="1">
      <formula>$C$42=FALSE</formula>
    </cfRule>
  </conditionalFormatting>
  <conditionalFormatting sqref="D43">
    <cfRule type="expression" dxfId="5" priority="7" stopIfTrue="1">
      <formula>$C$43=FALSE</formula>
    </cfRule>
  </conditionalFormatting>
  <conditionalFormatting sqref="D44">
    <cfRule type="expression" dxfId="4" priority="5" stopIfTrue="1">
      <formula>$C$44=FALSE</formula>
    </cfRule>
  </conditionalFormatting>
  <conditionalFormatting sqref="D49">
    <cfRule type="expression" dxfId="3" priority="4" stopIfTrue="1">
      <formula>$C$49=FALSE</formula>
    </cfRule>
  </conditionalFormatting>
  <conditionalFormatting sqref="D50">
    <cfRule type="expression" dxfId="2" priority="3" stopIfTrue="1">
      <formula>$C$50=FALSE</formula>
    </cfRule>
  </conditionalFormatting>
  <conditionalFormatting sqref="D36">
    <cfRule type="expression" dxfId="1" priority="2" stopIfTrue="1">
      <formula>$C$36=FALSE</formula>
    </cfRule>
  </conditionalFormatting>
  <conditionalFormatting sqref="D45:H45">
    <cfRule type="expression" dxfId="0" priority="1">
      <formula>$C$45=FALSE</formula>
    </cfRule>
  </conditionalFormatting>
  <dataValidations count="6">
    <dataValidation type="custom" allowBlank="1" showErrorMessage="1" errorTitle="ВНИМАНИЕ!" error="Содержимое данных ячеек менять нельзя!" sqref="D36:H36" xr:uid="{017651CC-FCC6-4A32-B4BF-4C91B512B7C5}">
      <formula1>"="</formula1>
    </dataValidation>
    <dataValidation type="custom" allowBlank="1" showInputMessage="1" showErrorMessage="1" errorTitle="ВНИМАНИЕ!" error="Содержимое данных ячеек менять нельзя!" sqref="D31:H31" xr:uid="{A5DA3619-C578-46B4-935A-FF928B4CD80F}">
      <formula1>"Усановка флюгарок на трубы"</formula1>
    </dataValidation>
    <dataValidation type="date" showInputMessage="1" showErrorMessage="1" errorTitle="ВНИМАНИЕ!" error="Введите дату в формате ДД.ММ.ГГГГ" promptTitle="↑" prompt="Дату начала строительных работ можно изменить" sqref="M2" xr:uid="{ECBD9B00-1381-465B-9838-2603E0BE1AA1}">
      <formula1>44197</formula1>
      <formula2>49796</formula2>
    </dataValidation>
    <dataValidation allowBlank="1" showInputMessage="1" showErrorMessage="1" promptTitle="ВНИМАНИЕ!" prompt="Включение данной позиции принудительно исключит из расчета все опции, которые относятся к чистовой кровле, даже если галочки там будут установлены." sqref="C19:D19" xr:uid="{5EBD1630-EE30-481E-996F-C4FB666AFFF4}"/>
    <dataValidation allowBlank="1" showInputMessage="1" showErrorMessage="1" errorTitle="ВНИМАНИЕ!" error="Содержимое данных ячеек менять нельзя!" sqref="C7 F7 H7 D18 C39:D50 E39:H48" xr:uid="{0FCB6865-B2E2-4D0A-B63A-5005BB6E2493}"/>
    <dataValidation type="custom" allowBlank="1" showInputMessage="1" showErrorMessage="1" errorTitle="ВНИМАНИЕ!" error="Содержимое данных ячеек менять нельзя!" sqref="D14 D16:D17 D20:D30 D46:D50 D32:D35 D37:D38" xr:uid="{5B374EE1-CDA5-4133-9909-D83133739D13}">
      <formula1>"="</formula1>
    </dataValidation>
  </dataValidations>
  <hyperlinks>
    <hyperlink ref="C7" location="'ПРОСТАЯ СМЕТА'!C7" tooltip="Нажмите для перехода на лист вводных данных" display="ВОДДНЫЕ   ДАННЫЕ" xr:uid="{CA267207-A069-4B89-BA26-AA0A12EEB55E}"/>
    <hyperlink ref="F7" location="'ПОДРОБНАЯ СМЕТА'!J1" tooltip="Нажмите для просмотра Сметы" display="СМЕТА" xr:uid="{9A5BC504-AD13-4A8E-AFE5-4E2F7F3A1E6F}"/>
    <hyperlink ref="H7" location="'О НАС'!A1" display="О ПРИВАТ-СТРОЙ" xr:uid="{2CEF6876-6205-4D93-910A-0D0A3A7C78E2}"/>
  </hyperlinks>
  <printOptions horizontalCentered="1" verticalCentered="1"/>
  <pageMargins left="0.19685039370078741" right="0.11811023622047245" top="0.55118110236220474" bottom="0.55118110236220474" header="0.31496062992125984" footer="0.31496062992125984"/>
  <pageSetup paperSize="9" scale="93"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Ф_Проживание">
              <controlPr defaultSize="0" print="0" autoFill="0" autoLine="0" autoPict="0">
                <anchor moveWithCells="1">
                  <from>
                    <xdr:col>2</xdr:col>
                    <xdr:colOff>0</xdr:colOff>
                    <xdr:row>13</xdr:row>
                    <xdr:rowOff>19050</xdr:rowOff>
                  </from>
                  <to>
                    <xdr:col>2</xdr:col>
                    <xdr:colOff>190500</xdr:colOff>
                    <xdr:row>13</xdr:row>
                    <xdr:rowOff>180975</xdr:rowOff>
                  </to>
                </anchor>
              </controlPr>
            </control>
          </mc:Choice>
        </mc:AlternateContent>
        <mc:AlternateContent xmlns:mc="http://schemas.openxmlformats.org/markup-compatibility/2006">
          <mc:Choice Requires="x14">
            <control shapeId="4098" r:id="rId5" name="Ф_Резервные_Закаладные">
              <controlPr defaultSize="0" print="0" autoFill="0" autoLine="0" autoPict="0">
                <anchor moveWithCells="1">
                  <from>
                    <xdr:col>2</xdr:col>
                    <xdr:colOff>0</xdr:colOff>
                    <xdr:row>14</xdr:row>
                    <xdr:rowOff>28575</xdr:rowOff>
                  </from>
                  <to>
                    <xdr:col>2</xdr:col>
                    <xdr:colOff>180975</xdr:colOff>
                    <xdr:row>14</xdr:row>
                    <xdr:rowOff>200025</xdr:rowOff>
                  </to>
                </anchor>
              </controlPr>
            </control>
          </mc:Choice>
        </mc:AlternateContent>
        <mc:AlternateContent xmlns:mc="http://schemas.openxmlformats.org/markup-compatibility/2006">
          <mc:Choice Requires="x14">
            <control shapeId="4099" r:id="rId6" name="Ф_Монтаж_Перегородок">
              <controlPr defaultSize="0" print="0" autoFill="0" autoLine="0" autoPict="0">
                <anchor moveWithCells="1">
                  <from>
                    <xdr:col>2</xdr:col>
                    <xdr:colOff>0</xdr:colOff>
                    <xdr:row>15</xdr:row>
                    <xdr:rowOff>19050</xdr:rowOff>
                  </from>
                  <to>
                    <xdr:col>2</xdr:col>
                    <xdr:colOff>190500</xdr:colOff>
                    <xdr:row>15</xdr:row>
                    <xdr:rowOff>180975</xdr:rowOff>
                  </to>
                </anchor>
              </controlPr>
            </control>
          </mc:Choice>
        </mc:AlternateContent>
        <mc:AlternateContent xmlns:mc="http://schemas.openxmlformats.org/markup-compatibility/2006">
          <mc:Choice Requires="x14">
            <control shapeId="4100" r:id="rId7" name="Ф_Утепление_Внешних_Стен">
              <controlPr defaultSize="0" print="0" autoFill="0" autoLine="0" autoPict="0">
                <anchor moveWithCells="1">
                  <from>
                    <xdr:col>2</xdr:col>
                    <xdr:colOff>0</xdr:colOff>
                    <xdr:row>16</xdr:row>
                    <xdr:rowOff>19050</xdr:rowOff>
                  </from>
                  <to>
                    <xdr:col>2</xdr:col>
                    <xdr:colOff>190500</xdr:colOff>
                    <xdr:row>16</xdr:row>
                    <xdr:rowOff>180975</xdr:rowOff>
                  </to>
                </anchor>
              </controlPr>
            </control>
          </mc:Choice>
        </mc:AlternateContent>
        <mc:AlternateContent xmlns:mc="http://schemas.openxmlformats.org/markup-compatibility/2006">
          <mc:Choice Requires="x14">
            <control shapeId="4101" r:id="rId8" name="Ф_Отделка_Фасада">
              <controlPr defaultSize="0" print="0" autoFill="0" autoLine="0" autoPict="0">
                <anchor moveWithCells="1">
                  <from>
                    <xdr:col>2</xdr:col>
                    <xdr:colOff>0</xdr:colOff>
                    <xdr:row>17</xdr:row>
                    <xdr:rowOff>0</xdr:rowOff>
                  </from>
                  <to>
                    <xdr:col>2</xdr:col>
                    <xdr:colOff>200025</xdr:colOff>
                    <xdr:row>17</xdr:row>
                    <xdr:rowOff>190500</xdr:rowOff>
                  </to>
                </anchor>
              </controlPr>
            </control>
          </mc:Choice>
        </mc:AlternateContent>
        <mc:AlternateContent xmlns:mc="http://schemas.openxmlformats.org/markup-compatibility/2006">
          <mc:Choice Requires="x14">
            <control shapeId="4103" r:id="rId9" name="Ф_ЧЕРНОВАЯ_КРОВЛЯ">
              <controlPr defaultSize="0" print="0" autoFill="0" autoLine="0" autoPict="0">
                <anchor moveWithCells="1">
                  <from>
                    <xdr:col>2</xdr:col>
                    <xdr:colOff>0</xdr:colOff>
                    <xdr:row>18</xdr:row>
                    <xdr:rowOff>28575</xdr:rowOff>
                  </from>
                  <to>
                    <xdr:col>2</xdr:col>
                    <xdr:colOff>171450</xdr:colOff>
                    <xdr:row>18</xdr:row>
                    <xdr:rowOff>180975</xdr:rowOff>
                  </to>
                </anchor>
              </controlPr>
            </control>
          </mc:Choice>
        </mc:AlternateContent>
        <mc:AlternateContent xmlns:mc="http://schemas.openxmlformats.org/markup-compatibility/2006">
          <mc:Choice Requires="x14">
            <control shapeId="4104" r:id="rId10" name="Ф_Утепление_Кровли">
              <controlPr defaultSize="0" print="0" autoFill="0" autoLine="0" autoPict="0">
                <anchor moveWithCells="1">
                  <from>
                    <xdr:col>2</xdr:col>
                    <xdr:colOff>0</xdr:colOff>
                    <xdr:row>19</xdr:row>
                    <xdr:rowOff>28575</xdr:rowOff>
                  </from>
                  <to>
                    <xdr:col>2</xdr:col>
                    <xdr:colOff>171450</xdr:colOff>
                    <xdr:row>19</xdr:row>
                    <xdr:rowOff>180975</xdr:rowOff>
                  </to>
                </anchor>
              </controlPr>
            </control>
          </mc:Choice>
        </mc:AlternateContent>
        <mc:AlternateContent xmlns:mc="http://schemas.openxmlformats.org/markup-compatibility/2006">
          <mc:Choice Requires="x14">
            <control shapeId="4105" r:id="rId11" name="Ф_Водосточные_Крюки">
              <controlPr defaultSize="0" print="0" autoFill="0" autoLine="0" autoPict="0">
                <anchor moveWithCells="1">
                  <from>
                    <xdr:col>2</xdr:col>
                    <xdr:colOff>0</xdr:colOff>
                    <xdr:row>21</xdr:row>
                    <xdr:rowOff>9525</xdr:rowOff>
                  </from>
                  <to>
                    <xdr:col>2</xdr:col>
                    <xdr:colOff>190500</xdr:colOff>
                    <xdr:row>21</xdr:row>
                    <xdr:rowOff>180975</xdr:rowOff>
                  </to>
                </anchor>
              </controlPr>
            </control>
          </mc:Choice>
        </mc:AlternateContent>
        <mc:AlternateContent xmlns:mc="http://schemas.openxmlformats.org/markup-compatibility/2006">
          <mc:Choice Requires="x14">
            <control shapeId="4106" r:id="rId12" name="Ф_Водосточка">
              <controlPr defaultSize="0" print="0" autoFill="0" autoLine="0" autoPict="0">
                <anchor moveWithCells="1">
                  <from>
                    <xdr:col>2</xdr:col>
                    <xdr:colOff>0</xdr:colOff>
                    <xdr:row>22</xdr:row>
                    <xdr:rowOff>19050</xdr:rowOff>
                  </from>
                  <to>
                    <xdr:col>2</xdr:col>
                    <xdr:colOff>190500</xdr:colOff>
                    <xdr:row>22</xdr:row>
                    <xdr:rowOff>190500</xdr:rowOff>
                  </to>
                </anchor>
              </controlPr>
            </control>
          </mc:Choice>
        </mc:AlternateContent>
        <mc:AlternateContent xmlns:mc="http://schemas.openxmlformats.org/markup-compatibility/2006">
          <mc:Choice Requires="x14">
            <control shapeId="4107" r:id="rId13" name="Ф_Подшив_Свесов">
              <controlPr defaultSize="0" print="0" autoFill="0" autoLine="0" autoPict="0">
                <anchor moveWithCells="1">
                  <from>
                    <xdr:col>2</xdr:col>
                    <xdr:colOff>0</xdr:colOff>
                    <xdr:row>24</xdr:row>
                    <xdr:rowOff>19050</xdr:rowOff>
                  </from>
                  <to>
                    <xdr:col>2</xdr:col>
                    <xdr:colOff>190500</xdr:colOff>
                    <xdr:row>24</xdr:row>
                    <xdr:rowOff>190500</xdr:rowOff>
                  </to>
                </anchor>
              </controlPr>
            </control>
          </mc:Choice>
        </mc:AlternateContent>
        <mc:AlternateContent xmlns:mc="http://schemas.openxmlformats.org/markup-compatibility/2006">
          <mc:Choice Requires="x14">
            <control shapeId="4108" r:id="rId14" name="Ф_Чердачные_Перекрытия">
              <controlPr defaultSize="0" print="0" autoFill="0" autoLine="0" autoPict="0">
                <anchor moveWithCells="1">
                  <from>
                    <xdr:col>2</xdr:col>
                    <xdr:colOff>0</xdr:colOff>
                    <xdr:row>25</xdr:row>
                    <xdr:rowOff>19050</xdr:rowOff>
                  </from>
                  <to>
                    <xdr:col>2</xdr:col>
                    <xdr:colOff>190500</xdr:colOff>
                    <xdr:row>25</xdr:row>
                    <xdr:rowOff>190500</xdr:rowOff>
                  </to>
                </anchor>
              </controlPr>
            </control>
          </mc:Choice>
        </mc:AlternateContent>
        <mc:AlternateContent xmlns:mc="http://schemas.openxmlformats.org/markup-compatibility/2006">
          <mc:Choice Requires="x14">
            <control shapeId="4109" r:id="rId15" name="Ф_Утепление_Перекрытий">
              <controlPr defaultSize="0" print="0" autoFill="0" autoLine="0" autoPict="0">
                <anchor moveWithCells="1">
                  <from>
                    <xdr:col>2</xdr:col>
                    <xdr:colOff>0</xdr:colOff>
                    <xdr:row>26</xdr:row>
                    <xdr:rowOff>19050</xdr:rowOff>
                  </from>
                  <to>
                    <xdr:col>2</xdr:col>
                    <xdr:colOff>190500</xdr:colOff>
                    <xdr:row>26</xdr:row>
                    <xdr:rowOff>190500</xdr:rowOff>
                  </to>
                </anchor>
              </controlPr>
            </control>
          </mc:Choice>
        </mc:AlternateContent>
        <mc:AlternateContent xmlns:mc="http://schemas.openxmlformats.org/markup-compatibility/2006">
          <mc:Choice Requires="x14">
            <control shapeId="4110" r:id="rId16" name="Ф_Окна_Двери">
              <controlPr defaultSize="0" print="0" autoFill="0" autoLine="0" autoPict="0">
                <anchor moveWithCells="1">
                  <from>
                    <xdr:col>2</xdr:col>
                    <xdr:colOff>0</xdr:colOff>
                    <xdr:row>28</xdr:row>
                    <xdr:rowOff>19050</xdr:rowOff>
                  </from>
                  <to>
                    <xdr:col>2</xdr:col>
                    <xdr:colOff>190500</xdr:colOff>
                    <xdr:row>28</xdr:row>
                    <xdr:rowOff>190500</xdr:rowOff>
                  </to>
                </anchor>
              </controlPr>
            </control>
          </mc:Choice>
        </mc:AlternateContent>
        <mc:AlternateContent xmlns:mc="http://schemas.openxmlformats.org/markup-compatibility/2006">
          <mc:Choice Requires="x14">
            <control shapeId="4111" r:id="rId17" name="Ф_Вентканалы">
              <controlPr defaultSize="0" print="0" autoFill="0" autoLine="0" autoPict="0">
                <anchor moveWithCells="1">
                  <from>
                    <xdr:col>2</xdr:col>
                    <xdr:colOff>0</xdr:colOff>
                    <xdr:row>29</xdr:row>
                    <xdr:rowOff>19050</xdr:rowOff>
                  </from>
                  <to>
                    <xdr:col>2</xdr:col>
                    <xdr:colOff>190500</xdr:colOff>
                    <xdr:row>29</xdr:row>
                    <xdr:rowOff>190500</xdr:rowOff>
                  </to>
                </anchor>
              </controlPr>
            </control>
          </mc:Choice>
        </mc:AlternateContent>
        <mc:AlternateContent xmlns:mc="http://schemas.openxmlformats.org/markup-compatibility/2006">
          <mc:Choice Requires="x14">
            <control shapeId="4112" r:id="rId18" name="Ф_Ступени_Крыльца">
              <controlPr defaultSize="0" print="0" autoFill="0" autoLine="0" autoPict="0">
                <anchor moveWithCells="1">
                  <from>
                    <xdr:col>2</xdr:col>
                    <xdr:colOff>0</xdr:colOff>
                    <xdr:row>31</xdr:row>
                    <xdr:rowOff>19050</xdr:rowOff>
                  </from>
                  <to>
                    <xdr:col>2</xdr:col>
                    <xdr:colOff>190500</xdr:colOff>
                    <xdr:row>31</xdr:row>
                    <xdr:rowOff>190500</xdr:rowOff>
                  </to>
                </anchor>
              </controlPr>
            </control>
          </mc:Choice>
        </mc:AlternateContent>
        <mc:AlternateContent xmlns:mc="http://schemas.openxmlformats.org/markup-compatibility/2006">
          <mc:Choice Requires="x14">
            <control shapeId="4113" r:id="rId19" name="Ф_Межэтажная_Лестница">
              <controlPr defaultSize="0" print="0" autoFill="0" autoLine="0" autoPict="0">
                <anchor moveWithCells="1">
                  <from>
                    <xdr:col>2</xdr:col>
                    <xdr:colOff>0</xdr:colOff>
                    <xdr:row>32</xdr:row>
                    <xdr:rowOff>19050</xdr:rowOff>
                  </from>
                  <to>
                    <xdr:col>2</xdr:col>
                    <xdr:colOff>190500</xdr:colOff>
                    <xdr:row>32</xdr:row>
                    <xdr:rowOff>190500</xdr:rowOff>
                  </to>
                </anchor>
              </controlPr>
            </control>
          </mc:Choice>
        </mc:AlternateContent>
        <mc:AlternateContent xmlns:mc="http://schemas.openxmlformats.org/markup-compatibility/2006">
          <mc:Choice Requires="x14">
            <control shapeId="4114" r:id="rId20" name="Ф_Отделка_Цоколя">
              <controlPr defaultSize="0" print="0" autoFill="0" autoLine="0" autoPict="0">
                <anchor moveWithCells="1">
                  <from>
                    <xdr:col>2</xdr:col>
                    <xdr:colOff>0</xdr:colOff>
                    <xdr:row>33</xdr:row>
                    <xdr:rowOff>19050</xdr:rowOff>
                  </from>
                  <to>
                    <xdr:col>2</xdr:col>
                    <xdr:colOff>190500</xdr:colOff>
                    <xdr:row>33</xdr:row>
                    <xdr:rowOff>190500</xdr:rowOff>
                  </to>
                </anchor>
              </controlPr>
            </control>
          </mc:Choice>
        </mc:AlternateContent>
        <mc:AlternateContent xmlns:mc="http://schemas.openxmlformats.org/markup-compatibility/2006">
          <mc:Choice Requires="x14">
            <control shapeId="4120" r:id="rId21" name="Ф_Скважина">
              <controlPr defaultSize="0" print="0" autoFill="0" autoLine="0" autoPict="0">
                <anchor moveWithCells="1">
                  <from>
                    <xdr:col>2</xdr:col>
                    <xdr:colOff>0</xdr:colOff>
                    <xdr:row>45</xdr:row>
                    <xdr:rowOff>19050</xdr:rowOff>
                  </from>
                  <to>
                    <xdr:col>2</xdr:col>
                    <xdr:colOff>190500</xdr:colOff>
                    <xdr:row>45</xdr:row>
                    <xdr:rowOff>190500</xdr:rowOff>
                  </to>
                </anchor>
              </controlPr>
            </control>
          </mc:Choice>
        </mc:AlternateContent>
        <mc:AlternateContent xmlns:mc="http://schemas.openxmlformats.org/markup-compatibility/2006">
          <mc:Choice Requires="x14">
            <control shapeId="4121" r:id="rId22" name="Ф_Септик">
              <controlPr defaultSize="0" print="0" autoFill="0" autoLine="0" autoPict="0">
                <anchor moveWithCells="1">
                  <from>
                    <xdr:col>2</xdr:col>
                    <xdr:colOff>0</xdr:colOff>
                    <xdr:row>47</xdr:row>
                    <xdr:rowOff>19050</xdr:rowOff>
                  </from>
                  <to>
                    <xdr:col>2</xdr:col>
                    <xdr:colOff>190500</xdr:colOff>
                    <xdr:row>47</xdr:row>
                    <xdr:rowOff>190500</xdr:rowOff>
                  </to>
                </anchor>
              </controlPr>
            </control>
          </mc:Choice>
        </mc:AlternateContent>
        <mc:AlternateContent xmlns:mc="http://schemas.openxmlformats.org/markup-compatibility/2006">
          <mc:Choice Requires="x14">
            <control shapeId="4122" r:id="rId23" name="Ф_Отмостка">
              <controlPr defaultSize="0" print="0" autoFill="0" autoLine="0" autoPict="0">
                <anchor moveWithCells="1">
                  <from>
                    <xdr:col>2</xdr:col>
                    <xdr:colOff>0</xdr:colOff>
                    <xdr:row>34</xdr:row>
                    <xdr:rowOff>19050</xdr:rowOff>
                  </from>
                  <to>
                    <xdr:col>2</xdr:col>
                    <xdr:colOff>190500</xdr:colOff>
                    <xdr:row>34</xdr:row>
                    <xdr:rowOff>190500</xdr:rowOff>
                  </to>
                </anchor>
              </controlPr>
            </control>
          </mc:Choice>
        </mc:AlternateContent>
        <mc:AlternateContent xmlns:mc="http://schemas.openxmlformats.org/markup-compatibility/2006">
          <mc:Choice Requires="x14">
            <control shapeId="4123" r:id="rId24" name="Ф_Уборка_Мусор">
              <controlPr defaultSize="0" print="0" autoFill="0" autoLine="0" autoPict="0">
                <anchor moveWithCells="1">
                  <from>
                    <xdr:col>2</xdr:col>
                    <xdr:colOff>0</xdr:colOff>
                    <xdr:row>37</xdr:row>
                    <xdr:rowOff>19050</xdr:rowOff>
                  </from>
                  <to>
                    <xdr:col>2</xdr:col>
                    <xdr:colOff>190500</xdr:colOff>
                    <xdr:row>37</xdr:row>
                    <xdr:rowOff>190500</xdr:rowOff>
                  </to>
                </anchor>
              </controlPr>
            </control>
          </mc:Choice>
        </mc:AlternateContent>
        <mc:AlternateContent xmlns:mc="http://schemas.openxmlformats.org/markup-compatibility/2006">
          <mc:Choice Requires="x14">
            <control shapeId="4124" r:id="rId25" name="Ф_Кессон">
              <controlPr defaultSize="0" print="0" autoFill="0" autoLine="0" autoPict="0">
                <anchor moveWithCells="1">
                  <from>
                    <xdr:col>2</xdr:col>
                    <xdr:colOff>0</xdr:colOff>
                    <xdr:row>46</xdr:row>
                    <xdr:rowOff>19050</xdr:rowOff>
                  </from>
                  <to>
                    <xdr:col>2</xdr:col>
                    <xdr:colOff>190500</xdr:colOff>
                    <xdr:row>46</xdr:row>
                    <xdr:rowOff>190500</xdr:rowOff>
                  </to>
                </anchor>
              </controlPr>
            </control>
          </mc:Choice>
        </mc:AlternateContent>
        <mc:AlternateContent xmlns:mc="http://schemas.openxmlformats.org/markup-compatibility/2006">
          <mc:Choice Requires="x14">
            <control shapeId="4125" r:id="rId26" name="Ф_Мансардные_Окна">
              <controlPr defaultSize="0" print="0" autoFill="0" autoLine="0" autoPict="0">
                <anchor moveWithCells="1">
                  <from>
                    <xdr:col>2</xdr:col>
                    <xdr:colOff>0</xdr:colOff>
                    <xdr:row>20</xdr:row>
                    <xdr:rowOff>19050</xdr:rowOff>
                  </from>
                  <to>
                    <xdr:col>2</xdr:col>
                    <xdr:colOff>190500</xdr:colOff>
                    <xdr:row>20</xdr:row>
                    <xdr:rowOff>190500</xdr:rowOff>
                  </to>
                </anchor>
              </controlPr>
            </control>
          </mc:Choice>
        </mc:AlternateContent>
        <mc:AlternateContent xmlns:mc="http://schemas.openxmlformats.org/markup-compatibility/2006">
          <mc:Choice Requires="x14">
            <control shapeId="4126" r:id="rId27" name="Ф_Снегозадержание">
              <controlPr defaultSize="0" print="0" autoFill="0" autoLine="0" autoPict="0">
                <anchor moveWithCells="1">
                  <from>
                    <xdr:col>2</xdr:col>
                    <xdr:colOff>0</xdr:colOff>
                    <xdr:row>23</xdr:row>
                    <xdr:rowOff>19050</xdr:rowOff>
                  </from>
                  <to>
                    <xdr:col>2</xdr:col>
                    <xdr:colOff>190500</xdr:colOff>
                    <xdr:row>23</xdr:row>
                    <xdr:rowOff>190500</xdr:rowOff>
                  </to>
                </anchor>
              </controlPr>
            </control>
          </mc:Choice>
        </mc:AlternateContent>
        <mc:AlternateContent xmlns:mc="http://schemas.openxmlformats.org/markup-compatibility/2006">
          <mc:Choice Requires="x14">
            <control shapeId="4127" r:id="rId28" name="Ф_Дренаж">
              <controlPr defaultSize="0" print="0" autoFill="0" autoLine="0" autoPict="0">
                <anchor moveWithCells="1">
                  <from>
                    <xdr:col>2</xdr:col>
                    <xdr:colOff>0</xdr:colOff>
                    <xdr:row>36</xdr:row>
                    <xdr:rowOff>19050</xdr:rowOff>
                  </from>
                  <to>
                    <xdr:col>2</xdr:col>
                    <xdr:colOff>190500</xdr:colOff>
                    <xdr:row>36</xdr:row>
                    <xdr:rowOff>190500</xdr:rowOff>
                  </to>
                </anchor>
              </controlPr>
            </control>
          </mc:Choice>
        </mc:AlternateContent>
        <mc:AlternateContent xmlns:mc="http://schemas.openxmlformats.org/markup-compatibility/2006">
          <mc:Choice Requires="x14">
            <control shapeId="4128" r:id="rId29" name="Ф_Демонтаж_лесов">
              <controlPr defaultSize="0" print="0" autoFill="0" autoLine="0" autoPict="0">
                <anchor moveWithCells="1">
                  <from>
                    <xdr:col>2</xdr:col>
                    <xdr:colOff>0</xdr:colOff>
                    <xdr:row>27</xdr:row>
                    <xdr:rowOff>19050</xdr:rowOff>
                  </from>
                  <to>
                    <xdr:col>2</xdr:col>
                    <xdr:colOff>190500</xdr:colOff>
                    <xdr:row>27</xdr:row>
                    <xdr:rowOff>190500</xdr:rowOff>
                  </to>
                </anchor>
              </controlPr>
            </control>
          </mc:Choice>
        </mc:AlternateContent>
        <mc:AlternateContent xmlns:mc="http://schemas.openxmlformats.org/markup-compatibility/2006">
          <mc:Choice Requires="x14">
            <control shapeId="4134" r:id="rId30" name="Ф_Флюгарки">
              <controlPr defaultSize="0" print="0" autoFill="0" autoLine="0" autoPict="0">
                <anchor moveWithCells="1">
                  <from>
                    <xdr:col>2</xdr:col>
                    <xdr:colOff>0</xdr:colOff>
                    <xdr:row>30</xdr:row>
                    <xdr:rowOff>19050</xdr:rowOff>
                  </from>
                  <to>
                    <xdr:col>2</xdr:col>
                    <xdr:colOff>190500</xdr:colOff>
                    <xdr:row>30</xdr:row>
                    <xdr:rowOff>190500</xdr:rowOff>
                  </to>
                </anchor>
              </controlPr>
            </control>
          </mc:Choice>
        </mc:AlternateContent>
        <mc:AlternateContent xmlns:mc="http://schemas.openxmlformats.org/markup-compatibility/2006">
          <mc:Choice Requires="x14">
            <control shapeId="4135" r:id="rId31" name="Ф_ЭППС под стяжку">
              <controlPr defaultSize="0" print="0" autoFill="0" autoLine="0" autoPict="0">
                <anchor moveWithCells="1">
                  <from>
                    <xdr:col>2</xdr:col>
                    <xdr:colOff>0</xdr:colOff>
                    <xdr:row>38</xdr:row>
                    <xdr:rowOff>19050</xdr:rowOff>
                  </from>
                  <to>
                    <xdr:col>2</xdr:col>
                    <xdr:colOff>190500</xdr:colOff>
                    <xdr:row>38</xdr:row>
                    <xdr:rowOff>190500</xdr:rowOff>
                  </to>
                </anchor>
              </controlPr>
            </control>
          </mc:Choice>
        </mc:AlternateContent>
        <mc:AlternateContent xmlns:mc="http://schemas.openxmlformats.org/markup-compatibility/2006">
          <mc:Choice Requires="x14">
            <control shapeId="4137" r:id="rId32" name="Ф_Стяжка 1 этаж">
              <controlPr defaultSize="0" print="0" autoFill="0" autoLine="0" autoPict="0">
                <anchor moveWithCells="1">
                  <from>
                    <xdr:col>2</xdr:col>
                    <xdr:colOff>0</xdr:colOff>
                    <xdr:row>39</xdr:row>
                    <xdr:rowOff>19050</xdr:rowOff>
                  </from>
                  <to>
                    <xdr:col>2</xdr:col>
                    <xdr:colOff>190500</xdr:colOff>
                    <xdr:row>39</xdr:row>
                    <xdr:rowOff>190500</xdr:rowOff>
                  </to>
                </anchor>
              </controlPr>
            </control>
          </mc:Choice>
        </mc:AlternateContent>
        <mc:AlternateContent xmlns:mc="http://schemas.openxmlformats.org/markup-compatibility/2006">
          <mc:Choice Requires="x14">
            <control shapeId="4138" r:id="rId33" name="Ф_Стяжка 2 этаж">
              <controlPr defaultSize="0" print="0" autoFill="0" autoLine="0" autoPict="0">
                <anchor moveWithCells="1">
                  <from>
                    <xdr:col>2</xdr:col>
                    <xdr:colOff>0</xdr:colOff>
                    <xdr:row>40</xdr:row>
                    <xdr:rowOff>19050</xdr:rowOff>
                  </from>
                  <to>
                    <xdr:col>2</xdr:col>
                    <xdr:colOff>190500</xdr:colOff>
                    <xdr:row>40</xdr:row>
                    <xdr:rowOff>190500</xdr:rowOff>
                  </to>
                </anchor>
              </controlPr>
            </control>
          </mc:Choice>
        </mc:AlternateContent>
        <mc:AlternateContent xmlns:mc="http://schemas.openxmlformats.org/markup-compatibility/2006">
          <mc:Choice Requires="x14">
            <control shapeId="4140" r:id="rId34" name="Ф_Грунтовка перед штукатуркой">
              <controlPr defaultSize="0" print="0" autoFill="0" autoLine="0" autoPict="0">
                <anchor moveWithCells="1">
                  <from>
                    <xdr:col>2</xdr:col>
                    <xdr:colOff>0</xdr:colOff>
                    <xdr:row>41</xdr:row>
                    <xdr:rowOff>19050</xdr:rowOff>
                  </from>
                  <to>
                    <xdr:col>2</xdr:col>
                    <xdr:colOff>190500</xdr:colOff>
                    <xdr:row>41</xdr:row>
                    <xdr:rowOff>190500</xdr:rowOff>
                  </to>
                </anchor>
              </controlPr>
            </control>
          </mc:Choice>
        </mc:AlternateContent>
        <mc:AlternateContent xmlns:mc="http://schemas.openxmlformats.org/markup-compatibility/2006">
          <mc:Choice Requires="x14">
            <control shapeId="4142" r:id="rId35" name="Ф_Штукатурка 1 этаж">
              <controlPr defaultSize="0" print="0" autoFill="0" autoLine="0" autoPict="0">
                <anchor moveWithCells="1">
                  <from>
                    <xdr:col>2</xdr:col>
                    <xdr:colOff>0</xdr:colOff>
                    <xdr:row>42</xdr:row>
                    <xdr:rowOff>19050</xdr:rowOff>
                  </from>
                  <to>
                    <xdr:col>2</xdr:col>
                    <xdr:colOff>190500</xdr:colOff>
                    <xdr:row>42</xdr:row>
                    <xdr:rowOff>190500</xdr:rowOff>
                  </to>
                </anchor>
              </controlPr>
            </control>
          </mc:Choice>
        </mc:AlternateContent>
        <mc:AlternateContent xmlns:mc="http://schemas.openxmlformats.org/markup-compatibility/2006">
          <mc:Choice Requires="x14">
            <control shapeId="4144" r:id="rId36" name="Ф_Штукатурка М этаж">
              <controlPr defaultSize="0" print="0" autoFill="0" autoLine="0" autoPict="0">
                <anchor moveWithCells="1">
                  <from>
                    <xdr:col>2</xdr:col>
                    <xdr:colOff>0</xdr:colOff>
                    <xdr:row>43</xdr:row>
                    <xdr:rowOff>19050</xdr:rowOff>
                  </from>
                  <to>
                    <xdr:col>2</xdr:col>
                    <xdr:colOff>190500</xdr:colOff>
                    <xdr:row>43</xdr:row>
                    <xdr:rowOff>190500</xdr:rowOff>
                  </to>
                </anchor>
              </controlPr>
            </control>
          </mc:Choice>
        </mc:AlternateContent>
        <mc:AlternateContent xmlns:mc="http://schemas.openxmlformats.org/markup-compatibility/2006">
          <mc:Choice Requires="x14">
            <control shapeId="4145" r:id="rId37" name="Ф_Штукатурка ВНУ откосов">
              <controlPr defaultSize="0" print="0" autoFill="0" autoLine="0" autoPict="0" altText="">
                <anchor moveWithCells="1">
                  <from>
                    <xdr:col>2</xdr:col>
                    <xdr:colOff>0</xdr:colOff>
                    <xdr:row>44</xdr:row>
                    <xdr:rowOff>19050</xdr:rowOff>
                  </from>
                  <to>
                    <xdr:col>2</xdr:col>
                    <xdr:colOff>190500</xdr:colOff>
                    <xdr:row>44</xdr:row>
                    <xdr:rowOff>190500</xdr:rowOff>
                  </to>
                </anchor>
              </controlPr>
            </control>
          </mc:Choice>
        </mc:AlternateContent>
        <mc:AlternateContent xmlns:mc="http://schemas.openxmlformats.org/markup-compatibility/2006">
          <mc:Choice Requires="x14">
            <control shapeId="4146" r:id="rId38" name="Ф_Электрика">
              <controlPr defaultSize="0" print="0" autoFill="0" autoLine="0" autoPict="0">
                <anchor moveWithCells="1">
                  <from>
                    <xdr:col>2</xdr:col>
                    <xdr:colOff>0</xdr:colOff>
                    <xdr:row>49</xdr:row>
                    <xdr:rowOff>19050</xdr:rowOff>
                  </from>
                  <to>
                    <xdr:col>2</xdr:col>
                    <xdr:colOff>190500</xdr:colOff>
                    <xdr:row>49</xdr:row>
                    <xdr:rowOff>190500</xdr:rowOff>
                  </to>
                </anchor>
              </controlPr>
            </control>
          </mc:Choice>
        </mc:AlternateContent>
        <mc:AlternateContent xmlns:mc="http://schemas.openxmlformats.org/markup-compatibility/2006">
          <mc:Choice Requires="x14">
            <control shapeId="4147" r:id="rId39" name="Ф_ОВК">
              <controlPr defaultSize="0" print="0" autoFill="0" autoLine="0" autoPict="0">
                <anchor moveWithCells="1">
                  <from>
                    <xdr:col>2</xdr:col>
                    <xdr:colOff>0</xdr:colOff>
                    <xdr:row>48</xdr:row>
                    <xdr:rowOff>19050</xdr:rowOff>
                  </from>
                  <to>
                    <xdr:col>2</xdr:col>
                    <xdr:colOff>190500</xdr:colOff>
                    <xdr:row>48</xdr:row>
                    <xdr:rowOff>190500</xdr:rowOff>
                  </to>
                </anchor>
              </controlPr>
            </control>
          </mc:Choice>
        </mc:AlternateContent>
        <mc:AlternateContent xmlns:mc="http://schemas.openxmlformats.org/markup-compatibility/2006">
          <mc:Choice Requires="x14">
            <control shapeId="4148" r:id="rId40" name="Ф_Ливнёвка">
              <controlPr defaultSize="0" print="0" autoFill="0" autoLine="0" autoPict="0">
                <anchor moveWithCells="1">
                  <from>
                    <xdr:col>2</xdr:col>
                    <xdr:colOff>0</xdr:colOff>
                    <xdr:row>35</xdr:row>
                    <xdr:rowOff>19050</xdr:rowOff>
                  </from>
                  <to>
                    <xdr:col>2</xdr:col>
                    <xdr:colOff>190500</xdr:colOff>
                    <xdr:row>35</xdr:row>
                    <xdr:rowOff>190500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F7FC8-36D9-4BA2-BC22-32446B6618E5}">
  <sheetPr codeName="Лист13">
    <tabColor theme="8" tint="0.59999389629810485"/>
    <outlinePr summaryBelow="0"/>
    <pageSetUpPr fitToPage="1"/>
  </sheetPr>
  <dimension ref="B1:H178"/>
  <sheetViews>
    <sheetView showGridLines="0" showRowColHeaders="0" showZeros="0" workbookViewId="0">
      <pane ySplit="2" topLeftCell="A3" activePane="bottomLeft" state="frozen"/>
      <selection activeCell="X7" sqref="X7"/>
      <selection pane="bottomLeft" activeCell="B3" sqref="B3:H3"/>
    </sheetView>
  </sheetViews>
  <sheetFormatPr defaultRowHeight="15.75" outlineLevelRow="1"/>
  <cols>
    <col min="1" max="1" width="6.1640625" style="326" customWidth="1"/>
    <col min="2" max="2" width="6.5" style="381" customWidth="1"/>
    <col min="3" max="3" width="38.5" style="382" customWidth="1"/>
    <col min="4" max="4" width="5.33203125" style="326" customWidth="1"/>
    <col min="5" max="5" width="38.5" style="326" customWidth="1"/>
    <col min="6" max="6" width="5.33203125" style="326" customWidth="1"/>
    <col min="7" max="7" width="38.5" style="326" customWidth="1"/>
    <col min="8" max="8" width="6.33203125" style="326" customWidth="1"/>
    <col min="9" max="9" width="3.5" style="326" customWidth="1"/>
    <col min="10" max="16384" width="9.33203125" style="326"/>
  </cols>
  <sheetData>
    <row r="1" spans="2:8" ht="24.75" customHeight="1" thickTop="1" thickBot="1">
      <c r="B1" s="338"/>
      <c r="C1" s="361" t="s">
        <v>3</v>
      </c>
      <c r="D1" s="333"/>
      <c r="E1" s="341" t="s">
        <v>5</v>
      </c>
      <c r="F1" s="333"/>
      <c r="G1" s="341" t="s">
        <v>7</v>
      </c>
      <c r="H1" s="333"/>
    </row>
    <row r="2" spans="2:8" ht="9.75" customHeight="1" thickTop="1">
      <c r="B2" s="330"/>
      <c r="C2" s="331"/>
      <c r="D2" s="332"/>
      <c r="E2" s="332"/>
      <c r="F2" s="332"/>
      <c r="G2" s="332"/>
      <c r="H2" s="332"/>
    </row>
    <row r="3" spans="2:8" ht="22.5">
      <c r="B3" s="362" t="s">
        <v>322</v>
      </c>
      <c r="C3" s="362"/>
      <c r="D3" s="362"/>
      <c r="E3" s="362"/>
      <c r="F3" s="362"/>
      <c r="G3" s="362"/>
      <c r="H3" s="362"/>
    </row>
    <row r="4" spans="2:8" ht="52.5" customHeight="1">
      <c r="B4" s="363" t="s">
        <v>323</v>
      </c>
      <c r="C4" s="363"/>
      <c r="D4" s="363"/>
      <c r="E4" s="363"/>
      <c r="F4" s="363"/>
      <c r="G4" s="363"/>
      <c r="H4" s="363"/>
    </row>
    <row r="5" spans="2:8">
      <c r="B5" s="364" t="s">
        <v>324</v>
      </c>
      <c r="C5" s="364"/>
      <c r="D5" s="364"/>
      <c r="E5" s="364"/>
      <c r="F5" s="364"/>
      <c r="G5" s="364"/>
      <c r="H5" s="364"/>
    </row>
    <row r="6" spans="2:8">
      <c r="B6" s="330"/>
      <c r="C6" s="331"/>
      <c r="D6" s="332"/>
      <c r="E6" s="332"/>
      <c r="F6" s="332"/>
      <c r="G6" s="332"/>
      <c r="H6" s="332"/>
    </row>
    <row r="7" spans="2:8" ht="20.25">
      <c r="B7" s="365" t="s">
        <v>325</v>
      </c>
      <c r="C7" s="366"/>
      <c r="D7" s="366"/>
      <c r="E7" s="366"/>
      <c r="F7" s="366"/>
      <c r="G7" s="366"/>
      <c r="H7" s="367"/>
    </row>
    <row r="8" spans="2:8" outlineLevel="1">
      <c r="B8" s="368"/>
      <c r="C8" s="369"/>
      <c r="D8" s="369"/>
      <c r="E8" s="369"/>
      <c r="F8" s="369"/>
      <c r="G8" s="369"/>
      <c r="H8" s="369"/>
    </row>
    <row r="9" spans="2:8" ht="47.25" customHeight="1" outlineLevel="1">
      <c r="B9" s="370" t="s">
        <v>326</v>
      </c>
      <c r="C9" s="371" t="s">
        <v>327</v>
      </c>
      <c r="D9" s="372"/>
      <c r="E9" s="372"/>
      <c r="F9" s="372"/>
      <c r="G9" s="373"/>
      <c r="H9" s="374"/>
    </row>
    <row r="10" spans="2:8" ht="63" customHeight="1" outlineLevel="1">
      <c r="B10" s="370"/>
      <c r="C10" s="375" t="s">
        <v>328</v>
      </c>
      <c r="D10" s="376"/>
      <c r="E10" s="376"/>
      <c r="F10" s="376"/>
      <c r="G10" s="377"/>
      <c r="H10" s="378"/>
    </row>
    <row r="11" spans="2:8" outlineLevel="1">
      <c r="B11" s="330"/>
      <c r="C11" s="331"/>
      <c r="D11" s="332"/>
      <c r="E11" s="332"/>
      <c r="F11" s="332"/>
      <c r="G11" s="332"/>
      <c r="H11" s="332"/>
    </row>
    <row r="12" spans="2:8" ht="33" customHeight="1" outlineLevel="1">
      <c r="B12" s="370" t="s">
        <v>329</v>
      </c>
      <c r="C12" s="371" t="s">
        <v>330</v>
      </c>
      <c r="D12" s="372"/>
      <c r="E12" s="372"/>
      <c r="F12" s="372"/>
      <c r="G12" s="373"/>
      <c r="H12" s="374"/>
    </row>
    <row r="13" spans="2:8" ht="18" customHeight="1" outlineLevel="1">
      <c r="B13" s="370"/>
      <c r="C13" s="375" t="s">
        <v>331</v>
      </c>
      <c r="D13" s="376"/>
      <c r="E13" s="376"/>
      <c r="F13" s="376"/>
      <c r="G13" s="377"/>
      <c r="H13" s="378"/>
    </row>
    <row r="14" spans="2:8" outlineLevel="1">
      <c r="B14" s="330"/>
      <c r="C14" s="331"/>
      <c r="D14" s="332"/>
      <c r="E14" s="332"/>
      <c r="F14" s="332"/>
      <c r="G14" s="332"/>
      <c r="H14" s="332"/>
    </row>
    <row r="15" spans="2:8" ht="34.5" customHeight="1" outlineLevel="1">
      <c r="B15" s="370" t="s">
        <v>332</v>
      </c>
      <c r="C15" s="371" t="s">
        <v>333</v>
      </c>
      <c r="D15" s="372"/>
      <c r="E15" s="372"/>
      <c r="F15" s="372"/>
      <c r="G15" s="373"/>
      <c r="H15" s="374"/>
    </row>
    <row r="16" spans="2:8" ht="64.5" customHeight="1" outlineLevel="1">
      <c r="B16" s="370"/>
      <c r="C16" s="375" t="s">
        <v>334</v>
      </c>
      <c r="D16" s="376"/>
      <c r="E16" s="376"/>
      <c r="F16" s="376"/>
      <c r="G16" s="377"/>
      <c r="H16" s="378"/>
    </row>
    <row r="17" spans="2:8" outlineLevel="1">
      <c r="B17" s="330"/>
      <c r="C17" s="331"/>
      <c r="D17" s="332"/>
      <c r="E17" s="332"/>
      <c r="F17" s="332"/>
      <c r="G17" s="332"/>
      <c r="H17" s="332"/>
    </row>
    <row r="18" spans="2:8" ht="32.25" customHeight="1" outlineLevel="1">
      <c r="B18" s="370" t="s">
        <v>335</v>
      </c>
      <c r="C18" s="371" t="s">
        <v>336</v>
      </c>
      <c r="D18" s="372"/>
      <c r="E18" s="372"/>
      <c r="F18" s="372"/>
      <c r="G18" s="373"/>
      <c r="H18" s="374"/>
    </row>
    <row r="19" spans="2:8" ht="80.25" customHeight="1" outlineLevel="1">
      <c r="B19" s="370"/>
      <c r="C19" s="375" t="s">
        <v>337</v>
      </c>
      <c r="D19" s="376"/>
      <c r="E19" s="376"/>
      <c r="F19" s="376"/>
      <c r="G19" s="377"/>
      <c r="H19" s="378"/>
    </row>
    <row r="20" spans="2:8" outlineLevel="1">
      <c r="B20" s="330"/>
      <c r="C20" s="331"/>
      <c r="D20" s="332"/>
      <c r="E20" s="332"/>
      <c r="F20" s="332"/>
      <c r="G20" s="332"/>
      <c r="H20" s="332"/>
    </row>
    <row r="21" spans="2:8" ht="33.75" customHeight="1" outlineLevel="1">
      <c r="B21" s="370" t="s">
        <v>338</v>
      </c>
      <c r="C21" s="371" t="s">
        <v>339</v>
      </c>
      <c r="D21" s="372"/>
      <c r="E21" s="372"/>
      <c r="F21" s="372"/>
      <c r="G21" s="373"/>
      <c r="H21" s="374"/>
    </row>
    <row r="22" spans="2:8" ht="64.5" customHeight="1" outlineLevel="1">
      <c r="B22" s="370"/>
      <c r="C22" s="375" t="s">
        <v>340</v>
      </c>
      <c r="D22" s="376"/>
      <c r="E22" s="376"/>
      <c r="F22" s="376"/>
      <c r="G22" s="377"/>
      <c r="H22" s="378"/>
    </row>
    <row r="23" spans="2:8" outlineLevel="1">
      <c r="B23" s="330"/>
      <c r="C23" s="331"/>
      <c r="D23" s="332"/>
      <c r="E23" s="332"/>
      <c r="F23" s="332"/>
      <c r="G23" s="332"/>
      <c r="H23" s="332"/>
    </row>
    <row r="24" spans="2:8" ht="35.25" customHeight="1" outlineLevel="1">
      <c r="B24" s="370" t="s">
        <v>341</v>
      </c>
      <c r="C24" s="371" t="s">
        <v>342</v>
      </c>
      <c r="D24" s="372"/>
      <c r="E24" s="372"/>
      <c r="F24" s="372"/>
      <c r="G24" s="373"/>
      <c r="H24" s="374"/>
    </row>
    <row r="25" spans="2:8" ht="79.5" customHeight="1" outlineLevel="1">
      <c r="B25" s="370"/>
      <c r="C25" s="375" t="s">
        <v>343</v>
      </c>
      <c r="D25" s="376"/>
      <c r="E25" s="376"/>
      <c r="F25" s="376"/>
      <c r="G25" s="377"/>
      <c r="H25" s="378"/>
    </row>
    <row r="26" spans="2:8" outlineLevel="1">
      <c r="B26" s="330"/>
      <c r="C26" s="331"/>
      <c r="D26" s="332"/>
      <c r="E26" s="332"/>
      <c r="F26" s="332"/>
      <c r="G26" s="332"/>
      <c r="H26" s="332"/>
    </row>
    <row r="27" spans="2:8" outlineLevel="1">
      <c r="B27" s="370" t="s">
        <v>344</v>
      </c>
      <c r="C27" s="371" t="s">
        <v>345</v>
      </c>
      <c r="D27" s="372"/>
      <c r="E27" s="372"/>
      <c r="F27" s="372"/>
      <c r="G27" s="373"/>
      <c r="H27" s="374"/>
    </row>
    <row r="28" spans="2:8" ht="34.5" customHeight="1" outlineLevel="1">
      <c r="B28" s="370"/>
      <c r="C28" s="375" t="s">
        <v>346</v>
      </c>
      <c r="D28" s="376"/>
      <c r="E28" s="376"/>
      <c r="F28" s="376"/>
      <c r="G28" s="377"/>
      <c r="H28" s="378"/>
    </row>
    <row r="29" spans="2:8" outlineLevel="1">
      <c r="B29" s="330"/>
      <c r="C29" s="331"/>
      <c r="D29" s="332"/>
      <c r="E29" s="332"/>
      <c r="F29" s="332"/>
      <c r="G29" s="332"/>
      <c r="H29" s="332"/>
    </row>
    <row r="30" spans="2:8" outlineLevel="1">
      <c r="B30" s="370" t="s">
        <v>347</v>
      </c>
      <c r="C30" s="371" t="s">
        <v>348</v>
      </c>
      <c r="D30" s="372"/>
      <c r="E30" s="372"/>
      <c r="F30" s="372"/>
      <c r="G30" s="373"/>
      <c r="H30" s="374"/>
    </row>
    <row r="31" spans="2:8" ht="51.75" customHeight="1" outlineLevel="1">
      <c r="B31" s="370"/>
      <c r="C31" s="375" t="s">
        <v>349</v>
      </c>
      <c r="D31" s="376"/>
      <c r="E31" s="376"/>
      <c r="F31" s="376"/>
      <c r="G31" s="377"/>
      <c r="H31" s="378"/>
    </row>
    <row r="32" spans="2:8" outlineLevel="1">
      <c r="B32" s="330"/>
      <c r="C32" s="331"/>
      <c r="D32" s="332"/>
      <c r="E32" s="332"/>
      <c r="F32" s="332"/>
      <c r="G32" s="332"/>
      <c r="H32" s="332"/>
    </row>
    <row r="33" spans="2:8" ht="20.25">
      <c r="B33" s="365" t="s">
        <v>350</v>
      </c>
      <c r="C33" s="366"/>
      <c r="D33" s="366"/>
      <c r="E33" s="366"/>
      <c r="F33" s="366"/>
      <c r="G33" s="366"/>
      <c r="H33" s="367"/>
    </row>
    <row r="34" spans="2:8" outlineLevel="1">
      <c r="B34" s="368"/>
      <c r="C34" s="369"/>
      <c r="D34" s="369"/>
      <c r="E34" s="369"/>
      <c r="F34" s="369"/>
      <c r="G34" s="369"/>
      <c r="H34" s="369"/>
    </row>
    <row r="35" spans="2:8" outlineLevel="1">
      <c r="B35" s="370" t="s">
        <v>351</v>
      </c>
      <c r="C35" s="371" t="s">
        <v>352</v>
      </c>
      <c r="D35" s="372"/>
      <c r="E35" s="372"/>
      <c r="F35" s="372"/>
      <c r="G35" s="373"/>
      <c r="H35" s="374"/>
    </row>
    <row r="36" spans="2:8" ht="34.5" customHeight="1" outlineLevel="1">
      <c r="B36" s="370"/>
      <c r="C36" s="375" t="s">
        <v>353</v>
      </c>
      <c r="D36" s="376"/>
      <c r="E36" s="376"/>
      <c r="F36" s="376"/>
      <c r="G36" s="377"/>
      <c r="H36" s="378"/>
    </row>
    <row r="37" spans="2:8" outlineLevel="1">
      <c r="B37" s="330"/>
      <c r="C37" s="331"/>
      <c r="D37" s="332"/>
      <c r="E37" s="332"/>
      <c r="F37" s="332"/>
      <c r="G37" s="332"/>
      <c r="H37" s="332"/>
    </row>
    <row r="38" spans="2:8" outlineLevel="1">
      <c r="B38" s="370" t="s">
        <v>354</v>
      </c>
      <c r="C38" s="371" t="s">
        <v>355</v>
      </c>
      <c r="D38" s="372"/>
      <c r="E38" s="372"/>
      <c r="F38" s="372"/>
      <c r="G38" s="373"/>
      <c r="H38" s="374"/>
    </row>
    <row r="39" spans="2:8" ht="34.5" customHeight="1" outlineLevel="1">
      <c r="B39" s="370"/>
      <c r="C39" s="375" t="s">
        <v>356</v>
      </c>
      <c r="D39" s="376"/>
      <c r="E39" s="376"/>
      <c r="F39" s="376"/>
      <c r="G39" s="377"/>
      <c r="H39" s="378"/>
    </row>
    <row r="40" spans="2:8" outlineLevel="1">
      <c r="B40" s="330"/>
      <c r="C40" s="331"/>
      <c r="D40" s="332"/>
      <c r="E40" s="332"/>
      <c r="F40" s="332"/>
      <c r="G40" s="332"/>
      <c r="H40" s="332"/>
    </row>
    <row r="41" spans="2:8" ht="18.75" customHeight="1" outlineLevel="1">
      <c r="B41" s="370" t="s">
        <v>357</v>
      </c>
      <c r="C41" s="371" t="s">
        <v>358</v>
      </c>
      <c r="D41" s="372"/>
      <c r="E41" s="372"/>
      <c r="F41" s="372"/>
      <c r="G41" s="373"/>
      <c r="H41" s="374"/>
    </row>
    <row r="42" spans="2:8" ht="36.75" customHeight="1" outlineLevel="1">
      <c r="B42" s="370"/>
      <c r="C42" s="375" t="s">
        <v>359</v>
      </c>
      <c r="D42" s="376"/>
      <c r="E42" s="376"/>
      <c r="F42" s="376"/>
      <c r="G42" s="377"/>
      <c r="H42" s="378"/>
    </row>
    <row r="43" spans="2:8" outlineLevel="1">
      <c r="B43" s="330"/>
      <c r="C43" s="331"/>
      <c r="D43" s="332"/>
      <c r="E43" s="332"/>
      <c r="F43" s="332"/>
      <c r="G43" s="332"/>
      <c r="H43" s="332"/>
    </row>
    <row r="44" spans="2:8" ht="34.5" customHeight="1" outlineLevel="1">
      <c r="B44" s="370" t="s">
        <v>360</v>
      </c>
      <c r="C44" s="371" t="s">
        <v>361</v>
      </c>
      <c r="D44" s="372"/>
      <c r="E44" s="372"/>
      <c r="F44" s="372"/>
      <c r="G44" s="373"/>
      <c r="H44" s="374"/>
    </row>
    <row r="45" spans="2:8" ht="84" customHeight="1" outlineLevel="1">
      <c r="B45" s="370"/>
      <c r="C45" s="375" t="s">
        <v>362</v>
      </c>
      <c r="D45" s="376"/>
      <c r="E45" s="376"/>
      <c r="F45" s="376"/>
      <c r="G45" s="377"/>
      <c r="H45" s="378"/>
    </row>
    <row r="46" spans="2:8" outlineLevel="1">
      <c r="B46" s="330"/>
      <c r="C46" s="331"/>
      <c r="D46" s="332"/>
      <c r="E46" s="332"/>
      <c r="F46" s="332"/>
      <c r="G46" s="332"/>
      <c r="H46" s="332"/>
    </row>
    <row r="47" spans="2:8" outlineLevel="1">
      <c r="B47" s="370" t="s">
        <v>363</v>
      </c>
      <c r="C47" s="371" t="s">
        <v>364</v>
      </c>
      <c r="D47" s="372"/>
      <c r="E47" s="372"/>
      <c r="F47" s="372"/>
      <c r="G47" s="373"/>
      <c r="H47" s="374"/>
    </row>
    <row r="48" spans="2:8" ht="48.75" customHeight="1" outlineLevel="1">
      <c r="B48" s="370"/>
      <c r="C48" s="375" t="s">
        <v>365</v>
      </c>
      <c r="D48" s="376"/>
      <c r="E48" s="376"/>
      <c r="F48" s="376"/>
      <c r="G48" s="377"/>
      <c r="H48" s="378"/>
    </row>
    <row r="49" spans="2:8" outlineLevel="1">
      <c r="B49" s="330"/>
      <c r="C49" s="331"/>
      <c r="D49" s="332"/>
      <c r="E49" s="332"/>
      <c r="F49" s="332"/>
      <c r="G49" s="332"/>
      <c r="H49" s="332"/>
    </row>
    <row r="50" spans="2:8" outlineLevel="1">
      <c r="B50" s="370" t="s">
        <v>366</v>
      </c>
      <c r="C50" s="371" t="s">
        <v>367</v>
      </c>
      <c r="D50" s="372"/>
      <c r="E50" s="372"/>
      <c r="F50" s="372"/>
      <c r="G50" s="373"/>
      <c r="H50" s="374"/>
    </row>
    <row r="51" spans="2:8" outlineLevel="1">
      <c r="B51" s="370"/>
      <c r="C51" s="375" t="s">
        <v>368</v>
      </c>
      <c r="D51" s="376"/>
      <c r="E51" s="376"/>
      <c r="F51" s="376"/>
      <c r="G51" s="377"/>
      <c r="H51" s="378"/>
    </row>
    <row r="52" spans="2:8" outlineLevel="1">
      <c r="B52" s="330"/>
      <c r="C52" s="331"/>
      <c r="D52" s="332"/>
      <c r="E52" s="332"/>
      <c r="F52" s="332"/>
      <c r="G52" s="332"/>
      <c r="H52" s="332"/>
    </row>
    <row r="53" spans="2:8" outlineLevel="1">
      <c r="B53" s="370" t="s">
        <v>369</v>
      </c>
      <c r="C53" s="371" t="s">
        <v>370</v>
      </c>
      <c r="D53" s="372"/>
      <c r="E53" s="372"/>
      <c r="F53" s="372"/>
      <c r="G53" s="373"/>
      <c r="H53" s="374"/>
    </row>
    <row r="54" spans="2:8" ht="37.5" customHeight="1" outlineLevel="1">
      <c r="B54" s="370"/>
      <c r="C54" s="375" t="s">
        <v>371</v>
      </c>
      <c r="D54" s="376"/>
      <c r="E54" s="376"/>
      <c r="F54" s="376"/>
      <c r="G54" s="377"/>
      <c r="H54" s="378"/>
    </row>
    <row r="55" spans="2:8" outlineLevel="1">
      <c r="B55" s="330"/>
      <c r="C55" s="331"/>
      <c r="D55" s="332"/>
      <c r="E55" s="332"/>
      <c r="F55" s="332"/>
      <c r="G55" s="332"/>
      <c r="H55" s="332"/>
    </row>
    <row r="56" spans="2:8" ht="20.25">
      <c r="B56" s="365" t="s">
        <v>60</v>
      </c>
      <c r="C56" s="366"/>
      <c r="D56" s="366"/>
      <c r="E56" s="366"/>
      <c r="F56" s="366"/>
      <c r="G56" s="366"/>
      <c r="H56" s="367"/>
    </row>
    <row r="57" spans="2:8" outlineLevel="1">
      <c r="B57" s="368"/>
      <c r="C57" s="369"/>
      <c r="D57" s="369"/>
      <c r="E57" s="369"/>
      <c r="F57" s="369"/>
      <c r="G57" s="369"/>
      <c r="H57" s="369"/>
    </row>
    <row r="58" spans="2:8" ht="18" customHeight="1" outlineLevel="1">
      <c r="B58" s="370" t="s">
        <v>372</v>
      </c>
      <c r="C58" s="371" t="s">
        <v>373</v>
      </c>
      <c r="D58" s="372"/>
      <c r="E58" s="372"/>
      <c r="F58" s="372"/>
      <c r="G58" s="373"/>
      <c r="H58" s="374"/>
    </row>
    <row r="59" spans="2:8" ht="99" customHeight="1" outlineLevel="1">
      <c r="B59" s="370"/>
      <c r="C59" s="375" t="s">
        <v>374</v>
      </c>
      <c r="D59" s="376"/>
      <c r="E59" s="376"/>
      <c r="F59" s="376"/>
      <c r="G59" s="377"/>
      <c r="H59" s="378"/>
    </row>
    <row r="60" spans="2:8" outlineLevel="1">
      <c r="B60" s="330"/>
      <c r="C60" s="331"/>
      <c r="D60" s="332"/>
      <c r="E60" s="332"/>
      <c r="F60" s="332"/>
      <c r="G60" s="332"/>
      <c r="H60" s="332"/>
    </row>
    <row r="61" spans="2:8" outlineLevel="1">
      <c r="B61" s="370" t="s">
        <v>375</v>
      </c>
      <c r="C61" s="371" t="s">
        <v>376</v>
      </c>
      <c r="D61" s="372"/>
      <c r="E61" s="372"/>
      <c r="F61" s="372"/>
      <c r="G61" s="373"/>
      <c r="H61" s="374"/>
    </row>
    <row r="62" spans="2:8" ht="19.5" customHeight="1" outlineLevel="1">
      <c r="B62" s="370"/>
      <c r="C62" s="375" t="s">
        <v>377</v>
      </c>
      <c r="D62" s="376"/>
      <c r="E62" s="376"/>
      <c r="F62" s="376"/>
      <c r="G62" s="377"/>
      <c r="H62" s="378"/>
    </row>
    <row r="63" spans="2:8" outlineLevel="1">
      <c r="B63" s="330"/>
      <c r="C63" s="331"/>
      <c r="D63" s="332"/>
      <c r="E63" s="332"/>
      <c r="F63" s="332"/>
      <c r="G63" s="332"/>
      <c r="H63" s="332"/>
    </row>
    <row r="64" spans="2:8" outlineLevel="1">
      <c r="B64" s="370" t="s">
        <v>378</v>
      </c>
      <c r="C64" s="371" t="s">
        <v>379</v>
      </c>
      <c r="D64" s="372"/>
      <c r="E64" s="372"/>
      <c r="F64" s="372"/>
      <c r="G64" s="373"/>
      <c r="H64" s="374"/>
    </row>
    <row r="65" spans="2:8" ht="82.5" customHeight="1" outlineLevel="1">
      <c r="B65" s="370"/>
      <c r="C65" s="375" t="s">
        <v>380</v>
      </c>
      <c r="D65" s="376"/>
      <c r="E65" s="376"/>
      <c r="F65" s="376"/>
      <c r="G65" s="377"/>
      <c r="H65" s="378"/>
    </row>
    <row r="66" spans="2:8" outlineLevel="1">
      <c r="B66" s="330"/>
      <c r="C66" s="331"/>
      <c r="D66" s="332"/>
      <c r="E66" s="332"/>
      <c r="F66" s="332"/>
      <c r="G66" s="332"/>
      <c r="H66" s="332"/>
    </row>
    <row r="67" spans="2:8" outlineLevel="1">
      <c r="B67" s="370" t="s">
        <v>381</v>
      </c>
      <c r="C67" s="371" t="s">
        <v>382</v>
      </c>
      <c r="D67" s="372"/>
      <c r="E67" s="372"/>
      <c r="F67" s="372"/>
      <c r="G67" s="373"/>
      <c r="H67" s="374"/>
    </row>
    <row r="68" spans="2:8" ht="33.75" customHeight="1" outlineLevel="1">
      <c r="B68" s="370"/>
      <c r="C68" s="375" t="s">
        <v>383</v>
      </c>
      <c r="D68" s="376"/>
      <c r="E68" s="376"/>
      <c r="F68" s="376"/>
      <c r="G68" s="377"/>
      <c r="H68" s="378"/>
    </row>
    <row r="69" spans="2:8" outlineLevel="1">
      <c r="B69" s="330"/>
      <c r="C69" s="331"/>
      <c r="D69" s="332"/>
      <c r="E69" s="332"/>
      <c r="F69" s="332"/>
      <c r="G69" s="332"/>
      <c r="H69" s="332"/>
    </row>
    <row r="70" spans="2:8" outlineLevel="1">
      <c r="B70" s="370" t="s">
        <v>384</v>
      </c>
      <c r="C70" s="371" t="s">
        <v>385</v>
      </c>
      <c r="D70" s="372"/>
      <c r="E70" s="372"/>
      <c r="F70" s="372"/>
      <c r="G70" s="373"/>
      <c r="H70" s="374"/>
    </row>
    <row r="71" spans="2:8" ht="53.25" customHeight="1" outlineLevel="1">
      <c r="B71" s="370"/>
      <c r="C71" s="375" t="s">
        <v>386</v>
      </c>
      <c r="D71" s="376"/>
      <c r="E71" s="376"/>
      <c r="F71" s="376"/>
      <c r="G71" s="377"/>
      <c r="H71" s="378"/>
    </row>
    <row r="72" spans="2:8" outlineLevel="1">
      <c r="B72" s="330"/>
      <c r="C72" s="331"/>
      <c r="D72" s="332"/>
      <c r="E72" s="332"/>
      <c r="F72" s="332"/>
      <c r="G72" s="332"/>
      <c r="H72" s="332"/>
    </row>
    <row r="73" spans="2:8" ht="20.25">
      <c r="B73" s="365" t="s">
        <v>299</v>
      </c>
      <c r="C73" s="366"/>
      <c r="D73" s="366"/>
      <c r="E73" s="366"/>
      <c r="F73" s="366"/>
      <c r="G73" s="366"/>
      <c r="H73" s="367"/>
    </row>
    <row r="74" spans="2:8" outlineLevel="1">
      <c r="B74" s="368"/>
      <c r="C74" s="369"/>
      <c r="D74" s="369"/>
      <c r="E74" s="369"/>
      <c r="F74" s="369"/>
      <c r="G74" s="369"/>
      <c r="H74" s="369"/>
    </row>
    <row r="75" spans="2:8" outlineLevel="1">
      <c r="B75" s="370" t="s">
        <v>387</v>
      </c>
      <c r="C75" s="371" t="s">
        <v>388</v>
      </c>
      <c r="D75" s="372"/>
      <c r="E75" s="372"/>
      <c r="F75" s="372"/>
      <c r="G75" s="373"/>
      <c r="H75" s="374"/>
    </row>
    <row r="76" spans="2:8" ht="69" customHeight="1" outlineLevel="1">
      <c r="B76" s="370"/>
      <c r="C76" s="375" t="s">
        <v>389</v>
      </c>
      <c r="D76" s="376"/>
      <c r="E76" s="376"/>
      <c r="F76" s="376"/>
      <c r="G76" s="377"/>
      <c r="H76" s="378"/>
    </row>
    <row r="77" spans="2:8" outlineLevel="1">
      <c r="B77" s="330"/>
      <c r="C77" s="331"/>
      <c r="D77" s="332"/>
      <c r="E77" s="332"/>
      <c r="F77" s="332"/>
      <c r="G77" s="332"/>
      <c r="H77" s="332"/>
    </row>
    <row r="78" spans="2:8" outlineLevel="1">
      <c r="B78" s="370" t="s">
        <v>390</v>
      </c>
      <c r="C78" s="371" t="s">
        <v>391</v>
      </c>
      <c r="D78" s="372"/>
      <c r="E78" s="372"/>
      <c r="F78" s="372"/>
      <c r="G78" s="373"/>
      <c r="H78" s="374"/>
    </row>
    <row r="79" spans="2:8" ht="33.75" customHeight="1" outlineLevel="1">
      <c r="B79" s="370"/>
      <c r="C79" s="375" t="s">
        <v>392</v>
      </c>
      <c r="D79" s="376"/>
      <c r="E79" s="376"/>
      <c r="F79" s="376"/>
      <c r="G79" s="377"/>
      <c r="H79" s="378"/>
    </row>
    <row r="80" spans="2:8" outlineLevel="1">
      <c r="B80" s="330"/>
      <c r="C80" s="331"/>
      <c r="D80" s="332"/>
      <c r="E80" s="332"/>
      <c r="F80" s="332"/>
      <c r="G80" s="332"/>
      <c r="H80" s="332"/>
    </row>
    <row r="81" spans="2:8" outlineLevel="1">
      <c r="B81" s="370" t="s">
        <v>393</v>
      </c>
      <c r="C81" s="371" t="s">
        <v>394</v>
      </c>
      <c r="D81" s="372"/>
      <c r="E81" s="372"/>
      <c r="F81" s="372"/>
      <c r="G81" s="373"/>
      <c r="H81" s="374"/>
    </row>
    <row r="82" spans="2:8" ht="66.75" customHeight="1" outlineLevel="1">
      <c r="B82" s="370"/>
      <c r="C82" s="375" t="s">
        <v>395</v>
      </c>
      <c r="D82" s="376"/>
      <c r="E82" s="376"/>
      <c r="F82" s="376"/>
      <c r="G82" s="377"/>
      <c r="H82" s="378"/>
    </row>
    <row r="83" spans="2:8" outlineLevel="1">
      <c r="B83" s="330"/>
      <c r="C83" s="331"/>
      <c r="D83" s="332"/>
      <c r="E83" s="332"/>
      <c r="F83" s="332"/>
      <c r="G83" s="332"/>
      <c r="H83" s="332"/>
    </row>
    <row r="84" spans="2:8" ht="20.25">
      <c r="B84" s="365" t="s">
        <v>396</v>
      </c>
      <c r="C84" s="366"/>
      <c r="D84" s="366"/>
      <c r="E84" s="366"/>
      <c r="F84" s="366"/>
      <c r="G84" s="366"/>
      <c r="H84" s="367"/>
    </row>
    <row r="85" spans="2:8" outlineLevel="1">
      <c r="B85" s="368"/>
      <c r="C85" s="369"/>
      <c r="D85" s="369"/>
      <c r="E85" s="369"/>
      <c r="F85" s="369"/>
      <c r="G85" s="369"/>
      <c r="H85" s="369"/>
    </row>
    <row r="86" spans="2:8" outlineLevel="1">
      <c r="B86" s="370" t="s">
        <v>397</v>
      </c>
      <c r="C86" s="371" t="s">
        <v>398</v>
      </c>
      <c r="D86" s="372"/>
      <c r="E86" s="372"/>
      <c r="F86" s="372"/>
      <c r="G86" s="373"/>
      <c r="H86" s="374"/>
    </row>
    <row r="87" spans="2:8" ht="35.25" customHeight="1" outlineLevel="1">
      <c r="B87" s="370"/>
      <c r="C87" s="375" t="s">
        <v>399</v>
      </c>
      <c r="D87" s="376"/>
      <c r="E87" s="376"/>
      <c r="F87" s="376"/>
      <c r="G87" s="377"/>
      <c r="H87" s="378"/>
    </row>
    <row r="88" spans="2:8" outlineLevel="1">
      <c r="B88" s="330"/>
      <c r="C88" s="331"/>
      <c r="D88" s="332"/>
      <c r="E88" s="332"/>
      <c r="F88" s="332"/>
      <c r="G88" s="332"/>
      <c r="H88" s="332"/>
    </row>
    <row r="89" spans="2:8" outlineLevel="1">
      <c r="B89" s="370" t="s">
        <v>400</v>
      </c>
      <c r="C89" s="371" t="s">
        <v>401</v>
      </c>
      <c r="D89" s="372"/>
      <c r="E89" s="372"/>
      <c r="F89" s="372"/>
      <c r="G89" s="373"/>
      <c r="H89" s="374"/>
    </row>
    <row r="90" spans="2:8" ht="18.75" customHeight="1" outlineLevel="1">
      <c r="B90" s="370"/>
      <c r="C90" s="375" t="s">
        <v>402</v>
      </c>
      <c r="D90" s="376"/>
      <c r="E90" s="376"/>
      <c r="F90" s="376"/>
      <c r="G90" s="377"/>
      <c r="H90" s="378"/>
    </row>
    <row r="91" spans="2:8" outlineLevel="1">
      <c r="B91" s="330"/>
      <c r="C91" s="331"/>
      <c r="D91" s="332"/>
      <c r="E91" s="332"/>
      <c r="F91" s="332"/>
      <c r="G91" s="332"/>
      <c r="H91" s="332"/>
    </row>
    <row r="92" spans="2:8" outlineLevel="1">
      <c r="B92" s="370" t="s">
        <v>403</v>
      </c>
      <c r="C92" s="371" t="s">
        <v>404</v>
      </c>
      <c r="D92" s="372"/>
      <c r="E92" s="372"/>
      <c r="F92" s="372"/>
      <c r="G92" s="373"/>
      <c r="H92" s="374"/>
    </row>
    <row r="93" spans="2:8" ht="37.5" customHeight="1" outlineLevel="1">
      <c r="B93" s="370"/>
      <c r="C93" s="375" t="s">
        <v>405</v>
      </c>
      <c r="D93" s="376"/>
      <c r="E93" s="376"/>
      <c r="F93" s="376"/>
      <c r="G93" s="377"/>
      <c r="H93" s="378"/>
    </row>
    <row r="94" spans="2:8" outlineLevel="1">
      <c r="B94" s="330"/>
      <c r="C94" s="331"/>
      <c r="D94" s="332"/>
      <c r="E94" s="332"/>
      <c r="F94" s="332"/>
      <c r="G94" s="332"/>
      <c r="H94" s="332"/>
    </row>
    <row r="95" spans="2:8" outlineLevel="1">
      <c r="B95" s="370" t="s">
        <v>406</v>
      </c>
      <c r="C95" s="371" t="s">
        <v>407</v>
      </c>
      <c r="D95" s="372"/>
      <c r="E95" s="372"/>
      <c r="F95" s="372"/>
      <c r="G95" s="373"/>
      <c r="H95" s="374"/>
    </row>
    <row r="96" spans="2:8" ht="52.5" customHeight="1" outlineLevel="1">
      <c r="B96" s="370"/>
      <c r="C96" s="375" t="s">
        <v>408</v>
      </c>
      <c r="D96" s="376"/>
      <c r="E96" s="376"/>
      <c r="F96" s="376"/>
      <c r="G96" s="377"/>
      <c r="H96" s="378"/>
    </row>
    <row r="97" spans="2:8" outlineLevel="1">
      <c r="B97" s="330"/>
      <c r="C97" s="331"/>
      <c r="D97" s="332"/>
      <c r="E97" s="332"/>
      <c r="F97" s="332"/>
      <c r="G97" s="332"/>
      <c r="H97" s="332"/>
    </row>
    <row r="98" spans="2:8" ht="20.25">
      <c r="B98" s="365" t="s">
        <v>409</v>
      </c>
      <c r="C98" s="366"/>
      <c r="D98" s="366"/>
      <c r="E98" s="366"/>
      <c r="F98" s="366"/>
      <c r="G98" s="366"/>
      <c r="H98" s="367"/>
    </row>
    <row r="99" spans="2:8" outlineLevel="1">
      <c r="B99" s="368"/>
      <c r="C99" s="369"/>
      <c r="D99" s="369"/>
      <c r="E99" s="369"/>
      <c r="F99" s="369"/>
      <c r="G99" s="369"/>
      <c r="H99" s="369"/>
    </row>
    <row r="100" spans="2:8" outlineLevel="1">
      <c r="B100" s="370" t="s">
        <v>410</v>
      </c>
      <c r="C100" s="371" t="s">
        <v>411</v>
      </c>
      <c r="D100" s="372"/>
      <c r="E100" s="372"/>
      <c r="F100" s="372"/>
      <c r="G100" s="373"/>
      <c r="H100" s="374"/>
    </row>
    <row r="101" spans="2:8" outlineLevel="1">
      <c r="B101" s="370"/>
      <c r="C101" s="375" t="s">
        <v>412</v>
      </c>
      <c r="D101" s="376"/>
      <c r="E101" s="376"/>
      <c r="F101" s="376"/>
      <c r="G101" s="377"/>
      <c r="H101" s="378"/>
    </row>
    <row r="102" spans="2:8" outlineLevel="1">
      <c r="B102" s="330"/>
      <c r="C102" s="331"/>
      <c r="D102" s="332"/>
      <c r="E102" s="332"/>
      <c r="F102" s="332"/>
      <c r="G102" s="332"/>
      <c r="H102" s="332"/>
    </row>
    <row r="103" spans="2:8" ht="33.75" customHeight="1" outlineLevel="1">
      <c r="B103" s="370" t="s">
        <v>413</v>
      </c>
      <c r="C103" s="371" t="s">
        <v>414</v>
      </c>
      <c r="D103" s="372"/>
      <c r="E103" s="372"/>
      <c r="F103" s="372"/>
      <c r="G103" s="373"/>
      <c r="H103" s="374"/>
    </row>
    <row r="104" spans="2:8" outlineLevel="1">
      <c r="B104" s="370"/>
      <c r="C104" s="375" t="s">
        <v>415</v>
      </c>
      <c r="D104" s="376"/>
      <c r="E104" s="376"/>
      <c r="F104" s="376"/>
      <c r="G104" s="377"/>
      <c r="H104" s="378"/>
    </row>
    <row r="105" spans="2:8" outlineLevel="1">
      <c r="B105" s="330"/>
      <c r="C105" s="331"/>
      <c r="D105" s="332"/>
      <c r="E105" s="332"/>
      <c r="F105" s="332"/>
      <c r="G105" s="332"/>
      <c r="H105" s="332"/>
    </row>
    <row r="106" spans="2:8" outlineLevel="1">
      <c r="B106" s="370" t="s">
        <v>416</v>
      </c>
      <c r="C106" s="371" t="s">
        <v>417</v>
      </c>
      <c r="D106" s="372"/>
      <c r="E106" s="372"/>
      <c r="F106" s="372"/>
      <c r="G106" s="373"/>
      <c r="H106" s="374"/>
    </row>
    <row r="107" spans="2:8" ht="21" customHeight="1" outlineLevel="1">
      <c r="B107" s="370"/>
      <c r="C107" s="375" t="s">
        <v>418</v>
      </c>
      <c r="D107" s="376"/>
      <c r="E107" s="376"/>
      <c r="F107" s="376"/>
      <c r="G107" s="377"/>
      <c r="H107" s="378"/>
    </row>
    <row r="108" spans="2:8" outlineLevel="1">
      <c r="B108" s="330"/>
      <c r="C108" s="331"/>
      <c r="D108" s="332"/>
      <c r="E108" s="332"/>
      <c r="F108" s="332"/>
      <c r="G108" s="332"/>
      <c r="H108" s="332"/>
    </row>
    <row r="109" spans="2:8" outlineLevel="1">
      <c r="B109" s="370" t="s">
        <v>419</v>
      </c>
      <c r="C109" s="371" t="s">
        <v>420</v>
      </c>
      <c r="D109" s="372"/>
      <c r="E109" s="372"/>
      <c r="F109" s="372"/>
      <c r="G109" s="373"/>
      <c r="H109" s="374"/>
    </row>
    <row r="110" spans="2:8" ht="41.25" customHeight="1" outlineLevel="1">
      <c r="B110" s="370"/>
      <c r="C110" s="375" t="s">
        <v>421</v>
      </c>
      <c r="D110" s="376"/>
      <c r="E110" s="376"/>
      <c r="F110" s="376"/>
      <c r="G110" s="377"/>
      <c r="H110" s="378"/>
    </row>
    <row r="111" spans="2:8" outlineLevel="1">
      <c r="B111" s="330"/>
      <c r="C111" s="331"/>
      <c r="D111" s="332"/>
      <c r="E111" s="332"/>
      <c r="F111" s="332"/>
      <c r="G111" s="332"/>
      <c r="H111" s="332"/>
    </row>
    <row r="112" spans="2:8" ht="20.25">
      <c r="B112" s="365" t="s">
        <v>422</v>
      </c>
      <c r="C112" s="366"/>
      <c r="D112" s="366"/>
      <c r="E112" s="366"/>
      <c r="F112" s="366"/>
      <c r="G112" s="366"/>
      <c r="H112" s="367"/>
    </row>
    <row r="113" spans="2:8" outlineLevel="1">
      <c r="B113" s="368"/>
      <c r="C113" s="369"/>
      <c r="D113" s="369"/>
      <c r="E113" s="369"/>
      <c r="F113" s="369"/>
      <c r="G113" s="369"/>
      <c r="H113" s="369"/>
    </row>
    <row r="114" spans="2:8" outlineLevel="1">
      <c r="B114" s="370" t="s">
        <v>423</v>
      </c>
      <c r="C114" s="371" t="s">
        <v>424</v>
      </c>
      <c r="D114" s="372"/>
      <c r="E114" s="372"/>
      <c r="F114" s="372"/>
      <c r="G114" s="373"/>
      <c r="H114" s="374"/>
    </row>
    <row r="115" spans="2:8" ht="66" customHeight="1" outlineLevel="1">
      <c r="B115" s="370"/>
      <c r="C115" s="375" t="s">
        <v>425</v>
      </c>
      <c r="D115" s="376"/>
      <c r="E115" s="376"/>
      <c r="F115" s="376"/>
      <c r="G115" s="377"/>
      <c r="H115" s="378"/>
    </row>
    <row r="116" spans="2:8" outlineLevel="1">
      <c r="B116" s="330"/>
      <c r="C116" s="331"/>
      <c r="D116" s="332"/>
      <c r="E116" s="332"/>
      <c r="F116" s="332"/>
      <c r="G116" s="332"/>
      <c r="H116" s="332"/>
    </row>
    <row r="117" spans="2:8" outlineLevel="1">
      <c r="B117" s="370" t="s">
        <v>426</v>
      </c>
      <c r="C117" s="371" t="s">
        <v>427</v>
      </c>
      <c r="D117" s="372"/>
      <c r="E117" s="372"/>
      <c r="F117" s="372"/>
      <c r="G117" s="373"/>
      <c r="H117" s="374"/>
    </row>
    <row r="118" spans="2:8" ht="39.75" customHeight="1" outlineLevel="1">
      <c r="B118" s="370"/>
      <c r="C118" s="375" t="s">
        <v>428</v>
      </c>
      <c r="D118" s="376"/>
      <c r="E118" s="376"/>
      <c r="F118" s="376"/>
      <c r="G118" s="377"/>
      <c r="H118" s="378"/>
    </row>
    <row r="119" spans="2:8" outlineLevel="1">
      <c r="B119" s="330"/>
      <c r="C119" s="331"/>
      <c r="D119" s="332"/>
      <c r="E119" s="332"/>
      <c r="F119" s="332"/>
      <c r="G119" s="332"/>
      <c r="H119" s="332"/>
    </row>
    <row r="120" spans="2:8" outlineLevel="1">
      <c r="B120" s="370" t="s">
        <v>429</v>
      </c>
      <c r="C120" s="371" t="s">
        <v>430</v>
      </c>
      <c r="D120" s="372"/>
      <c r="E120" s="372"/>
      <c r="F120" s="372"/>
      <c r="G120" s="373"/>
      <c r="H120" s="374"/>
    </row>
    <row r="121" spans="2:8" ht="23.25" customHeight="1" outlineLevel="1">
      <c r="B121" s="370"/>
      <c r="C121" s="375" t="s">
        <v>431</v>
      </c>
      <c r="D121" s="376"/>
      <c r="E121" s="376"/>
      <c r="F121" s="376"/>
      <c r="G121" s="377"/>
      <c r="H121" s="378"/>
    </row>
    <row r="122" spans="2:8" outlineLevel="1">
      <c r="B122" s="330"/>
      <c r="C122" s="331"/>
      <c r="D122" s="332"/>
      <c r="E122" s="332"/>
      <c r="F122" s="332"/>
      <c r="G122" s="332"/>
      <c r="H122" s="332"/>
    </row>
    <row r="123" spans="2:8" outlineLevel="1">
      <c r="B123" s="370" t="s">
        <v>432</v>
      </c>
      <c r="C123" s="371" t="s">
        <v>433</v>
      </c>
      <c r="D123" s="372"/>
      <c r="E123" s="372"/>
      <c r="F123" s="372"/>
      <c r="G123" s="373"/>
      <c r="H123" s="374"/>
    </row>
    <row r="124" spans="2:8" ht="21" customHeight="1" outlineLevel="1">
      <c r="B124" s="370"/>
      <c r="C124" s="375" t="s">
        <v>434</v>
      </c>
      <c r="D124" s="376"/>
      <c r="E124" s="376"/>
      <c r="F124" s="376"/>
      <c r="G124" s="377"/>
      <c r="H124" s="378"/>
    </row>
    <row r="125" spans="2:8" outlineLevel="1">
      <c r="B125" s="330"/>
      <c r="C125" s="331"/>
      <c r="D125" s="332"/>
      <c r="E125" s="332"/>
      <c r="F125" s="332"/>
      <c r="G125" s="332"/>
      <c r="H125" s="332"/>
    </row>
    <row r="126" spans="2:8" outlineLevel="1">
      <c r="B126" s="370" t="s">
        <v>435</v>
      </c>
      <c r="C126" s="371" t="s">
        <v>436</v>
      </c>
      <c r="D126" s="372"/>
      <c r="E126" s="372"/>
      <c r="F126" s="372"/>
      <c r="G126" s="373"/>
      <c r="H126" s="374"/>
    </row>
    <row r="127" spans="2:8" outlineLevel="1">
      <c r="B127" s="370"/>
      <c r="C127" s="375" t="s">
        <v>437</v>
      </c>
      <c r="D127" s="376"/>
      <c r="E127" s="376"/>
      <c r="F127" s="376"/>
      <c r="G127" s="377"/>
      <c r="H127" s="378"/>
    </row>
    <row r="128" spans="2:8" ht="69.75" customHeight="1" outlineLevel="1">
      <c r="B128" s="330"/>
      <c r="C128" s="331"/>
      <c r="D128" s="332"/>
      <c r="E128" s="332"/>
      <c r="F128" s="332"/>
      <c r="G128" s="332"/>
      <c r="H128" s="332"/>
    </row>
    <row r="129" spans="2:8" ht="20.25">
      <c r="B129" s="365" t="s">
        <v>438</v>
      </c>
      <c r="C129" s="366"/>
      <c r="D129" s="366"/>
      <c r="E129" s="366"/>
      <c r="F129" s="366"/>
      <c r="G129" s="366"/>
      <c r="H129" s="367"/>
    </row>
    <row r="130" spans="2:8" outlineLevel="1">
      <c r="B130" s="368"/>
      <c r="C130" s="369"/>
      <c r="D130" s="369"/>
      <c r="E130" s="369"/>
      <c r="F130" s="369"/>
      <c r="G130" s="369"/>
      <c r="H130" s="369"/>
    </row>
    <row r="131" spans="2:8" ht="33.75" customHeight="1" outlineLevel="1">
      <c r="B131" s="370" t="s">
        <v>439</v>
      </c>
      <c r="C131" s="371" t="s">
        <v>440</v>
      </c>
      <c r="D131" s="372"/>
      <c r="E131" s="372"/>
      <c r="F131" s="372"/>
      <c r="G131" s="373"/>
      <c r="H131" s="374"/>
    </row>
    <row r="132" spans="2:8" ht="81.75" customHeight="1" outlineLevel="1">
      <c r="B132" s="370"/>
      <c r="C132" s="375" t="s">
        <v>441</v>
      </c>
      <c r="D132" s="376"/>
      <c r="E132" s="376"/>
      <c r="F132" s="376"/>
      <c r="G132" s="377"/>
      <c r="H132" s="378"/>
    </row>
    <row r="133" spans="2:8" outlineLevel="1">
      <c r="B133" s="330"/>
      <c r="C133" s="331"/>
      <c r="D133" s="332"/>
      <c r="E133" s="332"/>
      <c r="F133" s="332"/>
      <c r="G133" s="332"/>
      <c r="H133" s="332"/>
    </row>
    <row r="134" spans="2:8" outlineLevel="1">
      <c r="B134" s="370" t="s">
        <v>442</v>
      </c>
      <c r="C134" s="371" t="s">
        <v>443</v>
      </c>
      <c r="D134" s="372"/>
      <c r="E134" s="372"/>
      <c r="F134" s="372"/>
      <c r="G134" s="373"/>
      <c r="H134" s="374"/>
    </row>
    <row r="135" spans="2:8" outlineLevel="1">
      <c r="B135" s="370"/>
      <c r="C135" s="375" t="s">
        <v>444</v>
      </c>
      <c r="D135" s="376"/>
      <c r="E135" s="376"/>
      <c r="F135" s="376"/>
      <c r="G135" s="377"/>
      <c r="H135" s="378"/>
    </row>
    <row r="136" spans="2:8" outlineLevel="1">
      <c r="B136" s="330"/>
      <c r="C136" s="331"/>
      <c r="D136" s="332"/>
      <c r="E136" s="332"/>
      <c r="F136" s="332"/>
      <c r="G136" s="332"/>
      <c r="H136" s="332"/>
    </row>
    <row r="137" spans="2:8" ht="110.25" customHeight="1" outlineLevel="1">
      <c r="B137" s="370" t="s">
        <v>445</v>
      </c>
      <c r="C137" s="371" t="s">
        <v>446</v>
      </c>
      <c r="D137" s="372"/>
      <c r="E137" s="372"/>
      <c r="F137" s="372"/>
      <c r="G137" s="373"/>
      <c r="H137" s="374"/>
    </row>
    <row r="138" spans="2:8" ht="36" customHeight="1" outlineLevel="1">
      <c r="B138" s="370"/>
      <c r="C138" s="375" t="s">
        <v>447</v>
      </c>
      <c r="D138" s="376"/>
      <c r="E138" s="376"/>
      <c r="F138" s="376"/>
      <c r="G138" s="377"/>
      <c r="H138" s="378"/>
    </row>
    <row r="139" spans="2:8" outlineLevel="1">
      <c r="B139" s="330"/>
      <c r="C139" s="331"/>
      <c r="D139" s="332"/>
      <c r="E139" s="332"/>
      <c r="F139" s="332"/>
      <c r="G139" s="332"/>
      <c r="H139" s="332"/>
    </row>
    <row r="140" spans="2:8" outlineLevel="1">
      <c r="B140" s="370" t="s">
        <v>448</v>
      </c>
      <c r="C140" s="371" t="s">
        <v>449</v>
      </c>
      <c r="D140" s="372"/>
      <c r="E140" s="372"/>
      <c r="F140" s="372"/>
      <c r="G140" s="373"/>
      <c r="H140" s="374"/>
    </row>
    <row r="141" spans="2:8" ht="113.25" customHeight="1" outlineLevel="1">
      <c r="B141" s="370"/>
      <c r="C141" s="375" t="s">
        <v>450</v>
      </c>
      <c r="D141" s="376"/>
      <c r="E141" s="376"/>
      <c r="F141" s="376"/>
      <c r="G141" s="377"/>
      <c r="H141" s="378"/>
    </row>
    <row r="142" spans="2:8" outlineLevel="1">
      <c r="B142" s="330"/>
      <c r="C142" s="331"/>
      <c r="D142" s="332"/>
      <c r="E142" s="332"/>
      <c r="F142" s="332"/>
      <c r="G142" s="332"/>
      <c r="H142" s="332"/>
    </row>
    <row r="143" spans="2:8" outlineLevel="1">
      <c r="B143" s="370" t="s">
        <v>451</v>
      </c>
      <c r="C143" s="371" t="s">
        <v>452</v>
      </c>
      <c r="D143" s="372"/>
      <c r="E143" s="372"/>
      <c r="F143" s="372"/>
      <c r="G143" s="373"/>
      <c r="H143" s="374"/>
    </row>
    <row r="144" spans="2:8" ht="34.5" customHeight="1" outlineLevel="1">
      <c r="B144" s="370"/>
      <c r="C144" s="375" t="s">
        <v>453</v>
      </c>
      <c r="D144" s="376"/>
      <c r="E144" s="376"/>
      <c r="F144" s="376"/>
      <c r="G144" s="377"/>
      <c r="H144" s="378"/>
    </row>
    <row r="145" spans="2:8" outlineLevel="1">
      <c r="B145" s="330"/>
      <c r="C145" s="331"/>
      <c r="D145" s="332"/>
      <c r="E145" s="332"/>
      <c r="F145" s="332"/>
      <c r="G145" s="332"/>
      <c r="H145" s="332"/>
    </row>
    <row r="146" spans="2:8" outlineLevel="1">
      <c r="B146" s="370" t="s">
        <v>454</v>
      </c>
      <c r="C146" s="371" t="s">
        <v>455</v>
      </c>
      <c r="D146" s="372"/>
      <c r="E146" s="372"/>
      <c r="F146" s="372"/>
      <c r="G146" s="373"/>
      <c r="H146" s="374"/>
    </row>
    <row r="147" spans="2:8" outlineLevel="1">
      <c r="B147" s="370"/>
      <c r="C147" s="375" t="s">
        <v>456</v>
      </c>
      <c r="D147" s="376"/>
      <c r="E147" s="376"/>
      <c r="F147" s="376"/>
      <c r="G147" s="377"/>
      <c r="H147" s="378"/>
    </row>
    <row r="148" spans="2:8" outlineLevel="1">
      <c r="B148" s="330"/>
      <c r="C148" s="331"/>
      <c r="D148" s="332"/>
      <c r="E148" s="332"/>
      <c r="F148" s="332"/>
      <c r="G148" s="332"/>
      <c r="H148" s="332"/>
    </row>
    <row r="149" spans="2:8" outlineLevel="1">
      <c r="B149" s="370" t="s">
        <v>457</v>
      </c>
      <c r="C149" s="371" t="s">
        <v>458</v>
      </c>
      <c r="D149" s="372"/>
      <c r="E149" s="372"/>
      <c r="F149" s="372"/>
      <c r="G149" s="373"/>
      <c r="H149" s="374"/>
    </row>
    <row r="150" spans="2:8" ht="17.25" customHeight="1" outlineLevel="1">
      <c r="B150" s="370"/>
      <c r="C150" s="375" t="s">
        <v>459</v>
      </c>
      <c r="D150" s="376"/>
      <c r="E150" s="376"/>
      <c r="F150" s="376"/>
      <c r="G150" s="377"/>
      <c r="H150" s="378"/>
    </row>
    <row r="151" spans="2:8" outlineLevel="1">
      <c r="B151" s="330"/>
      <c r="C151" s="331"/>
      <c r="D151" s="332"/>
      <c r="E151" s="332"/>
      <c r="F151" s="332"/>
      <c r="G151" s="332"/>
      <c r="H151" s="332"/>
    </row>
    <row r="152" spans="2:8" ht="34.5" customHeight="1" outlineLevel="1">
      <c r="B152" s="370" t="s">
        <v>460</v>
      </c>
      <c r="C152" s="371" t="s">
        <v>461</v>
      </c>
      <c r="D152" s="372"/>
      <c r="E152" s="372"/>
      <c r="F152" s="372"/>
      <c r="G152" s="373"/>
      <c r="H152" s="374"/>
    </row>
    <row r="153" spans="2:8" ht="35.25" customHeight="1" outlineLevel="1">
      <c r="B153" s="370"/>
      <c r="C153" s="375" t="s">
        <v>462</v>
      </c>
      <c r="D153" s="376"/>
      <c r="E153" s="376"/>
      <c r="F153" s="376"/>
      <c r="G153" s="377"/>
      <c r="H153" s="378"/>
    </row>
    <row r="154" spans="2:8" outlineLevel="1">
      <c r="B154" s="330"/>
      <c r="C154" s="331"/>
      <c r="D154" s="332"/>
      <c r="E154" s="332"/>
      <c r="F154" s="332"/>
      <c r="G154" s="332"/>
      <c r="H154" s="332"/>
    </row>
    <row r="155" spans="2:8" ht="34.5" customHeight="1" outlineLevel="1">
      <c r="B155" s="370" t="s">
        <v>463</v>
      </c>
      <c r="C155" s="371" t="s">
        <v>464</v>
      </c>
      <c r="D155" s="372"/>
      <c r="E155" s="372"/>
      <c r="F155" s="372"/>
      <c r="G155" s="373"/>
      <c r="H155" s="374"/>
    </row>
    <row r="156" spans="2:8" outlineLevel="1">
      <c r="B156" s="370"/>
      <c r="C156" s="375" t="s">
        <v>465</v>
      </c>
      <c r="D156" s="376"/>
      <c r="E156" s="376"/>
      <c r="F156" s="376"/>
      <c r="G156" s="377"/>
      <c r="H156" s="378"/>
    </row>
    <row r="157" spans="2:8" outlineLevel="1">
      <c r="B157" s="330"/>
      <c r="C157" s="331"/>
      <c r="D157" s="332"/>
      <c r="E157" s="332"/>
      <c r="F157" s="332"/>
      <c r="G157" s="332"/>
      <c r="H157" s="332"/>
    </row>
    <row r="158" spans="2:8" ht="50.25" customHeight="1" outlineLevel="1">
      <c r="B158" s="370" t="s">
        <v>466</v>
      </c>
      <c r="C158" s="371" t="s">
        <v>467</v>
      </c>
      <c r="D158" s="372"/>
      <c r="E158" s="372"/>
      <c r="F158" s="372"/>
      <c r="G158" s="373"/>
      <c r="H158" s="374"/>
    </row>
    <row r="159" spans="2:8" ht="35.25" customHeight="1" outlineLevel="1">
      <c r="B159" s="370"/>
      <c r="C159" s="375" t="s">
        <v>468</v>
      </c>
      <c r="D159" s="376"/>
      <c r="E159" s="376"/>
      <c r="F159" s="376"/>
      <c r="G159" s="377"/>
      <c r="H159" s="378"/>
    </row>
    <row r="160" spans="2:8" outlineLevel="1">
      <c r="B160" s="330"/>
      <c r="C160" s="331"/>
      <c r="D160" s="332"/>
      <c r="E160" s="332"/>
      <c r="F160" s="332"/>
      <c r="G160" s="332"/>
      <c r="H160" s="332"/>
    </row>
    <row r="161" spans="2:8" ht="38.25" customHeight="1" outlineLevel="1">
      <c r="B161" s="370" t="s">
        <v>469</v>
      </c>
      <c r="C161" s="371" t="s">
        <v>470</v>
      </c>
      <c r="D161" s="372"/>
      <c r="E161" s="372"/>
      <c r="F161" s="372"/>
      <c r="G161" s="373"/>
      <c r="H161" s="374"/>
    </row>
    <row r="162" spans="2:8" outlineLevel="1">
      <c r="B162" s="370"/>
      <c r="C162" s="375" t="s">
        <v>471</v>
      </c>
      <c r="D162" s="376"/>
      <c r="E162" s="376"/>
      <c r="F162" s="376"/>
      <c r="G162" s="377"/>
      <c r="H162" s="378"/>
    </row>
    <row r="163" spans="2:8" outlineLevel="1">
      <c r="B163" s="330"/>
      <c r="C163" s="331"/>
      <c r="D163" s="332"/>
      <c r="E163" s="332"/>
      <c r="F163" s="332"/>
      <c r="G163" s="332"/>
      <c r="H163" s="332"/>
    </row>
    <row r="164" spans="2:8" outlineLevel="1">
      <c r="B164" s="370" t="s">
        <v>472</v>
      </c>
      <c r="C164" s="371" t="s">
        <v>473</v>
      </c>
      <c r="D164" s="372"/>
      <c r="E164" s="372"/>
      <c r="F164" s="372"/>
      <c r="G164" s="373"/>
      <c r="H164" s="374"/>
    </row>
    <row r="165" spans="2:8" ht="35.25" customHeight="1" outlineLevel="1">
      <c r="B165" s="370"/>
      <c r="C165" s="375" t="s">
        <v>474</v>
      </c>
      <c r="D165" s="376"/>
      <c r="E165" s="376"/>
      <c r="F165" s="376"/>
      <c r="G165" s="377"/>
      <c r="H165" s="378"/>
    </row>
    <row r="166" spans="2:8" outlineLevel="1">
      <c r="B166" s="330"/>
      <c r="C166" s="331"/>
      <c r="D166" s="332"/>
      <c r="E166" s="332"/>
      <c r="F166" s="332"/>
      <c r="G166" s="332"/>
      <c r="H166" s="332"/>
    </row>
    <row r="167" spans="2:8" outlineLevel="1">
      <c r="B167" s="370" t="s">
        <v>475</v>
      </c>
      <c r="C167" s="371" t="s">
        <v>476</v>
      </c>
      <c r="D167" s="372"/>
      <c r="E167" s="372"/>
      <c r="F167" s="372"/>
      <c r="G167" s="373"/>
      <c r="H167" s="374"/>
    </row>
    <row r="168" spans="2:8" outlineLevel="1">
      <c r="B168" s="370"/>
      <c r="C168" s="375" t="s">
        <v>477</v>
      </c>
      <c r="D168" s="376"/>
      <c r="E168" s="376"/>
      <c r="F168" s="376"/>
      <c r="G168" s="377"/>
      <c r="H168" s="378"/>
    </row>
    <row r="169" spans="2:8" outlineLevel="1">
      <c r="B169" s="330"/>
      <c r="C169" s="331"/>
      <c r="D169" s="332"/>
      <c r="E169" s="332"/>
      <c r="F169" s="332"/>
      <c r="G169" s="332"/>
      <c r="H169" s="332"/>
    </row>
    <row r="170" spans="2:8" outlineLevel="1">
      <c r="B170" s="370" t="s">
        <v>478</v>
      </c>
      <c r="C170" s="371" t="s">
        <v>479</v>
      </c>
      <c r="D170" s="372"/>
      <c r="E170" s="372"/>
      <c r="F170" s="372"/>
      <c r="G170" s="373"/>
      <c r="H170" s="374"/>
    </row>
    <row r="171" spans="2:8" outlineLevel="1">
      <c r="B171" s="370"/>
      <c r="C171" s="375" t="s">
        <v>480</v>
      </c>
      <c r="D171" s="376"/>
      <c r="E171" s="376"/>
      <c r="F171" s="376"/>
      <c r="G171" s="377"/>
      <c r="H171" s="378"/>
    </row>
    <row r="172" spans="2:8" outlineLevel="1">
      <c r="B172" s="330"/>
      <c r="C172" s="331"/>
      <c r="D172" s="332"/>
      <c r="E172" s="332"/>
      <c r="F172" s="332"/>
      <c r="G172" s="332"/>
      <c r="H172" s="332"/>
    </row>
    <row r="173" spans="2:8" outlineLevel="1">
      <c r="B173" s="370" t="s">
        <v>481</v>
      </c>
      <c r="C173" s="371" t="s">
        <v>482</v>
      </c>
      <c r="D173" s="372"/>
      <c r="E173" s="372"/>
      <c r="F173" s="372"/>
      <c r="G173" s="373"/>
      <c r="H173" s="374"/>
    </row>
    <row r="174" spans="2:8" ht="50.25" customHeight="1" outlineLevel="1">
      <c r="B174" s="370"/>
      <c r="C174" s="375" t="s">
        <v>483</v>
      </c>
      <c r="D174" s="376"/>
      <c r="E174" s="376"/>
      <c r="F174" s="376"/>
      <c r="G174" s="377"/>
      <c r="H174" s="378"/>
    </row>
    <row r="175" spans="2:8" outlineLevel="1">
      <c r="B175" s="330"/>
      <c r="C175" s="331"/>
      <c r="D175" s="332"/>
      <c r="E175" s="332"/>
      <c r="F175" s="332"/>
      <c r="G175" s="332"/>
      <c r="H175" s="332"/>
    </row>
    <row r="176" spans="2:8">
      <c r="B176" s="379" t="s">
        <v>484</v>
      </c>
      <c r="C176" s="380"/>
      <c r="D176" s="380"/>
      <c r="E176" s="380"/>
      <c r="F176" s="380"/>
      <c r="G176" s="380"/>
      <c r="H176" s="380"/>
    </row>
    <row r="177" spans="2:8" ht="38.25" customHeight="1">
      <c r="B177" s="380"/>
      <c r="C177" s="380"/>
      <c r="D177" s="380"/>
      <c r="E177" s="380"/>
      <c r="F177" s="380"/>
      <c r="G177" s="380"/>
      <c r="H177" s="380"/>
    </row>
    <row r="178" spans="2:8">
      <c r="B178" s="330"/>
      <c r="C178" s="331"/>
      <c r="D178" s="332"/>
      <c r="E178" s="332"/>
      <c r="F178" s="332"/>
      <c r="G178" s="332"/>
      <c r="H178" s="332"/>
    </row>
  </sheetData>
  <mergeCells count="114">
    <mergeCell ref="C168:G168"/>
    <mergeCell ref="C170:G170"/>
    <mergeCell ref="C171:G171"/>
    <mergeCell ref="C173:G173"/>
    <mergeCell ref="C174:G174"/>
    <mergeCell ref="B176:H177"/>
    <mergeCell ref="C159:G159"/>
    <mergeCell ref="C161:G161"/>
    <mergeCell ref="C162:G162"/>
    <mergeCell ref="C164:G164"/>
    <mergeCell ref="C165:G165"/>
    <mergeCell ref="C167:G167"/>
    <mergeCell ref="C150:G150"/>
    <mergeCell ref="C152:G152"/>
    <mergeCell ref="C153:G153"/>
    <mergeCell ref="C155:G155"/>
    <mergeCell ref="C156:G156"/>
    <mergeCell ref="C158:G158"/>
    <mergeCell ref="C141:G141"/>
    <mergeCell ref="C143:G143"/>
    <mergeCell ref="C144:G144"/>
    <mergeCell ref="C146:G146"/>
    <mergeCell ref="C147:G147"/>
    <mergeCell ref="C149:G149"/>
    <mergeCell ref="C132:G132"/>
    <mergeCell ref="C134:G134"/>
    <mergeCell ref="C135:G135"/>
    <mergeCell ref="C137:G137"/>
    <mergeCell ref="C138:G138"/>
    <mergeCell ref="C140:G140"/>
    <mergeCell ref="C123:G123"/>
    <mergeCell ref="C124:G124"/>
    <mergeCell ref="C126:G126"/>
    <mergeCell ref="C127:G127"/>
    <mergeCell ref="B129:H129"/>
    <mergeCell ref="C131:G131"/>
    <mergeCell ref="C114:G114"/>
    <mergeCell ref="C115:G115"/>
    <mergeCell ref="C117:G117"/>
    <mergeCell ref="C118:G118"/>
    <mergeCell ref="C120:G120"/>
    <mergeCell ref="C121:G121"/>
    <mergeCell ref="C104:G104"/>
    <mergeCell ref="C106:G106"/>
    <mergeCell ref="C107:G107"/>
    <mergeCell ref="C109:G109"/>
    <mergeCell ref="C110:G110"/>
    <mergeCell ref="B112:H112"/>
    <mergeCell ref="C95:G95"/>
    <mergeCell ref="C96:G96"/>
    <mergeCell ref="B98:H98"/>
    <mergeCell ref="C100:G100"/>
    <mergeCell ref="C101:G101"/>
    <mergeCell ref="C103:G103"/>
    <mergeCell ref="C86:G86"/>
    <mergeCell ref="C87:G87"/>
    <mergeCell ref="C89:G89"/>
    <mergeCell ref="C90:G90"/>
    <mergeCell ref="C92:G92"/>
    <mergeCell ref="C93:G93"/>
    <mergeCell ref="C76:G76"/>
    <mergeCell ref="C78:G78"/>
    <mergeCell ref="C79:G79"/>
    <mergeCell ref="C81:G81"/>
    <mergeCell ref="C82:G82"/>
    <mergeCell ref="B84:H84"/>
    <mergeCell ref="C67:G67"/>
    <mergeCell ref="C68:G68"/>
    <mergeCell ref="C70:G70"/>
    <mergeCell ref="C71:G71"/>
    <mergeCell ref="B73:H73"/>
    <mergeCell ref="C75:G75"/>
    <mergeCell ref="C58:G58"/>
    <mergeCell ref="C59:G59"/>
    <mergeCell ref="C61:G61"/>
    <mergeCell ref="C62:G62"/>
    <mergeCell ref="C64:G64"/>
    <mergeCell ref="C65:G65"/>
    <mergeCell ref="C48:G48"/>
    <mergeCell ref="C50:G50"/>
    <mergeCell ref="C51:G51"/>
    <mergeCell ref="C53:G53"/>
    <mergeCell ref="C54:G54"/>
    <mergeCell ref="B56:H56"/>
    <mergeCell ref="C39:G39"/>
    <mergeCell ref="C41:G41"/>
    <mergeCell ref="C42:G42"/>
    <mergeCell ref="C44:G44"/>
    <mergeCell ref="C45:G45"/>
    <mergeCell ref="C47:G47"/>
    <mergeCell ref="C30:G30"/>
    <mergeCell ref="C31:G31"/>
    <mergeCell ref="B33:H33"/>
    <mergeCell ref="C35:G35"/>
    <mergeCell ref="C36:G36"/>
    <mergeCell ref="C38:G38"/>
    <mergeCell ref="C21:G21"/>
    <mergeCell ref="C22:G22"/>
    <mergeCell ref="C24:G24"/>
    <mergeCell ref="C25:G25"/>
    <mergeCell ref="C27:G27"/>
    <mergeCell ref="C28:G28"/>
    <mergeCell ref="C12:G12"/>
    <mergeCell ref="C13:G13"/>
    <mergeCell ref="C15:G15"/>
    <mergeCell ref="C16:G16"/>
    <mergeCell ref="C18:G18"/>
    <mergeCell ref="C19:G19"/>
    <mergeCell ref="B3:H3"/>
    <mergeCell ref="B4:H4"/>
    <mergeCell ref="B5:H5"/>
    <mergeCell ref="B7:H7"/>
    <mergeCell ref="C9:G9"/>
    <mergeCell ref="C10:G10"/>
  </mergeCells>
  <dataValidations count="1">
    <dataValidation allowBlank="1" showInputMessage="1" showErrorMessage="1" errorTitle="ВНИМАНИЕ!" error="Содержимое данных ячеек менять нельзя!" sqref="C1 E1 G1" xr:uid="{E36B8228-39C8-479A-86CD-1666E0EEEF44}"/>
  </dataValidations>
  <hyperlinks>
    <hyperlink ref="C1" location="'ПРОСТАЯ СМЕТА'!C7" tooltip="Нажмите для перехода на лист вводных данных" display="ВОДДНЫЕ   ДАННЫЕ" xr:uid="{6B32F3E6-B030-46BA-9D70-1A532391B593}"/>
    <hyperlink ref="E1" location="'ПОДРОБНАЯ СМЕТА'!J1" tooltip="Нажмите для просмотра Сметы" display="СМЕТА" xr:uid="{EADCEC09-CE7D-474B-BD15-570C9EFDB132}"/>
    <hyperlink ref="G1" location="ОПЦИИ!A1" tooltip="Нажмите для работы с Опциями расчета" display="ОПЦИИ   РАСЧЕТА" xr:uid="{E7D0A98D-B9F4-4F9E-BAD6-A62DB2257500}"/>
  </hyperlinks>
  <pageMargins left="0.31496062992125984" right="0.31496062992125984" top="0.55118110236220474" bottom="0.55118110236220474" header="0.31496062992125984" footer="0.31496062992125984"/>
  <pageSetup paperSize="9" scale="86" fitToHeight="0"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035C-BF0C-4A42-9A96-6D12BE820D38}">
  <dimension ref="A1:I487"/>
  <sheetViews>
    <sheetView workbookViewId="0"/>
  </sheetViews>
  <sheetFormatPr defaultRowHeight="12.75"/>
  <cols>
    <col min="1" max="1" width="11.83203125" hidden="1" customWidth="1"/>
    <col min="2" max="2" width="9.5" hidden="1" customWidth="1"/>
    <col min="3" max="3" width="8.6640625" hidden="1" customWidth="1"/>
    <col min="4" max="4" width="9.33203125" style="386" hidden="1" customWidth="1"/>
  </cols>
  <sheetData>
    <row r="1" spans="1:9" ht="13.5">
      <c r="A1" t="b">
        <v>0</v>
      </c>
      <c r="B1" t="b">
        <v>0</v>
      </c>
      <c r="C1" t="b">
        <v>0</v>
      </c>
      <c r="D1" s="386" t="b">
        <v>0</v>
      </c>
      <c r="E1" s="336">
        <f ca="1">TODAY()</f>
        <v>45182</v>
      </c>
      <c r="F1" s="334">
        <v>4</v>
      </c>
      <c r="G1" s="334">
        <v>4500</v>
      </c>
      <c r="H1" s="334">
        <f>G1*$F$1</f>
        <v>18000</v>
      </c>
      <c r="I1" s="337">
        <f ca="1">E1+CHOOSE(MONTH(E1),120,89,61,30,31,30,31,31,30,212,181,151)</f>
        <v>45212</v>
      </c>
    </row>
    <row r="2" spans="1:9">
      <c r="A2" t="b">
        <v>0</v>
      </c>
      <c r="B2" t="b">
        <v>0</v>
      </c>
      <c r="C2" t="b">
        <v>0</v>
      </c>
      <c r="D2" s="386" t="b">
        <v>0</v>
      </c>
      <c r="E2" s="334" t="str">
        <f>TEXT(I2,"[$-F419]ДД.ММ.ГГГГ")&amp;" ОБУСТРОЙСТВО"</f>
        <v>16.10.2023 ОБУСТРОЙСТВО</v>
      </c>
      <c r="F2" s="334">
        <f>IFERROR('ПОДРОБНАЯ СМЕТА'!G19,0)</f>
        <v>20000</v>
      </c>
      <c r="G2" s="334">
        <f>CEILING(F2/$H$1+1,1)*IF('ПОДРОБНАЯ СМЕТА'!I485=0,0,1)</f>
        <v>3</v>
      </c>
      <c r="H2" s="334">
        <f>G2</f>
        <v>3</v>
      </c>
      <c r="I2" s="337">
        <f>G2+ОПЦИИ!M2</f>
        <v>45215</v>
      </c>
    </row>
    <row r="3" spans="1:9">
      <c r="A3" t="b">
        <v>0</v>
      </c>
      <c r="B3" t="b">
        <v>0</v>
      </c>
      <c r="C3" t="b">
        <v>0</v>
      </c>
      <c r="D3" s="386" t="b">
        <v>0</v>
      </c>
      <c r="E3" s="334" t="str">
        <f>TEXT(I3,"[$-F419]ДД.ММ.ГГГГ")&amp;" ФУНДАМЕНТ"</f>
        <v>13.11.2023 ФУНДАМЕНТ</v>
      </c>
      <c r="F3" s="334">
        <f>IFERROR('ПОДРОБНАЯ СМЕТА'!G63,0)</f>
        <v>423487</v>
      </c>
      <c r="G3" s="334">
        <f>CEILING(F3/$H$1,7)*IF('ПОДРОБНАЯ СМЕТА'!I485=0,0,1)</f>
        <v>28</v>
      </c>
      <c r="H3" s="334">
        <f>G3+H2</f>
        <v>31</v>
      </c>
      <c r="I3" s="337">
        <f>G3+I2</f>
        <v>45243</v>
      </c>
    </row>
    <row r="4" spans="1:9">
      <c r="A4" t="b">
        <v>0</v>
      </c>
      <c r="B4" t="b">
        <v>0</v>
      </c>
      <c r="C4" t="b">
        <v>0</v>
      </c>
      <c r="D4" s="386" t="b">
        <v>0</v>
      </c>
      <c r="E4" s="334" t="str">
        <f>TEXT(I4,"[$-F419]ДД.ММ.ГГГГ")&amp;" СТЕНЫ"</f>
        <v>25.12.2023 СТЕНЫ</v>
      </c>
      <c r="F4" s="343">
        <f>IFERROR('ПОДРОБНАЯ СМЕТА'!G124,0)+IFERROR('ПОДРОБНАЯ СМЕТА'!#REF!,0)</f>
        <v>676144</v>
      </c>
      <c r="G4" s="334">
        <f>CEILING(F4/$H$1,14)*IF('ПОДРОБНАЯ СМЕТА'!I485=0,0,1)</f>
        <v>42</v>
      </c>
      <c r="H4" s="334">
        <f>G4+H3</f>
        <v>73</v>
      </c>
      <c r="I4" s="337">
        <f>G4+I3</f>
        <v>45285</v>
      </c>
    </row>
    <row r="5" spans="1:9">
      <c r="A5" t="b">
        <v>0</v>
      </c>
      <c r="B5" t="b">
        <v>0</v>
      </c>
      <c r="C5" t="b">
        <v>0</v>
      </c>
      <c r="D5" s="386" t="b">
        <v>0</v>
      </c>
      <c r="E5" s="334" t="str">
        <f>TEXT(I5,"[$-F419]ДД.ММ.ГГГГ")&amp;" КРОВЛЯ"</f>
        <v>29.01.2024 КРОВЛЯ</v>
      </c>
      <c r="F5" s="334">
        <f>IFERROR('ПОДРОБНАЯ СМЕТА'!G201,0)</f>
        <v>573543</v>
      </c>
      <c r="G5" s="334">
        <f>CEILING(F5/$H$1+3,1)*IF('ПОДРОБНАЯ СМЕТА'!I485=0,0,1)</f>
        <v>35</v>
      </c>
      <c r="H5" s="334">
        <f>G5+H4+IF(G4=0,0,7)</f>
        <v>115</v>
      </c>
      <c r="I5" s="337">
        <f>G5+I4</f>
        <v>45320</v>
      </c>
    </row>
    <row r="6" spans="1:9">
      <c r="A6" t="b">
        <v>1</v>
      </c>
      <c r="B6" t="b">
        <v>0</v>
      </c>
      <c r="C6" t="b">
        <v>1</v>
      </c>
      <c r="D6" s="386" t="b">
        <v>0</v>
      </c>
      <c r="E6" s="334" t="str">
        <f>TEXT(I6,"[$-F419]ДД.ММ.ГГГГ")&amp;"         ДОП. ОПЦИИ"</f>
        <v>10.02.2024         ДОП. ОПЦИИ</v>
      </c>
      <c r="F6" s="343">
        <f>IFERROR(SUMIF('ПОДРОБНАЯ СМЕТА'!$A12:$A481,"=ВСЕГО",'ПОДРОБНАЯ СМЕТА'!G12:G481)-F5-F4-F3-F2,0)</f>
        <v>155200</v>
      </c>
      <c r="G6" s="334">
        <f>CEILING(F6/$H$1+3,2)*IF('ПОДРОБНАЯ СМЕТА'!I485=0,0,1)</f>
        <v>12</v>
      </c>
      <c r="H6" s="334">
        <f>IF(G6=0,0,G6+H5)</f>
        <v>127</v>
      </c>
      <c r="I6" s="337">
        <f>G6+I5</f>
        <v>45332</v>
      </c>
    </row>
    <row r="7" spans="1:9">
      <c r="A7" t="b">
        <v>1</v>
      </c>
      <c r="B7" t="b">
        <v>0</v>
      </c>
      <c r="C7" t="b">
        <v>0</v>
      </c>
      <c r="D7" s="386" t="b">
        <v>0</v>
      </c>
    </row>
    <row r="9" spans="1:9">
      <c r="A9">
        <v>2</v>
      </c>
      <c r="B9">
        <v>2</v>
      </c>
      <c r="C9">
        <v>2</v>
      </c>
      <c r="D9" s="386">
        <v>30</v>
      </c>
    </row>
    <row r="10" spans="1:9">
      <c r="A10" t="s">
        <v>40</v>
      </c>
      <c r="B10" t="s">
        <v>41</v>
      </c>
      <c r="C10" t="s">
        <v>42</v>
      </c>
      <c r="D10" s="386" t="s">
        <v>43</v>
      </c>
    </row>
    <row r="11" spans="1:9">
      <c r="A11" t="s">
        <v>48</v>
      </c>
    </row>
    <row r="13" spans="1:9">
      <c r="A13">
        <v>1</v>
      </c>
      <c r="B13" t="b">
        <f>$A$1</f>
        <v>0</v>
      </c>
    </row>
    <row r="14" spans="1:9">
      <c r="A14">
        <v>1</v>
      </c>
      <c r="B14" t="b">
        <f>B13</f>
        <v>0</v>
      </c>
    </row>
    <row r="15" spans="1:9">
      <c r="A15">
        <v>1</v>
      </c>
      <c r="B15" t="b">
        <v>1</v>
      </c>
    </row>
    <row r="16" spans="1:9">
      <c r="A16">
        <v>3</v>
      </c>
      <c r="B16" t="b">
        <v>1</v>
      </c>
      <c r="D16" s="386">
        <f>'ПОДРОБНАЯ СМЕТА'!C16*0.7</f>
        <v>2.1</v>
      </c>
    </row>
    <row r="18" spans="1:4">
      <c r="B18">
        <v>0.56000000000000005</v>
      </c>
      <c r="D18" s="386">
        <v>0.16</v>
      </c>
    </row>
    <row r="19" spans="1:4">
      <c r="B19">
        <v>1</v>
      </c>
      <c r="C19">
        <v>0.3</v>
      </c>
      <c r="D19" s="386">
        <v>76.73</v>
      </c>
    </row>
    <row r="20" spans="1:4">
      <c r="A20">
        <v>0.15</v>
      </c>
      <c r="B20">
        <v>0.04</v>
      </c>
      <c r="D20" s="386">
        <v>0.16</v>
      </c>
    </row>
    <row r="21" spans="1:4">
      <c r="A21">
        <v>6.5000000000000002E-2</v>
      </c>
      <c r="B21">
        <v>0.12</v>
      </c>
      <c r="D21" s="386">
        <v>0</v>
      </c>
    </row>
    <row r="22" spans="1:4">
      <c r="B22">
        <v>1</v>
      </c>
      <c r="C22">
        <v>0.1</v>
      </c>
      <c r="D22" s="386">
        <v>1</v>
      </c>
    </row>
    <row r="23" spans="1:4">
      <c r="D23" s="386">
        <v>191.4</v>
      </c>
    </row>
    <row r="24" spans="1:4">
      <c r="A24" t="s">
        <v>40</v>
      </c>
      <c r="B24" t="s">
        <v>41</v>
      </c>
      <c r="C24" t="s">
        <v>42</v>
      </c>
      <c r="D24" s="386" t="s">
        <v>43</v>
      </c>
    </row>
    <row r="25" spans="1:4">
      <c r="A25" t="s">
        <v>48</v>
      </c>
    </row>
    <row r="26" spans="1:4">
      <c r="A26">
        <v>1</v>
      </c>
      <c r="B26">
        <v>135.63999999999999</v>
      </c>
      <c r="C26">
        <v>16</v>
      </c>
    </row>
    <row r="27" spans="1:4">
      <c r="A27">
        <v>142.80000000000001</v>
      </c>
      <c r="B27" t="b">
        <v>1</v>
      </c>
    </row>
    <row r="28" spans="1:4">
      <c r="A28">
        <v>135.63999999999999</v>
      </c>
      <c r="B28" t="b">
        <v>1</v>
      </c>
    </row>
    <row r="29" spans="1:4">
      <c r="A29">
        <v>100</v>
      </c>
      <c r="B29" t="b">
        <v>1</v>
      </c>
    </row>
    <row r="30" spans="1:4">
      <c r="A30">
        <v>51</v>
      </c>
      <c r="B30" t="b">
        <v>1</v>
      </c>
    </row>
    <row r="31" spans="1:4">
      <c r="A31">
        <v>420</v>
      </c>
      <c r="B31" t="b">
        <v>1</v>
      </c>
    </row>
    <row r="32" spans="1:4">
      <c r="A32">
        <v>60</v>
      </c>
      <c r="B32" t="b">
        <v>1</v>
      </c>
      <c r="C32">
        <f>CHOOSE($C$452,0,A32,A32)</f>
        <v>60</v>
      </c>
    </row>
    <row r="33" spans="1:4">
      <c r="A33">
        <v>200</v>
      </c>
      <c r="B33" t="b">
        <v>1</v>
      </c>
    </row>
    <row r="34" spans="1:4">
      <c r="A34">
        <v>0.97</v>
      </c>
      <c r="B34" t="b">
        <v>1</v>
      </c>
      <c r="C34">
        <f>CHOOSE($C$452,0,A34,A34*2)</f>
        <v>0.97</v>
      </c>
    </row>
    <row r="35" spans="1:4">
      <c r="A35">
        <v>928</v>
      </c>
      <c r="B35" t="b">
        <v>1</v>
      </c>
      <c r="D35" s="386">
        <f>A35*0.395/1000</f>
        <v>0.37</v>
      </c>
    </row>
    <row r="36" spans="1:4">
      <c r="A36">
        <v>2691</v>
      </c>
      <c r="B36" t="b">
        <v>1</v>
      </c>
      <c r="D36" s="386">
        <f>A36*0.617/1000</f>
        <v>1.66</v>
      </c>
    </row>
    <row r="37" spans="1:4">
      <c r="A37">
        <v>534</v>
      </c>
      <c r="B37" t="b">
        <v>1</v>
      </c>
      <c r="D37" s="386">
        <v>0.84</v>
      </c>
    </row>
    <row r="38" spans="1:4">
      <c r="A38">
        <v>52</v>
      </c>
      <c r="B38" t="b">
        <v>1</v>
      </c>
      <c r="D38" s="386">
        <v>0</v>
      </c>
    </row>
    <row r="39" spans="1:4">
      <c r="A39">
        <v>0.32</v>
      </c>
      <c r="B39" t="b">
        <v>1</v>
      </c>
      <c r="D39" s="386">
        <f>'ПОДРОБНАЯ СМЕТА'!C39*0.7</f>
        <v>0.22</v>
      </c>
    </row>
    <row r="40" spans="1:4">
      <c r="A40">
        <v>2.63</v>
      </c>
      <c r="B40" t="b">
        <v>1</v>
      </c>
      <c r="D40" s="386">
        <f>'ПОДРОБНАЯ СМЕТА'!C40*0.7</f>
        <v>1.84</v>
      </c>
    </row>
    <row r="41" spans="1:4">
      <c r="A41">
        <v>2.34</v>
      </c>
      <c r="B41" t="b">
        <v>1</v>
      </c>
      <c r="D41" s="386">
        <f>'ПОДРОБНАЯ СМЕТА'!C41*0.7</f>
        <v>1.64</v>
      </c>
    </row>
    <row r="42" spans="1:4">
      <c r="A42">
        <v>170</v>
      </c>
      <c r="B42" t="b">
        <v>1</v>
      </c>
      <c r="C42">
        <f>CHOOSE($C$452,0,A42,A42*1.5)</f>
        <v>170</v>
      </c>
    </row>
    <row r="43" spans="1:4">
      <c r="A43">
        <v>31</v>
      </c>
      <c r="B43" t="b">
        <v>1</v>
      </c>
      <c r="C43">
        <f>CHOOSE($C$452,0,0,A43)</f>
        <v>0</v>
      </c>
    </row>
    <row r="44" spans="1:4">
      <c r="A44">
        <v>42</v>
      </c>
      <c r="B44" t="b">
        <v>1</v>
      </c>
      <c r="D44" s="386">
        <f>'ПОДРОБНАЯ СМЕТА'!C44*0.029</f>
        <v>1.22</v>
      </c>
    </row>
    <row r="45" spans="1:4">
      <c r="A45">
        <v>1</v>
      </c>
      <c r="B45" t="b">
        <v>1</v>
      </c>
    </row>
    <row r="46" spans="1:4">
      <c r="A46">
        <v>20</v>
      </c>
      <c r="B46" t="b">
        <v>1</v>
      </c>
    </row>
    <row r="47" spans="1:4">
      <c r="A47">
        <v>25</v>
      </c>
      <c r="B47" t="b">
        <v>1</v>
      </c>
    </row>
    <row r="48" spans="1:4">
      <c r="A48">
        <v>20</v>
      </c>
      <c r="B48" t="b">
        <v>1</v>
      </c>
    </row>
    <row r="49" spans="1:2">
      <c r="A49">
        <v>1</v>
      </c>
      <c r="B49" t="b">
        <v>1</v>
      </c>
    </row>
    <row r="50" spans="1:2">
      <c r="A50">
        <v>6</v>
      </c>
      <c r="B50" t="b">
        <v>1</v>
      </c>
    </row>
    <row r="51" spans="1:2">
      <c r="A51">
        <v>3</v>
      </c>
      <c r="B51" t="b">
        <v>1</v>
      </c>
    </row>
    <row r="52" spans="1:2">
      <c r="A52">
        <v>8</v>
      </c>
      <c r="B52" t="b">
        <v>1</v>
      </c>
    </row>
    <row r="53" spans="1:2">
      <c r="A53">
        <v>28</v>
      </c>
      <c r="B53" t="b">
        <v>1</v>
      </c>
    </row>
    <row r="54" spans="1:2">
      <c r="A54">
        <v>34</v>
      </c>
      <c r="B54" t="b">
        <v>1</v>
      </c>
    </row>
    <row r="55" spans="1:2">
      <c r="A55">
        <v>1</v>
      </c>
      <c r="B55" t="b">
        <v>1</v>
      </c>
    </row>
    <row r="56" spans="1:2">
      <c r="A56">
        <v>6</v>
      </c>
      <c r="B56" t="b">
        <v>1</v>
      </c>
    </row>
    <row r="57" spans="1:2">
      <c r="A57">
        <v>3</v>
      </c>
      <c r="B57" t="b">
        <v>1</v>
      </c>
    </row>
    <row r="58" spans="1:2">
      <c r="A58">
        <v>1</v>
      </c>
      <c r="B58" t="b">
        <f>A2</f>
        <v>0</v>
      </c>
    </row>
    <row r="59" spans="1:2">
      <c r="A59">
        <v>10</v>
      </c>
      <c r="B59" t="b">
        <f>B58</f>
        <v>0</v>
      </c>
    </row>
    <row r="60" spans="1:2">
      <c r="A60">
        <v>3</v>
      </c>
      <c r="B60" t="b">
        <v>1</v>
      </c>
    </row>
    <row r="64" spans="1:2">
      <c r="A64">
        <v>0.15</v>
      </c>
    </row>
    <row r="65" spans="1:4">
      <c r="A65">
        <v>6.5000000000000002E-2</v>
      </c>
    </row>
    <row r="68" spans="1:4">
      <c r="A68" t="s">
        <v>40</v>
      </c>
      <c r="B68" t="s">
        <v>41</v>
      </c>
      <c r="C68" t="s">
        <v>42</v>
      </c>
      <c r="D68" s="386" t="s">
        <v>43</v>
      </c>
    </row>
    <row r="69" spans="1:4">
      <c r="A69" t="s">
        <v>48</v>
      </c>
    </row>
    <row r="71" spans="1:4">
      <c r="A71">
        <v>61</v>
      </c>
      <c r="B71" t="b">
        <v>1</v>
      </c>
    </row>
    <row r="72" spans="1:4">
      <c r="A72">
        <v>81</v>
      </c>
      <c r="B72" t="b">
        <v>1</v>
      </c>
    </row>
    <row r="73" spans="1:4">
      <c r="A73">
        <v>56.1</v>
      </c>
      <c r="B73" t="b">
        <v>1</v>
      </c>
    </row>
    <row r="74" spans="1:4">
      <c r="A74">
        <v>600</v>
      </c>
      <c r="B74" t="b">
        <v>1</v>
      </c>
      <c r="D74" s="386">
        <f>'ПОДРОБНАЯ СМЕТА'!C74/1000</f>
        <v>0.6</v>
      </c>
    </row>
    <row r="75" spans="1:4">
      <c r="A75">
        <v>56.35</v>
      </c>
      <c r="B75" t="b">
        <v>1</v>
      </c>
    </row>
    <row r="76" spans="1:4">
      <c r="A76">
        <v>57.6</v>
      </c>
      <c r="B76" t="b">
        <v>1</v>
      </c>
      <c r="D76" s="386">
        <f>'ПОДРОБНАЯ СМЕТА'!C76*0.5</f>
        <v>28.8</v>
      </c>
    </row>
    <row r="77" spans="1:4">
      <c r="A77">
        <v>545</v>
      </c>
      <c r="B77" t="b">
        <v>1</v>
      </c>
    </row>
    <row r="78" spans="1:4">
      <c r="A78">
        <v>2475</v>
      </c>
      <c r="B78" t="b">
        <v>1</v>
      </c>
      <c r="D78" s="386">
        <f>'ПОДРОБНАЯ СМЕТА'!C78/1000</f>
        <v>2.48</v>
      </c>
    </row>
    <row r="79" spans="1:4">
      <c r="A79">
        <v>28.2</v>
      </c>
      <c r="B79" t="b">
        <v>1</v>
      </c>
    </row>
    <row r="80" spans="1:4">
      <c r="A80">
        <v>75</v>
      </c>
      <c r="B80" t="b">
        <v>1</v>
      </c>
    </row>
    <row r="81" spans="1:4">
      <c r="A81">
        <v>145</v>
      </c>
      <c r="B81" t="b">
        <v>1</v>
      </c>
    </row>
    <row r="82" spans="1:4">
      <c r="A82">
        <v>1.08</v>
      </c>
      <c r="B82" t="b">
        <v>1</v>
      </c>
    </row>
    <row r="83" spans="1:4">
      <c r="A83">
        <v>3760</v>
      </c>
      <c r="B83" t="b">
        <v>1</v>
      </c>
      <c r="D83" s="386">
        <f>'ПОДРОБНАЯ СМЕТА'!C83/1000</f>
        <v>3.76</v>
      </c>
    </row>
    <row r="84" spans="1:4">
      <c r="A84">
        <v>7</v>
      </c>
      <c r="B84" t="b">
        <v>1</v>
      </c>
      <c r="C84">
        <f>CHOOSE($C$452,0,A84,A84*1.5)</f>
        <v>7</v>
      </c>
    </row>
    <row r="85" spans="1:4">
      <c r="A85">
        <v>11.32</v>
      </c>
      <c r="B85" t="b">
        <v>1</v>
      </c>
    </row>
    <row r="86" spans="1:4">
      <c r="A86">
        <v>12.6</v>
      </c>
      <c r="B86" t="b">
        <v>1</v>
      </c>
      <c r="D86" s="386">
        <f>'ПОДРОБНАЯ СМЕТА'!C86*0.5</f>
        <v>6.3</v>
      </c>
    </row>
    <row r="87" spans="1:4">
      <c r="A87">
        <v>110.2</v>
      </c>
      <c r="B87" t="b">
        <v>1</v>
      </c>
    </row>
    <row r="88" spans="1:4">
      <c r="A88">
        <v>500</v>
      </c>
      <c r="B88" t="b">
        <v>1</v>
      </c>
      <c r="D88" s="386">
        <f>'ПОДРОБНАЯ СМЕТА'!C88/1000</f>
        <v>0.5</v>
      </c>
    </row>
    <row r="89" spans="1:4">
      <c r="A89">
        <v>4.2</v>
      </c>
      <c r="B89" t="b">
        <v>1</v>
      </c>
    </row>
    <row r="90" spans="1:4">
      <c r="A90">
        <v>12</v>
      </c>
      <c r="B90" t="b">
        <v>1</v>
      </c>
    </row>
    <row r="91" spans="1:4">
      <c r="A91">
        <v>23</v>
      </c>
      <c r="B91" t="b">
        <v>1</v>
      </c>
    </row>
    <row r="92" spans="1:4">
      <c r="A92">
        <v>0.14000000000000001</v>
      </c>
      <c r="B92" t="b">
        <v>1</v>
      </c>
    </row>
    <row r="93" spans="1:4">
      <c r="A93">
        <v>560</v>
      </c>
      <c r="B93" t="b">
        <v>1</v>
      </c>
      <c r="D93" s="386">
        <f>'ПОДРОБНАЯ СМЕТА'!C93/1000</f>
        <v>0.56000000000000005</v>
      </c>
    </row>
    <row r="94" spans="1:4">
      <c r="A94">
        <v>1</v>
      </c>
      <c r="B94" t="b">
        <v>1</v>
      </c>
      <c r="C94">
        <f>CHOOSE($C$452,0,A94,A94*1.5)</f>
        <v>1</v>
      </c>
    </row>
    <row r="95" spans="1:4">
      <c r="A95">
        <v>71.36</v>
      </c>
      <c r="B95" t="b">
        <f>$A$6</f>
        <v>1</v>
      </c>
    </row>
    <row r="96" spans="1:4">
      <c r="A96">
        <v>9</v>
      </c>
      <c r="B96" t="b">
        <f>$A$6</f>
        <v>1</v>
      </c>
      <c r="D96" s="386">
        <f>'ПОДРОБНАЯ СМЕТА'!C96*0.5</f>
        <v>4.5</v>
      </c>
    </row>
    <row r="97" spans="1:4">
      <c r="A97">
        <v>375</v>
      </c>
      <c r="B97" t="b">
        <f>$A$6</f>
        <v>1</v>
      </c>
      <c r="D97" s="386">
        <f>'ПОДРОБНАЯ СМЕТА'!C97/1000</f>
        <v>0.38</v>
      </c>
    </row>
    <row r="98" spans="1:4">
      <c r="A98">
        <v>8.4</v>
      </c>
      <c r="B98" t="b">
        <f>$A$6</f>
        <v>1</v>
      </c>
    </row>
    <row r="99" spans="1:4">
      <c r="A99">
        <v>17</v>
      </c>
      <c r="B99" t="b">
        <f>$A$6</f>
        <v>1</v>
      </c>
    </row>
    <row r="100" spans="1:4">
      <c r="A100">
        <v>46</v>
      </c>
      <c r="B100" t="b">
        <f>$A$6</f>
        <v>1</v>
      </c>
    </row>
    <row r="101" spans="1:4">
      <c r="A101">
        <v>400</v>
      </c>
      <c r="B101" t="b">
        <f>$A$6</f>
        <v>1</v>
      </c>
      <c r="D101" s="386">
        <f>'ПОДРОБНАЯ СМЕТА'!C101/1000</f>
        <v>0.4</v>
      </c>
    </row>
    <row r="102" spans="1:4">
      <c r="A102">
        <v>76.73</v>
      </c>
      <c r="B102" t="b">
        <v>1</v>
      </c>
    </row>
    <row r="103" spans="1:4">
      <c r="A103">
        <v>4.21</v>
      </c>
      <c r="B103" t="b">
        <v>1</v>
      </c>
      <c r="D103" s="386">
        <f>'ПОДРОБНАЯ СМЕТА'!C103*0.7</f>
        <v>2.95</v>
      </c>
    </row>
    <row r="104" spans="1:4">
      <c r="A104">
        <v>4.0599999999999996</v>
      </c>
      <c r="B104" t="b">
        <v>1</v>
      </c>
      <c r="D104" s="386">
        <f>'ПОДРОБНАЯ СМЕТА'!C104*0.7</f>
        <v>2.84</v>
      </c>
    </row>
    <row r="105" spans="1:4">
      <c r="A105">
        <v>140</v>
      </c>
      <c r="B105" t="b">
        <v>1</v>
      </c>
    </row>
    <row r="106" spans="1:4">
      <c r="A106">
        <v>76.73</v>
      </c>
      <c r="B106" t="b">
        <v>1</v>
      </c>
    </row>
    <row r="107" spans="1:4">
      <c r="A107">
        <v>63.8</v>
      </c>
      <c r="B107" t="b">
        <v>1</v>
      </c>
    </row>
    <row r="108" spans="1:4">
      <c r="A108">
        <v>1491</v>
      </c>
      <c r="B108" t="b">
        <v>1</v>
      </c>
    </row>
    <row r="109" spans="1:4">
      <c r="A109">
        <v>40</v>
      </c>
      <c r="B109" t="b">
        <v>1</v>
      </c>
      <c r="C109">
        <f>CHOOSE($C$452,0,A109,A109*1.5)</f>
        <v>40</v>
      </c>
    </row>
    <row r="110" spans="1:4">
      <c r="A110">
        <v>14</v>
      </c>
      <c r="B110" t="b">
        <v>1</v>
      </c>
    </row>
    <row r="111" spans="1:4">
      <c r="A111">
        <v>20.399999999999999</v>
      </c>
      <c r="B111" t="b">
        <v>1</v>
      </c>
    </row>
    <row r="112" spans="1:4">
      <c r="A112">
        <v>52</v>
      </c>
      <c r="B112" t="b">
        <v>1</v>
      </c>
    </row>
    <row r="113" spans="1:4">
      <c r="A113">
        <v>128</v>
      </c>
      <c r="B113" t="b">
        <v>1</v>
      </c>
    </row>
    <row r="114" spans="1:4">
      <c r="A114">
        <v>2720</v>
      </c>
      <c r="B114" t="b">
        <v>1</v>
      </c>
      <c r="D114" s="386">
        <f>'ПОДРОБНАЯ СМЕТА'!C114/1000</f>
        <v>2.72</v>
      </c>
    </row>
    <row r="115" spans="1:4">
      <c r="A115">
        <v>9</v>
      </c>
      <c r="B115" t="b">
        <v>1</v>
      </c>
      <c r="C115">
        <f>CHOOSE($C$452,0,A115,A115*1.5)</f>
        <v>9</v>
      </c>
    </row>
    <row r="116" spans="1:4">
      <c r="A116">
        <v>3</v>
      </c>
      <c r="B116" t="b">
        <v>1</v>
      </c>
    </row>
    <row r="117" spans="1:4">
      <c r="A117">
        <v>167</v>
      </c>
      <c r="B117" t="b">
        <v>1</v>
      </c>
      <c r="D117" s="386">
        <f>'ПОДРОБНАЯ СМЕТА'!C117*0.0035</f>
        <v>0.57999999999999996</v>
      </c>
    </row>
    <row r="118" spans="1:4">
      <c r="A118">
        <v>160</v>
      </c>
      <c r="B118" t="b">
        <v>1</v>
      </c>
      <c r="D118" s="386">
        <f>'ПОДРОБНАЯ СМЕТА'!C118/1000</f>
        <v>0.16</v>
      </c>
    </row>
    <row r="119" spans="1:4">
      <c r="A119">
        <v>160</v>
      </c>
      <c r="B119" t="b">
        <v>1</v>
      </c>
      <c r="D119" s="386">
        <f>'ПОДРОБНАЯ СМЕТА'!C119/1000</f>
        <v>0.16</v>
      </c>
    </row>
    <row r="120" spans="1:4">
      <c r="A120">
        <v>12</v>
      </c>
      <c r="B120" t="b">
        <v>1</v>
      </c>
    </row>
    <row r="121" spans="1:4">
      <c r="A121">
        <v>17</v>
      </c>
      <c r="B121" t="b">
        <v>1</v>
      </c>
    </row>
    <row r="125" spans="1:4">
      <c r="A125">
        <v>0.15</v>
      </c>
    </row>
    <row r="126" spans="1:4">
      <c r="A126">
        <v>6.5000000000000002E-2</v>
      </c>
    </row>
    <row r="129" spans="1:4">
      <c r="A129" t="s">
        <v>40</v>
      </c>
      <c r="B129" t="s">
        <v>41</v>
      </c>
      <c r="C129" t="s">
        <v>42</v>
      </c>
      <c r="D129" s="386" t="s">
        <v>43</v>
      </c>
    </row>
    <row r="130" spans="1:4">
      <c r="A130" t="s">
        <v>48</v>
      </c>
    </row>
    <row r="132" spans="1:4">
      <c r="A132">
        <v>191.4</v>
      </c>
      <c r="B132" t="b">
        <f>B1</f>
        <v>0</v>
      </c>
    </row>
    <row r="133" spans="1:4">
      <c r="A133">
        <v>32</v>
      </c>
      <c r="B133" t="b">
        <f>B132</f>
        <v>0</v>
      </c>
    </row>
    <row r="134" spans="1:4">
      <c r="A134">
        <v>26</v>
      </c>
      <c r="B134" t="b">
        <v>1</v>
      </c>
    </row>
    <row r="135" spans="1:4">
      <c r="A135">
        <v>9</v>
      </c>
      <c r="B135" t="b">
        <v>1</v>
      </c>
    </row>
    <row r="136" spans="1:4">
      <c r="A136">
        <v>0.68</v>
      </c>
      <c r="B136" t="b">
        <v>1</v>
      </c>
      <c r="D136" s="386">
        <f>'ПОДРОБНАЯ СМЕТА'!C136*0.7</f>
        <v>0.48</v>
      </c>
    </row>
    <row r="137" spans="1:4">
      <c r="A137">
        <v>191.4</v>
      </c>
      <c r="B137" t="b">
        <v>1</v>
      </c>
    </row>
    <row r="138" spans="1:4">
      <c r="A138">
        <v>6.12</v>
      </c>
      <c r="B138" t="b">
        <v>1</v>
      </c>
      <c r="D138" s="386">
        <f>'ПОДРОБНАЯ СМЕТА'!C138*0.7</f>
        <v>4.28</v>
      </c>
    </row>
    <row r="139" spans="1:4">
      <c r="A139">
        <v>131.5</v>
      </c>
      <c r="B139" t="b">
        <f>IF($B$132=TRUE,FALSE,C139)</f>
        <v>0</v>
      </c>
      <c r="C139" t="b">
        <f>B2</f>
        <v>0</v>
      </c>
    </row>
    <row r="140" spans="1:4">
      <c r="A140">
        <v>26.5</v>
      </c>
      <c r="B140" t="b">
        <f>B$139</f>
        <v>0</v>
      </c>
    </row>
    <row r="141" spans="1:4">
      <c r="A141">
        <v>225</v>
      </c>
      <c r="B141" t="b">
        <f>B$139</f>
        <v>0</v>
      </c>
      <c r="C141">
        <f>CHOOSE($C$452,A141,0,0)</f>
        <v>0</v>
      </c>
    </row>
    <row r="142" spans="1:4">
      <c r="A142">
        <v>210</v>
      </c>
      <c r="B142" t="b">
        <f>B$139</f>
        <v>0</v>
      </c>
      <c r="C142">
        <f>CHOOSE($C$452,0,A142,0)</f>
        <v>210</v>
      </c>
    </row>
    <row r="143" spans="1:4">
      <c r="A143">
        <v>210</v>
      </c>
      <c r="B143" t="b">
        <f>B$139</f>
        <v>0</v>
      </c>
      <c r="C143">
        <f>CHOOSE($C$452,0,0,A143)</f>
        <v>0</v>
      </c>
    </row>
    <row r="144" spans="1:4">
      <c r="A144">
        <v>0.92</v>
      </c>
      <c r="B144" t="b">
        <f>B$139</f>
        <v>0</v>
      </c>
      <c r="D144" s="386">
        <f>'ПОДРОБНАЯ СМЕТА'!C144*0.7</f>
        <v>0</v>
      </c>
    </row>
    <row r="145" spans="1:4">
      <c r="A145">
        <v>191.4</v>
      </c>
      <c r="B145" t="b">
        <f>IF($B$1=TRUE,FALSE,TRUE)</f>
        <v>1</v>
      </c>
    </row>
    <row r="146" spans="1:4">
      <c r="A146">
        <v>280</v>
      </c>
      <c r="B146" t="b">
        <f>B$145</f>
        <v>1</v>
      </c>
      <c r="C146">
        <f>CHOOSE($C$452,A146,0,0)</f>
        <v>0</v>
      </c>
    </row>
    <row r="147" spans="1:4">
      <c r="A147">
        <v>280</v>
      </c>
      <c r="B147" t="b">
        <f>B$145</f>
        <v>1</v>
      </c>
      <c r="C147">
        <f>CHOOSE($C$452,0,A147,0)</f>
        <v>280</v>
      </c>
    </row>
    <row r="148" spans="1:4">
      <c r="A148">
        <v>280</v>
      </c>
      <c r="B148" t="b">
        <f>B$145</f>
        <v>1</v>
      </c>
      <c r="C148">
        <f>CHOOSE($C$452,0,0,A148)</f>
        <v>0</v>
      </c>
    </row>
    <row r="149" spans="1:4">
      <c r="A149">
        <v>1.06</v>
      </c>
      <c r="B149" t="b">
        <f>B$145</f>
        <v>1</v>
      </c>
      <c r="D149" s="386">
        <f>'ПОДРОБНАЯ СМЕТА'!C149*0.7</f>
        <v>0.74</v>
      </c>
    </row>
    <row r="150" spans="1:4">
      <c r="A150">
        <v>191.4</v>
      </c>
      <c r="B150" t="b">
        <v>1</v>
      </c>
    </row>
    <row r="151" spans="1:4">
      <c r="A151">
        <v>2.21</v>
      </c>
      <c r="B151" t="b">
        <v>1</v>
      </c>
      <c r="D151" s="386">
        <f>'ПОДРОБНАЯ СМЕТА'!C151*0.7</f>
        <v>1.55</v>
      </c>
    </row>
    <row r="152" spans="1:4">
      <c r="A152">
        <v>191.4</v>
      </c>
      <c r="B152" t="b">
        <f>IF($B$1=TRUE,FALSE,TRUE)</f>
        <v>1</v>
      </c>
    </row>
    <row r="153" spans="1:4">
      <c r="A153">
        <v>241.5</v>
      </c>
      <c r="B153" t="b">
        <f>B$152</f>
        <v>1</v>
      </c>
      <c r="C153">
        <f>CHOOSE($C$452,A153,0,0)</f>
        <v>0</v>
      </c>
    </row>
    <row r="154" spans="1:4">
      <c r="A154">
        <v>241.5</v>
      </c>
      <c r="B154" t="b">
        <f>B$152</f>
        <v>1</v>
      </c>
      <c r="C154">
        <f>CHOOSE($C$452,0,A154,0)</f>
        <v>241.5</v>
      </c>
    </row>
    <row r="155" spans="1:4">
      <c r="A155">
        <v>241.5</v>
      </c>
      <c r="B155" t="b">
        <f>B$152</f>
        <v>1</v>
      </c>
      <c r="C155">
        <f>CHOOSE($C$452,0,0,A155)</f>
        <v>0</v>
      </c>
    </row>
    <row r="156" spans="1:4">
      <c r="A156">
        <v>126</v>
      </c>
      <c r="B156" t="b">
        <f>IF($B$1=TRUE,FALSE,TRUE)</f>
        <v>1</v>
      </c>
    </row>
    <row r="157" spans="1:4">
      <c r="A157">
        <v>26</v>
      </c>
      <c r="B157" t="b">
        <f>B$156</f>
        <v>1</v>
      </c>
    </row>
    <row r="158" spans="1:4">
      <c r="A158">
        <v>16</v>
      </c>
      <c r="B158" t="b">
        <f>B$156</f>
        <v>1</v>
      </c>
    </row>
    <row r="159" spans="1:4">
      <c r="A159">
        <v>11</v>
      </c>
      <c r="B159" t="b">
        <f>B$156</f>
        <v>1</v>
      </c>
    </row>
    <row r="160" spans="1:4">
      <c r="A160">
        <v>7</v>
      </c>
      <c r="B160" t="b">
        <f>B$156</f>
        <v>1</v>
      </c>
    </row>
    <row r="161" spans="1:3">
      <c r="A161">
        <v>12</v>
      </c>
      <c r="B161" t="b">
        <f>B$156</f>
        <v>1</v>
      </c>
    </row>
    <row r="162" spans="1:3">
      <c r="A162">
        <v>7</v>
      </c>
      <c r="B162" t="b">
        <f>B$156</f>
        <v>1</v>
      </c>
    </row>
    <row r="163" spans="1:3">
      <c r="A163">
        <v>11</v>
      </c>
      <c r="B163" t="b">
        <f>IF($B$132=TRUE,FALSE,C163)</f>
        <v>0</v>
      </c>
      <c r="C163" t="b">
        <f>$B$7</f>
        <v>0</v>
      </c>
    </row>
    <row r="164" spans="1:3">
      <c r="A164">
        <v>11</v>
      </c>
      <c r="B164" t="b">
        <f>B163</f>
        <v>0</v>
      </c>
    </row>
    <row r="165" spans="1:3">
      <c r="A165">
        <v>829.4</v>
      </c>
      <c r="B165" t="b">
        <v>1</v>
      </c>
    </row>
    <row r="166" spans="1:3">
      <c r="A166">
        <v>249</v>
      </c>
      <c r="B166" t="b">
        <v>1</v>
      </c>
      <c r="C166">
        <f>CHOOSE($C$452,A166,0,0)</f>
        <v>0</v>
      </c>
    </row>
    <row r="167" spans="1:3">
      <c r="A167">
        <v>250</v>
      </c>
      <c r="B167" t="b">
        <v>1</v>
      </c>
      <c r="C167">
        <f>CHOOSE($C$452,0,A167,A167)</f>
        <v>250</v>
      </c>
    </row>
    <row r="168" spans="1:3">
      <c r="A168">
        <v>52</v>
      </c>
      <c r="B168" t="b">
        <f>IF($B$1=TRUE,FALSE,C168)</f>
        <v>1</v>
      </c>
      <c r="C168" t="b">
        <f>C6</f>
        <v>1</v>
      </c>
    </row>
    <row r="169" spans="1:3">
      <c r="A169">
        <v>52</v>
      </c>
      <c r="B169" t="b">
        <f>B168</f>
        <v>1</v>
      </c>
    </row>
    <row r="170" spans="1:3">
      <c r="A170">
        <v>5</v>
      </c>
      <c r="B170" t="b">
        <f>IF($B$132=TRUE,FALSE,C170)</f>
        <v>0</v>
      </c>
      <c r="C170" t="b">
        <f>D4</f>
        <v>0</v>
      </c>
    </row>
    <row r="171" spans="1:3">
      <c r="A171">
        <v>5</v>
      </c>
      <c r="B171" t="b">
        <f>B170</f>
        <v>0</v>
      </c>
    </row>
    <row r="172" spans="1:3">
      <c r="A172">
        <v>5</v>
      </c>
      <c r="B172" t="b">
        <f>B170</f>
        <v>0</v>
      </c>
    </row>
    <row r="173" spans="1:3">
      <c r="A173">
        <v>59.7</v>
      </c>
      <c r="B173" t="b">
        <f>IF($B$132=TRUE,FALSE,C173)</f>
        <v>0</v>
      </c>
      <c r="C173" t="b">
        <f>B3</f>
        <v>0</v>
      </c>
    </row>
    <row r="174" spans="1:3">
      <c r="A174">
        <v>12</v>
      </c>
      <c r="B174" t="b">
        <f>B173</f>
        <v>0</v>
      </c>
    </row>
    <row r="175" spans="1:3">
      <c r="A175">
        <v>11</v>
      </c>
      <c r="B175" t="b">
        <f>B173</f>
        <v>0</v>
      </c>
    </row>
    <row r="176" spans="1:3">
      <c r="A176">
        <v>7</v>
      </c>
      <c r="B176" t="b">
        <f>B174</f>
        <v>0</v>
      </c>
    </row>
    <row r="177" spans="1:4">
      <c r="A177">
        <v>9</v>
      </c>
      <c r="B177" t="b">
        <f>B173</f>
        <v>0</v>
      </c>
    </row>
    <row r="178" spans="1:4">
      <c r="A178">
        <v>26</v>
      </c>
      <c r="B178" t="b">
        <f>B173</f>
        <v>0</v>
      </c>
    </row>
    <row r="179" spans="1:4">
      <c r="A179">
        <v>7</v>
      </c>
      <c r="B179" t="b">
        <f>B173</f>
        <v>0</v>
      </c>
    </row>
    <row r="180" spans="1:4">
      <c r="A180">
        <v>7</v>
      </c>
      <c r="B180" t="b">
        <f>B173</f>
        <v>0</v>
      </c>
    </row>
    <row r="181" spans="1:4">
      <c r="A181">
        <v>14</v>
      </c>
      <c r="B181" t="b">
        <f>B173</f>
        <v>0</v>
      </c>
    </row>
    <row r="182" spans="1:4">
      <c r="A182">
        <v>14</v>
      </c>
      <c r="B182" t="b">
        <f>B173</f>
        <v>0</v>
      </c>
    </row>
    <row r="183" spans="1:4">
      <c r="A183">
        <v>70.599999999999994</v>
      </c>
      <c r="B183" t="b">
        <f>IF($B$1=TRUE,FALSE,C183)</f>
        <v>0</v>
      </c>
      <c r="C183" t="b">
        <f>B4</f>
        <v>0</v>
      </c>
    </row>
    <row r="184" spans="1:4">
      <c r="A184">
        <v>1.46</v>
      </c>
      <c r="B184" t="b">
        <f>B183</f>
        <v>0</v>
      </c>
    </row>
    <row r="185" spans="1:4">
      <c r="A185">
        <v>84.87</v>
      </c>
      <c r="B185" t="b">
        <f>B183</f>
        <v>0</v>
      </c>
    </row>
    <row r="186" spans="1:4">
      <c r="A186">
        <v>325.74</v>
      </c>
      <c r="B186" t="b">
        <f>B183</f>
        <v>0</v>
      </c>
    </row>
    <row r="187" spans="1:4">
      <c r="A187">
        <v>18.3</v>
      </c>
      <c r="B187" t="b">
        <f>B183</f>
        <v>0</v>
      </c>
    </row>
    <row r="188" spans="1:4">
      <c r="A188">
        <v>64.680000000000007</v>
      </c>
      <c r="B188" t="b">
        <f>B5</f>
        <v>0</v>
      </c>
    </row>
    <row r="189" spans="1:4">
      <c r="A189">
        <v>1.38</v>
      </c>
      <c r="B189" t="b">
        <f>B188</f>
        <v>0</v>
      </c>
      <c r="D189" s="386">
        <f>'ПОДРОБНАЯ СМЕТА'!C189*0.7</f>
        <v>0</v>
      </c>
    </row>
    <row r="190" spans="1:4">
      <c r="A190">
        <v>26.63</v>
      </c>
      <c r="B190" t="b">
        <f>IF($B$132=TRUE,FALSE,C190)</f>
        <v>0</v>
      </c>
      <c r="C190" t="b">
        <f>B6</f>
        <v>0</v>
      </c>
    </row>
    <row r="191" spans="1:4">
      <c r="A191">
        <v>5.47</v>
      </c>
      <c r="B191" t="b">
        <f>B$190</f>
        <v>0</v>
      </c>
    </row>
    <row r="192" spans="1:4">
      <c r="A192">
        <v>75</v>
      </c>
      <c r="B192" t="b">
        <f>B$190</f>
        <v>0</v>
      </c>
      <c r="C192">
        <f>CHOOSE($C$452,A192,0,0)</f>
        <v>0</v>
      </c>
    </row>
    <row r="193" spans="1:4">
      <c r="A193">
        <v>70</v>
      </c>
      <c r="B193" t="b">
        <f>B$190</f>
        <v>0</v>
      </c>
      <c r="C193">
        <f>CHOOSE($C$452,0,A193,0)</f>
        <v>70</v>
      </c>
    </row>
    <row r="194" spans="1:4">
      <c r="A194">
        <v>70</v>
      </c>
      <c r="B194" t="b">
        <f>B$190</f>
        <v>0</v>
      </c>
      <c r="C194">
        <f>CHOOSE($C$452,0,0,A194)</f>
        <v>0</v>
      </c>
    </row>
    <row r="195" spans="1:4">
      <c r="A195">
        <v>70</v>
      </c>
      <c r="B195" t="b">
        <f>B$190</f>
        <v>0</v>
      </c>
      <c r="C195">
        <f>CHOOSE($C$452,A195,0,0)</f>
        <v>0</v>
      </c>
    </row>
    <row r="196" spans="1:4">
      <c r="A196">
        <v>70</v>
      </c>
      <c r="B196" t="b">
        <f>B$190</f>
        <v>0</v>
      </c>
      <c r="C196">
        <f>CHOOSE($C$452,0,A196,0)</f>
        <v>70</v>
      </c>
    </row>
    <row r="197" spans="1:4">
      <c r="A197">
        <v>70</v>
      </c>
      <c r="B197" t="b">
        <f>B$190</f>
        <v>0</v>
      </c>
      <c r="C197">
        <f>CHOOSE($C$452,0,0,A197)</f>
        <v>0</v>
      </c>
    </row>
    <row r="198" spans="1:4">
      <c r="A198">
        <v>0.21</v>
      </c>
      <c r="B198" t="b">
        <f>B$190</f>
        <v>0</v>
      </c>
      <c r="D198" s="386">
        <f>'ПОДРОБНАЯ СМЕТА'!C198*0.7</f>
        <v>0</v>
      </c>
    </row>
    <row r="202" spans="1:4">
      <c r="A202">
        <v>0.15</v>
      </c>
    </row>
    <row r="203" spans="1:4">
      <c r="A203">
        <v>6.5000000000000002E-2</v>
      </c>
    </row>
    <row r="206" spans="1:4">
      <c r="A206" t="s">
        <v>40</v>
      </c>
      <c r="B206" t="s">
        <v>41</v>
      </c>
      <c r="C206" t="s">
        <v>42</v>
      </c>
      <c r="D206" s="386" t="s">
        <v>43</v>
      </c>
    </row>
    <row r="207" spans="1:4">
      <c r="A207" t="s">
        <v>48</v>
      </c>
    </row>
    <row r="209" spans="1:4">
      <c r="A209">
        <v>90.2</v>
      </c>
      <c r="B209" t="b">
        <v>1</v>
      </c>
      <c r="C209">
        <f>ROUND(IFERROR(SUM(D12:D17),0)+SUM(D26:D452),0)*1.1</f>
        <v>90.2</v>
      </c>
    </row>
    <row r="210" spans="1:4">
      <c r="A210">
        <v>191</v>
      </c>
      <c r="B210" t="b">
        <v>1</v>
      </c>
    </row>
    <row r="211" spans="1:4">
      <c r="A211">
        <v>10.7</v>
      </c>
      <c r="B211" t="b">
        <v>1</v>
      </c>
      <c r="D211" s="386">
        <f>'ПОДРОБНАЯ СМЕТА'!C211*0.7</f>
        <v>7.49</v>
      </c>
    </row>
    <row r="212" spans="1:4">
      <c r="A212">
        <v>191</v>
      </c>
      <c r="B212" t="b">
        <f>D5</f>
        <v>0</v>
      </c>
    </row>
    <row r="213" spans="1:4">
      <c r="A213">
        <v>33.909999999999997</v>
      </c>
      <c r="B213" t="b">
        <f>C1</f>
        <v>0</v>
      </c>
    </row>
    <row r="214" spans="1:4">
      <c r="A214">
        <v>19.5</v>
      </c>
      <c r="B214" t="b">
        <f>B213</f>
        <v>0</v>
      </c>
      <c r="C214">
        <f>CHOOSE($C$452,A214,0,0)</f>
        <v>0</v>
      </c>
    </row>
    <row r="215" spans="1:4">
      <c r="A215">
        <v>19.5</v>
      </c>
      <c r="B215" t="b">
        <f>C1</f>
        <v>0</v>
      </c>
      <c r="C215">
        <f>CHOOSE($C$452,0,A215,0)</f>
        <v>19.5</v>
      </c>
    </row>
    <row r="216" spans="1:4">
      <c r="A216">
        <v>19.5</v>
      </c>
      <c r="B216" t="b">
        <f>B213</f>
        <v>0</v>
      </c>
      <c r="C216">
        <f>CHOOSE($C$452,0,0,A216)</f>
        <v>0</v>
      </c>
    </row>
    <row r="217" spans="1:4">
      <c r="A217">
        <v>9.41</v>
      </c>
      <c r="B217" t="b">
        <f>C1</f>
        <v>0</v>
      </c>
    </row>
    <row r="218" spans="1:4">
      <c r="A218">
        <v>5</v>
      </c>
      <c r="B218" t="b">
        <f>C1</f>
        <v>0</v>
      </c>
    </row>
    <row r="219" spans="1:4">
      <c r="A219">
        <v>6.57</v>
      </c>
      <c r="B219" t="b">
        <f>C2</f>
        <v>0</v>
      </c>
    </row>
    <row r="220" spans="1:4">
      <c r="A220">
        <v>2250</v>
      </c>
      <c r="B220" t="b">
        <f>B$219</f>
        <v>0</v>
      </c>
      <c r="D220" s="386">
        <f>'ПОДРОБНАЯ СМЕТА'!C220*3.5/1000</f>
        <v>0</v>
      </c>
    </row>
    <row r="221" spans="1:4">
      <c r="A221">
        <v>27</v>
      </c>
      <c r="B221" t="b">
        <f>B$219</f>
        <v>0</v>
      </c>
    </row>
    <row r="222" spans="1:4">
      <c r="A222">
        <v>6</v>
      </c>
      <c r="B222" t="b">
        <f>B$219</f>
        <v>0</v>
      </c>
    </row>
    <row r="223" spans="1:4">
      <c r="A223">
        <v>14</v>
      </c>
      <c r="B223" t="b">
        <f>B$219</f>
        <v>0</v>
      </c>
    </row>
    <row r="224" spans="1:4">
      <c r="A224">
        <v>11</v>
      </c>
      <c r="B224" t="b">
        <f>B$219</f>
        <v>0</v>
      </c>
    </row>
    <row r="225" spans="1:4">
      <c r="A225">
        <v>2</v>
      </c>
      <c r="B225" t="b">
        <f>B$219</f>
        <v>0</v>
      </c>
    </row>
    <row r="226" spans="1:4">
      <c r="A226">
        <v>2</v>
      </c>
      <c r="B226" t="b">
        <f>B$219</f>
        <v>0</v>
      </c>
    </row>
    <row r="227" spans="1:4">
      <c r="A227">
        <v>2</v>
      </c>
      <c r="B227" t="b">
        <f>B$219</f>
        <v>0</v>
      </c>
    </row>
    <row r="228" spans="1:4">
      <c r="A228">
        <v>8</v>
      </c>
      <c r="B228" t="b">
        <f>B$219</f>
        <v>0</v>
      </c>
    </row>
    <row r="229" spans="1:4">
      <c r="A229">
        <v>5</v>
      </c>
      <c r="B229" t="b">
        <f>B$219</f>
        <v>0</v>
      </c>
    </row>
    <row r="230" spans="1:4">
      <c r="A230">
        <v>2160</v>
      </c>
      <c r="B230" t="b">
        <f>B$219</f>
        <v>0</v>
      </c>
      <c r="D230" s="386">
        <f>'ПОДРОБНАЯ СМЕТА'!C230/1000</f>
        <v>0</v>
      </c>
    </row>
    <row r="231" spans="1:4">
      <c r="A231">
        <v>3</v>
      </c>
      <c r="B231" t="b">
        <f>C231</f>
        <v>0</v>
      </c>
      <c r="C231" t="b">
        <f>C2</f>
        <v>0</v>
      </c>
    </row>
    <row r="232" spans="1:4">
      <c r="A232">
        <v>3</v>
      </c>
      <c r="B232" t="b">
        <f>B231</f>
        <v>0</v>
      </c>
    </row>
    <row r="233" spans="1:4">
      <c r="A233">
        <v>3</v>
      </c>
      <c r="B233" t="b">
        <f>IF(AND(C2=TRUE,C233=TRUE),TRUE,FALSE)</f>
        <v>0</v>
      </c>
      <c r="C233" t="b">
        <v>0</v>
      </c>
    </row>
    <row r="234" spans="1:4">
      <c r="A234">
        <v>1</v>
      </c>
      <c r="B234" t="b">
        <f>B$233</f>
        <v>0</v>
      </c>
    </row>
    <row r="235" spans="1:4">
      <c r="A235">
        <v>1</v>
      </c>
      <c r="B235" t="b">
        <f>B$233</f>
        <v>0</v>
      </c>
    </row>
    <row r="236" spans="1:4">
      <c r="A236">
        <v>1</v>
      </c>
      <c r="B236" t="b">
        <f>B$233</f>
        <v>0</v>
      </c>
    </row>
    <row r="237" spans="1:4">
      <c r="A237">
        <v>4.83</v>
      </c>
      <c r="B237" t="b">
        <f>C3</f>
        <v>0</v>
      </c>
    </row>
    <row r="238" spans="1:4">
      <c r="A238">
        <v>35</v>
      </c>
      <c r="B238" t="b">
        <f>B$237</f>
        <v>0</v>
      </c>
    </row>
    <row r="239" spans="1:4">
      <c r="A239">
        <v>191</v>
      </c>
      <c r="B239" t="b">
        <f>B$237</f>
        <v>0</v>
      </c>
    </row>
    <row r="240" spans="1:4">
      <c r="A240">
        <v>0.57999999999999996</v>
      </c>
      <c r="B240" t="b">
        <f>B$237</f>
        <v>0</v>
      </c>
      <c r="D240" s="386">
        <f>'ПОДРОБНАЯ СМЕТА'!C240*0.7</f>
        <v>0</v>
      </c>
    </row>
    <row r="241" spans="1:4">
      <c r="A241">
        <v>8520</v>
      </c>
      <c r="B241" t="b">
        <f>B$237</f>
        <v>0</v>
      </c>
      <c r="D241" s="386">
        <f>'ПОДРОБНАЯ СМЕТА'!C241/1000</f>
        <v>0</v>
      </c>
    </row>
    <row r="242" spans="1:4">
      <c r="A242">
        <v>21</v>
      </c>
      <c r="B242" t="b">
        <f>B$237</f>
        <v>0</v>
      </c>
      <c r="C242">
        <f>CHOOSE($C$452,0,A242,A242*1.5)</f>
        <v>21</v>
      </c>
    </row>
    <row r="243" spans="1:4">
      <c r="A243">
        <v>18</v>
      </c>
      <c r="B243" t="b">
        <f>C4</f>
        <v>0</v>
      </c>
    </row>
    <row r="244" spans="1:4">
      <c r="A244">
        <v>108</v>
      </c>
      <c r="B244" t="b">
        <f>B$243</f>
        <v>0</v>
      </c>
    </row>
    <row r="245" spans="1:4">
      <c r="A245">
        <v>138</v>
      </c>
      <c r="B245" t="b">
        <f>B$243</f>
        <v>0</v>
      </c>
    </row>
    <row r="246" spans="1:4">
      <c r="A246">
        <v>0.65</v>
      </c>
      <c r="B246" t="b">
        <f>B$243</f>
        <v>0</v>
      </c>
    </row>
    <row r="247" spans="1:4">
      <c r="A247">
        <v>0.54</v>
      </c>
      <c r="B247" t="b">
        <f>B$243</f>
        <v>0</v>
      </c>
    </row>
    <row r="248" spans="1:4">
      <c r="A248">
        <v>6.3</v>
      </c>
      <c r="B248" t="b">
        <f>B$243</f>
        <v>0</v>
      </c>
    </row>
    <row r="249" spans="1:4">
      <c r="A249">
        <v>3680</v>
      </c>
      <c r="B249" t="b">
        <f>B$243</f>
        <v>0</v>
      </c>
      <c r="D249" s="386">
        <f>'ПОДРОБНАЯ СМЕТА'!C249/1000</f>
        <v>0</v>
      </c>
    </row>
    <row r="250" spans="1:4">
      <c r="A250">
        <v>10</v>
      </c>
      <c r="B250" t="b">
        <f>B$243</f>
        <v>0</v>
      </c>
      <c r="C250">
        <f>CHOOSE($C$452,0,A250,A250*1.5)</f>
        <v>10</v>
      </c>
    </row>
    <row r="251" spans="1:4">
      <c r="A251">
        <v>70</v>
      </c>
      <c r="B251" t="b">
        <f>B$243</f>
        <v>0</v>
      </c>
    </row>
    <row r="252" spans="1:4">
      <c r="A252">
        <v>51.7</v>
      </c>
      <c r="B252" t="b">
        <f>C5</f>
        <v>0</v>
      </c>
    </row>
    <row r="253" spans="1:4">
      <c r="A253">
        <v>114</v>
      </c>
      <c r="B253" t="b">
        <f>B$252</f>
        <v>0</v>
      </c>
    </row>
    <row r="254" spans="1:4">
      <c r="A254">
        <v>12</v>
      </c>
      <c r="B254" t="b">
        <f>B$252</f>
        <v>0</v>
      </c>
    </row>
    <row r="255" spans="1:4">
      <c r="A255">
        <v>6</v>
      </c>
      <c r="B255" t="b">
        <f>B$252</f>
        <v>0</v>
      </c>
    </row>
    <row r="256" spans="1:4">
      <c r="A256">
        <v>8</v>
      </c>
      <c r="B256" t="b">
        <f>B$252</f>
        <v>0</v>
      </c>
    </row>
    <row r="257" spans="1:2">
      <c r="A257">
        <v>58</v>
      </c>
      <c r="B257" t="b">
        <f>B$252</f>
        <v>0</v>
      </c>
    </row>
    <row r="258" spans="1:2">
      <c r="A258">
        <v>49.75</v>
      </c>
      <c r="B258" t="b">
        <f>C5</f>
        <v>0</v>
      </c>
    </row>
    <row r="259" spans="1:2">
      <c r="A259">
        <v>20</v>
      </c>
      <c r="B259" t="b">
        <f>B$258</f>
        <v>0</v>
      </c>
    </row>
    <row r="260" spans="1:2">
      <c r="A260">
        <v>2.92</v>
      </c>
      <c r="B260" t="b">
        <f>B$258</f>
        <v>0</v>
      </c>
    </row>
    <row r="261" spans="1:2">
      <c r="A261">
        <v>70</v>
      </c>
      <c r="B261" t="b">
        <f>B$258</f>
        <v>0</v>
      </c>
    </row>
    <row r="262" spans="1:2">
      <c r="A262">
        <v>0.55000000000000004</v>
      </c>
      <c r="B262" t="b">
        <f>B$258</f>
        <v>0</v>
      </c>
    </row>
    <row r="263" spans="1:2">
      <c r="A263">
        <v>6</v>
      </c>
      <c r="B263" t="b">
        <f>B$258</f>
        <v>0</v>
      </c>
    </row>
    <row r="264" spans="1:2">
      <c r="A264">
        <v>60</v>
      </c>
      <c r="B264" t="b">
        <f>B$258</f>
        <v>0</v>
      </c>
    </row>
    <row r="265" spans="1:2">
      <c r="A265">
        <v>200</v>
      </c>
      <c r="B265" t="b">
        <f>B$258</f>
        <v>0</v>
      </c>
    </row>
    <row r="266" spans="1:2">
      <c r="A266">
        <v>55.3</v>
      </c>
      <c r="B266" t="b">
        <v>0</v>
      </c>
    </row>
    <row r="267" spans="1:2">
      <c r="A267">
        <v>7</v>
      </c>
      <c r="B267" t="b">
        <f>B266</f>
        <v>0</v>
      </c>
    </row>
    <row r="268" spans="1:2">
      <c r="A268">
        <v>7</v>
      </c>
      <c r="B268" t="b">
        <f>B266</f>
        <v>0</v>
      </c>
    </row>
    <row r="269" spans="1:2">
      <c r="A269">
        <v>61</v>
      </c>
      <c r="B269" t="b">
        <f>B266</f>
        <v>0</v>
      </c>
    </row>
    <row r="270" spans="1:2">
      <c r="A270">
        <v>55.28</v>
      </c>
      <c r="B270" t="b">
        <f>$C$7</f>
        <v>0</v>
      </c>
    </row>
    <row r="271" spans="1:2">
      <c r="A271">
        <v>5</v>
      </c>
      <c r="B271" t="b">
        <f>B270</f>
        <v>0</v>
      </c>
    </row>
    <row r="272" spans="1:2">
      <c r="A272">
        <v>57</v>
      </c>
      <c r="B272" t="b">
        <f>B270</f>
        <v>0</v>
      </c>
    </row>
    <row r="273" spans="1:4">
      <c r="A273">
        <v>4</v>
      </c>
      <c r="B273" t="b">
        <f>B270</f>
        <v>0</v>
      </c>
    </row>
    <row r="274" spans="1:4">
      <c r="A274">
        <v>4</v>
      </c>
      <c r="B274" t="b">
        <f>B270</f>
        <v>0</v>
      </c>
    </row>
    <row r="275" spans="1:4">
      <c r="A275">
        <v>1</v>
      </c>
      <c r="B275" t="b">
        <f>B270</f>
        <v>0</v>
      </c>
    </row>
    <row r="276" spans="1:4">
      <c r="A276">
        <v>2</v>
      </c>
      <c r="B276" t="b">
        <f>D6</f>
        <v>0</v>
      </c>
      <c r="C276">
        <f>C209/40</f>
        <v>2.2549999999999999</v>
      </c>
    </row>
    <row r="277" spans="1:4">
      <c r="A277">
        <v>2</v>
      </c>
      <c r="B277" t="b">
        <f>B$276</f>
        <v>0</v>
      </c>
      <c r="C277">
        <f>C209/40</f>
        <v>2.2549999999999999</v>
      </c>
    </row>
    <row r="281" spans="1:4">
      <c r="A281">
        <v>0.15</v>
      </c>
    </row>
    <row r="282" spans="1:4">
      <c r="A282">
        <v>6.5000000000000002E-2</v>
      </c>
    </row>
    <row r="285" spans="1:4">
      <c r="B285" t="s">
        <v>194</v>
      </c>
      <c r="D285" s="386" t="s">
        <v>43</v>
      </c>
    </row>
    <row r="288" spans="1:4">
      <c r="A288">
        <v>196.6</v>
      </c>
      <c r="B288" t="b">
        <f>$A$3</f>
        <v>0</v>
      </c>
    </row>
    <row r="289" spans="1:4">
      <c r="A289">
        <v>21.75</v>
      </c>
      <c r="B289" t="b">
        <f>B$288</f>
        <v>0</v>
      </c>
    </row>
    <row r="290" spans="1:4">
      <c r="A290">
        <v>46</v>
      </c>
      <c r="B290" t="b">
        <f>B$288</f>
        <v>0</v>
      </c>
    </row>
    <row r="291" spans="1:4">
      <c r="A291">
        <v>208</v>
      </c>
      <c r="B291" t="b">
        <f>$A$4</f>
        <v>0</v>
      </c>
    </row>
    <row r="292" spans="1:4">
      <c r="A292">
        <v>12000</v>
      </c>
      <c r="B292" t="b">
        <f>$A$4</f>
        <v>0</v>
      </c>
      <c r="D292" s="386">
        <v>0</v>
      </c>
    </row>
    <row r="293" spans="1:4">
      <c r="A293">
        <v>9840</v>
      </c>
      <c r="B293" t="b">
        <f>$A$4</f>
        <v>0</v>
      </c>
      <c r="D293" s="386">
        <f>'ПОДРОБНАЯ СМЕТА'!C293/1000</f>
        <v>0</v>
      </c>
    </row>
    <row r="294" spans="1:4">
      <c r="A294">
        <v>461.8</v>
      </c>
      <c r="B294" t="b">
        <f>$A$4</f>
        <v>0</v>
      </c>
    </row>
    <row r="295" spans="1:4">
      <c r="A295">
        <v>400</v>
      </c>
      <c r="B295" t="b">
        <f>$A$4</f>
        <v>0</v>
      </c>
    </row>
    <row r="296" spans="1:4">
      <c r="A296">
        <v>60</v>
      </c>
      <c r="B296" t="b">
        <f>$A$4</f>
        <v>0</v>
      </c>
    </row>
    <row r="297" spans="1:4">
      <c r="A297">
        <v>28.2</v>
      </c>
      <c r="B297" t="b">
        <f>$A$4</f>
        <v>0</v>
      </c>
    </row>
    <row r="298" spans="1:4">
      <c r="A298">
        <v>11</v>
      </c>
      <c r="B298" t="b">
        <f>$A$4</f>
        <v>0</v>
      </c>
    </row>
    <row r="299" spans="1:4">
      <c r="A299">
        <v>113</v>
      </c>
      <c r="B299" t="b">
        <f>$A$4</f>
        <v>0</v>
      </c>
    </row>
    <row r="300" spans="1:4">
      <c r="A300">
        <v>113</v>
      </c>
      <c r="B300" t="b">
        <f>$A$4</f>
        <v>0</v>
      </c>
    </row>
    <row r="301" spans="1:4">
      <c r="A301">
        <v>2</v>
      </c>
      <c r="B301" t="b">
        <f>$A$4</f>
        <v>0</v>
      </c>
    </row>
    <row r="305" spans="1:4">
      <c r="A305">
        <v>0.15</v>
      </c>
    </row>
    <row r="306" spans="1:4">
      <c r="A306">
        <v>6.5000000000000002E-2</v>
      </c>
    </row>
    <row r="309" spans="1:4">
      <c r="B309" t="s">
        <v>194</v>
      </c>
      <c r="D309" s="386" t="s">
        <v>43</v>
      </c>
    </row>
    <row r="312" spans="1:4">
      <c r="A312">
        <v>80.8</v>
      </c>
      <c r="B312" t="b">
        <v>0</v>
      </c>
    </row>
    <row r="313" spans="1:4">
      <c r="A313">
        <v>8.9</v>
      </c>
      <c r="B313" t="b">
        <f>$B$312</f>
        <v>0</v>
      </c>
    </row>
    <row r="314" spans="1:4">
      <c r="A314">
        <v>19</v>
      </c>
      <c r="B314" t="b">
        <f>$B$312</f>
        <v>0</v>
      </c>
    </row>
    <row r="315" spans="1:4">
      <c r="A315">
        <v>80.8</v>
      </c>
      <c r="B315" t="b">
        <v>0</v>
      </c>
      <c r="C315">
        <f>IF(B315=TRUE,A315,0)</f>
        <v>0</v>
      </c>
    </row>
    <row r="316" spans="1:4">
      <c r="A316">
        <v>7.5</v>
      </c>
      <c r="B316" t="b">
        <f>$B$315</f>
        <v>0</v>
      </c>
      <c r="C316">
        <f>IF(B316=TRUE,A316,0)</f>
        <v>0</v>
      </c>
    </row>
    <row r="317" spans="1:4">
      <c r="A317">
        <v>99</v>
      </c>
      <c r="B317" t="b">
        <f>$B$315</f>
        <v>0</v>
      </c>
      <c r="C317">
        <f>IF(B317=TRUE,A317,0)</f>
        <v>0</v>
      </c>
    </row>
    <row r="318" spans="1:4">
      <c r="A318">
        <v>15</v>
      </c>
      <c r="B318" t="b">
        <f>$B$315</f>
        <v>0</v>
      </c>
      <c r="C318">
        <f>IF(B318=TRUE,A318,0)</f>
        <v>0</v>
      </c>
    </row>
    <row r="319" spans="1:4">
      <c r="A319">
        <v>71.099999999999994</v>
      </c>
      <c r="B319" t="b">
        <v>0</v>
      </c>
      <c r="C319">
        <f>IF(B319=TRUE,A319,0)</f>
        <v>0</v>
      </c>
    </row>
    <row r="320" spans="1:4">
      <c r="A320">
        <v>4</v>
      </c>
      <c r="B320" t="b">
        <f>$B$319</f>
        <v>0</v>
      </c>
      <c r="C320">
        <f>IF(B320=TRUE,A320,0)</f>
        <v>0</v>
      </c>
    </row>
    <row r="321" spans="1:4">
      <c r="A321">
        <v>87</v>
      </c>
      <c r="B321" t="b">
        <f>$B$319</f>
        <v>0</v>
      </c>
      <c r="C321">
        <f>IF(B321=TRUE,A321,0)</f>
        <v>0</v>
      </c>
    </row>
    <row r="322" spans="1:4">
      <c r="A322">
        <v>8</v>
      </c>
      <c r="B322" t="b">
        <f>$B$319</f>
        <v>0</v>
      </c>
      <c r="C322">
        <f>IF(B322=TRUE,A322,0)</f>
        <v>0</v>
      </c>
    </row>
    <row r="323" spans="1:4">
      <c r="A323">
        <v>532.29999999999995</v>
      </c>
      <c r="B323" t="b">
        <v>0</v>
      </c>
    </row>
    <row r="324" spans="1:4">
      <c r="A324">
        <v>9</v>
      </c>
      <c r="B324" t="b">
        <f>$B$323</f>
        <v>0</v>
      </c>
    </row>
    <row r="325" spans="1:4">
      <c r="A325">
        <v>237.2</v>
      </c>
      <c r="B325" t="b">
        <v>0</v>
      </c>
    </row>
    <row r="326" spans="1:4">
      <c r="A326">
        <v>148</v>
      </c>
      <c r="B326" t="b">
        <f>B$325</f>
        <v>0</v>
      </c>
    </row>
    <row r="327" spans="1:4">
      <c r="A327">
        <v>14120</v>
      </c>
      <c r="B327" t="b">
        <f>B$325</f>
        <v>0</v>
      </c>
      <c r="D327" s="386">
        <f>'ПОДРОБНАЯ СМЕТА'!C327/1000</f>
        <v>0</v>
      </c>
    </row>
    <row r="328" spans="1:4">
      <c r="A328">
        <v>295.10000000000002</v>
      </c>
      <c r="B328" t="b">
        <v>0</v>
      </c>
    </row>
    <row r="329" spans="1:4">
      <c r="A329">
        <v>184</v>
      </c>
      <c r="B329" t="b">
        <f>B$328</f>
        <v>0</v>
      </c>
    </row>
    <row r="330" spans="1:4">
      <c r="A330">
        <v>17560</v>
      </c>
      <c r="B330" t="b">
        <f>B$328</f>
        <v>0</v>
      </c>
      <c r="D330" s="386">
        <f>'ПОДРОБНАЯ СМЕТА'!C330/1000</f>
        <v>0</v>
      </c>
    </row>
    <row r="331" spans="1:4">
      <c r="A331">
        <v>69.2</v>
      </c>
      <c r="B331" t="b">
        <v>0</v>
      </c>
    </row>
    <row r="332" spans="1:4">
      <c r="A332">
        <v>39</v>
      </c>
      <c r="B332" t="b">
        <f>B$331</f>
        <v>0</v>
      </c>
    </row>
    <row r="333" spans="1:4">
      <c r="A333">
        <v>1400</v>
      </c>
      <c r="B333" t="b">
        <f>B$331</f>
        <v>0</v>
      </c>
      <c r="D333" s="386">
        <f>'ПОДРОБНАЯ СМЕТА'!C333/1000</f>
        <v>0</v>
      </c>
    </row>
    <row r="337" spans="1:4">
      <c r="A337">
        <v>0.12</v>
      </c>
    </row>
    <row r="338" spans="1:4">
      <c r="A338">
        <v>6.5000000000000002E-2</v>
      </c>
    </row>
    <row r="341" spans="1:4">
      <c r="B341" t="s">
        <v>194</v>
      </c>
      <c r="D341" s="386" t="s">
        <v>43</v>
      </c>
    </row>
    <row r="344" spans="1:4">
      <c r="A344">
        <v>60</v>
      </c>
      <c r="B344" t="b">
        <f>D1</f>
        <v>0</v>
      </c>
      <c r="C344">
        <f>A344*N(B344)</f>
        <v>0</v>
      </c>
    </row>
    <row r="345" spans="1:4">
      <c r="A345">
        <v>1</v>
      </c>
      <c r="B345" t="b">
        <f>D2</f>
        <v>0</v>
      </c>
      <c r="C345">
        <f>A345*N(B345)</f>
        <v>0</v>
      </c>
    </row>
    <row r="346" spans="1:4">
      <c r="A346">
        <v>1</v>
      </c>
      <c r="B346" t="b">
        <f>B345</f>
        <v>0</v>
      </c>
      <c r="C346">
        <f>A346*N(B346)</f>
        <v>0</v>
      </c>
    </row>
    <row r="347" spans="1:4">
      <c r="A347">
        <v>1</v>
      </c>
      <c r="B347" t="b">
        <f>$D$3</f>
        <v>0</v>
      </c>
      <c r="C347">
        <f>A347*N(B347)</f>
        <v>0</v>
      </c>
    </row>
    <row r="348" spans="1:4">
      <c r="A348">
        <v>1</v>
      </c>
      <c r="B348" t="b">
        <f>$D$3</f>
        <v>0</v>
      </c>
      <c r="C348">
        <f>A348*N(B348)</f>
        <v>0</v>
      </c>
    </row>
    <row r="349" spans="1:4">
      <c r="A349">
        <v>7</v>
      </c>
      <c r="B349" t="b">
        <f>$D$3</f>
        <v>0</v>
      </c>
      <c r="C349">
        <f>A349*N(B349)</f>
        <v>0</v>
      </c>
    </row>
    <row r="350" spans="1:4">
      <c r="A350">
        <v>0.24</v>
      </c>
      <c r="B350" t="b">
        <f>$D$3</f>
        <v>0</v>
      </c>
      <c r="C350">
        <f>A350*N(B350)</f>
        <v>0</v>
      </c>
    </row>
    <row r="351" spans="1:4">
      <c r="A351">
        <v>6</v>
      </c>
      <c r="B351" t="b">
        <f>$D$3</f>
        <v>0</v>
      </c>
      <c r="C351">
        <f>A351*N(B351)</f>
        <v>0</v>
      </c>
    </row>
    <row r="352" spans="1:4">
      <c r="A352">
        <v>5</v>
      </c>
      <c r="B352" t="b">
        <f>$D$3</f>
        <v>0</v>
      </c>
      <c r="C352">
        <f>A352*N(B352)</f>
        <v>0</v>
      </c>
    </row>
    <row r="356" spans="1:4">
      <c r="A356">
        <v>0.1</v>
      </c>
    </row>
    <row r="357" spans="1:4">
      <c r="A357">
        <v>6.5000000000000002E-2</v>
      </c>
    </row>
    <row r="360" spans="1:4">
      <c r="B360" t="s">
        <v>194</v>
      </c>
      <c r="D360" s="386" t="s">
        <v>43</v>
      </c>
    </row>
    <row r="363" spans="1:4">
      <c r="A363">
        <v>1</v>
      </c>
      <c r="B363" t="b">
        <f>IF($C$452=1,$C$363)</f>
        <v>0</v>
      </c>
      <c r="C363" t="b">
        <v>0</v>
      </c>
    </row>
    <row r="364" spans="1:4">
      <c r="A364">
        <v>1</v>
      </c>
      <c r="B364" t="b">
        <f>$B$363</f>
        <v>0</v>
      </c>
    </row>
    <row r="365" spans="1:4">
      <c r="A365">
        <v>1</v>
      </c>
      <c r="B365" t="b">
        <f>$B$363</f>
        <v>0</v>
      </c>
    </row>
    <row r="366" spans="1:4">
      <c r="A366">
        <v>1</v>
      </c>
      <c r="B366" t="b">
        <f>$B$363</f>
        <v>0</v>
      </c>
    </row>
    <row r="367" spans="1:4">
      <c r="A367">
        <v>1</v>
      </c>
      <c r="B367" t="b">
        <f>$B$363</f>
        <v>0</v>
      </c>
    </row>
    <row r="368" spans="1:4">
      <c r="A368">
        <v>1</v>
      </c>
      <c r="B368" t="b">
        <f>$B$363</f>
        <v>0</v>
      </c>
    </row>
    <row r="369" spans="1:2">
      <c r="A369">
        <v>1</v>
      </c>
      <c r="B369" t="b">
        <f>$B$363</f>
        <v>0</v>
      </c>
    </row>
    <row r="370" spans="1:2">
      <c r="A370">
        <v>1</v>
      </c>
      <c r="B370" t="b">
        <f>$B$363</f>
        <v>0</v>
      </c>
    </row>
    <row r="371" spans="1:2">
      <c r="A371">
        <v>1</v>
      </c>
      <c r="B371" t="b">
        <f>$B$363</f>
        <v>0</v>
      </c>
    </row>
    <row r="372" spans="1:2">
      <c r="A372">
        <v>1</v>
      </c>
      <c r="B372" t="b">
        <f>$B$363</f>
        <v>0</v>
      </c>
    </row>
    <row r="373" spans="1:2">
      <c r="A373">
        <v>1</v>
      </c>
      <c r="B373" t="b">
        <f>$B$363</f>
        <v>0</v>
      </c>
    </row>
    <row r="374" spans="1:2">
      <c r="A374">
        <v>12</v>
      </c>
      <c r="B374" t="b">
        <f>$B$363</f>
        <v>0</v>
      </c>
    </row>
    <row r="375" spans="1:2">
      <c r="A375">
        <v>9</v>
      </c>
      <c r="B375" t="b">
        <f>$B$363</f>
        <v>0</v>
      </c>
    </row>
    <row r="376" spans="1:2">
      <c r="A376">
        <v>1</v>
      </c>
      <c r="B376" t="b">
        <f>$B$363</f>
        <v>0</v>
      </c>
    </row>
    <row r="377" spans="1:2">
      <c r="A377">
        <v>1</v>
      </c>
      <c r="B377" t="b">
        <f>IF($C$452=2,$C$363)</f>
        <v>0</v>
      </c>
    </row>
    <row r="378" spans="1:2">
      <c r="A378">
        <v>1</v>
      </c>
      <c r="B378" t="b">
        <f>$B$377</f>
        <v>0</v>
      </c>
    </row>
    <row r="379" spans="1:2">
      <c r="A379">
        <v>1</v>
      </c>
      <c r="B379" t="b">
        <f>$B$377</f>
        <v>0</v>
      </c>
    </row>
    <row r="380" spans="1:2">
      <c r="A380">
        <v>1</v>
      </c>
      <c r="B380" t="b">
        <f>$B$377</f>
        <v>0</v>
      </c>
    </row>
    <row r="381" spans="1:2">
      <c r="A381">
        <v>1</v>
      </c>
      <c r="B381" t="b">
        <f>$B$377</f>
        <v>0</v>
      </c>
    </row>
    <row r="382" spans="1:2">
      <c r="A382">
        <v>1</v>
      </c>
      <c r="B382" t="b">
        <f>$B$377</f>
        <v>0</v>
      </c>
    </row>
    <row r="383" spans="1:2">
      <c r="A383">
        <v>13</v>
      </c>
      <c r="B383" t="b">
        <f>$B$377</f>
        <v>0</v>
      </c>
    </row>
    <row r="384" spans="1:2">
      <c r="A384">
        <v>3</v>
      </c>
      <c r="B384" t="b">
        <f>$B$377</f>
        <v>0</v>
      </c>
    </row>
    <row r="385" spans="1:2">
      <c r="A385">
        <v>9</v>
      </c>
      <c r="B385" t="b">
        <f>$B$377</f>
        <v>0</v>
      </c>
    </row>
    <row r="386" spans="1:2">
      <c r="A386">
        <v>1</v>
      </c>
      <c r="B386" t="b">
        <f>$B$377</f>
        <v>0</v>
      </c>
    </row>
    <row r="387" spans="1:2">
      <c r="A387">
        <v>1</v>
      </c>
      <c r="B387" t="b">
        <f>$B$377</f>
        <v>0</v>
      </c>
    </row>
    <row r="388" spans="1:2">
      <c r="A388">
        <v>1</v>
      </c>
      <c r="B388" t="b">
        <f>$B$377</f>
        <v>0</v>
      </c>
    </row>
    <row r="389" spans="1:2">
      <c r="A389">
        <v>1</v>
      </c>
      <c r="B389" t="b">
        <f>$B$377</f>
        <v>0</v>
      </c>
    </row>
    <row r="390" spans="1:2">
      <c r="A390">
        <v>1</v>
      </c>
      <c r="B390" t="b">
        <f>$B$377</f>
        <v>0</v>
      </c>
    </row>
    <row r="391" spans="1:2">
      <c r="A391">
        <v>1</v>
      </c>
      <c r="B391" t="b">
        <f>$B$377</f>
        <v>0</v>
      </c>
    </row>
    <row r="392" spans="1:2">
      <c r="A392">
        <v>1</v>
      </c>
      <c r="B392" t="b">
        <f>$B$377</f>
        <v>0</v>
      </c>
    </row>
    <row r="393" spans="1:2">
      <c r="A393">
        <v>1</v>
      </c>
      <c r="B393" t="b">
        <f>$B$377</f>
        <v>0</v>
      </c>
    </row>
    <row r="394" spans="1:2">
      <c r="A394">
        <v>1</v>
      </c>
      <c r="B394" t="b">
        <f>$B$377</f>
        <v>0</v>
      </c>
    </row>
    <row r="395" spans="1:2">
      <c r="A395">
        <v>1</v>
      </c>
      <c r="B395" t="b">
        <f>$B$377</f>
        <v>0</v>
      </c>
    </row>
    <row r="396" spans="1:2">
      <c r="A396">
        <v>1</v>
      </c>
      <c r="B396" t="b">
        <f>IF($C$452=3,$C$363)</f>
        <v>0</v>
      </c>
    </row>
    <row r="397" spans="1:2">
      <c r="A397">
        <v>1</v>
      </c>
      <c r="B397" t="b">
        <f>$B$396</f>
        <v>0</v>
      </c>
    </row>
    <row r="398" spans="1:2">
      <c r="A398">
        <v>1</v>
      </c>
      <c r="B398" t="b">
        <f>$B$396</f>
        <v>0</v>
      </c>
    </row>
    <row r="399" spans="1:2">
      <c r="A399">
        <v>1</v>
      </c>
      <c r="B399" t="b">
        <f>$B$396</f>
        <v>0</v>
      </c>
    </row>
    <row r="400" spans="1:2">
      <c r="A400">
        <v>1</v>
      </c>
      <c r="B400" t="b">
        <f>$B$396</f>
        <v>0</v>
      </c>
    </row>
    <row r="401" spans="1:2">
      <c r="A401">
        <v>1</v>
      </c>
      <c r="B401" t="b">
        <f>$B$396</f>
        <v>0</v>
      </c>
    </row>
    <row r="402" spans="1:2">
      <c r="A402">
        <v>1</v>
      </c>
      <c r="B402" t="b">
        <f>$B$396</f>
        <v>0</v>
      </c>
    </row>
    <row r="403" spans="1:2">
      <c r="A403">
        <v>13</v>
      </c>
      <c r="B403" t="b">
        <f>$B$396</f>
        <v>0</v>
      </c>
    </row>
    <row r="404" spans="1:2">
      <c r="A404">
        <v>3</v>
      </c>
      <c r="B404" t="b">
        <f>$B$396</f>
        <v>0</v>
      </c>
    </row>
    <row r="405" spans="1:2">
      <c r="A405">
        <v>9</v>
      </c>
      <c r="B405" t="b">
        <f>$B$396</f>
        <v>0</v>
      </c>
    </row>
    <row r="406" spans="1:2">
      <c r="A406">
        <v>1</v>
      </c>
      <c r="B406" t="b">
        <f>$B$396</f>
        <v>0</v>
      </c>
    </row>
    <row r="407" spans="1:2">
      <c r="A407">
        <v>1</v>
      </c>
      <c r="B407" t="b">
        <f>$B$396</f>
        <v>0</v>
      </c>
    </row>
    <row r="408" spans="1:2">
      <c r="A408">
        <v>1</v>
      </c>
      <c r="B408" t="b">
        <f>$B$396</f>
        <v>0</v>
      </c>
    </row>
    <row r="409" spans="1:2">
      <c r="A409">
        <v>1</v>
      </c>
      <c r="B409" t="b">
        <f>$B$396</f>
        <v>0</v>
      </c>
    </row>
    <row r="410" spans="1:2">
      <c r="A410">
        <v>1</v>
      </c>
      <c r="B410" t="b">
        <f>$B$396</f>
        <v>0</v>
      </c>
    </row>
    <row r="411" spans="1:2">
      <c r="A411">
        <v>1</v>
      </c>
      <c r="B411" t="b">
        <f>$B$396</f>
        <v>0</v>
      </c>
    </row>
    <row r="412" spans="1:2">
      <c r="A412">
        <v>1</v>
      </c>
      <c r="B412" t="b">
        <f>$B$396</f>
        <v>0</v>
      </c>
    </row>
    <row r="413" spans="1:2">
      <c r="A413">
        <v>1</v>
      </c>
      <c r="B413" t="b">
        <f>$B$396</f>
        <v>0</v>
      </c>
    </row>
    <row r="414" spans="1:2">
      <c r="A414">
        <v>1</v>
      </c>
      <c r="B414" t="b">
        <f>$B$396</f>
        <v>0</v>
      </c>
    </row>
    <row r="415" spans="1:2">
      <c r="A415">
        <v>1</v>
      </c>
      <c r="B415" t="b">
        <f>$B$396</f>
        <v>0</v>
      </c>
    </row>
    <row r="416" spans="1:2">
      <c r="A416">
        <v>1</v>
      </c>
      <c r="B416" t="b">
        <f>$B$396</f>
        <v>0</v>
      </c>
    </row>
    <row r="417" spans="1:3">
      <c r="A417">
        <v>1</v>
      </c>
      <c r="B417" t="b">
        <f>$B$396</f>
        <v>0</v>
      </c>
    </row>
    <row r="418" spans="1:3">
      <c r="A418">
        <v>1</v>
      </c>
      <c r="B418" t="b">
        <f>$B$396</f>
        <v>0</v>
      </c>
    </row>
    <row r="419" spans="1:3">
      <c r="A419">
        <v>1</v>
      </c>
      <c r="B419" t="b">
        <f>IF($C$452=1,$C$419)</f>
        <v>0</v>
      </c>
      <c r="C419" t="b">
        <v>0</v>
      </c>
    </row>
    <row r="420" spans="1:3">
      <c r="A420">
        <v>1</v>
      </c>
      <c r="B420" t="b">
        <f>$B$419</f>
        <v>0</v>
      </c>
    </row>
    <row r="421" spans="1:3">
      <c r="A421">
        <v>1</v>
      </c>
      <c r="B421" t="b">
        <f>$B$419</f>
        <v>0</v>
      </c>
    </row>
    <row r="422" spans="1:3">
      <c r="A422">
        <v>1</v>
      </c>
      <c r="B422" t="b">
        <f>$B$419</f>
        <v>0</v>
      </c>
    </row>
    <row r="423" spans="1:3">
      <c r="A423">
        <v>85</v>
      </c>
      <c r="B423" t="b">
        <f>$B$419</f>
        <v>0</v>
      </c>
    </row>
    <row r="424" spans="1:3">
      <c r="A424">
        <v>1</v>
      </c>
      <c r="B424" t="b">
        <f>$B$419</f>
        <v>0</v>
      </c>
    </row>
    <row r="425" spans="1:3">
      <c r="A425">
        <v>1</v>
      </c>
      <c r="B425" t="b">
        <f>IF($C$452=2,$C$419)</f>
        <v>0</v>
      </c>
    </row>
    <row r="426" spans="1:3">
      <c r="A426">
        <v>1</v>
      </c>
      <c r="B426" t="b">
        <f>$B$425</f>
        <v>0</v>
      </c>
    </row>
    <row r="427" spans="1:3">
      <c r="A427">
        <v>1</v>
      </c>
      <c r="B427" t="b">
        <f>$B$425</f>
        <v>0</v>
      </c>
    </row>
    <row r="428" spans="1:3">
      <c r="A428">
        <v>1</v>
      </c>
      <c r="B428" t="b">
        <f>$B$425</f>
        <v>0</v>
      </c>
    </row>
    <row r="429" spans="1:3">
      <c r="A429">
        <v>1</v>
      </c>
      <c r="B429" t="b">
        <f>$B$425</f>
        <v>0</v>
      </c>
    </row>
    <row r="430" spans="1:3">
      <c r="A430">
        <v>1</v>
      </c>
      <c r="B430" t="b">
        <f>$B$425</f>
        <v>0</v>
      </c>
    </row>
    <row r="431" spans="1:3">
      <c r="A431">
        <v>1</v>
      </c>
      <c r="B431" t="b">
        <f>$B$425</f>
        <v>0</v>
      </c>
    </row>
    <row r="432" spans="1:3">
      <c r="A432">
        <v>95</v>
      </c>
      <c r="B432" t="b">
        <f>$B$425</f>
        <v>0</v>
      </c>
    </row>
    <row r="433" spans="1:2">
      <c r="A433">
        <v>1</v>
      </c>
      <c r="B433" t="b">
        <f>$B$425</f>
        <v>0</v>
      </c>
    </row>
    <row r="434" spans="1:2">
      <c r="A434">
        <v>1</v>
      </c>
      <c r="B434" t="b">
        <f>IF($C$452=3,$C$419)</f>
        <v>0</v>
      </c>
    </row>
    <row r="435" spans="1:2">
      <c r="A435">
        <v>1</v>
      </c>
      <c r="B435" t="b">
        <f>$B$434</f>
        <v>0</v>
      </c>
    </row>
    <row r="436" spans="1:2">
      <c r="A436">
        <v>1</v>
      </c>
      <c r="B436" t="b">
        <f>$B$434</f>
        <v>0</v>
      </c>
    </row>
    <row r="437" spans="1:2">
      <c r="A437">
        <v>1</v>
      </c>
      <c r="B437" t="b">
        <f>$B$434</f>
        <v>0</v>
      </c>
    </row>
    <row r="438" spans="1:2">
      <c r="A438">
        <v>1</v>
      </c>
      <c r="B438" t="b">
        <f>$B$434</f>
        <v>0</v>
      </c>
    </row>
    <row r="439" spans="1:2">
      <c r="A439">
        <v>1</v>
      </c>
      <c r="B439" t="b">
        <f>$B$434</f>
        <v>0</v>
      </c>
    </row>
    <row r="440" spans="1:2">
      <c r="A440">
        <v>1</v>
      </c>
      <c r="B440" t="b">
        <f>$B$434</f>
        <v>0</v>
      </c>
    </row>
    <row r="441" spans="1:2">
      <c r="A441">
        <v>125</v>
      </c>
      <c r="B441" t="b">
        <f>$B$434</f>
        <v>0</v>
      </c>
    </row>
    <row r="442" spans="1:2">
      <c r="A442">
        <v>1</v>
      </c>
      <c r="B442" t="b">
        <f>$B$434</f>
        <v>0</v>
      </c>
    </row>
    <row r="446" spans="1:2">
      <c r="A446">
        <v>0.1</v>
      </c>
    </row>
    <row r="447" spans="1:2">
      <c r="A447">
        <v>6.5000000000000002E-2</v>
      </c>
    </row>
    <row r="450" spans="1:4">
      <c r="A450" t="s">
        <v>40</v>
      </c>
      <c r="B450" t="s">
        <v>41</v>
      </c>
      <c r="C450" t="s">
        <v>42</v>
      </c>
      <c r="D450" s="386" t="s">
        <v>43</v>
      </c>
    </row>
    <row r="451" spans="1:4">
      <c r="A451" t="s">
        <v>48</v>
      </c>
    </row>
    <row r="452" spans="1:4">
      <c r="C452">
        <f>IF('ПОДРОБНАЯ СМЕТА'!J1="ЭКОНОМ",1,IF('ПОДРОБНАЯ СМЕТА'!J1="СТАНДАРТ",2,3))</f>
        <v>2</v>
      </c>
    </row>
    <row r="453" spans="1:4">
      <c r="A453">
        <v>1</v>
      </c>
      <c r="B453" t="b">
        <v>1</v>
      </c>
    </row>
    <row r="454" spans="1:4">
      <c r="B454" t="b">
        <v>1</v>
      </c>
      <c r="C454">
        <f>SUMIF('ПОДРОБНАЯ СМЕТА'!$A12:$A340,"=Песок карьерный",'ПОДРОБНАЯ СМЕТА'!C12:C340)</f>
        <v>100</v>
      </c>
    </row>
    <row r="455" spans="1:4">
      <c r="B455" t="b">
        <v>1</v>
      </c>
      <c r="C455">
        <f>SUMIF('ПОДРОБНАЯ СМЕТА'!$A12:$A340,"=Бетон *",'ПОДРОБНАЯ СМЕТА'!C12:C340)</f>
        <v>65</v>
      </c>
    </row>
    <row r="456" spans="1:4">
      <c r="A456">
        <v>0</v>
      </c>
      <c r="B456" t="b">
        <f>IF(C456=0,FALSE,TRUE)</f>
        <v>0</v>
      </c>
      <c r="C456">
        <f>SUMIF('ПОДРОБНАЯ СМЕТА'!$A12:$A340,"=Раствор *",'ПОДРОБНАЯ СМЕТА'!C12:C340)</f>
        <v>0</v>
      </c>
    </row>
    <row r="457" spans="1:4">
      <c r="A457">
        <v>0</v>
      </c>
      <c r="B457" t="b">
        <f>OR(D2=TRUE,D3=TRUE)</f>
        <v>0</v>
      </c>
      <c r="C457">
        <f>IF(SUM(A345+A347)&gt;0,1,0)*IF(OR(A7=FALSE,D3=FALSE),0,1)</f>
        <v>0</v>
      </c>
    </row>
    <row r="458" spans="1:4">
      <c r="A458">
        <v>2</v>
      </c>
      <c r="B458" t="b">
        <v>1</v>
      </c>
    </row>
    <row r="459" spans="1:4">
      <c r="A459">
        <v>4</v>
      </c>
      <c r="B459" t="b">
        <v>1</v>
      </c>
      <c r="C459">
        <f>IFERROR('ПОДРОБНАЯ СМЕТА'!C465,0)</f>
        <v>0</v>
      </c>
    </row>
    <row r="460" spans="1:4">
      <c r="A460">
        <v>1</v>
      </c>
      <c r="B460" t="b">
        <v>1</v>
      </c>
    </row>
    <row r="461" spans="1:4">
      <c r="A461">
        <v>3</v>
      </c>
      <c r="B461" t="b">
        <v>1</v>
      </c>
    </row>
    <row r="462" spans="1:4">
      <c r="A462">
        <v>5</v>
      </c>
      <c r="B462" t="b">
        <v>1</v>
      </c>
    </row>
    <row r="463" spans="1:4">
      <c r="A463">
        <v>3</v>
      </c>
      <c r="B463" t="b">
        <v>1</v>
      </c>
    </row>
    <row r="464" spans="1:4">
      <c r="B464" t="b">
        <f>$A$4</f>
        <v>0</v>
      </c>
      <c r="C464">
        <f>CEILING(IFERROR(SUM(D301:D302)/2,0),1)</f>
        <v>0</v>
      </c>
    </row>
    <row r="465" spans="1:3">
      <c r="A465">
        <v>2</v>
      </c>
      <c r="B465" t="b">
        <f>$A$4</f>
        <v>0</v>
      </c>
    </row>
    <row r="466" spans="1:3">
      <c r="A466">
        <v>2</v>
      </c>
      <c r="B466" t="b">
        <v>1</v>
      </c>
      <c r="C466">
        <f>ROUNDUP(SUMIF('ПОДРОБНАЯ СМЕТА'!$A12:$A340,"=* МКУ*",D12:D340)/8,0)+ROUNDUP(SUMIF('ПОДРОБНАЯ СМЕТА'!$A12:$A340,"=* цветная*",D12:D340)/8,0)</f>
        <v>2</v>
      </c>
    </row>
    <row r="467" spans="1:3">
      <c r="A467">
        <v>1</v>
      </c>
      <c r="B467" t="b">
        <v>1</v>
      </c>
      <c r="C467">
        <f>CEILING(SUMIF('ПОДРОБНАЯ СМЕТА'!A70:A340,"*полистирол*",'ПОДРОБНАЯ СМЕТА'!C70:C340)/35,1)</f>
        <v>0</v>
      </c>
    </row>
    <row r="468" spans="1:3">
      <c r="B468" t="b">
        <f>IF(SUMIF('ПОДРОБНАЯ СМЕТА'!$A12:$A481,"=Минераловатные плиты*",'ПОДРОБНАЯ СМЕТА'!C12:C481)=0,FALSE,TRUE)</f>
        <v>0</v>
      </c>
      <c r="C468">
        <f>CEILING(SUMIF('ПОДРОБНАЯ СМЕТА'!A12:A340,"Минераловатные плиты *",'ПОДРОБНАЯ СМЕТА'!C12:C340)/35,1)</f>
        <v>0</v>
      </c>
    </row>
    <row r="469" spans="1:3">
      <c r="B469" t="b">
        <f>$C$5</f>
        <v>0</v>
      </c>
      <c r="C469">
        <f>IF($C$5,1,0)*IF(SUMIF('ПОДРОБНАЯ СМЕТА'!$A12:$A340,"Двухслойная *",'ПОДРОБНАЯ СМЕТА'!$C12:$C340)=0,0,1)</f>
        <v>0</v>
      </c>
    </row>
    <row r="470" spans="1:3">
      <c r="B470" t="b">
        <f>$C$7</f>
        <v>0</v>
      </c>
      <c r="C470">
        <f>IF($C$7,1,0)*IF(SUMIF('ПОДРОБНАЯ СМЕТА'!$A12:$A340,"Труба дренажная Softrock *",'ПОДРОБНАЯ СМЕТА'!$C12:$C340)=0,0,1)</f>
        <v>0</v>
      </c>
    </row>
    <row r="471" spans="1:3">
      <c r="A471">
        <v>1</v>
      </c>
      <c r="B471" t="b">
        <v>1</v>
      </c>
    </row>
    <row r="472" spans="1:3">
      <c r="A472">
        <v>1</v>
      </c>
      <c r="B472" t="b">
        <f>OR(B3=TRUE,B4=TRUE)</f>
        <v>0</v>
      </c>
    </row>
    <row r="473" spans="1:3">
      <c r="B473" t="b">
        <f>OR(D2=TRUE,D3=TRUE)</f>
        <v>0</v>
      </c>
      <c r="C473">
        <f>IF(SUM(A345+A347)&gt;0,1,0)*IF(OR(A7=FALSE,D3=FALSE),0,1)</f>
        <v>0</v>
      </c>
    </row>
    <row r="483" spans="1:3">
      <c r="A483">
        <v>0.15</v>
      </c>
    </row>
    <row r="484" spans="1:3">
      <c r="A484">
        <v>6.5000000000000002E-2</v>
      </c>
    </row>
    <row r="487" spans="1:3">
      <c r="A487">
        <v>191.15</v>
      </c>
      <c r="B487">
        <v>191.15</v>
      </c>
      <c r="C487">
        <v>27834.37</v>
      </c>
    </row>
  </sheetData>
  <dataValidations count="6">
    <dataValidation type="custom" errorStyle="information" allowBlank="1" showInputMessage="1" showErrorMessage="1" sqref="D353:D354 D302:D303 D334:D335 D443:D444" xr:uid="{A6112523-5B48-4C3E-BE7B-76E6AA9AD791}">
      <formula1>"="</formula1>
    </dataValidation>
    <dataValidation errorStyle="information" allowBlank="1" showInputMessage="1" showErrorMessage="1" errorTitle="ВНИМАНИЕ!" error="Вы хотите внести изменение?" sqref="D344 D347:D352" xr:uid="{F5701718-0DF3-4F4F-94E3-46D8DCC1E7FD}"/>
    <dataValidation type="custom" errorStyle="information" allowBlank="1" showInputMessage="1" showErrorMessage="1" errorTitle="ВНИМАНИЕ!" error="Возможно Вы внисите изменение в ячейку с существующей формулой!" sqref="D9:D11 D491 D493 D266:D269 D68:D70 D276:D283 D285:D286 D20:D33 D13 D243:D251 D308:D310 D44:D66 C12:D12 D340:D362 C468:D470 D471:D489 D443:D467 D231:D236 D165:D219 D122:D162 D35:D41 D15:D17" xr:uid="{C2247291-1436-42C1-B5CA-AC98DBA6C633}">
      <formula1>"="</formula1>
    </dataValidation>
    <dataValidation allowBlank="1" showInputMessage="1" showErrorMessage="1" errorTitle="ВНИМАНИЕ!" error="Содержимое данных ячеек менять нельзя!" sqref="D42:D43 D71:D121 D288:D301 D233:D242 D220:D230" xr:uid="{B15F7C32-B226-4CFD-966D-4C4A8F9259C2}"/>
    <dataValidation allowBlank="1" showInputMessage="1" showErrorMessage="1" errorTitle="ВНИМЕНИЕ!" error="Данные Ячейки редактировать нельзя!!!" sqref="A494:D494 A492:D492 A490:D490" xr:uid="{C998D6B2-2B28-4727-9980-B1E668D7000F}"/>
    <dataValidation type="list" allowBlank="1" showInputMessage="1" showErrorMessage="1" sqref="B60 B134:B138 B233:B236 B14 B209:B211 B165:B169 B266:B269 B453:B472 B363:B442 B312:B333 B145:B162 B102:B121 B71:B94 B28:B57" xr:uid="{7F6EA7C5-947A-4A66-A446-1F8274B3E5AD}">
      <formula1>_ИСТИНА_ЛОЖЬ_</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5</vt:i4>
      </vt:variant>
    </vt:vector>
  </HeadingPairs>
  <TitlesOfParts>
    <vt:vector size="11" baseType="lpstr">
      <vt:lpstr>МЕНЮ</vt:lpstr>
      <vt:lpstr>ПРОЕКТ</vt:lpstr>
      <vt:lpstr>ПРОСТАЯ СМЕТА</vt:lpstr>
      <vt:lpstr>ПОДРОБНАЯ СМЕТА</vt:lpstr>
      <vt:lpstr>ОПЦИИ</vt:lpstr>
      <vt:lpstr>О НАС</vt:lpstr>
      <vt:lpstr>МЕНЮ!Область_печати</vt:lpstr>
      <vt:lpstr>'О НАС'!Область_печати</vt:lpstr>
      <vt:lpstr>ОПЦИИ!Область_печати</vt:lpstr>
      <vt:lpstr>'ПОДРОБНАЯ СМЕТА'!Область_печати</vt:lpstr>
      <vt:lpstr>'ПРОСТАЯ СМЕТА'!Область_печати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Private-Stroy</dc:creator>
  <cp:lastModifiedBy>Private-Stroy</cp:lastModifiedBy>
  <dcterms:created xsi:type="dcterms:W3CDTF">2023-09-13T11:44:36Z</dcterms:created>
  <dcterms:modified xsi:type="dcterms:W3CDTF">2023-09-13T11:45:27Z</dcterms:modified>
</cp:coreProperties>
</file>