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24226"/>
  <xr:revisionPtr revIDLastSave="0" documentId="13_ncr:1_{2A54A47E-8884-4EE5-8764-4BB540DDE959}" xr6:coauthVersionLast="47" xr6:coauthVersionMax="47"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H498" i="1" l="1"/>
  <c r="H501" i="1" l="1"/>
  <c r="H508" i="1" s="1"/>
  <c r="N1314" i="1" l="1"/>
  <c r="G363" i="1"/>
  <c r="H473" i="1" l="1"/>
  <c r="N1311" i="1" l="1"/>
  <c r="H480" i="1"/>
  <c r="G360"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H862" i="1"/>
  <c r="H645" i="1"/>
  <c r="H923" i="1"/>
  <c r="H902" i="1"/>
  <c r="H626" i="1"/>
  <c r="N1781"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H584" i="1" l="1"/>
  <c r="H591" i="1" s="1"/>
  <c r="H1207" i="1"/>
  <c r="H1213" i="1" s="1"/>
  <c r="N1680" i="1"/>
  <c r="N1704" i="1" s="1"/>
  <c r="N1998" i="1" s="1"/>
  <c r="N2037" i="1" s="1"/>
  <c r="N1738" i="1"/>
  <c r="N1957" i="1" s="1"/>
  <c r="N1963" i="1" s="1"/>
  <c r="N1674" i="1"/>
  <c r="H200" i="1" l="1"/>
  <c r="G369" i="1"/>
  <c r="H1137" i="1"/>
  <c r="N1991" i="1"/>
  <c r="N2034" i="1" s="1"/>
  <c r="N2298" i="1" s="1"/>
  <c r="H1004" i="1" l="1"/>
  <c r="N1751" i="1"/>
  <c r="N1954" i="1" s="1"/>
  <c r="N1960" i="1" s="1"/>
  <c r="N1710" i="1"/>
  <c r="H1044" i="1"/>
  <c r="N1686" i="1"/>
  <c r="N1716" i="1" s="1"/>
  <c r="N1747" i="1" s="1"/>
  <c r="N1969" i="1" l="1"/>
  <c r="N1975" i="1" s="1"/>
  <c r="N2246" i="1" s="1"/>
  <c r="N1754" i="1"/>
  <c r="N1802" i="1" s="1"/>
  <c r="N1805" i="1" s="1"/>
  <c r="H1051" i="1"/>
  <c r="H279" i="1" s="1"/>
  <c r="G397" i="1"/>
  <c r="N1362" i="1" l="1"/>
  <c r="N1378" i="1" l="1"/>
  <c r="N1397" i="1" s="1"/>
  <c r="N1414" i="1" l="1"/>
  <c r="N1430" i="1" s="1"/>
  <c r="N1441" i="1" s="1"/>
  <c r="H172" i="1"/>
  <c r="H178" i="1" s="1"/>
  <c r="H188" i="1" l="1"/>
  <c r="N1773" i="1"/>
  <c r="N1500" i="1"/>
  <c r="N1248" i="1" l="1"/>
  <c r="N1251" i="1" s="1"/>
  <c r="H542" i="1"/>
  <c r="H545" i="1" s="1"/>
  <c r="N1707" i="1"/>
  <c r="N1713" i="1" s="1"/>
  <c r="N1735" i="1" l="1"/>
  <c r="N1722" i="1"/>
  <c r="N1972" i="1" l="1"/>
  <c r="N1741" i="1"/>
  <c r="N1822" i="1" l="1"/>
  <c r="N1825" i="1" s="1"/>
  <c r="N1760" i="1"/>
  <c r="N2216" i="1"/>
  <c r="N2223" i="1" s="1"/>
  <c r="N1978" i="1"/>
  <c r="N2031" i="1" s="1"/>
  <c r="N1834" i="1" l="1"/>
  <c r="N1831" i="1"/>
  <c r="N1894" i="1" l="1"/>
  <c r="N1934" i="1" s="1"/>
  <c r="N2025" i="1" s="1"/>
  <c r="N2100" i="1" s="1"/>
  <c r="N1921" i="1"/>
  <c r="N1848" i="1"/>
  <c r="N1851" i="1" s="1"/>
  <c r="N1879" i="1"/>
  <c r="N2010" i="1"/>
  <c r="N1854" i="1" l="1"/>
  <c r="N1882" i="1"/>
  <c r="N1931" i="1" s="1"/>
  <c r="N2013" i="1" s="1"/>
  <c r="N2063" i="1" s="1"/>
  <c r="N1870" i="1"/>
  <c r="N1937" i="1" s="1"/>
  <c r="N2060" i="1"/>
  <c r="N2016" i="1" l="1"/>
  <c r="N2022" i="1" s="1"/>
  <c r="N2028" i="1" s="1"/>
  <c r="N2119" i="1" s="1"/>
  <c r="N1885" i="1"/>
  <c r="N1891" i="1" s="1"/>
  <c r="N1899" i="1" s="1"/>
  <c r="N2156" i="1"/>
  <c r="N2159" i="1" s="1"/>
  <c r="N2144" i="1"/>
  <c r="N2147" i="1" s="1"/>
  <c r="N2066" i="1"/>
  <c r="N2085" i="1" s="1"/>
  <c r="N2165" i="1" l="1"/>
  <c r="N2315" i="1" s="1"/>
  <c r="N2312" i="1" l="1"/>
  <c r="N2326" i="1"/>
  <c r="L2337" i="1" s="1"/>
  <c r="H530" i="1"/>
  <c r="H538" i="1" s="1"/>
  <c r="H562" i="1" l="1"/>
  <c r="H566" i="1" s="1"/>
  <c r="G366" i="1" s="1"/>
  <c r="H191" i="1"/>
  <c r="H194" i="1" s="1"/>
  <c r="H1134" i="1" l="1"/>
  <c r="H1140" i="1" s="1"/>
  <c r="H306" i="1" s="1"/>
  <c r="H309" i="1" s="1"/>
  <c r="H1193" i="1" s="1"/>
  <c r="H204" i="1"/>
  <c r="H220" i="1"/>
  <c r="H227" i="1" s="1"/>
  <c r="H1007" i="1" l="1"/>
  <c r="H1017" i="1" l="1"/>
  <c r="H270" i="1" s="1"/>
  <c r="H1190" i="1" s="1"/>
  <c r="H1217" i="1" s="1"/>
  <c r="H1220" i="1" s="1"/>
  <c r="G394" i="1"/>
  <c r="D5"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<sst xmlns="http://schemas.openxmlformats.org/spreadsheetml/2006/main" count="1940" uniqueCount="997">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</sst>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23" fillId="0" borderId="0" xfId="0" applyFont="1" applyAlignment="1">
      <alignment wrapText="1"/>
    </xf>
    <xf numFmtId="0" fontId="0" fillId="0" borderId="0" xfId="0"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xf numFmtId="0" fontId="34" fillId="0" borderId="0" xfId="0" applyFont="1"/>
    <xf numFmtId="0" fontId="14" fillId="0" borderId="0" xfId="0" applyFont="1" applyAlignment="1">
      <alignment horizontal="right"/>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14" fillId="0" borderId="0" xfId="0" applyFont="1" applyAlignment="1">
      <alignment horizontal="left" wrapText="1"/>
    </xf>
    <xf numFmtId="0" fontId="0" fillId="0" borderId="0" xfId="0" applyAlignment="1">
      <alignment horizontal="left" wrapTex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xf numFmtId="40" fontId="10" fillId="2" borderId="0" xfId="0" applyNumberFormat="1" applyFont="1" applyFill="1" applyAlignment="1">
      <alignment horizontal="right" indent="1"/>
    </xf>
    <xf numFmtId="0" fontId="40" fillId="0" borderId="2" xfId="0" applyFont="1" applyBorder="1"/>
    <xf numFmtId="0" fontId="40" fillId="0" borderId="0" xfId="0" applyFont="1"/>
    <xf numFmtId="0" fontId="10" fillId="3" borderId="28" xfId="0" applyFont="1" applyFill="1" applyBorder="1"/>
    <xf numFmtId="0" fontId="10" fillId="3" borderId="29" xfId="0" applyFont="1" applyFill="1" applyBorder="1"/>
    <xf numFmtId="0" fontId="10" fillId="3" borderId="30" xfId="0" applyFont="1" applyFill="1" applyBorder="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0" fontId="13" fillId="2" borderId="9" xfId="0" applyFont="1" applyFill="1" applyBorder="1" applyAlignment="1">
      <alignment horizontal="right"/>
    </xf>
    <xf numFmtId="0" fontId="13" fillId="2" borderId="0" xfId="0" applyFont="1" applyFill="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Alignment="1">
      <alignment horizontal="right" indent="1"/>
    </xf>
    <xf numFmtId="0" fontId="0" fillId="0" borderId="10" xfId="0" applyBorder="1" applyAlignment="1">
      <alignment horizontal="right" indent="1"/>
    </xf>
    <xf numFmtId="0" fontId="10" fillId="0" borderId="0" xfId="0" applyFont="1" applyAlignment="1">
      <alignment horizontal="right" indent="1"/>
    </xf>
    <xf numFmtId="0" fontId="10" fillId="0" borderId="10" xfId="0" applyFont="1" applyBorder="1" applyAlignment="1">
      <alignment horizontal="righ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0" fontId="24" fillId="2" borderId="0" xfId="0" applyFont="1" applyFill="1" applyAlignment="1">
      <alignment vertical="top" wrapText="1"/>
    </xf>
    <xf numFmtId="0" fontId="28" fillId="2" borderId="0" xfId="0" applyFont="1" applyFill="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Alignment="1">
      <alignment vertical="top" wrapText="1"/>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0" fillId="3" borderId="0" xfId="0" applyFill="1" applyAlignment="1">
      <alignment horizontal="right" indent="1"/>
    </xf>
    <xf numFmtId="0" fontId="0" fillId="3" borderId="10" xfId="0"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Alignment="1">
      <alignment horizontal="right" wrapText="1" indent="1"/>
    </xf>
    <xf numFmtId="0" fontId="0" fillId="0" borderId="0" xfId="0"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0" fontId="10" fillId="3" borderId="0" xfId="0" applyFont="1" applyFill="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40" fontId="0" fillId="0" borderId="0" xfId="0" applyNumberFormat="1" applyAlignment="1">
      <alignment horizontal="right" indent="1"/>
    </xf>
    <xf numFmtId="0" fontId="14" fillId="0" borderId="0" xfId="0" applyFont="1" applyAlignment="1">
      <alignment wrapText="1"/>
    </xf>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Alignment="1">
      <alignment vertical="top"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24" fillId="3" borderId="0" xfId="0" applyFont="1" applyFill="1"/>
    <xf numFmtId="0" fontId="28" fillId="0" borderId="0" xfId="0" applyFont="1"/>
    <xf numFmtId="0" fontId="28" fillId="0" borderId="10" xfId="0" applyFont="1" applyBorder="1"/>
    <xf numFmtId="0" fontId="24" fillId="2" borderId="0" xfId="0" applyFont="1" applyFill="1"/>
    <xf numFmtId="0" fontId="24" fillId="3" borderId="21" xfId="0" applyFont="1" applyFill="1" applyBorder="1" applyAlignment="1">
      <alignment vertical="top" wrapText="1"/>
    </xf>
    <xf numFmtId="0" fontId="28" fillId="0" borderId="0" xfId="0" applyFont="1" applyAlignment="1">
      <alignment wrapText="1"/>
    </xf>
    <xf numFmtId="0" fontId="0" fillId="0" borderId="0" xfId="0"/>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0" fillId="0" borderId="0" xfId="0" applyFont="1"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0" fontId="13" fillId="2" borderId="9" xfId="0" applyFont="1" applyFill="1" applyBorder="1" applyAlignment="1">
      <alignment horizontal="right" wrapText="1" indent="1"/>
    </xf>
    <xf numFmtId="0" fontId="13" fillId="2" borderId="0" xfId="0" applyFont="1" applyFill="1" applyAlignment="1">
      <alignment horizontal="right" wrapText="1" inden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0" borderId="0" xfId="0" applyFont="1" applyAlignment="1">
      <alignment horizontal="left" indent="1"/>
    </xf>
    <xf numFmtId="0" fontId="37" fillId="3" borderId="0" xfId="0" applyFont="1" applyFill="1" applyAlignment="1">
      <alignment horizontal="left" indent="1"/>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40" fontId="13" fillId="2" borderId="0" xfId="0" applyNumberFormat="1" applyFont="1" applyFill="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12" fillId="3" borderId="0" xfId="0" applyFont="1" applyFill="1" applyAlignment="1">
      <alignment horizontal="left"/>
    </xf>
    <xf numFmtId="0" fontId="21" fillId="2" borderId="9" xfId="0" applyFont="1" applyFill="1" applyBorder="1" applyAlignment="1">
      <alignment horizontal="left" indent="1"/>
    </xf>
    <xf numFmtId="0" fontId="21" fillId="2" borderId="0" xfId="0" applyFont="1" applyFill="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xf numFmtId="0" fontId="12" fillId="2" borderId="9" xfId="0" applyFont="1" applyFill="1" applyBorder="1" applyAlignment="1">
      <alignment horizontal="right"/>
    </xf>
    <xf numFmtId="0" fontId="12" fillId="2"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0" fontId="12" fillId="3" borderId="9" xfId="0" applyFont="1" applyFill="1" applyBorder="1" applyAlignment="1">
      <alignment horizontal="right"/>
    </xf>
    <xf numFmtId="0" fontId="12" fillId="3" borderId="0" xfId="0" applyFont="1" applyFill="1" applyAlignment="1">
      <alignment horizontal="right"/>
    </xf>
    <xf numFmtId="0" fontId="24" fillId="3" borderId="0" xfId="0" applyFont="1" applyFill="1" applyAlignment="1">
      <alignment horizontal="center" vertical="center" wrapText="1"/>
    </xf>
    <xf numFmtId="0" fontId="34" fillId="0" borderId="2" xfId="0" applyFont="1" applyBorder="1" applyAlignment="1">
      <alignment horizontal="left"/>
    </xf>
    <xf numFmtId="0" fontId="34" fillId="0" borderId="0" xfId="0" applyFont="1" applyAlignment="1">
      <alignment horizontal="left"/>
    </xf>
    <xf numFmtId="0" fontId="33" fillId="0" borderId="0" xfId="0" applyFont="1" applyAlignment="1">
      <alignment horizontal="left" vertical="top"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121</v>
          </cell>
          <cell r="C33">
            <v>44896</v>
          </cell>
          <cell r="E33">
            <v>2022</v>
          </cell>
          <cell r="G33">
            <v>19</v>
          </cell>
        </row>
        <row r="34">
          <cell r="A34">
            <v>244</v>
          </cell>
          <cell r="D34">
            <v>45260</v>
          </cell>
          <cell r="E34">
            <v>2023</v>
          </cell>
          <cell r="G34">
            <v>19</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A4" sqref="A4:C4"/>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345"/>
      <c r="G1" s="345"/>
      <c r="H1" s="345"/>
      <c r="K1" s="396" t="str">
        <f>UPPER([1]OpenAccounts!$E$2)</f>
        <v/>
      </c>
      <c r="L1" s="396"/>
      <c r="M1" s="396"/>
      <c r="N1" s="396"/>
      <c r="O1" s="396"/>
      <c r="P1" s="396"/>
    </row>
    <row r="2" spans="1:30" x14ac:dyDescent="0.25">
      <c r="A2" s="405" t="s">
        <v>512</v>
      </c>
      <c r="B2" s="406"/>
      <c r="C2" s="406"/>
      <c r="D2" s="184">
        <v>0</v>
      </c>
      <c r="E2" s="185" t="s">
        <v>513</v>
      </c>
      <c r="H2" s="401" t="s">
        <v>20</v>
      </c>
      <c r="I2" s="283"/>
      <c r="J2" s="400">
        <f>H46</f>
        <v>44896</v>
      </c>
      <c r="K2" s="400"/>
      <c r="L2" s="400"/>
      <c r="M2" s="19" t="s">
        <v>0</v>
      </c>
      <c r="N2" s="397">
        <f>IF(H59&gt;0,H59,H51)</f>
        <v>45260</v>
      </c>
      <c r="O2" s="397"/>
      <c r="P2" s="345"/>
    </row>
    <row r="3" spans="1:30" x14ac:dyDescent="0.25">
      <c r="A3" s="405" t="s">
        <v>514</v>
      </c>
      <c r="B3" s="406"/>
      <c r="C3" s="406"/>
      <c r="D3" s="210">
        <v>0</v>
      </c>
      <c r="E3" t="s">
        <v>61</v>
      </c>
      <c r="H3" s="131"/>
      <c r="I3" s="132"/>
      <c r="J3" s="132"/>
      <c r="K3" s="133"/>
      <c r="M3" s="19"/>
      <c r="N3" s="134"/>
      <c r="O3" s="134"/>
    </row>
    <row r="4" spans="1:30" ht="34.5" customHeight="1" x14ac:dyDescent="0.25">
      <c r="A4" s="291" t="s">
        <v>520</v>
      </c>
      <c r="B4" s="292"/>
      <c r="C4" s="292"/>
      <c r="D4" s="293" t="str">
        <f>IF(ROUND([1]TrialBalance!$EJ$91,2)&lt;&gt;0,"Trial Balance shows audit accuracy check (bottom right), correct before completing return.","Trail Balance shows aggregate zero for errors.")</f>
        <v>Trail Balance shows aggregate zero for errors.</v>
      </c>
      <c r="E4" s="294"/>
      <c r="F4" s="294"/>
      <c r="G4" s="294"/>
      <c r="H4" s="294"/>
      <c r="I4" s="294"/>
      <c r="J4" s="294"/>
      <c r="K4" s="294"/>
      <c r="L4" s="294"/>
      <c r="M4" s="294"/>
      <c r="N4" s="294"/>
      <c r="O4" s="294"/>
      <c r="P4" s="294"/>
      <c r="R4" s="293" t="s">
        <v>953</v>
      </c>
      <c r="S4" s="293"/>
      <c r="T4" s="293"/>
      <c r="U4" s="293"/>
      <c r="V4" s="293"/>
      <c r="W4" s="209"/>
      <c r="X4" s="209"/>
      <c r="Y4" s="209"/>
      <c r="Z4" s="209"/>
      <c r="AA4" s="209"/>
      <c r="AB4" s="209"/>
      <c r="AC4" s="209"/>
      <c r="AD4" s="209"/>
    </row>
    <row r="5" spans="1:30" ht="36" customHeight="1" x14ac:dyDescent="0.25">
      <c r="A5" s="291" t="s">
        <v>521</v>
      </c>
      <c r="B5" s="292"/>
      <c r="C5" s="292"/>
      <c r="D5" s="293" t="str">
        <f>IF(ROUND([1]PubBalSht!$F$33,2)-ROUND([1]PubBalSht!$F$39,2)&lt;&gt;0,"In Financial Accounts, Balance Sheet's Net Assets and Shareholder's funds do not balance. Correct before completing return.","Financial Accounts' Balance Sheet balances.")</f>
        <v>Financial Accounts' Balance Sheet balances.</v>
      </c>
      <c r="E5" s="294"/>
      <c r="F5" s="294"/>
      <c r="G5" s="294"/>
      <c r="H5" s="294"/>
      <c r="I5" s="294"/>
      <c r="J5" s="294"/>
      <c r="K5" s="294"/>
      <c r="L5" s="294"/>
      <c r="M5" s="294"/>
      <c r="N5" s="294"/>
      <c r="O5" s="294"/>
      <c r="P5" s="294"/>
      <c r="R5" s="449" t="s">
        <v>954</v>
      </c>
      <c r="S5" s="449"/>
      <c r="T5" s="449"/>
      <c r="U5" s="449"/>
      <c r="V5" s="449"/>
    </row>
    <row r="6" spans="1:30" ht="66.75" customHeight="1" x14ac:dyDescent="0.25">
      <c r="A6" s="291" t="s">
        <v>522</v>
      </c>
      <c r="B6" s="292"/>
      <c r="C6" s="292"/>
      <c r="D6" s="293"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294"/>
      <c r="F6" s="294"/>
      <c r="G6" s="294"/>
      <c r="H6" s="294"/>
      <c r="I6" s="294"/>
      <c r="J6" s="294"/>
      <c r="K6" s="294"/>
      <c r="L6" s="294"/>
      <c r="M6" s="294"/>
      <c r="N6" s="294"/>
      <c r="O6" s="294"/>
      <c r="P6" s="294"/>
      <c r="R6" s="449" t="s">
        <v>955</v>
      </c>
      <c r="S6" s="449"/>
      <c r="T6" s="449"/>
      <c r="U6" s="449"/>
      <c r="V6" s="449"/>
    </row>
    <row r="7" spans="1:30" ht="16.5" x14ac:dyDescent="0.25">
      <c r="A7" s="187"/>
      <c r="B7" s="187"/>
      <c r="C7" s="188"/>
      <c r="D7" s="295" t="str">
        <f>IF(H1220&lt;&gt;0,"Rounding compensation of " &amp; TEXT(H1220,"0.00") &amp; " applied.","No rounding compensation applied.")</f>
        <v>No rounding compensation applied.</v>
      </c>
      <c r="E7" s="296"/>
      <c r="F7" s="296"/>
      <c r="G7" s="296"/>
      <c r="H7" s="296"/>
      <c r="I7" s="296"/>
      <c r="J7" s="296"/>
      <c r="K7" s="296"/>
      <c r="L7" s="296"/>
      <c r="M7" s="296"/>
      <c r="N7" s="296"/>
      <c r="O7" s="296"/>
      <c r="P7" s="296"/>
    </row>
    <row r="8" spans="1:30" ht="15.75" x14ac:dyDescent="0.25">
      <c r="A8" s="231" t="s">
        <v>1</v>
      </c>
      <c r="B8" s="232"/>
      <c r="C8" s="232"/>
      <c r="D8" s="232"/>
      <c r="F8" s="233" t="s">
        <v>12</v>
      </c>
      <c r="G8" s="233"/>
      <c r="H8" s="233"/>
      <c r="I8" s="233"/>
      <c r="J8" s="233"/>
      <c r="K8" s="233"/>
      <c r="L8" s="233"/>
      <c r="M8" s="233"/>
      <c r="N8" s="233"/>
      <c r="O8" s="233"/>
      <c r="P8" s="233"/>
      <c r="Q8" s="233"/>
    </row>
    <row r="9" spans="1:30" ht="5.0999999999999996" customHeight="1" x14ac:dyDescent="0.25">
      <c r="A9" s="1"/>
      <c r="B9" s="1"/>
      <c r="C9" s="1"/>
      <c r="D9" s="1"/>
      <c r="E9" s="1"/>
      <c r="F9" s="1"/>
      <c r="G9" s="1"/>
      <c r="H9" s="1"/>
      <c r="I9" s="1"/>
      <c r="J9" s="1"/>
      <c r="K9" s="1"/>
      <c r="L9" s="1"/>
      <c r="M9" s="1"/>
      <c r="N9" s="1"/>
      <c r="O9" s="1"/>
      <c r="P9" s="1"/>
      <c r="Q9" s="1"/>
    </row>
    <row r="10" spans="1:30" x14ac:dyDescent="0.25">
      <c r="A10" s="234" t="s">
        <v>2</v>
      </c>
      <c r="B10" s="235"/>
      <c r="C10" s="235"/>
      <c r="D10" s="235"/>
      <c r="E10" s="236"/>
      <c r="F10" s="236"/>
      <c r="G10" s="236"/>
      <c r="H10" s="236"/>
      <c r="I10" s="236"/>
      <c r="J10" s="236"/>
      <c r="K10" s="236"/>
      <c r="L10" s="236"/>
      <c r="M10" s="236"/>
      <c r="N10" s="236"/>
      <c r="O10" s="236"/>
      <c r="P10" s="236"/>
      <c r="Q10" s="237"/>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24" t="s">
        <v>4</v>
      </c>
      <c r="B14" s="225"/>
      <c r="C14" s="283"/>
      <c r="D14" s="284"/>
      <c r="E14" s="20"/>
      <c r="F14" s="398" t="str">
        <f>UPPER([1]OpenAccounts!$E$2)</f>
        <v/>
      </c>
      <c r="G14" s="398"/>
      <c r="H14" s="398"/>
      <c r="I14" s="398"/>
      <c r="J14" s="398"/>
      <c r="K14" s="398"/>
      <c r="L14" s="398"/>
      <c r="M14" s="398"/>
      <c r="N14" s="398"/>
      <c r="O14" s="398"/>
      <c r="P14" s="399"/>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2"/>
      <c r="B16" s="403"/>
      <c r="C16" s="404"/>
      <c r="D16" s="404"/>
      <c r="E16" s="35"/>
      <c r="F16" s="388"/>
      <c r="G16" s="388"/>
      <c r="H16" s="388"/>
      <c r="I16" s="388"/>
      <c r="J16" s="388"/>
      <c r="K16" s="388"/>
      <c r="L16" s="388"/>
      <c r="M16" s="388"/>
      <c r="N16" s="388"/>
      <c r="O16" s="388"/>
      <c r="P16" s="389"/>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24" t="s">
        <v>5</v>
      </c>
      <c r="B18" s="225"/>
      <c r="C18" s="283"/>
      <c r="D18" s="284"/>
      <c r="E18" s="20"/>
      <c r="F18" s="70" t="s">
        <v>3</v>
      </c>
      <c r="G18" s="43"/>
      <c r="H18" s="390" t="str">
        <f>IF([1]OpenAccounts!$E$3&gt;0,[1]OpenAccounts!$E$3,"")</f>
        <v/>
      </c>
      <c r="I18" s="390"/>
      <c r="J18" s="390"/>
      <c r="K18" s="390"/>
      <c r="L18" s="390"/>
      <c r="M18" s="390"/>
      <c r="N18" s="390"/>
      <c r="O18" s="390"/>
      <c r="P18" s="391"/>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2"/>
      <c r="B20" s="403"/>
      <c r="C20" s="404"/>
      <c r="D20" s="404"/>
      <c r="E20" s="35"/>
      <c r="F20" s="388"/>
      <c r="G20" s="388"/>
      <c r="H20" s="388"/>
      <c r="I20" s="388"/>
      <c r="J20" s="388"/>
      <c r="K20" s="388"/>
      <c r="L20" s="388"/>
      <c r="M20" s="388"/>
      <c r="N20" s="388"/>
      <c r="O20" s="388"/>
      <c r="P20" s="389"/>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24" t="s">
        <v>6</v>
      </c>
      <c r="B22" s="225"/>
      <c r="C22" s="283"/>
      <c r="D22" s="284"/>
      <c r="E22" s="20"/>
      <c r="F22" s="392" t="str">
        <f>IF([1]OpenAccounts!$J$3&gt;0,[1]OpenAccounts!$J$3,"")</f>
        <v/>
      </c>
      <c r="G22" s="392"/>
      <c r="H22" s="392"/>
      <c r="I22" s="392"/>
      <c r="J22" s="392"/>
      <c r="K22" s="392"/>
      <c r="L22" s="392"/>
      <c r="M22" s="392"/>
      <c r="N22" s="392"/>
      <c r="O22" s="392"/>
      <c r="P22" s="393"/>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21"/>
      <c r="B25" s="222"/>
      <c r="C25" s="283"/>
      <c r="D25" s="284"/>
      <c r="E25" s="22"/>
      <c r="F25" s="394" t="str">
        <f>IF([1]OpenAccounts!$J$4&gt;0,[1]OpenAccounts!$J$4,"")</f>
        <v/>
      </c>
      <c r="G25" s="394"/>
      <c r="H25" s="394"/>
      <c r="I25" s="394"/>
      <c r="J25" s="394"/>
      <c r="K25" s="394"/>
      <c r="L25" s="394"/>
      <c r="M25" s="394"/>
      <c r="N25" s="394"/>
      <c r="O25" s="394"/>
      <c r="P25" s="395"/>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24" t="s">
        <v>7</v>
      </c>
      <c r="B28" s="225"/>
      <c r="C28" s="283"/>
      <c r="D28" s="284"/>
      <c r="E28" s="20"/>
      <c r="F28" s="392" t="str">
        <f>IF([1]OpenAccounts!$J$6&gt;0,[1]OpenAccounts!$J$6,"")</f>
        <v/>
      </c>
      <c r="G28" s="392"/>
      <c r="H28" s="392"/>
      <c r="I28" s="392"/>
      <c r="J28" s="392"/>
      <c r="K28" s="392"/>
      <c r="L28" s="392"/>
      <c r="M28" s="392"/>
      <c r="N28" s="392"/>
      <c r="O28" s="392"/>
      <c r="P28" s="393"/>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21" t="s">
        <v>8</v>
      </c>
      <c r="B31" s="222"/>
      <c r="C31" s="283"/>
      <c r="D31" s="284"/>
      <c r="E31" s="22"/>
      <c r="F31" s="394" t="str">
        <f>IF([1]OpenAccounts!$J$5&gt;0,[1]OpenAccounts!$J$5,"")</f>
        <v/>
      </c>
      <c r="G31" s="394"/>
      <c r="H31" s="394"/>
      <c r="I31" s="394"/>
      <c r="J31" s="394"/>
      <c r="K31" s="394"/>
      <c r="L31" s="394"/>
      <c r="M31" s="394"/>
      <c r="N31" s="394"/>
      <c r="O31" s="394"/>
      <c r="P31" s="395"/>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24" t="s">
        <v>9</v>
      </c>
      <c r="B34" s="225"/>
      <c r="C34" s="283"/>
      <c r="D34" s="284"/>
      <c r="E34" s="20"/>
      <c r="F34" s="392" t="str">
        <f>IF([1]OpenAccounts!$N$6&gt;0,[1]OpenAccounts!$N$6,"")</f>
        <v/>
      </c>
      <c r="G34" s="392"/>
      <c r="H34" s="392"/>
      <c r="I34" s="392"/>
      <c r="J34" s="392"/>
      <c r="K34" s="392"/>
      <c r="L34" s="392"/>
      <c r="M34" s="392"/>
      <c r="N34" s="392"/>
      <c r="O34" s="392"/>
      <c r="P34" s="393"/>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21" t="s">
        <v>10</v>
      </c>
      <c r="B37" s="222"/>
      <c r="C37" s="283"/>
      <c r="D37" s="284"/>
      <c r="E37" s="22"/>
      <c r="F37" s="394" t="s">
        <v>11</v>
      </c>
      <c r="G37" s="394"/>
      <c r="H37" s="394"/>
      <c r="I37" s="394"/>
      <c r="J37" s="394"/>
      <c r="K37" s="394"/>
      <c r="L37" s="394"/>
      <c r="M37" s="394"/>
      <c r="N37" s="394"/>
      <c r="O37" s="394"/>
      <c r="P37" s="395"/>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34" t="s">
        <v>14</v>
      </c>
      <c r="B41" s="235"/>
      <c r="C41" s="235"/>
      <c r="D41" s="235"/>
      <c r="E41" s="236"/>
      <c r="F41" s="236"/>
      <c r="G41" s="236"/>
      <c r="H41" s="236"/>
      <c r="I41" s="236"/>
      <c r="J41" s="236"/>
      <c r="K41" s="236"/>
      <c r="L41" s="236"/>
      <c r="M41" s="236"/>
      <c r="N41" s="236"/>
      <c r="O41" s="236"/>
      <c r="P41" s="236"/>
      <c r="Q41" s="237"/>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42" t="s">
        <v>459</v>
      </c>
      <c r="G45" s="342"/>
      <c r="H45" s="342"/>
      <c r="I45" s="342"/>
      <c r="J45" s="342"/>
      <c r="K45" s="342"/>
      <c r="L45" s="342"/>
      <c r="M45" s="342"/>
      <c r="N45" s="342"/>
      <c r="O45" s="342"/>
      <c r="P45" s="52"/>
      <c r="Q45" s="2"/>
    </row>
    <row r="46" spans="1:17" x14ac:dyDescent="0.25">
      <c r="A46" s="224" t="s">
        <v>15</v>
      </c>
      <c r="B46" s="225"/>
      <c r="C46" s="283"/>
      <c r="D46" s="284"/>
      <c r="E46" s="20"/>
      <c r="F46" s="70" t="s">
        <v>17</v>
      </c>
      <c r="G46" s="43"/>
      <c r="H46" s="308">
        <f>[1]CorporationTax!$C$33</f>
        <v>44896</v>
      </c>
      <c r="I46" s="309"/>
      <c r="J46" s="411"/>
      <c r="K46" s="412"/>
      <c r="L46" s="411"/>
      <c r="M46" s="412"/>
      <c r="N46" s="411"/>
      <c r="O46" s="412"/>
      <c r="P46" s="56"/>
      <c r="Q46" s="2"/>
    </row>
    <row r="47" spans="1:17" x14ac:dyDescent="0.25">
      <c r="A47" s="6"/>
      <c r="B47" s="43"/>
      <c r="C47" s="43"/>
      <c r="D47" s="52"/>
      <c r="E47" s="20"/>
      <c r="F47" s="407" t="s">
        <v>965</v>
      </c>
      <c r="G47" s="407"/>
      <c r="H47" s="408"/>
      <c r="I47" s="408"/>
      <c r="J47" s="408"/>
      <c r="K47" s="408"/>
      <c r="L47" s="408"/>
      <c r="M47" s="408"/>
      <c r="N47" s="408"/>
      <c r="O47" s="408"/>
      <c r="P47" s="409"/>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39" t="s">
        <v>460</v>
      </c>
      <c r="G50" s="339"/>
      <c r="H50" s="339"/>
      <c r="I50" s="339"/>
      <c r="J50" s="339"/>
      <c r="K50" s="339"/>
      <c r="L50" s="339"/>
      <c r="M50" s="339"/>
      <c r="N50" s="339"/>
      <c r="O50" s="339"/>
      <c r="P50" s="41"/>
      <c r="Q50" s="2"/>
    </row>
    <row r="51" spans="1:17" x14ac:dyDescent="0.25">
      <c r="A51" s="221" t="s">
        <v>16</v>
      </c>
      <c r="B51" s="222"/>
      <c r="C51" s="283"/>
      <c r="D51" s="284"/>
      <c r="E51" s="22"/>
      <c r="F51" s="70" t="s">
        <v>18</v>
      </c>
      <c r="G51" s="45"/>
      <c r="H51" s="308">
        <f>[1]CorporationTax!$D$34</f>
        <v>45260</v>
      </c>
      <c r="I51" s="309"/>
      <c r="J51" s="413"/>
      <c r="K51" s="414"/>
      <c r="L51" s="413"/>
      <c r="M51" s="414"/>
      <c r="N51" s="413"/>
      <c r="O51" s="414"/>
      <c r="P51" s="161"/>
      <c r="Q51" s="2"/>
    </row>
    <row r="52" spans="1:17" x14ac:dyDescent="0.25">
      <c r="A52" s="11"/>
      <c r="B52" s="45"/>
      <c r="C52" s="45"/>
      <c r="D52" s="54"/>
      <c r="E52" s="22"/>
      <c r="F52" s="410" t="s">
        <v>965</v>
      </c>
      <c r="G52" s="410"/>
      <c r="H52" s="408"/>
      <c r="I52" s="408"/>
      <c r="J52" s="408"/>
      <c r="K52" s="408"/>
      <c r="L52" s="408"/>
      <c r="M52" s="408"/>
      <c r="N52" s="408"/>
      <c r="O52" s="408"/>
      <c r="P52" s="409"/>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12" t="s">
        <v>19</v>
      </c>
      <c r="B55" s="212"/>
      <c r="C55" s="212"/>
      <c r="D55" s="212"/>
      <c r="E55" s="212"/>
      <c r="F55" s="212"/>
      <c r="G55" s="212"/>
      <c r="H55" s="212"/>
      <c r="I55" s="212"/>
      <c r="J55" s="212"/>
      <c r="K55" s="212"/>
      <c r="L55" s="212"/>
      <c r="M55" s="212"/>
      <c r="N55" s="212"/>
      <c r="O55" s="212"/>
      <c r="P55" s="212"/>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42" t="s">
        <v>449</v>
      </c>
      <c r="G58" s="342"/>
      <c r="H58" s="342"/>
      <c r="I58" s="342"/>
      <c r="J58" s="43"/>
      <c r="K58" s="43"/>
      <c r="L58" s="43"/>
      <c r="M58" s="43"/>
      <c r="N58" s="43"/>
      <c r="O58" s="43"/>
      <c r="P58" s="52"/>
      <c r="Q58" s="2"/>
    </row>
    <row r="59" spans="1:17" x14ac:dyDescent="0.25">
      <c r="A59" s="224" t="s">
        <v>21</v>
      </c>
      <c r="B59" s="225"/>
      <c r="C59" s="283"/>
      <c r="D59" s="284"/>
      <c r="E59" s="20"/>
      <c r="F59" s="70" t="s">
        <v>22</v>
      </c>
      <c r="G59" s="57"/>
      <c r="H59" s="308"/>
      <c r="I59" s="309"/>
      <c r="J59" s="42"/>
      <c r="K59" s="42"/>
      <c r="L59" s="42"/>
      <c r="M59" s="42"/>
      <c r="N59" s="42"/>
      <c r="O59" s="42"/>
      <c r="P59" s="56"/>
      <c r="Q59" s="2"/>
    </row>
    <row r="60" spans="1:17" x14ac:dyDescent="0.25">
      <c r="A60" s="6"/>
      <c r="B60" s="43"/>
      <c r="C60" s="43"/>
      <c r="D60" s="52"/>
      <c r="E60" s="20"/>
      <c r="F60" s="407" t="s">
        <v>965</v>
      </c>
      <c r="G60" s="407"/>
      <c r="H60" s="408"/>
      <c r="I60" s="408"/>
      <c r="J60" s="408"/>
      <c r="K60" s="408"/>
      <c r="L60" s="408"/>
      <c r="M60" s="408"/>
      <c r="N60" s="408"/>
      <c r="O60" s="408"/>
      <c r="P60" s="409"/>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34" t="s">
        <v>23</v>
      </c>
      <c r="B64" s="235"/>
      <c r="C64" s="235"/>
      <c r="D64" s="235"/>
      <c r="E64" s="236"/>
      <c r="F64" s="236"/>
      <c r="G64" s="236"/>
      <c r="H64" s="236"/>
      <c r="I64" s="236"/>
      <c r="J64" s="236"/>
      <c r="K64" s="236"/>
      <c r="L64" s="236"/>
      <c r="M64" s="236"/>
      <c r="N64" s="236"/>
      <c r="O64" s="236"/>
      <c r="P64" s="236"/>
      <c r="Q64" s="237"/>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24" t="s">
        <v>24</v>
      </c>
      <c r="B68" s="225"/>
      <c r="C68" s="283"/>
      <c r="D68" s="284"/>
      <c r="E68" s="20"/>
      <c r="F68" s="70" t="s">
        <v>26</v>
      </c>
      <c r="G68" s="43"/>
      <c r="H68" s="308" t="str">
        <f>IF([1]OpenAccounts!$E$34&lt;&gt;0,DATE(YEAR(H46)-1,MONTH(H46),DAY(H46)),"")</f>
        <v/>
      </c>
      <c r="I68" s="309"/>
      <c r="J68" s="42"/>
      <c r="K68" s="42"/>
      <c r="L68" s="42"/>
      <c r="M68" s="42"/>
      <c r="N68" s="42"/>
      <c r="O68" s="42"/>
      <c r="P68" s="56"/>
      <c r="Q68" s="2"/>
    </row>
    <row r="69" spans="1:17" x14ac:dyDescent="0.25">
      <c r="A69" s="6"/>
      <c r="B69" s="43"/>
      <c r="C69" s="43"/>
      <c r="D69" s="52"/>
      <c r="E69" s="20"/>
      <c r="F69" s="407" t="s">
        <v>965</v>
      </c>
      <c r="G69" s="407"/>
      <c r="H69" s="408"/>
      <c r="I69" s="408"/>
      <c r="J69" s="408"/>
      <c r="K69" s="408"/>
      <c r="L69" s="408"/>
      <c r="M69" s="408"/>
      <c r="N69" s="408"/>
      <c r="O69" s="408"/>
      <c r="P69" s="409"/>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21" t="s">
        <v>25</v>
      </c>
      <c r="B72" s="222"/>
      <c r="C72" s="283"/>
      <c r="D72" s="284"/>
      <c r="E72" s="22"/>
      <c r="F72" s="70" t="s">
        <v>27</v>
      </c>
      <c r="G72" s="45"/>
      <c r="H72" s="308" t="str">
        <f>IF([1]OpenAccounts!$E$34&lt;&gt;0,DATE(YEAR(H51)-1,MONTH(H51),DAY(H51)),"")</f>
        <v/>
      </c>
      <c r="I72" s="309"/>
      <c r="J72" s="144"/>
      <c r="K72" s="144"/>
      <c r="L72" s="144"/>
      <c r="M72" s="144"/>
      <c r="N72" s="144"/>
      <c r="O72" s="144"/>
      <c r="P72" s="145"/>
      <c r="Q72" s="2"/>
    </row>
    <row r="73" spans="1:17" x14ac:dyDescent="0.25">
      <c r="A73" s="11"/>
      <c r="B73" s="45"/>
      <c r="C73" s="45"/>
      <c r="D73" s="54"/>
      <c r="E73" s="22"/>
      <c r="F73" s="410" t="s">
        <v>965</v>
      </c>
      <c r="G73" s="410"/>
      <c r="H73" s="408"/>
      <c r="I73" s="408"/>
      <c r="J73" s="408"/>
      <c r="K73" s="408"/>
      <c r="L73" s="408"/>
      <c r="M73" s="408"/>
      <c r="N73" s="408"/>
      <c r="O73" s="408"/>
      <c r="P73" s="409"/>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12" t="s">
        <v>28</v>
      </c>
      <c r="B76" s="212"/>
      <c r="C76" s="212"/>
      <c r="D76" s="212"/>
      <c r="E76" s="212"/>
      <c r="F76" s="212"/>
      <c r="G76" s="212"/>
      <c r="H76" s="212"/>
      <c r="I76" s="212"/>
      <c r="J76" s="212"/>
      <c r="K76" s="212"/>
      <c r="L76" s="212"/>
      <c r="M76" s="212"/>
      <c r="N76" s="212"/>
      <c r="O76" s="212"/>
      <c r="P76" s="212"/>
      <c r="Q76" s="2"/>
    </row>
    <row r="77" spans="1:17" x14ac:dyDescent="0.25">
      <c r="Q77" s="2"/>
    </row>
    <row r="78" spans="1:17" ht="29.25" customHeight="1" x14ac:dyDescent="0.25">
      <c r="A78" s="266" t="s">
        <v>966</v>
      </c>
      <c r="B78" s="266"/>
      <c r="C78" s="266"/>
      <c r="D78" s="266"/>
      <c r="E78" s="266"/>
      <c r="F78" s="266"/>
      <c r="G78" s="266"/>
      <c r="H78" s="266"/>
      <c r="I78" s="266"/>
      <c r="J78" s="58" t="s">
        <v>31</v>
      </c>
      <c r="K78" s="59"/>
      <c r="L78" s="60" t="s">
        <v>32</v>
      </c>
      <c r="M78" s="59" t="s">
        <v>29</v>
      </c>
      <c r="N78" s="59"/>
      <c r="O78" s="59" t="s">
        <v>30</v>
      </c>
    </row>
    <row r="81" spans="1:17" ht="15.75" x14ac:dyDescent="0.25">
      <c r="A81" s="231" t="s">
        <v>33</v>
      </c>
      <c r="B81" s="232"/>
      <c r="C81" s="232"/>
      <c r="D81" s="232"/>
      <c r="F81" s="233" t="s">
        <v>12</v>
      </c>
      <c r="G81" s="233"/>
      <c r="H81" s="233"/>
      <c r="I81" s="233"/>
      <c r="J81" s="233"/>
      <c r="K81" s="233"/>
      <c r="L81" s="233"/>
      <c r="M81" s="233"/>
      <c r="N81" s="233"/>
      <c r="O81" s="233"/>
      <c r="P81" s="233"/>
      <c r="Q81" s="233"/>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34"/>
      <c r="B83" s="235"/>
      <c r="C83" s="235"/>
      <c r="D83" s="235"/>
      <c r="E83" s="236"/>
      <c r="F83" s="236"/>
      <c r="G83" s="236"/>
      <c r="H83" s="236"/>
      <c r="I83" s="236"/>
      <c r="J83" s="236"/>
      <c r="K83" s="236"/>
      <c r="L83" s="236"/>
      <c r="M83" s="236"/>
      <c r="N83" s="236"/>
      <c r="O83" s="236"/>
      <c r="P83" s="236"/>
      <c r="Q83" s="237"/>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21" t="s">
        <v>36</v>
      </c>
      <c r="B88" s="222"/>
      <c r="C88" s="283"/>
      <c r="D88" s="284"/>
      <c r="E88" s="22"/>
      <c r="F88" s="70" t="s">
        <v>44</v>
      </c>
      <c r="G88" s="40"/>
      <c r="H88" s="308" t="str">
        <f>IF('[2]Directors&amp;Secretary'!$A$2&gt;0,'[2]Directors&amp;Secretary'!$A$2,"")</f>
        <v/>
      </c>
      <c r="I88" s="329"/>
      <c r="J88" s="330"/>
      <c r="K88" s="330"/>
      <c r="L88" s="330"/>
      <c r="M88" s="330"/>
      <c r="N88" s="330"/>
      <c r="O88" s="331"/>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21" t="s">
        <v>38</v>
      </c>
      <c r="B91" s="222"/>
      <c r="C91" s="283"/>
      <c r="D91" s="284"/>
      <c r="E91" s="22"/>
      <c r="F91" s="70" t="s">
        <v>45</v>
      </c>
      <c r="G91" s="40"/>
      <c r="H91" s="308" t="str">
        <f>IF('[2]Directors&amp;Secretary'!$A$3&gt;0,'[2]Directors&amp;Secretary'!$A$3,"")</f>
        <v/>
      </c>
      <c r="I91" s="329"/>
      <c r="J91" s="330"/>
      <c r="K91" s="330"/>
      <c r="L91" s="330"/>
      <c r="M91" s="330"/>
      <c r="N91" s="330"/>
      <c r="O91" s="331"/>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21" t="s">
        <v>38</v>
      </c>
      <c r="B94" s="222"/>
      <c r="C94" s="283"/>
      <c r="D94" s="284"/>
      <c r="E94" s="22"/>
      <c r="F94" s="70" t="s">
        <v>46</v>
      </c>
      <c r="G94" s="40"/>
      <c r="H94" s="308" t="str">
        <f>IF('[2]Directors&amp;Secretary'!$A$4&gt;0,'[2]Directors&amp;Secretary'!$A$4,"")</f>
        <v/>
      </c>
      <c r="I94" s="329"/>
      <c r="J94" s="330"/>
      <c r="K94" s="330"/>
      <c r="L94" s="330"/>
      <c r="M94" s="330"/>
      <c r="N94" s="330"/>
      <c r="O94" s="331"/>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21" t="s">
        <v>38</v>
      </c>
      <c r="B97" s="222"/>
      <c r="C97" s="283"/>
      <c r="D97" s="284"/>
      <c r="E97" s="22"/>
      <c r="F97" s="70" t="s">
        <v>47</v>
      </c>
      <c r="G97" s="40"/>
      <c r="H97" s="308" t="str">
        <f>IF('[2]Directors&amp;Secretary'!$A$5&gt;0,'[2]Directors&amp;Secretary'!$A$5,"")</f>
        <v/>
      </c>
      <c r="I97" s="329"/>
      <c r="J97" s="330"/>
      <c r="K97" s="330"/>
      <c r="L97" s="330"/>
      <c r="M97" s="330"/>
      <c r="N97" s="330"/>
      <c r="O97" s="331"/>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21" t="s">
        <v>38</v>
      </c>
      <c r="B100" s="222"/>
      <c r="C100" s="283"/>
      <c r="D100" s="284"/>
      <c r="E100" s="22"/>
      <c r="F100" s="70" t="s">
        <v>48</v>
      </c>
      <c r="G100" s="40"/>
      <c r="H100" s="308" t="str">
        <f>IF('[2]Directors&amp;Secretary'!$A$6&gt;0,'[2]Directors&amp;Secretary'!$A$6,"")</f>
        <v/>
      </c>
      <c r="I100" s="329"/>
      <c r="J100" s="330"/>
      <c r="K100" s="330"/>
      <c r="L100" s="330"/>
      <c r="M100" s="330"/>
      <c r="N100" s="330"/>
      <c r="O100" s="331"/>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417" t="s">
        <v>39</v>
      </c>
      <c r="B103" s="345"/>
      <c r="C103" s="345"/>
      <c r="D103" s="345"/>
      <c r="E103" s="345"/>
      <c r="F103" s="345"/>
      <c r="G103" s="345"/>
      <c r="H103" s="345"/>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42" t="s">
        <v>216</v>
      </c>
      <c r="I106" s="340"/>
      <c r="J106" s="340"/>
      <c r="K106" s="340"/>
      <c r="L106" s="340"/>
      <c r="M106" s="340"/>
      <c r="N106" s="340"/>
      <c r="O106" s="340"/>
      <c r="P106" s="341"/>
      <c r="Q106" s="2"/>
    </row>
    <row r="107" spans="1:17" x14ac:dyDescent="0.25">
      <c r="A107" s="224" t="s">
        <v>36</v>
      </c>
      <c r="B107" s="225"/>
      <c r="C107" s="283"/>
      <c r="D107" s="284"/>
      <c r="E107" s="20"/>
      <c r="F107" s="70" t="s">
        <v>49</v>
      </c>
      <c r="G107" s="27"/>
      <c r="H107" s="308"/>
      <c r="I107" s="329"/>
      <c r="J107" s="330"/>
      <c r="K107" s="330"/>
      <c r="L107" s="330"/>
      <c r="M107" s="330"/>
      <c r="N107" s="330"/>
      <c r="O107" s="331"/>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39" t="s">
        <v>217</v>
      </c>
      <c r="I110" s="340"/>
      <c r="J110" s="340"/>
      <c r="K110" s="340"/>
      <c r="L110" s="340"/>
      <c r="M110" s="340"/>
      <c r="N110" s="340"/>
      <c r="O110" s="340"/>
      <c r="P110" s="341"/>
      <c r="Q110" s="2"/>
    </row>
    <row r="111" spans="1:17" x14ac:dyDescent="0.25">
      <c r="A111" s="221" t="s">
        <v>37</v>
      </c>
      <c r="B111" s="222"/>
      <c r="C111" s="283"/>
      <c r="D111" s="284"/>
      <c r="E111" s="22"/>
      <c r="F111" s="70" t="s">
        <v>50</v>
      </c>
      <c r="G111" s="40"/>
      <c r="H111" s="308"/>
      <c r="I111" s="329"/>
      <c r="J111" s="330"/>
      <c r="K111" s="330"/>
      <c r="L111" s="330"/>
      <c r="M111" s="330"/>
      <c r="N111" s="330"/>
      <c r="O111" s="331"/>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42" t="s">
        <v>216</v>
      </c>
      <c r="I115" s="340"/>
      <c r="J115" s="340"/>
      <c r="K115" s="340"/>
      <c r="L115" s="340"/>
      <c r="M115" s="340"/>
      <c r="N115" s="340"/>
      <c r="O115" s="340"/>
      <c r="P115" s="341"/>
      <c r="Q115" s="2"/>
    </row>
    <row r="116" spans="1:17" x14ac:dyDescent="0.25">
      <c r="A116" s="224" t="s">
        <v>36</v>
      </c>
      <c r="B116" s="225"/>
      <c r="C116" s="283"/>
      <c r="D116" s="284"/>
      <c r="E116" s="20"/>
      <c r="F116" s="70" t="s">
        <v>52</v>
      </c>
      <c r="G116" s="27"/>
      <c r="H116" s="308"/>
      <c r="I116" s="329"/>
      <c r="J116" s="330"/>
      <c r="K116" s="330"/>
      <c r="L116" s="330"/>
      <c r="M116" s="330"/>
      <c r="N116" s="330"/>
      <c r="O116" s="331"/>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39" t="s">
        <v>217</v>
      </c>
      <c r="I119" s="340"/>
      <c r="J119" s="340"/>
      <c r="K119" s="340"/>
      <c r="L119" s="340"/>
      <c r="M119" s="340"/>
      <c r="N119" s="340"/>
      <c r="O119" s="340"/>
      <c r="P119" s="341"/>
      <c r="Q119" s="2"/>
    </row>
    <row r="120" spans="1:17" x14ac:dyDescent="0.25">
      <c r="A120" s="221" t="s">
        <v>37</v>
      </c>
      <c r="B120" s="222"/>
      <c r="C120" s="283"/>
      <c r="D120" s="284"/>
      <c r="E120" s="22"/>
      <c r="F120" s="70" t="s">
        <v>53</v>
      </c>
      <c r="G120" s="40"/>
      <c r="H120" s="308"/>
      <c r="I120" s="329"/>
      <c r="J120" s="330"/>
      <c r="K120" s="330"/>
      <c r="L120" s="330"/>
      <c r="M120" s="330"/>
      <c r="N120" s="330"/>
      <c r="O120" s="331"/>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417" t="s">
        <v>40</v>
      </c>
      <c r="B123" s="345"/>
      <c r="C123" s="345"/>
      <c r="D123" s="345"/>
      <c r="E123" s="345"/>
      <c r="F123" s="345"/>
      <c r="G123" s="345"/>
      <c r="H123" s="345"/>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42" t="s">
        <v>218</v>
      </c>
      <c r="I126" s="340"/>
      <c r="J126" s="340"/>
      <c r="K126" s="340"/>
      <c r="L126" s="340"/>
      <c r="M126" s="340"/>
      <c r="N126" s="340"/>
      <c r="O126" s="340"/>
      <c r="P126" s="341"/>
      <c r="Q126" s="2"/>
    </row>
    <row r="127" spans="1:17" x14ac:dyDescent="0.25">
      <c r="A127" s="224" t="s">
        <v>36</v>
      </c>
      <c r="B127" s="225"/>
      <c r="C127" s="283"/>
      <c r="D127" s="284"/>
      <c r="E127" s="20"/>
      <c r="F127" s="70" t="s">
        <v>51</v>
      </c>
      <c r="G127" s="27"/>
      <c r="H127" s="308"/>
      <c r="I127" s="329"/>
      <c r="J127" s="330"/>
      <c r="K127" s="330"/>
      <c r="L127" s="330"/>
      <c r="M127" s="330"/>
      <c r="N127" s="330"/>
      <c r="O127" s="331"/>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39" t="s">
        <v>219</v>
      </c>
      <c r="I130" s="340"/>
      <c r="J130" s="340"/>
      <c r="K130" s="340"/>
      <c r="L130" s="340"/>
      <c r="M130" s="340"/>
      <c r="N130" s="340"/>
      <c r="O130" s="340"/>
      <c r="P130" s="341"/>
      <c r="Q130" s="2"/>
    </row>
    <row r="131" spans="1:17" x14ac:dyDescent="0.25">
      <c r="A131" s="221" t="s">
        <v>37</v>
      </c>
      <c r="B131" s="222"/>
      <c r="C131" s="283"/>
      <c r="D131" s="284"/>
      <c r="E131" s="22"/>
      <c r="F131" s="70" t="s">
        <v>54</v>
      </c>
      <c r="G131" s="40"/>
      <c r="H131" s="308"/>
      <c r="I131" s="329"/>
      <c r="J131" s="330"/>
      <c r="K131" s="330"/>
      <c r="L131" s="330"/>
      <c r="M131" s="330"/>
      <c r="N131" s="330"/>
      <c r="O131" s="331"/>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42" t="s">
        <v>218</v>
      </c>
      <c r="I135" s="340"/>
      <c r="J135" s="340"/>
      <c r="K135" s="340"/>
      <c r="L135" s="340"/>
      <c r="M135" s="340"/>
      <c r="N135" s="340"/>
      <c r="O135" s="340"/>
      <c r="P135" s="341"/>
      <c r="Q135" s="2"/>
    </row>
    <row r="136" spans="1:17" x14ac:dyDescent="0.25">
      <c r="A136" s="224" t="s">
        <v>36</v>
      </c>
      <c r="B136" s="225"/>
      <c r="C136" s="283"/>
      <c r="D136" s="284"/>
      <c r="E136" s="20"/>
      <c r="F136" s="70" t="s">
        <v>55</v>
      </c>
      <c r="G136" s="27"/>
      <c r="H136" s="308"/>
      <c r="I136" s="329"/>
      <c r="J136" s="330"/>
      <c r="K136" s="330"/>
      <c r="L136" s="330"/>
      <c r="M136" s="330"/>
      <c r="N136" s="330"/>
      <c r="O136" s="331"/>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39" t="s">
        <v>220</v>
      </c>
      <c r="I139" s="340"/>
      <c r="J139" s="340"/>
      <c r="K139" s="340"/>
      <c r="L139" s="340"/>
      <c r="M139" s="340"/>
      <c r="N139" s="340"/>
      <c r="O139" s="340"/>
      <c r="P139" s="341"/>
      <c r="Q139" s="2"/>
    </row>
    <row r="140" spans="1:17" ht="14.25" customHeight="1" x14ac:dyDescent="0.25">
      <c r="A140" s="221" t="s">
        <v>37</v>
      </c>
      <c r="B140" s="222"/>
      <c r="C140" s="283"/>
      <c r="D140" s="284"/>
      <c r="E140" s="22"/>
      <c r="F140" s="70" t="s">
        <v>57</v>
      </c>
      <c r="H140" s="308"/>
      <c r="I140" s="329"/>
      <c r="J140" s="330"/>
      <c r="K140" s="330"/>
      <c r="L140" s="330"/>
      <c r="M140" s="330"/>
      <c r="N140" s="330"/>
      <c r="O140" s="331"/>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42" t="s">
        <v>221</v>
      </c>
      <c r="I144" s="340"/>
      <c r="J144" s="340"/>
      <c r="K144" s="340"/>
      <c r="L144" s="340"/>
      <c r="M144" s="340"/>
      <c r="N144" s="340"/>
      <c r="O144" s="340"/>
      <c r="P144" s="341"/>
      <c r="Q144" s="2"/>
    </row>
    <row r="145" spans="1:17" x14ac:dyDescent="0.25">
      <c r="A145" s="224" t="s">
        <v>43</v>
      </c>
      <c r="B145" s="225"/>
      <c r="C145" s="283"/>
      <c r="D145" s="284"/>
      <c r="E145" s="20"/>
      <c r="F145" s="70" t="s">
        <v>56</v>
      </c>
      <c r="G145" s="27"/>
      <c r="H145" s="308"/>
      <c r="I145" s="329"/>
      <c r="J145" s="330"/>
      <c r="K145" s="330"/>
      <c r="L145" s="330"/>
      <c r="M145" s="330"/>
      <c r="N145" s="330"/>
      <c r="O145" s="331"/>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31" t="s">
        <v>58</v>
      </c>
      <c r="B149" s="232"/>
      <c r="C149" s="232"/>
      <c r="D149" s="232"/>
      <c r="F149" s="233"/>
      <c r="G149" s="233"/>
      <c r="H149" s="233"/>
      <c r="I149" s="233"/>
      <c r="J149" s="233"/>
      <c r="K149" s="233"/>
      <c r="L149" s="233"/>
      <c r="M149" s="233"/>
      <c r="N149" s="233"/>
      <c r="O149" s="233"/>
      <c r="P149" s="233"/>
      <c r="Q149" s="233"/>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34" t="str">
        <f>"Profit and Loss account for the year ended "&amp;TEXT(N2,"dd Mmm yyyy")</f>
        <v>Profit and Loss account for the year ended 30 Nov 2023</v>
      </c>
      <c r="B151" s="235"/>
      <c r="C151" s="235"/>
      <c r="D151" s="235"/>
      <c r="E151" s="236"/>
      <c r="F151" s="236"/>
      <c r="G151" s="236"/>
      <c r="H151" s="236"/>
      <c r="I151" s="236"/>
      <c r="J151" s="236"/>
      <c r="K151" s="236"/>
      <c r="L151" s="236"/>
      <c r="M151" s="236"/>
      <c r="N151" s="236"/>
      <c r="O151" s="236"/>
      <c r="P151" s="236"/>
      <c r="Q151" s="237"/>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326" t="s">
        <v>60</v>
      </c>
      <c r="B154" s="212"/>
      <c r="C154" s="212"/>
      <c r="D154" s="212"/>
      <c r="E154" s="212"/>
      <c r="F154" s="212"/>
      <c r="G154" s="212"/>
      <c r="H154" s="212"/>
      <c r="I154" s="212"/>
      <c r="J154" s="212"/>
      <c r="K154" s="212"/>
      <c r="L154" s="212"/>
      <c r="M154" s="212"/>
      <c r="N154" s="212"/>
      <c r="O154" s="212"/>
      <c r="P154" s="212"/>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418" t="str">
        <f>TEXT((YEARFRAC(J2,N2)*12),"0")&amp;" months to "&amp;TEXT(N2,"dd Mmm yyyy")&amp;"."</f>
        <v>12 months to 30 Nov 2023.</v>
      </c>
      <c r="G156" s="418"/>
      <c r="H156" s="418"/>
      <c r="I156" s="418"/>
      <c r="J156" s="72"/>
      <c r="K156" s="72"/>
      <c r="L156" s="239" t="str">
        <f>IF(H72&gt;0,TEXT(H72,"yyyy"),"")</f>
        <v/>
      </c>
      <c r="M156" s="239"/>
      <c r="N156" s="239"/>
      <c r="O156" s="239"/>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24" t="s">
        <v>62</v>
      </c>
      <c r="B159" s="225"/>
      <c r="C159" s="283"/>
      <c r="D159" s="284"/>
      <c r="E159" s="20"/>
      <c r="F159" s="70" t="s">
        <v>65</v>
      </c>
      <c r="G159" s="66" t="s">
        <v>61</v>
      </c>
      <c r="H159" s="213">
        <f>N1265</f>
        <v>0</v>
      </c>
      <c r="I159" s="214"/>
      <c r="J159" s="26"/>
      <c r="K159" s="27"/>
      <c r="L159" s="70" t="s">
        <v>406</v>
      </c>
      <c r="M159" s="66" t="s">
        <v>61</v>
      </c>
      <c r="N159" s="213">
        <f>IF(H72&gt;0,ROUND([1]OpenAccounts!$E$43,D2),"")</f>
        <v>0</v>
      </c>
      <c r="O159" s="214"/>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21" t="s">
        <v>63</v>
      </c>
      <c r="B162" s="222"/>
      <c r="C162" s="283"/>
      <c r="D162" s="284"/>
      <c r="E162" s="22"/>
      <c r="F162" s="70" t="s">
        <v>66</v>
      </c>
      <c r="G162" s="67" t="s">
        <v>61</v>
      </c>
      <c r="H162" s="213">
        <f>N1286-[1]TrialBalance!EJ70</f>
        <v>0</v>
      </c>
      <c r="I162" s="214"/>
      <c r="J162" s="41"/>
      <c r="K162" s="40"/>
      <c r="L162" s="70" t="s">
        <v>419</v>
      </c>
      <c r="M162" s="67" t="s">
        <v>61</v>
      </c>
      <c r="N162" s="213">
        <f>IF(H72&gt;0,ROUND([1]OpenAccounts!$G$50,D2),"")</f>
        <v>0</v>
      </c>
      <c r="O162" s="214"/>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44" t="s">
        <v>64</v>
      </c>
      <c r="B165" s="245"/>
      <c r="C165" s="285"/>
      <c r="D165" s="286"/>
      <c r="E165" s="20"/>
      <c r="F165" s="70" t="s">
        <v>67</v>
      </c>
      <c r="G165" s="27" t="s">
        <v>61</v>
      </c>
      <c r="H165" s="242">
        <f>H159-H162</f>
        <v>0</v>
      </c>
      <c r="I165" s="325"/>
      <c r="J165" s="26"/>
      <c r="K165" s="27"/>
      <c r="L165" s="70" t="s">
        <v>418</v>
      </c>
      <c r="M165" s="27" t="s">
        <v>61</v>
      </c>
      <c r="N165" s="242">
        <f>IF(H72&gt;0,N159-N162,"")</f>
        <v>0</v>
      </c>
      <c r="O165" s="325"/>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21" t="s">
        <v>68</v>
      </c>
      <c r="B169" s="222"/>
      <c r="C169" s="283"/>
      <c r="D169" s="284"/>
      <c r="E169" s="22"/>
      <c r="F169" s="70" t="s">
        <v>72</v>
      </c>
      <c r="G169" s="67" t="s">
        <v>61</v>
      </c>
      <c r="H169" s="213">
        <f>[1]TrialBalance!EJ70</f>
        <v>0</v>
      </c>
      <c r="I169" s="214"/>
      <c r="J169" s="41"/>
      <c r="K169" s="40"/>
      <c r="L169" s="70" t="s">
        <v>417</v>
      </c>
      <c r="M169" s="67" t="s">
        <v>61</v>
      </c>
      <c r="N169" s="213">
        <f>IF(H72&gt;0,ROUND([1]OpenAccounts!$G$59,D2),"")</f>
        <v>0</v>
      </c>
      <c r="O169" s="214"/>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24" t="s">
        <v>69</v>
      </c>
      <c r="B172" s="225"/>
      <c r="C172" s="283"/>
      <c r="D172" s="284"/>
      <c r="E172" s="20"/>
      <c r="F172" s="70" t="s">
        <v>73</v>
      </c>
      <c r="G172" s="40" t="s">
        <v>61</v>
      </c>
      <c r="H172" s="213">
        <f>N1397-H185</f>
        <v>0</v>
      </c>
      <c r="I172" s="214"/>
      <c r="J172" s="26"/>
      <c r="K172" s="27"/>
      <c r="L172" s="70" t="s">
        <v>416</v>
      </c>
      <c r="M172" s="40" t="s">
        <v>61</v>
      </c>
      <c r="N172" s="213">
        <f>IF(H72&gt;0,ROUND(SUM([1]OpenAccounts!E54:'[1]OpenAccounts'!E76),D2)-N169-N185,"")</f>
        <v>0</v>
      </c>
      <c r="O172" s="214"/>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21" t="s">
        <v>70</v>
      </c>
      <c r="B175" s="222"/>
      <c r="C175" s="283"/>
      <c r="D175" s="284"/>
      <c r="E175" s="22"/>
      <c r="F175" s="70" t="s">
        <v>74</v>
      </c>
      <c r="G175" s="67" t="s">
        <v>61</v>
      </c>
      <c r="H175" s="213">
        <f>-ROUND([1]TrialBalance!EJ57,D2)</f>
        <v>0</v>
      </c>
      <c r="I175" s="214"/>
      <c r="J175" s="41"/>
      <c r="K175" s="40"/>
      <c r="L175" s="70" t="s">
        <v>415</v>
      </c>
      <c r="M175" s="67" t="s">
        <v>61</v>
      </c>
      <c r="N175" s="213">
        <f>IF(H72&gt;0,ROUND([1]OpenAccounts!E44,D2),"")</f>
        <v>0</v>
      </c>
      <c r="O175" s="214"/>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44" t="s">
        <v>71</v>
      </c>
      <c r="B178" s="245"/>
      <c r="C178" s="285"/>
      <c r="D178" s="286"/>
      <c r="E178" s="20"/>
      <c r="F178" s="70" t="s">
        <v>75</v>
      </c>
      <c r="G178" s="27" t="s">
        <v>61</v>
      </c>
      <c r="H178" s="242">
        <f>H165-SUM(H169+H172)-H175</f>
        <v>0</v>
      </c>
      <c r="I178" s="325"/>
      <c r="J178" s="26"/>
      <c r="K178" s="27"/>
      <c r="L178" s="70" t="s">
        <v>414</v>
      </c>
      <c r="M178" s="27" t="s">
        <v>61</v>
      </c>
      <c r="N178" s="242">
        <f>IF(H72&gt;0,N165-SUM(N169+N172)-N175,"")</f>
        <v>0</v>
      </c>
      <c r="O178" s="325"/>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24" t="s">
        <v>81</v>
      </c>
      <c r="B182" s="225"/>
      <c r="C182" s="283"/>
      <c r="D182" s="284"/>
      <c r="E182" s="20"/>
      <c r="F182" s="70" t="s">
        <v>94</v>
      </c>
      <c r="G182" s="66" t="s">
        <v>61</v>
      </c>
      <c r="H182" s="213">
        <f>N1422</f>
        <v>0</v>
      </c>
      <c r="I182" s="214"/>
      <c r="J182" s="26"/>
      <c r="K182" s="27"/>
      <c r="L182" s="70" t="s">
        <v>413</v>
      </c>
      <c r="M182" s="66" t="s">
        <v>61</v>
      </c>
      <c r="N182" s="213">
        <f>IF(H72&gt;0,ROUND([1]OpenAccounts!E80,D2),"")</f>
        <v>0</v>
      </c>
      <c r="O182" s="214"/>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21" t="s">
        <v>76</v>
      </c>
      <c r="B185" s="222"/>
      <c r="C185" s="283"/>
      <c r="D185" s="284"/>
      <c r="E185" s="22"/>
      <c r="F185" s="70" t="s">
        <v>95</v>
      </c>
      <c r="G185" s="67" t="s">
        <v>61</v>
      </c>
      <c r="H185" s="213">
        <f>ROUND([1]TrialBalance!EJ82,D2)</f>
        <v>0</v>
      </c>
      <c r="I185" s="214"/>
      <c r="J185" s="41"/>
      <c r="K185" s="40"/>
      <c r="L185" s="70" t="s">
        <v>412</v>
      </c>
      <c r="M185" s="67" t="s">
        <v>61</v>
      </c>
      <c r="N185" s="213">
        <f>IF(H72&gt;0,ROUND([1]OpenAccounts!E71,D2),"")</f>
        <v>0</v>
      </c>
      <c r="O185" s="214"/>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7" t="s">
        <v>78</v>
      </c>
      <c r="B188" s="378"/>
      <c r="C188" s="354"/>
      <c r="D188" s="359"/>
      <c r="E188" s="20"/>
      <c r="F188" s="70" t="s">
        <v>96</v>
      </c>
      <c r="G188" s="63" t="s">
        <v>61</v>
      </c>
      <c r="H188" s="415">
        <f>H178+H182-H185</f>
        <v>0</v>
      </c>
      <c r="I188" s="416"/>
      <c r="J188" s="26"/>
      <c r="K188" s="27"/>
      <c r="L188" s="70" t="s">
        <v>411</v>
      </c>
      <c r="M188" s="63" t="s">
        <v>61</v>
      </c>
      <c r="N188" s="415">
        <f>IF(H72&gt;0,N178+N182-N185,"")</f>
        <v>0</v>
      </c>
      <c r="O188" s="416"/>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21" t="s">
        <v>77</v>
      </c>
      <c r="B191" s="222"/>
      <c r="C191" s="283"/>
      <c r="D191" s="284"/>
      <c r="E191" s="22"/>
      <c r="F191" s="70" t="s">
        <v>97</v>
      </c>
      <c r="G191" s="67" t="s">
        <v>61</v>
      </c>
      <c r="H191" s="213">
        <f>H538</f>
        <v>0</v>
      </c>
      <c r="I191" s="214"/>
      <c r="J191" s="41"/>
      <c r="K191" s="40"/>
      <c r="L191" s="70" t="s">
        <v>409</v>
      </c>
      <c r="M191" s="67" t="s">
        <v>61</v>
      </c>
      <c r="N191" s="213">
        <f>IF(H72&gt;0,N538,"")</f>
        <v>0</v>
      </c>
      <c r="O191" s="214"/>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44" t="s">
        <v>79</v>
      </c>
      <c r="B194" s="245"/>
      <c r="C194" s="285"/>
      <c r="D194" s="286"/>
      <c r="E194" s="20"/>
      <c r="F194" s="70" t="s">
        <v>98</v>
      </c>
      <c r="G194" s="27" t="s">
        <v>61</v>
      </c>
      <c r="H194" s="242">
        <f>H188-H191</f>
        <v>0</v>
      </c>
      <c r="I194" s="325"/>
      <c r="J194" s="26"/>
      <c r="K194" s="27"/>
      <c r="L194" s="70" t="s">
        <v>410</v>
      </c>
      <c r="M194" s="27" t="s">
        <v>61</v>
      </c>
      <c r="N194" s="242">
        <f>IF(H72&gt;0,N188-N191,"")</f>
        <v>0</v>
      </c>
      <c r="O194" s="325"/>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419" t="s">
        <v>80</v>
      </c>
      <c r="B197" s="419"/>
      <c r="C197" s="419"/>
      <c r="D197" s="419"/>
      <c r="E197" s="419"/>
      <c r="F197" s="419"/>
      <c r="G197" s="419"/>
      <c r="H197" s="419"/>
      <c r="I197" s="419"/>
      <c r="J197" s="419"/>
      <c r="K197" s="419"/>
      <c r="L197" s="419"/>
      <c r="M197" s="419"/>
      <c r="N197" s="419"/>
      <c r="O197" s="419"/>
      <c r="P197" s="419"/>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21" t="s">
        <v>82</v>
      </c>
      <c r="B200" s="222"/>
      <c r="C200" s="283"/>
      <c r="D200" s="284"/>
      <c r="E200" s="22"/>
      <c r="F200" s="70" t="s">
        <v>99</v>
      </c>
      <c r="G200" s="67" t="s">
        <v>61</v>
      </c>
      <c r="H200" s="213">
        <f>H591</f>
        <v>0</v>
      </c>
      <c r="I200" s="214"/>
      <c r="J200" s="41"/>
      <c r="K200" s="40"/>
      <c r="L200" s="70" t="s">
        <v>408</v>
      </c>
      <c r="M200" s="67" t="s">
        <v>61</v>
      </c>
      <c r="N200" s="213">
        <f>IF(H72&gt;0,N591,"")</f>
        <v>0</v>
      </c>
      <c r="O200" s="214"/>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7" t="s">
        <v>83</v>
      </c>
      <c r="B204" s="245"/>
      <c r="C204" s="285"/>
      <c r="D204" s="286"/>
      <c r="E204" s="20"/>
      <c r="F204" s="70" t="s">
        <v>100</v>
      </c>
      <c r="G204" s="63" t="s">
        <v>61</v>
      </c>
      <c r="H204" s="314">
        <f>H194-H200</f>
        <v>0</v>
      </c>
      <c r="I204" s="315"/>
      <c r="J204" s="26"/>
      <c r="K204" s="27"/>
      <c r="L204" s="70" t="s">
        <v>407</v>
      </c>
      <c r="M204" s="63" t="s">
        <v>61</v>
      </c>
      <c r="N204" s="314">
        <f>IF(H72&gt;0,N194-N200,"")</f>
        <v>0</v>
      </c>
      <c r="O204" s="315"/>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12" t="s">
        <v>84</v>
      </c>
      <c r="B207" s="212"/>
      <c r="C207" s="212"/>
      <c r="D207" s="212"/>
      <c r="E207" s="212"/>
      <c r="F207" s="212"/>
      <c r="G207" s="212"/>
      <c r="H207" s="212"/>
      <c r="I207" s="212"/>
      <c r="J207" s="212"/>
      <c r="K207" s="212"/>
      <c r="L207" s="212"/>
      <c r="M207" s="212"/>
      <c r="N207" s="212"/>
      <c r="O207" s="212"/>
      <c r="P207" s="212"/>
    </row>
    <row r="209" spans="1:17" x14ac:dyDescent="0.25">
      <c r="A209" s="212" t="s">
        <v>85</v>
      </c>
      <c r="B209" s="345"/>
      <c r="C209" s="345"/>
      <c r="D209" s="345"/>
      <c r="E209" s="345"/>
      <c r="F209" s="345"/>
      <c r="G209" s="345"/>
      <c r="H209" s="345"/>
      <c r="I209" s="345"/>
      <c r="J209" s="345"/>
      <c r="K209" s="345"/>
      <c r="L209" s="345"/>
      <c r="M209" s="345"/>
      <c r="N209" s="345"/>
      <c r="O209" s="345"/>
      <c r="P209" s="345"/>
    </row>
    <row r="212" spans="1:17" ht="15.75" x14ac:dyDescent="0.25">
      <c r="A212" s="231" t="s">
        <v>86</v>
      </c>
      <c r="B212" s="232"/>
      <c r="C212" s="232"/>
      <c r="D212" s="232"/>
      <c r="F212" s="233"/>
      <c r="G212" s="233"/>
      <c r="H212" s="233"/>
      <c r="I212" s="233"/>
      <c r="J212" s="233"/>
      <c r="K212" s="233"/>
      <c r="L212" s="233"/>
      <c r="M212" s="233"/>
      <c r="N212" s="233"/>
      <c r="O212" s="233"/>
      <c r="P212" s="233"/>
      <c r="Q212" s="233"/>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72"/>
      <c r="B214" s="273"/>
      <c r="C214" s="273"/>
      <c r="D214" s="273"/>
      <c r="E214" s="273"/>
      <c r="F214" s="273"/>
      <c r="G214" s="273"/>
      <c r="H214" s="273"/>
      <c r="I214" s="273"/>
      <c r="J214" s="273"/>
      <c r="K214" s="273"/>
      <c r="L214" s="273"/>
      <c r="M214" s="273"/>
      <c r="N214" s="273"/>
      <c r="O214" s="273"/>
      <c r="P214" s="273"/>
      <c r="Q214" s="274"/>
    </row>
    <row r="215" spans="1:17" ht="45" customHeight="1" x14ac:dyDescent="0.4">
      <c r="A215" s="423" t="s">
        <v>87</v>
      </c>
      <c r="B215" s="424"/>
      <c r="C215" s="424"/>
      <c r="D215" s="424"/>
      <c r="E215" s="424"/>
      <c r="F215" s="424"/>
      <c r="G215" s="424"/>
      <c r="H215" s="424"/>
      <c r="I215" s="64" t="s">
        <v>31</v>
      </c>
      <c r="J215" s="219" t="s">
        <v>395</v>
      </c>
      <c r="K215" s="344"/>
      <c r="L215" s="344"/>
      <c r="M215" s="344"/>
      <c r="N215" s="344"/>
      <c r="O215" s="344"/>
      <c r="P215" s="344"/>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38" t="str">
        <f>F156</f>
        <v>12 months to 30 Nov 2023.</v>
      </c>
      <c r="G217" s="239"/>
      <c r="H217" s="239"/>
      <c r="I217" s="239"/>
      <c r="J217" s="140"/>
      <c r="K217" s="140"/>
      <c r="L217" s="238" t="str">
        <f>IF(H72&gt;0,TEXT(H72,"yyyy"),"")</f>
        <v/>
      </c>
      <c r="M217" s="239"/>
      <c r="N217" s="239"/>
      <c r="O217" s="239"/>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24" t="s">
        <v>389</v>
      </c>
      <c r="B220" s="225"/>
      <c r="C220" s="283"/>
      <c r="D220" s="284"/>
      <c r="E220" s="20"/>
      <c r="F220" s="70" t="s">
        <v>390</v>
      </c>
      <c r="G220" s="27" t="s">
        <v>61</v>
      </c>
      <c r="H220" s="242">
        <f>H194</f>
        <v>0</v>
      </c>
      <c r="I220" s="243"/>
      <c r="J220" s="27"/>
      <c r="K220" s="27"/>
      <c r="L220" s="70" t="s">
        <v>421</v>
      </c>
      <c r="M220" s="27" t="s">
        <v>61</v>
      </c>
      <c r="N220" s="242">
        <f>IF(H72&gt;0,N194,"")</f>
        <v>0</v>
      </c>
      <c r="O220" s="243"/>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303" t="s">
        <v>420</v>
      </c>
      <c r="G223" s="387"/>
      <c r="H223" s="387"/>
      <c r="I223" s="387"/>
      <c r="J223" s="142"/>
      <c r="K223" s="151"/>
      <c r="L223" s="303" t="s">
        <v>420</v>
      </c>
      <c r="M223" s="387"/>
      <c r="N223" s="387"/>
      <c r="O223" s="387"/>
      <c r="P223" s="41"/>
      <c r="Q223" s="2"/>
    </row>
    <row r="224" spans="1:17" ht="18.75" x14ac:dyDescent="0.4">
      <c r="A224" s="221" t="s">
        <v>393</v>
      </c>
      <c r="B224" s="222"/>
      <c r="C224" s="283"/>
      <c r="D224" s="284"/>
      <c r="E224" s="22"/>
      <c r="F224" s="70" t="s">
        <v>391</v>
      </c>
      <c r="G224" s="67" t="s">
        <v>61</v>
      </c>
      <c r="H224" s="213"/>
      <c r="I224" s="214"/>
      <c r="J224" s="143"/>
      <c r="K224" s="142"/>
      <c r="L224" s="70" t="s">
        <v>422</v>
      </c>
      <c r="M224" s="67" t="s">
        <v>61</v>
      </c>
      <c r="N224" s="213"/>
      <c r="O224" s="214"/>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7" t="s">
        <v>394</v>
      </c>
      <c r="B227" s="378"/>
      <c r="C227" s="385"/>
      <c r="D227" s="386"/>
      <c r="E227" s="20"/>
      <c r="F227" s="70" t="s">
        <v>392</v>
      </c>
      <c r="G227" s="27" t="s">
        <v>61</v>
      </c>
      <c r="H227" s="242">
        <f>H220+H224</f>
        <v>0</v>
      </c>
      <c r="I227" s="243"/>
      <c r="J227" s="27"/>
      <c r="K227" s="27"/>
      <c r="L227" s="70" t="s">
        <v>423</v>
      </c>
      <c r="M227" s="27" t="s">
        <v>61</v>
      </c>
      <c r="N227" s="242">
        <f>IF(H72&gt;0,N220+N224,"")</f>
        <v>0</v>
      </c>
      <c r="O227" s="243"/>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345" t="s">
        <v>209</v>
      </c>
      <c r="B230" s="345"/>
      <c r="C230" s="345"/>
      <c r="D230" s="345"/>
      <c r="E230" s="345"/>
      <c r="F230" s="345"/>
      <c r="G230" s="345"/>
      <c r="H230" s="345"/>
      <c r="I230" s="345"/>
      <c r="J230" s="345"/>
      <c r="K230" s="345"/>
      <c r="L230" s="345"/>
      <c r="M230" s="345"/>
      <c r="N230" s="345"/>
      <c r="O230" s="345"/>
      <c r="Q230" s="2"/>
    </row>
    <row r="231" spans="1:17" x14ac:dyDescent="0.25">
      <c r="Q231" s="2"/>
    </row>
    <row r="232" spans="1:17" ht="99.95" customHeight="1" x14ac:dyDescent="0.25">
      <c r="A232" s="213"/>
      <c r="B232" s="346"/>
      <c r="C232" s="347"/>
      <c r="D232" s="347"/>
      <c r="E232" s="347"/>
      <c r="F232" s="347"/>
      <c r="G232" s="347"/>
      <c r="H232" s="347"/>
      <c r="I232" s="347"/>
      <c r="J232" s="347"/>
      <c r="K232" s="347"/>
      <c r="L232" s="347"/>
      <c r="M232" s="347"/>
      <c r="N232" s="347"/>
      <c r="O232" s="347"/>
      <c r="P232" s="348"/>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31" t="s">
        <v>88</v>
      </c>
      <c r="B235" s="232"/>
      <c r="C235" s="232"/>
      <c r="D235" s="232"/>
      <c r="F235" s="233"/>
      <c r="G235" s="233"/>
      <c r="H235" s="233"/>
      <c r="I235" s="233"/>
      <c r="J235" s="233"/>
      <c r="K235" s="233"/>
      <c r="L235" s="233"/>
      <c r="M235" s="233"/>
      <c r="N235" s="233"/>
      <c r="O235" s="233"/>
      <c r="P235" s="233"/>
      <c r="Q235" s="233"/>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34" t="str">
        <f>"Balance sheet for the year ended "&amp;TEXT(N2,"dd Mmm yyyy")</f>
        <v>Balance sheet for the year ended 30 Nov 2023</v>
      </c>
      <c r="B237" s="235"/>
      <c r="C237" s="235"/>
      <c r="D237" s="235"/>
      <c r="E237" s="236"/>
      <c r="F237" s="236"/>
      <c r="G237" s="236"/>
      <c r="H237" s="236"/>
      <c r="I237" s="236"/>
      <c r="J237" s="236"/>
      <c r="K237" s="236"/>
      <c r="L237" s="236"/>
      <c r="M237" s="236"/>
      <c r="N237" s="236"/>
      <c r="O237" s="236"/>
      <c r="P237" s="236"/>
      <c r="Q237" s="237"/>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326" t="s">
        <v>89</v>
      </c>
      <c r="B240" s="212"/>
      <c r="C240" s="212"/>
      <c r="D240" s="212"/>
      <c r="E240" s="212"/>
      <c r="F240" s="212"/>
      <c r="G240" s="212"/>
      <c r="H240" s="212"/>
      <c r="I240" s="212"/>
      <c r="J240" s="212"/>
      <c r="K240" s="212"/>
      <c r="L240" s="212"/>
      <c r="M240" s="212"/>
      <c r="N240" s="212"/>
      <c r="O240" s="212"/>
      <c r="P240" s="212"/>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38" t="str">
        <f>TEXT(N2,"yyyy")</f>
        <v>2023</v>
      </c>
      <c r="G242" s="239"/>
      <c r="H242" s="239"/>
      <c r="I242" s="239"/>
      <c r="J242" s="140"/>
      <c r="K242" s="140"/>
      <c r="L242" s="238" t="str">
        <f>IF(H72&gt;0,TEXT(H72,"yyyy"),"")</f>
        <v/>
      </c>
      <c r="M242" s="239"/>
      <c r="N242" s="239"/>
      <c r="O242" s="239"/>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04" t="s">
        <v>420</v>
      </c>
      <c r="G245" s="420"/>
      <c r="H245" s="420"/>
      <c r="I245" s="420"/>
      <c r="J245" s="26"/>
      <c r="K245" s="27"/>
      <c r="L245" s="304" t="s">
        <v>420</v>
      </c>
      <c r="M245" s="420"/>
      <c r="N245" s="420"/>
      <c r="O245" s="420"/>
      <c r="P245" s="26"/>
      <c r="Q245" s="2"/>
    </row>
    <row r="246" spans="1:17" ht="16.5" x14ac:dyDescent="0.35">
      <c r="A246" s="224" t="s">
        <v>91</v>
      </c>
      <c r="B246" s="225"/>
      <c r="C246" s="283"/>
      <c r="D246" s="284"/>
      <c r="E246" s="20"/>
      <c r="F246" s="70" t="s">
        <v>101</v>
      </c>
      <c r="G246" s="66" t="s">
        <v>61</v>
      </c>
      <c r="H246" s="213"/>
      <c r="I246" s="214"/>
      <c r="J246" s="128"/>
      <c r="K246" s="109"/>
      <c r="L246" s="70" t="s">
        <v>424</v>
      </c>
      <c r="M246" s="66" t="s">
        <v>61</v>
      </c>
      <c r="N246" s="213"/>
      <c r="O246" s="214"/>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21" t="s">
        <v>92</v>
      </c>
      <c r="B249" s="222"/>
      <c r="C249" s="283"/>
      <c r="D249" s="284"/>
      <c r="E249" s="22"/>
      <c r="F249" s="70" t="s">
        <v>102</v>
      </c>
      <c r="G249" s="67" t="s">
        <v>61</v>
      </c>
      <c r="H249" s="213">
        <f>H941</f>
        <v>0</v>
      </c>
      <c r="I249" s="214"/>
      <c r="J249" s="176"/>
      <c r="K249" s="40"/>
      <c r="L249" s="70" t="s">
        <v>425</v>
      </c>
      <c r="M249" s="67" t="s">
        <v>61</v>
      </c>
      <c r="N249" s="213">
        <f>H944</f>
        <v>0</v>
      </c>
      <c r="O249" s="214"/>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44" t="s">
        <v>93</v>
      </c>
      <c r="B252" s="245"/>
      <c r="C252" s="287"/>
      <c r="D252" s="288"/>
      <c r="E252" s="20"/>
      <c r="F252" s="70" t="s">
        <v>103</v>
      </c>
      <c r="G252" s="27" t="s">
        <v>61</v>
      </c>
      <c r="H252" s="242">
        <f>H246+H249</f>
        <v>0</v>
      </c>
      <c r="I252" s="243"/>
      <c r="J252" s="179"/>
      <c r="K252" s="27"/>
      <c r="L252" s="70" t="s">
        <v>426</v>
      </c>
      <c r="M252" s="27" t="s">
        <v>61</v>
      </c>
      <c r="N252" s="242">
        <f>IF(H72&gt;0,N246+N249,"")</f>
        <v>0</v>
      </c>
      <c r="O252" s="243"/>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38" t="s">
        <v>104</v>
      </c>
      <c r="B255" s="239"/>
      <c r="C255" s="72"/>
      <c r="D255" s="72"/>
      <c r="E255" s="72"/>
      <c r="F255" s="238" t="str">
        <f>TEXT(N2,"yyyy")</f>
        <v>2023</v>
      </c>
      <c r="G255" s="239"/>
      <c r="H255" s="239"/>
      <c r="I255" s="239"/>
      <c r="J255" s="182"/>
      <c r="K255" s="140"/>
      <c r="L255" s="238" t="str">
        <f>IF(HJ72&gt;0,TEXT(H72,"yyyy"),"")</f>
        <v/>
      </c>
      <c r="M255" s="239"/>
      <c r="N255" s="239"/>
      <c r="O255" s="239"/>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24" t="s">
        <v>105</v>
      </c>
      <c r="B258" s="225"/>
      <c r="C258" s="283"/>
      <c r="D258" s="284"/>
      <c r="E258" s="20"/>
      <c r="F258" s="70" t="s">
        <v>113</v>
      </c>
      <c r="G258" s="40" t="s">
        <v>61</v>
      </c>
      <c r="H258" s="213">
        <f>ROUND([1]TrialBalance!EJ19,D2)</f>
        <v>0</v>
      </c>
      <c r="I258" s="214"/>
      <c r="J258" s="179"/>
      <c r="K258" s="27"/>
      <c r="L258" s="70" t="s">
        <v>427</v>
      </c>
      <c r="M258" s="67" t="s">
        <v>61</v>
      </c>
      <c r="N258" s="213">
        <f>IF(H72&gt;0,ROUND([1]TrialBalance!D19,D2),"")</f>
        <v>0</v>
      </c>
      <c r="O258" s="214"/>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21" t="s">
        <v>106</v>
      </c>
      <c r="B261" s="222"/>
      <c r="C261" s="283"/>
      <c r="D261" s="284"/>
      <c r="E261" s="22"/>
      <c r="F261" s="70" t="s">
        <v>114</v>
      </c>
      <c r="G261" s="67" t="s">
        <v>61</v>
      </c>
      <c r="H261" s="213">
        <f>H973</f>
        <v>0</v>
      </c>
      <c r="I261" s="214"/>
      <c r="J261" s="176"/>
      <c r="K261" s="40"/>
      <c r="L261" s="70" t="s">
        <v>428</v>
      </c>
      <c r="M261" s="67" t="s">
        <v>61</v>
      </c>
      <c r="N261" s="213">
        <f>IF(H72&gt;0,N973,"")</f>
        <v>0</v>
      </c>
      <c r="O261" s="214"/>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24" t="s">
        <v>430</v>
      </c>
      <c r="B264" s="225"/>
      <c r="C264" s="283"/>
      <c r="D264" s="284"/>
      <c r="E264" s="20"/>
      <c r="F264" s="70" t="s">
        <v>115</v>
      </c>
      <c r="G264" s="66" t="s">
        <v>61</v>
      </c>
      <c r="H264" s="213">
        <f>H1223</f>
        <v>0</v>
      </c>
      <c r="I264" s="214"/>
      <c r="J264" s="179"/>
      <c r="K264" s="27"/>
      <c r="L264" s="70" t="s">
        <v>429</v>
      </c>
      <c r="M264" s="66" t="s">
        <v>61</v>
      </c>
      <c r="N264" s="213">
        <f>N1223</f>
        <v>0</v>
      </c>
      <c r="O264" s="214"/>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47" t="s">
        <v>107</v>
      </c>
      <c r="B267" s="248"/>
      <c r="C267" s="312"/>
      <c r="D267" s="313"/>
      <c r="E267" s="22"/>
      <c r="F267" s="70" t="s">
        <v>116</v>
      </c>
      <c r="G267" s="40" t="s">
        <v>61</v>
      </c>
      <c r="H267" s="240">
        <f>SUM(H258,H261,H264)</f>
        <v>0</v>
      </c>
      <c r="I267" s="241"/>
      <c r="J267" s="176"/>
      <c r="K267" s="40"/>
      <c r="L267" s="70" t="s">
        <v>438</v>
      </c>
      <c r="M267" s="40" t="s">
        <v>61</v>
      </c>
      <c r="N267" s="240">
        <f>IF(H72&gt;0,SUM(N258,N261,N264),"")</f>
        <v>0</v>
      </c>
      <c r="O267" s="241"/>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27" t="s">
        <v>432</v>
      </c>
      <c r="B270" s="328"/>
      <c r="C270" s="328"/>
      <c r="D270" s="422"/>
      <c r="E270" s="20"/>
      <c r="F270" s="70" t="s">
        <v>117</v>
      </c>
      <c r="G270" s="73" t="s">
        <v>61</v>
      </c>
      <c r="H270" s="368">
        <f>H1017</f>
        <v>0</v>
      </c>
      <c r="I270" s="369"/>
      <c r="J270" s="179"/>
      <c r="K270" s="74"/>
      <c r="L270" s="70" t="s">
        <v>431</v>
      </c>
      <c r="M270" s="73" t="s">
        <v>61</v>
      </c>
      <c r="N270" s="368">
        <f>IF(H72&gt;0,N1017,"")</f>
        <v>0</v>
      </c>
      <c r="O270" s="369"/>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47" t="s">
        <v>109</v>
      </c>
      <c r="B273" s="248"/>
      <c r="C273" s="285"/>
      <c r="D273" s="286"/>
      <c r="E273" s="22"/>
      <c r="F273" s="70" t="s">
        <v>118</v>
      </c>
      <c r="G273" s="40" t="s">
        <v>61</v>
      </c>
      <c r="H273" s="240">
        <f>H267-H270</f>
        <v>0</v>
      </c>
      <c r="I273" s="241"/>
      <c r="J273" s="176"/>
      <c r="K273" s="40"/>
      <c r="L273" s="70" t="s">
        <v>433</v>
      </c>
      <c r="M273" s="40" t="s">
        <v>61</v>
      </c>
      <c r="N273" s="240">
        <f>IF(H72&gt;0,N267-N270,"")</f>
        <v>0</v>
      </c>
      <c r="O273" s="241"/>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7" t="s">
        <v>110</v>
      </c>
      <c r="B276" s="378"/>
      <c r="C276" s="354"/>
      <c r="D276" s="359"/>
      <c r="E276" s="20"/>
      <c r="F276" s="70" t="s">
        <v>119</v>
      </c>
      <c r="G276" s="63" t="s">
        <v>61</v>
      </c>
      <c r="H276" s="379">
        <f>H252+H273</f>
        <v>0</v>
      </c>
      <c r="I276" s="380"/>
      <c r="J276" s="179"/>
      <c r="K276" s="27"/>
      <c r="L276" s="70" t="s">
        <v>434</v>
      </c>
      <c r="M276" s="63" t="s">
        <v>61</v>
      </c>
      <c r="N276" s="379">
        <f>IF(H72&gt;0,N252+N273,"")</f>
        <v>0</v>
      </c>
      <c r="O276" s="380"/>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65" t="s">
        <v>123</v>
      </c>
      <c r="B279" s="305"/>
      <c r="C279" s="306"/>
      <c r="D279" s="307"/>
      <c r="E279" s="22"/>
      <c r="F279" s="70" t="s">
        <v>120</v>
      </c>
      <c r="G279" s="67" t="s">
        <v>61</v>
      </c>
      <c r="H279" s="213">
        <f>H1051</f>
        <v>0</v>
      </c>
      <c r="I279" s="214"/>
      <c r="J279" s="41"/>
      <c r="K279" s="40"/>
      <c r="L279" s="70" t="s">
        <v>435</v>
      </c>
      <c r="M279" s="67" t="s">
        <v>61</v>
      </c>
      <c r="N279" s="213">
        <f>IF(H72&gt;0,N1051,"")</f>
        <v>0</v>
      </c>
      <c r="O279" s="214"/>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04" t="s">
        <v>420</v>
      </c>
      <c r="G282" s="420"/>
      <c r="H282" s="420"/>
      <c r="I282" s="420"/>
      <c r="J282" s="26"/>
      <c r="K282" s="27"/>
      <c r="L282" s="289" t="s">
        <v>420</v>
      </c>
      <c r="M282" s="421"/>
      <c r="N282" s="421"/>
      <c r="O282" s="421"/>
      <c r="P282" s="26"/>
      <c r="Q282" s="2"/>
    </row>
    <row r="283" spans="1:17" ht="15.75" customHeight="1" x14ac:dyDescent="0.25">
      <c r="A283" s="244" t="s">
        <v>111</v>
      </c>
      <c r="B283" s="245"/>
      <c r="C283" s="285"/>
      <c r="D283" s="286"/>
      <c r="E283" s="20"/>
      <c r="F283" s="70" t="s">
        <v>121</v>
      </c>
      <c r="G283" s="73" t="s">
        <v>61</v>
      </c>
      <c r="H283" s="368"/>
      <c r="I283" s="369"/>
      <c r="J283" s="26"/>
      <c r="K283" s="27"/>
      <c r="L283" s="70" t="s">
        <v>436</v>
      </c>
      <c r="M283" s="73" t="s">
        <v>61</v>
      </c>
      <c r="N283" s="368"/>
      <c r="O283" s="369"/>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47" t="s">
        <v>112</v>
      </c>
      <c r="B286" s="248"/>
      <c r="C286" s="312"/>
      <c r="D286" s="313"/>
      <c r="E286" s="22"/>
      <c r="F286" s="70" t="s">
        <v>122</v>
      </c>
      <c r="G286" s="40" t="s">
        <v>61</v>
      </c>
      <c r="H286" s="240">
        <f>H276-H279-H283</f>
        <v>0</v>
      </c>
      <c r="I286" s="241"/>
      <c r="J286" s="41"/>
      <c r="K286" s="40"/>
      <c r="L286" s="70" t="s">
        <v>437</v>
      </c>
      <c r="M286" s="40" t="s">
        <v>61</v>
      </c>
      <c r="N286" s="240">
        <f>IF(H72&gt;0,N276-N279-N283,"")</f>
        <v>0</v>
      </c>
      <c r="O286" s="241"/>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31" t="s">
        <v>124</v>
      </c>
      <c r="B290" s="232"/>
      <c r="C290" s="232"/>
      <c r="D290" s="232"/>
      <c r="F290" s="233"/>
      <c r="G290" s="233"/>
      <c r="H290" s="233"/>
      <c r="I290" s="233"/>
      <c r="J290" s="233"/>
      <c r="K290" s="233"/>
      <c r="L290" s="233"/>
      <c r="M290" s="233"/>
      <c r="N290" s="233"/>
      <c r="O290" s="233"/>
      <c r="P290" s="233"/>
      <c r="Q290" s="233"/>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34" t="str">
        <f>"Balance sheet for the year ended "&amp;TEXT(N2,"dd Mmm yyyy")</f>
        <v>Balance sheet for the year ended 30 Nov 2023</v>
      </c>
      <c r="B292" s="235"/>
      <c r="C292" s="235"/>
      <c r="D292" s="235"/>
      <c r="E292" s="236"/>
      <c r="F292" s="236"/>
      <c r="G292" s="236"/>
      <c r="H292" s="236"/>
      <c r="I292" s="236"/>
      <c r="J292" s="236"/>
      <c r="K292" s="236"/>
      <c r="L292" s="236"/>
      <c r="M292" s="236"/>
      <c r="N292" s="236"/>
      <c r="O292" s="236"/>
      <c r="P292" s="236"/>
      <c r="Q292" s="237"/>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326" t="s">
        <v>125</v>
      </c>
      <c r="B294" s="212"/>
      <c r="C294" s="212"/>
      <c r="D294" s="212"/>
      <c r="E294" s="212"/>
      <c r="F294" s="212"/>
      <c r="G294" s="212"/>
      <c r="H294" s="212"/>
      <c r="I294" s="212"/>
      <c r="J294" s="212"/>
      <c r="K294" s="212"/>
      <c r="L294" s="212"/>
      <c r="M294" s="212"/>
      <c r="N294" s="212"/>
      <c r="O294" s="212"/>
      <c r="P294" s="212"/>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38" t="s">
        <v>126</v>
      </c>
      <c r="B296" s="239"/>
      <c r="C296" s="72"/>
      <c r="D296" s="72"/>
      <c r="E296" s="72"/>
      <c r="F296" s="140" t="str">
        <f>TEXT(N2,"yyyy")</f>
        <v>2023</v>
      </c>
      <c r="G296" s="140"/>
      <c r="H296" s="140"/>
      <c r="I296" s="140"/>
      <c r="J296" s="140"/>
      <c r="K296" s="140"/>
      <c r="L296" s="238" t="str">
        <f>IF(H72&gt;0,TEXT(H72,"yyyy"),"")</f>
        <v/>
      </c>
      <c r="M296" s="239"/>
      <c r="N296" s="239"/>
      <c r="O296" s="239"/>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24" t="s">
        <v>131</v>
      </c>
      <c r="B299" s="225"/>
      <c r="C299" s="283"/>
      <c r="D299" s="284"/>
      <c r="E299" s="20"/>
      <c r="F299" s="70" t="s">
        <v>132</v>
      </c>
      <c r="G299" s="66" t="s">
        <v>61</v>
      </c>
      <c r="H299" s="213">
        <f>N1098</f>
        <v>0</v>
      </c>
      <c r="I299" s="214"/>
      <c r="J299" s="26"/>
      <c r="K299" s="27"/>
      <c r="L299" s="70" t="s">
        <v>439</v>
      </c>
      <c r="M299" s="66" t="s">
        <v>61</v>
      </c>
      <c r="N299" s="213">
        <f>N1084</f>
        <v>0</v>
      </c>
      <c r="O299" s="214"/>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303" t="s">
        <v>420</v>
      </c>
      <c r="G302" s="367"/>
      <c r="H302" s="367"/>
      <c r="I302" s="367"/>
      <c r="J302" s="41"/>
      <c r="K302" s="40"/>
      <c r="L302" s="303" t="s">
        <v>420</v>
      </c>
      <c r="M302" s="367"/>
      <c r="N302" s="367"/>
      <c r="O302" s="367"/>
      <c r="P302" s="41"/>
      <c r="Q302" s="2"/>
    </row>
    <row r="303" spans="1:17" x14ac:dyDescent="0.25">
      <c r="A303" s="221" t="s">
        <v>128</v>
      </c>
      <c r="B303" s="222"/>
      <c r="C303" s="283"/>
      <c r="D303" s="284"/>
      <c r="E303" s="22"/>
      <c r="F303" s="70" t="s">
        <v>133</v>
      </c>
      <c r="G303" s="67" t="s">
        <v>61</v>
      </c>
      <c r="H303" s="213"/>
      <c r="I303" s="214"/>
      <c r="J303" s="41"/>
      <c r="K303" s="139"/>
      <c r="L303" s="70" t="s">
        <v>440</v>
      </c>
      <c r="M303" s="67" t="s">
        <v>61</v>
      </c>
      <c r="N303" s="213"/>
      <c r="O303" s="214"/>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24" t="s">
        <v>129</v>
      </c>
      <c r="B306" s="225"/>
      <c r="C306" s="283"/>
      <c r="D306" s="284"/>
      <c r="E306" s="20"/>
      <c r="F306" s="70" t="s">
        <v>388</v>
      </c>
      <c r="G306" s="66" t="s">
        <v>61</v>
      </c>
      <c r="H306" s="373">
        <f>H1140</f>
        <v>0</v>
      </c>
      <c r="I306" s="214"/>
      <c r="J306" s="26"/>
      <c r="K306" s="27"/>
      <c r="L306" s="70" t="s">
        <v>441</v>
      </c>
      <c r="M306" s="66" t="s">
        <v>61</v>
      </c>
      <c r="N306" s="213">
        <f>IF(H72&gt;0,H1131,"")</f>
        <v>0</v>
      </c>
      <c r="O306" s="214"/>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47" t="s">
        <v>130</v>
      </c>
      <c r="B309" s="248"/>
      <c r="C309" s="312"/>
      <c r="D309" s="313"/>
      <c r="E309" s="22"/>
      <c r="F309" s="70" t="s">
        <v>134</v>
      </c>
      <c r="G309" s="40" t="s">
        <v>61</v>
      </c>
      <c r="H309" s="240">
        <f>H299+H303+H306</f>
        <v>0</v>
      </c>
      <c r="I309" s="241"/>
      <c r="J309" s="41"/>
      <c r="K309" s="40"/>
      <c r="L309" s="70" t="s">
        <v>442</v>
      </c>
      <c r="M309" s="40" t="s">
        <v>61</v>
      </c>
      <c r="N309" s="240">
        <f>IF(H72&gt;0,N299+N303+N306,"")</f>
        <v>0</v>
      </c>
      <c r="O309" s="241"/>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12" t="s">
        <v>136</v>
      </c>
      <c r="B312" s="212"/>
      <c r="C312" s="212"/>
      <c r="D312" s="212"/>
      <c r="E312" s="212"/>
      <c r="F312" s="212"/>
      <c r="G312" s="212"/>
      <c r="H312" s="212"/>
      <c r="I312" s="212"/>
      <c r="J312" s="212"/>
      <c r="K312" s="212"/>
      <c r="L312" s="212"/>
      <c r="M312" s="212"/>
      <c r="N312" s="212"/>
      <c r="O312" s="212"/>
      <c r="P312" s="212"/>
      <c r="Q312" s="38"/>
    </row>
    <row r="313" spans="1:17" x14ac:dyDescent="0.25">
      <c r="Q313" s="38"/>
    </row>
    <row r="314" spans="1:17" ht="30.75" customHeight="1" x14ac:dyDescent="0.25">
      <c r="A314" s="212" t="s">
        <v>135</v>
      </c>
      <c r="B314" s="212"/>
      <c r="C314" s="212"/>
      <c r="D314" s="212"/>
      <c r="E314" s="212"/>
      <c r="F314" s="212"/>
      <c r="G314" s="212"/>
      <c r="H314" s="212"/>
      <c r="I314" s="212"/>
      <c r="J314" s="212"/>
      <c r="K314" s="212"/>
      <c r="L314" s="212"/>
      <c r="M314" s="212"/>
      <c r="N314" s="212"/>
      <c r="O314" s="212"/>
      <c r="P314" s="212"/>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10" t="s">
        <v>139</v>
      </c>
      <c r="E319" s="310"/>
      <c r="F319" s="310"/>
      <c r="G319" s="310"/>
      <c r="H319" s="310"/>
      <c r="I319" s="310"/>
      <c r="J319" s="310"/>
      <c r="K319" s="310"/>
      <c r="L319" s="310"/>
      <c r="M319" s="310"/>
      <c r="N319" s="310"/>
      <c r="O319" s="310"/>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10" t="s">
        <v>140</v>
      </c>
      <c r="E323" s="310"/>
      <c r="F323" s="310"/>
      <c r="G323" s="310"/>
      <c r="H323" s="310"/>
      <c r="I323" s="310"/>
      <c r="J323" s="310"/>
      <c r="K323" s="310"/>
      <c r="L323" s="310"/>
      <c r="M323" s="310"/>
      <c r="N323" s="310"/>
      <c r="O323" s="310"/>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10" t="s">
        <v>141</v>
      </c>
      <c r="E327" s="310"/>
      <c r="F327" s="310"/>
      <c r="G327" s="310"/>
      <c r="H327" s="310"/>
      <c r="I327" s="310"/>
      <c r="J327" s="310"/>
      <c r="K327" s="310"/>
      <c r="L327" s="310"/>
      <c r="M327" s="310"/>
      <c r="N327" s="310"/>
      <c r="O327" s="310"/>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12" t="s">
        <v>142</v>
      </c>
      <c r="B330" s="345"/>
      <c r="C330" s="345"/>
      <c r="D330" s="345"/>
      <c r="E330" s="345"/>
      <c r="F330" s="345"/>
      <c r="G330" s="345"/>
      <c r="H330" s="345"/>
      <c r="I330" s="345"/>
      <c r="J330" s="345"/>
      <c r="K330" s="345"/>
      <c r="L330" s="345"/>
      <c r="M330" s="345"/>
      <c r="N330" s="345"/>
      <c r="O330" s="345"/>
      <c r="P330" s="345"/>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10" t="s">
        <v>967</v>
      </c>
      <c r="E333" s="310"/>
      <c r="F333" s="310"/>
      <c r="G333" s="310"/>
      <c r="H333" s="310"/>
      <c r="I333" s="310"/>
      <c r="J333" s="310"/>
      <c r="K333" s="310"/>
      <c r="L333" s="310"/>
      <c r="M333" s="310"/>
      <c r="N333" s="310"/>
      <c r="O333" s="310"/>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12" t="s">
        <v>143</v>
      </c>
      <c r="B336" s="345"/>
      <c r="C336" s="345"/>
      <c r="D336" s="345"/>
      <c r="E336" s="345"/>
      <c r="F336" s="345"/>
      <c r="G336" s="345"/>
      <c r="H336" s="345"/>
      <c r="I336" s="345"/>
      <c r="J336" s="345"/>
      <c r="K336" s="345"/>
      <c r="L336" s="345"/>
      <c r="M336" s="345"/>
      <c r="N336" s="345"/>
      <c r="O336" s="345"/>
      <c r="P336" s="345"/>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10" t="s">
        <v>144</v>
      </c>
      <c r="E339" s="310"/>
      <c r="F339" s="310"/>
      <c r="G339" s="310"/>
      <c r="H339" s="310"/>
      <c r="I339" s="310"/>
      <c r="J339" s="310"/>
      <c r="K339" s="310"/>
      <c r="L339" s="310"/>
      <c r="M339" s="310"/>
      <c r="N339" s="310"/>
      <c r="O339" s="310"/>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31" t="s">
        <v>145</v>
      </c>
      <c r="B343" s="232"/>
      <c r="C343" s="232"/>
      <c r="D343" s="232"/>
      <c r="F343" s="311"/>
      <c r="G343" s="311"/>
      <c r="H343" s="311"/>
      <c r="I343" s="311"/>
      <c r="J343" s="311"/>
      <c r="K343" s="311"/>
      <c r="L343" s="311"/>
      <c r="M343" s="311"/>
      <c r="N343" s="311"/>
      <c r="O343" s="311"/>
      <c r="P343" s="311"/>
      <c r="Q343" s="311"/>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72"/>
      <c r="B345" s="273"/>
      <c r="C345" s="273"/>
      <c r="D345" s="273"/>
      <c r="E345" s="273"/>
      <c r="F345" s="273"/>
      <c r="G345" s="273"/>
      <c r="H345" s="273"/>
      <c r="I345" s="273"/>
      <c r="J345" s="273"/>
      <c r="K345" s="273"/>
      <c r="L345" s="273"/>
      <c r="M345" s="273"/>
      <c r="N345" s="273"/>
      <c r="O345" s="273"/>
      <c r="P345" s="273"/>
      <c r="Q345" s="274"/>
    </row>
    <row r="346" spans="1:17" ht="49.5" customHeight="1" x14ac:dyDescent="0.25">
      <c r="A346" s="211" t="s">
        <v>146</v>
      </c>
      <c r="B346" s="212"/>
      <c r="C346" s="212"/>
      <c r="D346" s="212"/>
      <c r="E346" s="212"/>
      <c r="F346" s="212"/>
      <c r="G346" s="212"/>
      <c r="H346" s="212"/>
      <c r="I346" s="212"/>
      <c r="J346" s="212"/>
      <c r="K346" s="212"/>
      <c r="L346" s="212"/>
      <c r="M346" s="212"/>
      <c r="N346" s="212"/>
      <c r="O346" s="212"/>
      <c r="P346" s="212"/>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38" t="s">
        <v>147</v>
      </c>
      <c r="B348" s="239"/>
      <c r="C348" s="72"/>
      <c r="D348" s="72"/>
      <c r="E348" s="72"/>
      <c r="F348" s="238" t="s">
        <v>148</v>
      </c>
      <c r="G348" s="238"/>
      <c r="H348" s="238"/>
      <c r="I348" s="238"/>
      <c r="J348" s="238"/>
      <c r="K348" s="238"/>
      <c r="L348" s="238"/>
      <c r="M348" s="238"/>
      <c r="N348" s="238"/>
      <c r="O348" s="238"/>
      <c r="P348" s="238"/>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7" t="s">
        <v>149</v>
      </c>
      <c r="B351" s="318"/>
      <c r="C351" s="319"/>
      <c r="D351" s="319"/>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81" t="s">
        <v>150</v>
      </c>
      <c r="B354" s="382"/>
      <c r="C354" s="383"/>
      <c r="D354" s="383"/>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433" t="s">
        <v>151</v>
      </c>
      <c r="B357" s="434"/>
      <c r="C357" s="383"/>
      <c r="D357" s="383"/>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74" t="s">
        <v>968</v>
      </c>
      <c r="B360" s="375"/>
      <c r="C360" s="376"/>
      <c r="D360" s="37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7" t="s">
        <v>152</v>
      </c>
      <c r="B363" s="318"/>
      <c r="C363" s="319"/>
      <c r="D363" s="319"/>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74" t="s">
        <v>153</v>
      </c>
      <c r="B366" s="375"/>
      <c r="C366" s="376"/>
      <c r="D366" s="37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7" t="s">
        <v>154</v>
      </c>
      <c r="B369" s="318"/>
      <c r="C369" s="319"/>
      <c r="D369" s="319"/>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81" t="s">
        <v>195</v>
      </c>
      <c r="B372" s="382"/>
      <c r="C372" s="384"/>
      <c r="D372" s="384"/>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7" t="s">
        <v>155</v>
      </c>
      <c r="B375" s="318"/>
      <c r="C375" s="319"/>
      <c r="D375" s="319"/>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22" t="s">
        <v>169</v>
      </c>
      <c r="B377" s="323"/>
      <c r="C377" s="323"/>
      <c r="D377" s="323"/>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22" t="s">
        <v>170</v>
      </c>
      <c r="B379" s="323"/>
      <c r="C379" s="324"/>
      <c r="D379" s="324"/>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22" t="s">
        <v>171</v>
      </c>
      <c r="B381" s="323"/>
      <c r="C381" s="324"/>
      <c r="D381" s="324"/>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22" t="s">
        <v>172</v>
      </c>
      <c r="B383" s="323"/>
      <c r="C383" s="324"/>
      <c r="D383" s="324"/>
      <c r="E383" s="435"/>
      <c r="F383" s="436"/>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22" t="s">
        <v>173</v>
      </c>
      <c r="B385" s="323"/>
      <c r="C385" s="324"/>
      <c r="D385" s="324"/>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81" t="s">
        <v>156</v>
      </c>
      <c r="B388" s="382"/>
      <c r="C388" s="383"/>
      <c r="D388" s="383"/>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7" t="s">
        <v>157</v>
      </c>
      <c r="B391" s="318"/>
      <c r="C391" s="319"/>
      <c r="D391" s="319"/>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74" t="s">
        <v>108</v>
      </c>
      <c r="B394" s="375"/>
      <c r="C394" s="376"/>
      <c r="D394" s="37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7" t="s">
        <v>158</v>
      </c>
      <c r="B397" s="318"/>
      <c r="C397" s="319"/>
      <c r="D397" s="319"/>
      <c r="E397" s="320"/>
      <c r="F397" s="321"/>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81" t="s">
        <v>159</v>
      </c>
      <c r="B400" s="382"/>
      <c r="C400" s="384"/>
      <c r="D400" s="384"/>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433" t="s">
        <v>160</v>
      </c>
      <c r="B403" s="434"/>
      <c r="C403" s="383"/>
      <c r="D403" s="383"/>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81" t="s">
        <v>161</v>
      </c>
      <c r="B406" s="382"/>
      <c r="C406" s="384"/>
      <c r="D406" s="384"/>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7" t="s">
        <v>127</v>
      </c>
      <c r="B409" s="318"/>
      <c r="C409" s="319"/>
      <c r="D409" s="319"/>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81" t="s">
        <v>162</v>
      </c>
      <c r="B412" s="382"/>
      <c r="C412" s="383"/>
      <c r="D412" s="383"/>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7" t="s">
        <v>163</v>
      </c>
      <c r="B415" s="318"/>
      <c r="C415" s="319"/>
      <c r="D415" s="319"/>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81" t="s">
        <v>164</v>
      </c>
      <c r="B418" s="382"/>
      <c r="C418" s="384"/>
      <c r="D418" s="384"/>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433" t="s">
        <v>165</v>
      </c>
      <c r="B421" s="434"/>
      <c r="C421" s="383"/>
      <c r="D421" s="383"/>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81" t="s">
        <v>166</v>
      </c>
      <c r="B424" s="382"/>
      <c r="C424" s="384"/>
      <c r="D424" s="384"/>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433" t="s">
        <v>167</v>
      </c>
      <c r="B427" s="434"/>
      <c r="C427" s="383"/>
      <c r="D427" s="383"/>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81" t="s">
        <v>168</v>
      </c>
      <c r="B430" s="382"/>
      <c r="C430" s="384"/>
      <c r="D430" s="384"/>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31" t="s">
        <v>145</v>
      </c>
      <c r="B434" s="232"/>
      <c r="C434" s="232"/>
      <c r="D434" s="232"/>
      <c r="F434" s="233" t="s">
        <v>12</v>
      </c>
      <c r="G434" s="233"/>
      <c r="H434" s="233"/>
      <c r="I434" s="233"/>
      <c r="J434" s="233"/>
      <c r="K434" s="233"/>
      <c r="L434" s="233"/>
      <c r="M434" s="233"/>
      <c r="N434" s="233"/>
      <c r="O434" s="233"/>
      <c r="P434" s="233"/>
      <c r="Q434" s="233"/>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34" t="s">
        <v>149</v>
      </c>
      <c r="B436" s="235"/>
      <c r="C436" s="235"/>
      <c r="D436" s="235"/>
      <c r="E436" s="236"/>
      <c r="F436" s="236"/>
      <c r="G436" s="236"/>
      <c r="H436" s="236"/>
      <c r="I436" s="236"/>
      <c r="J436" s="236"/>
      <c r="K436" s="236"/>
      <c r="L436" s="236"/>
      <c r="M436" s="236"/>
      <c r="N436" s="236"/>
      <c r="O436" s="236"/>
      <c r="P436" s="236"/>
      <c r="Q436" s="237"/>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299" t="s">
        <v>180</v>
      </c>
      <c r="B441" s="300"/>
      <c r="C441" s="301"/>
      <c r="D441" s="301"/>
      <c r="E441" s="301"/>
      <c r="F441" s="301"/>
      <c r="G441" s="301"/>
      <c r="H441" s="301"/>
      <c r="I441" s="301"/>
      <c r="J441" s="301"/>
      <c r="K441" s="301"/>
      <c r="L441" s="301"/>
      <c r="M441" s="301"/>
      <c r="N441" s="301"/>
      <c r="O441" s="301"/>
      <c r="P441" s="302"/>
    </row>
    <row r="443" spans="1:17" x14ac:dyDescent="0.25">
      <c r="A443" t="s">
        <v>186</v>
      </c>
    </row>
    <row r="444" spans="1:17" x14ac:dyDescent="0.25">
      <c r="A444" s="70" t="s">
        <v>182</v>
      </c>
    </row>
    <row r="445" spans="1:17" ht="26.25" customHeight="1" x14ac:dyDescent="0.25">
      <c r="A445" s="299" t="s">
        <v>187</v>
      </c>
      <c r="B445" s="300"/>
      <c r="C445" s="301"/>
      <c r="D445" s="301"/>
      <c r="E445" s="301"/>
      <c r="F445" s="301"/>
      <c r="G445" s="301"/>
      <c r="H445" s="301"/>
      <c r="I445" s="301"/>
      <c r="J445" s="301"/>
      <c r="K445" s="301"/>
      <c r="L445" s="301"/>
      <c r="M445" s="301"/>
      <c r="N445" s="301"/>
      <c r="O445" s="301"/>
      <c r="P445" s="302"/>
    </row>
    <row r="447" spans="1:17" x14ac:dyDescent="0.25">
      <c r="A447" t="s">
        <v>188</v>
      </c>
    </row>
    <row r="448" spans="1:17" x14ac:dyDescent="0.25">
      <c r="A448" s="70" t="s">
        <v>185</v>
      </c>
    </row>
    <row r="449" spans="1:17" ht="53.25" customHeight="1" x14ac:dyDescent="0.25">
      <c r="A449" s="299"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0"/>
      <c r="C449" s="301"/>
      <c r="D449" s="301"/>
      <c r="E449" s="301"/>
      <c r="F449" s="301"/>
      <c r="G449" s="301"/>
      <c r="H449" s="301"/>
      <c r="I449" s="301"/>
      <c r="J449" s="301"/>
      <c r="K449" s="301"/>
      <c r="L449" s="301"/>
      <c r="M449" s="301"/>
      <c r="N449" s="301"/>
      <c r="O449" s="301"/>
      <c r="P449" s="302"/>
    </row>
    <row r="451" spans="1:17" x14ac:dyDescent="0.25">
      <c r="A451" t="s">
        <v>189</v>
      </c>
    </row>
    <row r="452" spans="1:17" x14ac:dyDescent="0.25">
      <c r="A452" s="70" t="s">
        <v>183</v>
      </c>
    </row>
    <row r="453" spans="1:17" ht="51.75" customHeight="1" x14ac:dyDescent="0.25">
      <c r="A453" s="299" t="s">
        <v>192</v>
      </c>
      <c r="B453" s="300"/>
      <c r="C453" s="301"/>
      <c r="D453" s="301"/>
      <c r="E453" s="301"/>
      <c r="F453" s="301"/>
      <c r="G453" s="301"/>
      <c r="H453" s="301"/>
      <c r="I453" s="301"/>
      <c r="J453" s="301"/>
      <c r="K453" s="301"/>
      <c r="L453" s="301"/>
      <c r="M453" s="301"/>
      <c r="N453" s="301"/>
      <c r="O453" s="301"/>
      <c r="P453" s="302"/>
    </row>
    <row r="455" spans="1:17" x14ac:dyDescent="0.25">
      <c r="A455" t="s">
        <v>190</v>
      </c>
    </row>
    <row r="456" spans="1:17" x14ac:dyDescent="0.25">
      <c r="A456" s="70" t="s">
        <v>184</v>
      </c>
    </row>
    <row r="457" spans="1:17" ht="37.5" customHeight="1" x14ac:dyDescent="0.25">
      <c r="A457" s="299" t="s">
        <v>193</v>
      </c>
      <c r="B457" s="300"/>
      <c r="C457" s="301"/>
      <c r="D457" s="301"/>
      <c r="E457" s="301"/>
      <c r="F457" s="301"/>
      <c r="G457" s="301"/>
      <c r="H457" s="301"/>
      <c r="I457" s="301"/>
      <c r="J457" s="301"/>
      <c r="K457" s="301"/>
      <c r="L457" s="301"/>
      <c r="M457" s="301"/>
      <c r="N457" s="301"/>
      <c r="O457" s="301"/>
      <c r="P457" s="302"/>
    </row>
    <row r="459" spans="1:17" x14ac:dyDescent="0.25">
      <c r="A459" t="s">
        <v>191</v>
      </c>
    </row>
    <row r="460" spans="1:17" ht="92.25" customHeight="1" x14ac:dyDescent="0.25">
      <c r="A460" s="299" t="s">
        <v>194</v>
      </c>
      <c r="B460" s="300"/>
      <c r="C460" s="301"/>
      <c r="D460" s="301"/>
      <c r="E460" s="301"/>
      <c r="F460" s="301"/>
      <c r="G460" s="301"/>
      <c r="H460" s="301"/>
      <c r="I460" s="301"/>
      <c r="J460" s="301"/>
      <c r="K460" s="301"/>
      <c r="L460" s="301"/>
      <c r="M460" s="301"/>
      <c r="N460" s="301"/>
      <c r="O460" s="301"/>
      <c r="P460" s="302"/>
    </row>
    <row r="463" spans="1:17" ht="15.75" x14ac:dyDescent="0.25">
      <c r="A463" s="231" t="s">
        <v>145</v>
      </c>
      <c r="B463" s="232"/>
      <c r="C463" s="232"/>
      <c r="D463" s="232"/>
      <c r="F463" s="233"/>
      <c r="G463" s="233"/>
      <c r="H463" s="233"/>
      <c r="I463" s="233"/>
      <c r="J463" s="233"/>
      <c r="K463" s="233"/>
      <c r="L463" s="233"/>
      <c r="M463" s="233"/>
      <c r="N463" s="233"/>
      <c r="O463" s="233"/>
      <c r="P463" s="233"/>
      <c r="Q463" s="233"/>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34" t="s">
        <v>968</v>
      </c>
      <c r="B465" s="235"/>
      <c r="C465" s="235"/>
      <c r="D465" s="235"/>
      <c r="E465" s="236"/>
      <c r="F465" s="236"/>
      <c r="G465" s="236"/>
      <c r="H465" s="236"/>
      <c r="I465" s="236"/>
      <c r="J465" s="236"/>
      <c r="K465" s="236"/>
      <c r="L465" s="236"/>
      <c r="M465" s="236"/>
      <c r="N465" s="236"/>
      <c r="O465" s="236"/>
      <c r="P465" s="236"/>
      <c r="Q465" s="237"/>
    </row>
    <row r="466" spans="1:17" x14ac:dyDescent="0.25">
      <c r="A466" s="211" t="s">
        <v>207</v>
      </c>
      <c r="B466" s="212"/>
      <c r="C466" s="212"/>
      <c r="D466" s="212"/>
      <c r="E466" s="212"/>
      <c r="F466" s="212"/>
      <c r="G466" s="212"/>
      <c r="H466" s="212"/>
      <c r="I466" s="212"/>
      <c r="J466" s="212"/>
      <c r="K466" s="212"/>
      <c r="L466" s="212"/>
      <c r="M466" s="212"/>
      <c r="N466" s="212"/>
      <c r="O466" s="212"/>
      <c r="P466" s="212"/>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1" t="s">
        <v>970</v>
      </c>
      <c r="B468" s="212"/>
      <c r="C468" s="212"/>
      <c r="D468" s="212"/>
      <c r="E468" s="212"/>
      <c r="F468" s="212"/>
      <c r="G468" s="212"/>
      <c r="H468" s="212"/>
      <c r="I468" s="212"/>
      <c r="J468" s="212"/>
      <c r="K468" s="212"/>
      <c r="L468" s="212"/>
      <c r="M468" s="212"/>
      <c r="N468" s="212"/>
      <c r="O468" s="212"/>
      <c r="P468" s="212"/>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38" t="s">
        <v>208</v>
      </c>
      <c r="B470" s="239"/>
      <c r="C470" s="72"/>
      <c r="D470" s="72"/>
      <c r="E470" s="72"/>
      <c r="F470" s="238" t="str">
        <f>F156</f>
        <v>12 months to 30 Nov 2023.</v>
      </c>
      <c r="G470" s="239"/>
      <c r="H470" s="239"/>
      <c r="I470" s="239"/>
      <c r="J470" s="140"/>
      <c r="K470" s="140"/>
      <c r="L470" s="238" t="str">
        <f>IF(H72&gt;0,TEXT(H72,"yyyy"),"")</f>
        <v/>
      </c>
      <c r="M470" s="239"/>
      <c r="N470" s="239"/>
      <c r="O470" s="239"/>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24" t="s">
        <v>210</v>
      </c>
      <c r="B473" s="225"/>
      <c r="C473" s="283"/>
      <c r="D473" s="284"/>
      <c r="E473" s="20"/>
      <c r="F473" s="70" t="s">
        <v>213</v>
      </c>
      <c r="G473" s="66" t="s">
        <v>61</v>
      </c>
      <c r="H473" s="213">
        <f>ROUND([1]TrialBalance!$EJ$66,D2)</f>
        <v>0</v>
      </c>
      <c r="I473" s="214"/>
      <c r="J473" s="26"/>
      <c r="K473" s="27"/>
      <c r="L473" s="70" t="s">
        <v>445</v>
      </c>
      <c r="M473" s="66" t="s">
        <v>61</v>
      </c>
      <c r="N473" s="213">
        <f>IF(H72&gt;0,ROUND([1]OpenAccounts!$E$55,D2),"")</f>
        <v>0</v>
      </c>
      <c r="O473" s="214"/>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303" t="s">
        <v>444</v>
      </c>
      <c r="G476" s="370"/>
      <c r="H476" s="370"/>
      <c r="I476" s="370"/>
      <c r="J476" s="41"/>
      <c r="K476" s="40"/>
      <c r="L476" s="303" t="s">
        <v>444</v>
      </c>
      <c r="M476" s="370"/>
      <c r="N476" s="370"/>
      <c r="O476" s="370"/>
      <c r="P476" s="41"/>
      <c r="Q476" s="2"/>
    </row>
    <row r="477" spans="1:17" ht="28.5" customHeight="1" x14ac:dyDescent="0.4">
      <c r="A477" s="265" t="s">
        <v>211</v>
      </c>
      <c r="B477" s="305"/>
      <c r="C477" s="306"/>
      <c r="D477" s="307"/>
      <c r="E477" s="22"/>
      <c r="F477" s="70" t="s">
        <v>214</v>
      </c>
      <c r="G477" s="67" t="s">
        <v>61</v>
      </c>
      <c r="H477" s="213"/>
      <c r="I477" s="214"/>
      <c r="J477" s="154"/>
      <c r="K477" s="142"/>
      <c r="L477" s="70" t="s">
        <v>446</v>
      </c>
      <c r="M477" s="67" t="s">
        <v>61</v>
      </c>
      <c r="N477" s="213"/>
      <c r="O477" s="214"/>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44" t="s">
        <v>212</v>
      </c>
      <c r="B480" s="245"/>
      <c r="C480" s="285"/>
      <c r="D480" s="286"/>
      <c r="E480" s="20"/>
      <c r="F480" s="70" t="s">
        <v>215</v>
      </c>
      <c r="G480" s="27" t="s">
        <v>61</v>
      </c>
      <c r="H480" s="242">
        <f>H473+H477</f>
        <v>0</v>
      </c>
      <c r="I480" s="325"/>
      <c r="J480" s="26"/>
      <c r="K480" s="27"/>
      <c r="L480" s="70" t="s">
        <v>447</v>
      </c>
      <c r="M480" s="27" t="s">
        <v>61</v>
      </c>
      <c r="N480" s="242">
        <f>IF(H72&gt;0,N473+N477,"")</f>
        <v>0</v>
      </c>
      <c r="O480" s="325"/>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345" t="s">
        <v>209</v>
      </c>
      <c r="B483" s="345"/>
      <c r="C483" s="345"/>
      <c r="D483" s="345"/>
      <c r="E483" s="345"/>
      <c r="F483" s="345"/>
      <c r="G483" s="345"/>
      <c r="H483" s="345"/>
      <c r="I483" s="345"/>
      <c r="J483" s="345"/>
      <c r="K483" s="345"/>
      <c r="L483" s="345"/>
      <c r="M483" s="345"/>
      <c r="N483" s="345"/>
      <c r="O483" s="345"/>
      <c r="Q483" s="2"/>
    </row>
    <row r="484" spans="1:17" x14ac:dyDescent="0.25">
      <c r="Q484" s="2"/>
    </row>
    <row r="485" spans="1:17" ht="99.95" customHeight="1" x14ac:dyDescent="0.25">
      <c r="A485" s="213"/>
      <c r="B485" s="346"/>
      <c r="C485" s="347"/>
      <c r="D485" s="347"/>
      <c r="E485" s="347"/>
      <c r="F485" s="347"/>
      <c r="G485" s="347"/>
      <c r="H485" s="347"/>
      <c r="I485" s="347"/>
      <c r="J485" s="347"/>
      <c r="K485" s="347"/>
      <c r="L485" s="347"/>
      <c r="M485" s="347"/>
      <c r="N485" s="347"/>
      <c r="O485" s="347"/>
      <c r="P485" s="348"/>
      <c r="Q485" s="2"/>
    </row>
    <row r="486" spans="1:17" x14ac:dyDescent="0.25">
      <c r="Q486" s="2"/>
    </row>
    <row r="488" spans="1:17" ht="15.75" x14ac:dyDescent="0.25">
      <c r="A488" s="231" t="s">
        <v>145</v>
      </c>
      <c r="B488" s="232"/>
      <c r="C488" s="232"/>
      <c r="D488" s="232"/>
      <c r="F488" s="233"/>
      <c r="G488" s="233"/>
      <c r="H488" s="233"/>
      <c r="I488" s="233"/>
      <c r="J488" s="233"/>
      <c r="K488" s="233"/>
      <c r="L488" s="233"/>
      <c r="M488" s="233"/>
      <c r="N488" s="233"/>
      <c r="O488" s="233"/>
      <c r="P488" s="233"/>
      <c r="Q488" s="233"/>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34" t="s">
        <v>152</v>
      </c>
      <c r="B490" s="235"/>
      <c r="C490" s="235"/>
      <c r="D490" s="235"/>
      <c r="E490" s="236"/>
      <c r="F490" s="236"/>
      <c r="G490" s="236"/>
      <c r="H490" s="236"/>
      <c r="I490" s="236"/>
      <c r="J490" s="236"/>
      <c r="K490" s="236"/>
      <c r="L490" s="236"/>
      <c r="M490" s="236"/>
      <c r="N490" s="236"/>
      <c r="O490" s="236"/>
      <c r="P490" s="236"/>
      <c r="Q490" s="237"/>
    </row>
    <row r="491" spans="1:17" x14ac:dyDescent="0.25">
      <c r="A491" s="211" t="s">
        <v>222</v>
      </c>
      <c r="B491" s="212"/>
      <c r="C491" s="212"/>
      <c r="D491" s="212"/>
      <c r="E491" s="212"/>
      <c r="F491" s="212"/>
      <c r="G491" s="212"/>
      <c r="H491" s="212"/>
      <c r="I491" s="212"/>
      <c r="J491" s="212"/>
      <c r="K491" s="212"/>
      <c r="L491" s="212"/>
      <c r="M491" s="212"/>
      <c r="N491" s="212"/>
      <c r="O491" s="212"/>
      <c r="P491" s="212"/>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1" t="s">
        <v>970</v>
      </c>
      <c r="B493" s="212"/>
      <c r="C493" s="212"/>
      <c r="D493" s="212"/>
      <c r="E493" s="212"/>
      <c r="F493" s="212"/>
      <c r="G493" s="212"/>
      <c r="H493" s="212"/>
      <c r="I493" s="212"/>
      <c r="J493" s="212"/>
      <c r="K493" s="212"/>
      <c r="L493" s="212"/>
      <c r="M493" s="212"/>
      <c r="N493" s="212"/>
      <c r="O493" s="212"/>
      <c r="P493" s="212"/>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38" t="s">
        <v>208</v>
      </c>
      <c r="B495" s="239"/>
      <c r="C495" s="72"/>
      <c r="D495" s="72"/>
      <c r="E495" s="72"/>
      <c r="F495" s="238" t="str">
        <f>F156</f>
        <v>12 months to 30 Nov 2023.</v>
      </c>
      <c r="G495" s="239"/>
      <c r="H495" s="239"/>
      <c r="I495" s="239"/>
      <c r="J495" s="140"/>
      <c r="K495" s="140"/>
      <c r="L495" s="238" t="str">
        <f>IF(H72&gt;0,TEXT(H72,"yyyy"),"")</f>
        <v/>
      </c>
      <c r="M495" s="239"/>
      <c r="N495" s="239"/>
      <c r="O495" s="239"/>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24" t="s">
        <v>223</v>
      </c>
      <c r="B498" s="225"/>
      <c r="C498" s="283"/>
      <c r="D498" s="284"/>
      <c r="E498" s="20"/>
      <c r="F498" s="70" t="s">
        <v>234</v>
      </c>
      <c r="G498" s="66" t="s">
        <v>61</v>
      </c>
      <c r="H498" s="213">
        <f>ROUND([1]TrialBalance!$EJ$64,D2)+ROUND([1]TrialBalance!$EJ$65,D2)</f>
        <v>0</v>
      </c>
      <c r="I498" s="214"/>
      <c r="J498" s="26"/>
      <c r="K498" s="27"/>
      <c r="L498" s="70" t="s">
        <v>234</v>
      </c>
      <c r="M498" s="66" t="s">
        <v>61</v>
      </c>
      <c r="N498" s="213">
        <f>IF(H72&gt;0,ROUND([1]OpenAccounts!E54,D2),"")</f>
        <v>0</v>
      </c>
      <c r="O498" s="214"/>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65" t="s">
        <v>224</v>
      </c>
      <c r="B501" s="305"/>
      <c r="C501" s="306"/>
      <c r="D501" s="307"/>
      <c r="E501" s="22"/>
      <c r="F501" s="70" t="s">
        <v>235</v>
      </c>
      <c r="G501" s="67" t="s">
        <v>61</v>
      </c>
      <c r="H501" s="213">
        <f>ROUND([1]TrialBalance!$EJ$67,D2)</f>
        <v>0</v>
      </c>
      <c r="I501" s="214"/>
      <c r="J501" s="154"/>
      <c r="K501" s="142"/>
      <c r="L501" s="70" t="s">
        <v>235</v>
      </c>
      <c r="M501" s="67" t="s">
        <v>61</v>
      </c>
      <c r="N501" s="213">
        <f>IF(H72&gt;0,ROUND([1]OpenAccounts!$E$56,D2),0)</f>
        <v>0</v>
      </c>
      <c r="O501" s="214"/>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316" t="s">
        <v>443</v>
      </c>
      <c r="G504" s="437"/>
      <c r="H504" s="437"/>
      <c r="I504" s="437"/>
      <c r="J504" s="26"/>
      <c r="K504" s="27"/>
      <c r="L504" s="316" t="s">
        <v>443</v>
      </c>
      <c r="M504" s="437"/>
      <c r="N504" s="437"/>
      <c r="O504" s="437"/>
      <c r="P504" s="26"/>
      <c r="Q504" s="2"/>
    </row>
    <row r="505" spans="1:17" ht="15" customHeight="1" x14ac:dyDescent="0.35">
      <c r="A505" s="224" t="s">
        <v>225</v>
      </c>
      <c r="B505" s="225"/>
      <c r="C505" s="283"/>
      <c r="D505" s="284"/>
      <c r="E505" s="20"/>
      <c r="F505" s="70" t="s">
        <v>236</v>
      </c>
      <c r="G505" s="66" t="s">
        <v>61</v>
      </c>
      <c r="H505" s="213"/>
      <c r="I505" s="214"/>
      <c r="J505" s="128"/>
      <c r="K505" s="109"/>
      <c r="L505" s="70" t="s">
        <v>236</v>
      </c>
      <c r="M505" s="66" t="s">
        <v>61</v>
      </c>
      <c r="N505" s="213"/>
      <c r="O505" s="214"/>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357" t="s">
        <v>226</v>
      </c>
      <c r="B508" s="358"/>
      <c r="C508" s="354"/>
      <c r="D508" s="359"/>
      <c r="E508" s="22"/>
      <c r="F508" s="70" t="s">
        <v>237</v>
      </c>
      <c r="G508" s="107" t="s">
        <v>61</v>
      </c>
      <c r="H508" s="240">
        <f>H498+H501+H505</f>
        <v>0</v>
      </c>
      <c r="I508" s="241"/>
      <c r="J508" s="157"/>
      <c r="K508" s="142"/>
      <c r="L508" s="70" t="s">
        <v>237</v>
      </c>
      <c r="M508" s="107" t="s">
        <v>61</v>
      </c>
      <c r="N508" s="240">
        <f>IF(H72&gt;0,N498+N501+N505,"")</f>
        <v>0</v>
      </c>
      <c r="O508" s="241"/>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316" t="s">
        <v>448</v>
      </c>
      <c r="G511" s="437"/>
      <c r="H511" s="437"/>
      <c r="I511" s="437"/>
      <c r="J511" s="26"/>
      <c r="K511" s="27"/>
      <c r="L511" s="316" t="s">
        <v>448</v>
      </c>
      <c r="M511" s="437"/>
      <c r="N511" s="437"/>
      <c r="O511" s="437"/>
      <c r="P511" s="26"/>
      <c r="Q511" s="2"/>
    </row>
    <row r="512" spans="1:17" ht="27" customHeight="1" x14ac:dyDescent="0.35">
      <c r="A512" s="327" t="s">
        <v>227</v>
      </c>
      <c r="B512" s="328"/>
      <c r="C512" s="306"/>
      <c r="D512" s="307"/>
      <c r="E512" s="20"/>
      <c r="F512" s="70" t="s">
        <v>238</v>
      </c>
      <c r="G512" s="66"/>
      <c r="H512" s="425"/>
      <c r="I512" s="426"/>
      <c r="J512" s="128"/>
      <c r="K512" s="109"/>
      <c r="L512" s="70" t="s">
        <v>238</v>
      </c>
      <c r="M512" s="66"/>
      <c r="N512" s="425"/>
      <c r="O512" s="426"/>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345" t="s">
        <v>209</v>
      </c>
      <c r="B515" s="345"/>
      <c r="C515" s="345"/>
      <c r="D515" s="345"/>
      <c r="E515" s="345"/>
      <c r="F515" s="345"/>
      <c r="G515" s="345"/>
      <c r="H515" s="345"/>
      <c r="I515" s="345"/>
      <c r="J515" s="345"/>
      <c r="K515" s="345"/>
      <c r="L515" s="345"/>
      <c r="M515" s="345"/>
      <c r="N515" s="345"/>
      <c r="O515" s="345"/>
      <c r="Q515" s="2"/>
    </row>
    <row r="516" spans="1:17" x14ac:dyDescent="0.25">
      <c r="Q516" s="2"/>
    </row>
    <row r="517" spans="1:17" ht="99.95" customHeight="1" x14ac:dyDescent="0.25">
      <c r="A517" s="213"/>
      <c r="B517" s="346"/>
      <c r="C517" s="347"/>
      <c r="D517" s="347"/>
      <c r="E517" s="347"/>
      <c r="F517" s="347"/>
      <c r="G517" s="347"/>
      <c r="H517" s="347"/>
      <c r="I517" s="347"/>
      <c r="J517" s="347"/>
      <c r="K517" s="347"/>
      <c r="L517" s="347"/>
      <c r="M517" s="347"/>
      <c r="N517" s="347"/>
      <c r="O517" s="347"/>
      <c r="P517" s="348"/>
      <c r="Q517" s="2"/>
    </row>
    <row r="518" spans="1:17" x14ac:dyDescent="0.25">
      <c r="Q518" s="2"/>
    </row>
    <row r="520" spans="1:17" ht="15.75" x14ac:dyDescent="0.25">
      <c r="A520" s="231" t="s">
        <v>145</v>
      </c>
      <c r="B520" s="232"/>
      <c r="C520" s="232"/>
      <c r="D520" s="232"/>
      <c r="F520" s="233"/>
      <c r="G520" s="233"/>
      <c r="H520" s="233"/>
      <c r="I520" s="233"/>
      <c r="J520" s="233"/>
      <c r="K520" s="233"/>
      <c r="L520" s="233"/>
      <c r="M520" s="233"/>
      <c r="N520" s="233"/>
      <c r="O520" s="233"/>
      <c r="P520" s="233"/>
      <c r="Q520" s="233"/>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34" t="s">
        <v>153</v>
      </c>
      <c r="B522" s="235"/>
      <c r="C522" s="235"/>
      <c r="D522" s="235"/>
      <c r="E522" s="236"/>
      <c r="F522" s="236"/>
      <c r="G522" s="236"/>
      <c r="H522" s="236"/>
      <c r="I522" s="236"/>
      <c r="J522" s="236"/>
      <c r="K522" s="236"/>
      <c r="L522" s="236"/>
      <c r="M522" s="236"/>
      <c r="N522" s="236"/>
      <c r="O522" s="236"/>
      <c r="P522" s="236"/>
      <c r="Q522" s="237"/>
    </row>
    <row r="523" spans="1:17" x14ac:dyDescent="0.25">
      <c r="A523" s="211" t="s">
        <v>228</v>
      </c>
      <c r="B523" s="212"/>
      <c r="C523" s="212"/>
      <c r="D523" s="212"/>
      <c r="E523" s="212"/>
      <c r="F523" s="212"/>
      <c r="G523" s="212"/>
      <c r="H523" s="212"/>
      <c r="I523" s="212"/>
      <c r="J523" s="212"/>
      <c r="K523" s="212"/>
      <c r="L523" s="212"/>
      <c r="M523" s="212"/>
      <c r="N523" s="212"/>
      <c r="O523" s="212"/>
      <c r="P523" s="212"/>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1" t="s">
        <v>970</v>
      </c>
      <c r="B525" s="212"/>
      <c r="C525" s="212"/>
      <c r="D525" s="212"/>
      <c r="E525" s="212"/>
      <c r="F525" s="212"/>
      <c r="G525" s="212"/>
      <c r="H525" s="212"/>
      <c r="I525" s="212"/>
      <c r="J525" s="212"/>
      <c r="K525" s="212"/>
      <c r="L525" s="212"/>
      <c r="M525" s="212"/>
      <c r="N525" s="212"/>
      <c r="O525" s="212"/>
      <c r="P525" s="212"/>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38" t="s">
        <v>208</v>
      </c>
      <c r="B527" s="239"/>
      <c r="C527" s="72"/>
      <c r="D527" s="72"/>
      <c r="E527" s="72"/>
      <c r="F527" s="238" t="str">
        <f>F156</f>
        <v>12 months to 30 Nov 2023.</v>
      </c>
      <c r="G527" s="239"/>
      <c r="H527" s="239"/>
      <c r="I527" s="239"/>
      <c r="J527" s="140"/>
      <c r="K527" s="140"/>
      <c r="L527" s="238" t="str">
        <f>IF(H72&gt;0,TEXT(H72,"yyyy"),"")</f>
        <v/>
      </c>
      <c r="M527" s="239"/>
      <c r="N527" s="239"/>
      <c r="O527" s="239"/>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24" t="s">
        <v>229</v>
      </c>
      <c r="B530" s="225"/>
      <c r="C530" s="283"/>
      <c r="D530" s="284"/>
      <c r="E530" s="20"/>
      <c r="F530" s="70" t="s">
        <v>233</v>
      </c>
      <c r="G530" s="66" t="s">
        <v>61</v>
      </c>
      <c r="H530" s="213">
        <f>ROUND(N2315,D2)</f>
        <v>0</v>
      </c>
      <c r="I530" s="214"/>
      <c r="J530" s="26"/>
      <c r="K530" s="27"/>
      <c r="L530" s="70" t="s">
        <v>450</v>
      </c>
      <c r="M530" s="66" t="s">
        <v>61</v>
      </c>
      <c r="N530" s="213">
        <f>IF(H72&gt;0,ROUND([1]OpenAccounts!E82,D2),"")</f>
        <v>0</v>
      </c>
      <c r="O530" s="214"/>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35" t="s">
        <v>449</v>
      </c>
      <c r="G534" s="335"/>
      <c r="H534" s="335"/>
      <c r="I534" s="335"/>
      <c r="J534" s="41"/>
      <c r="K534" s="40"/>
      <c r="L534" s="335" t="s">
        <v>449</v>
      </c>
      <c r="M534" s="335"/>
      <c r="N534" s="335"/>
      <c r="O534" s="335"/>
      <c r="P534" s="41"/>
      <c r="Q534" s="2"/>
    </row>
    <row r="535" spans="1:17" ht="15" customHeight="1" x14ac:dyDescent="0.4">
      <c r="A535" s="265" t="s">
        <v>230</v>
      </c>
      <c r="B535" s="305"/>
      <c r="C535" s="306"/>
      <c r="D535" s="307"/>
      <c r="E535" s="22"/>
      <c r="F535" s="70" t="s">
        <v>232</v>
      </c>
      <c r="G535" s="67" t="s">
        <v>61</v>
      </c>
      <c r="H535" s="213"/>
      <c r="I535" s="214"/>
      <c r="J535" s="154"/>
      <c r="K535" s="142"/>
      <c r="L535" s="70" t="s">
        <v>451</v>
      </c>
      <c r="M535" s="67" t="s">
        <v>61</v>
      </c>
      <c r="N535" s="213"/>
      <c r="O535" s="214"/>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44" t="s">
        <v>239</v>
      </c>
      <c r="B538" s="245"/>
      <c r="C538" s="285"/>
      <c r="D538" s="286"/>
      <c r="E538" s="20"/>
      <c r="F538" s="70" t="s">
        <v>231</v>
      </c>
      <c r="G538" s="116" t="s">
        <v>61</v>
      </c>
      <c r="H538" s="314">
        <f>H530+H535</f>
        <v>0</v>
      </c>
      <c r="I538" s="315"/>
      <c r="J538" s="127"/>
      <c r="K538" s="109"/>
      <c r="L538" s="70" t="s">
        <v>452</v>
      </c>
      <c r="M538" s="116" t="s">
        <v>61</v>
      </c>
      <c r="N538" s="314">
        <f>IF(H72&gt;0,N530+N535,"")</f>
        <v>0</v>
      </c>
      <c r="O538" s="315"/>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427" t="s">
        <v>240</v>
      </c>
      <c r="B542" s="428"/>
      <c r="C542" s="429"/>
      <c r="D542" s="430"/>
      <c r="E542" s="110"/>
      <c r="F542" s="111" t="s">
        <v>241</v>
      </c>
      <c r="G542" s="116" t="s">
        <v>61</v>
      </c>
      <c r="H542" s="314">
        <f>H188</f>
        <v>0</v>
      </c>
      <c r="I542" s="315"/>
      <c r="J542" s="113"/>
      <c r="K542" s="112"/>
      <c r="L542" s="111" t="s">
        <v>458</v>
      </c>
      <c r="M542" s="116" t="s">
        <v>61</v>
      </c>
      <c r="N542" s="314">
        <f>IF(H72&gt;0,N188,"")</f>
        <v>0</v>
      </c>
      <c r="O542" s="315"/>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65" t="s">
        <v>243</v>
      </c>
      <c r="B545" s="305"/>
      <c r="C545" s="306"/>
      <c r="D545" s="307"/>
      <c r="E545" s="22"/>
      <c r="F545" s="70" t="s">
        <v>242</v>
      </c>
      <c r="G545" s="59" t="s">
        <v>61</v>
      </c>
      <c r="H545" s="371">
        <f>ROUND(H542*O549,0)</f>
        <v>0</v>
      </c>
      <c r="I545" s="372"/>
      <c r="J545" s="157"/>
      <c r="K545" s="51"/>
      <c r="L545" s="70" t="s">
        <v>453</v>
      </c>
      <c r="M545" s="59" t="s">
        <v>61</v>
      </c>
      <c r="N545" s="371">
        <f>IF(H72&gt;0,ROUND(N542*O549,0),"")</f>
        <v>0</v>
      </c>
      <c r="O545" s="37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35" t="s">
        <v>971</v>
      </c>
      <c r="G549" s="212"/>
      <c r="H549" s="212"/>
      <c r="I549" s="212"/>
      <c r="J549" s="212"/>
      <c r="K549" s="212"/>
      <c r="L549" s="212"/>
      <c r="M549" s="212"/>
      <c r="N549" s="212"/>
      <c r="O549" s="135">
        <v>0.28000000000000003</v>
      </c>
      <c r="P549" s="40"/>
      <c r="Q549" s="2"/>
    </row>
    <row r="550" spans="1:17" ht="15" customHeight="1" x14ac:dyDescent="0.25">
      <c r="A550" s="432" t="s">
        <v>244</v>
      </c>
      <c r="B550" s="419"/>
      <c r="C550" s="419"/>
      <c r="D550" s="419"/>
      <c r="E550" s="419"/>
      <c r="F550" s="419"/>
      <c r="G550" s="419"/>
      <c r="H550" s="419"/>
      <c r="I550" s="419"/>
      <c r="J550" s="419"/>
      <c r="K550" s="419"/>
      <c r="L550" s="419"/>
      <c r="M550" s="419"/>
      <c r="N550" s="419"/>
      <c r="O550" s="419"/>
      <c r="P550" s="419"/>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316" t="s">
        <v>449</v>
      </c>
      <c r="G553" s="316"/>
      <c r="H553" s="316"/>
      <c r="I553" s="316"/>
      <c r="J553" s="26"/>
      <c r="K553" s="27"/>
      <c r="L553" s="216" t="s">
        <v>449</v>
      </c>
      <c r="M553" s="216"/>
      <c r="N553" s="216"/>
      <c r="O553" s="216"/>
      <c r="P553" s="26"/>
      <c r="Q553" s="2"/>
    </row>
    <row r="554" spans="1:17" ht="15.75" customHeight="1" x14ac:dyDescent="0.35">
      <c r="A554" s="224" t="s">
        <v>972</v>
      </c>
      <c r="B554" s="225"/>
      <c r="C554" s="283"/>
      <c r="D554" s="284"/>
      <c r="E554" s="20"/>
      <c r="F554" s="70" t="s">
        <v>245</v>
      </c>
      <c r="G554" s="66" t="s">
        <v>61</v>
      </c>
      <c r="H554" s="213"/>
      <c r="I554" s="214"/>
      <c r="J554" s="128"/>
      <c r="K554" s="27"/>
      <c r="L554" s="70" t="s">
        <v>454</v>
      </c>
      <c r="M554" s="66" t="s">
        <v>61</v>
      </c>
      <c r="N554" s="213"/>
      <c r="O554" s="214"/>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303" t="s">
        <v>449</v>
      </c>
      <c r="G557" s="303"/>
      <c r="H557" s="303"/>
      <c r="I557" s="303"/>
      <c r="J557" s="41"/>
      <c r="K557" s="40"/>
      <c r="L557" s="335" t="s">
        <v>449</v>
      </c>
      <c r="M557" s="335"/>
      <c r="N557" s="335"/>
      <c r="O557" s="335"/>
      <c r="P557" s="41"/>
      <c r="Q557" s="2"/>
    </row>
    <row r="558" spans="1:17" ht="16.5" customHeight="1" x14ac:dyDescent="0.4">
      <c r="A558" s="265" t="s">
        <v>249</v>
      </c>
      <c r="B558" s="305"/>
      <c r="C558" s="306"/>
      <c r="D558" s="307"/>
      <c r="E558" s="22"/>
      <c r="F558" s="70" t="s">
        <v>246</v>
      </c>
      <c r="G558" s="67" t="s">
        <v>61</v>
      </c>
      <c r="H558" s="213"/>
      <c r="I558" s="214"/>
      <c r="J558" s="154"/>
      <c r="K558" s="142"/>
      <c r="L558" s="70" t="s">
        <v>455</v>
      </c>
      <c r="M558" s="67" t="s">
        <v>61</v>
      </c>
      <c r="N558" s="213"/>
      <c r="O558" s="214"/>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316" t="s">
        <v>994</v>
      </c>
      <c r="G561" s="316"/>
      <c r="H561" s="316"/>
      <c r="I561" s="316"/>
      <c r="J561" s="26"/>
      <c r="K561" s="27"/>
      <c r="L561" s="316" t="s">
        <v>994</v>
      </c>
      <c r="M561" s="316"/>
      <c r="N561" s="316"/>
      <c r="O561" s="316"/>
      <c r="P561" s="26"/>
      <c r="Q561" s="2"/>
    </row>
    <row r="562" spans="1:17" ht="15" customHeight="1" x14ac:dyDescent="0.25">
      <c r="A562" s="224" t="s">
        <v>250</v>
      </c>
      <c r="B562" s="225"/>
      <c r="C562" s="283"/>
      <c r="D562" s="284"/>
      <c r="E562" s="20"/>
      <c r="F562" s="70" t="s">
        <v>247</v>
      </c>
      <c r="G562" s="66" t="s">
        <v>61</v>
      </c>
      <c r="H562" s="213">
        <f>H538-H545</f>
        <v>0</v>
      </c>
      <c r="I562" s="214"/>
      <c r="J562" s="26"/>
      <c r="K562" s="27"/>
      <c r="L562" s="70" t="s">
        <v>456</v>
      </c>
      <c r="M562" s="66" t="s">
        <v>61</v>
      </c>
      <c r="N562" s="213">
        <f>IF(H72&gt;0,N538-N545,"")</f>
        <v>0</v>
      </c>
      <c r="O562" s="214"/>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357" t="s">
        <v>251</v>
      </c>
      <c r="B566" s="358"/>
      <c r="C566" s="354"/>
      <c r="D566" s="359"/>
      <c r="E566" s="22"/>
      <c r="F566" s="70" t="s">
        <v>248</v>
      </c>
      <c r="G566" s="107" t="s">
        <v>61</v>
      </c>
      <c r="H566" s="240">
        <f>H545+H554-H558+H562</f>
        <v>0</v>
      </c>
      <c r="I566" s="241"/>
      <c r="J566" s="157"/>
      <c r="K566" s="142"/>
      <c r="L566" s="70" t="s">
        <v>457</v>
      </c>
      <c r="M566" s="107" t="s">
        <v>61</v>
      </c>
      <c r="N566" s="240">
        <f>IF(H72&gt;0,N545+N554-N558+N562,"")</f>
        <v>0</v>
      </c>
      <c r="O566" s="241"/>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12" t="s">
        <v>253</v>
      </c>
      <c r="B569" s="212"/>
      <c r="C569" s="212"/>
      <c r="D569" s="212"/>
      <c r="E569" s="212"/>
      <c r="F569" s="212"/>
      <c r="G569" s="212"/>
      <c r="H569" s="212"/>
      <c r="I569" s="212"/>
      <c r="J569" s="212"/>
      <c r="K569" s="212"/>
      <c r="L569" s="212"/>
      <c r="M569" s="212"/>
      <c r="N569" s="212"/>
      <c r="O569" s="212"/>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363" t="s">
        <v>993</v>
      </c>
      <c r="B571" s="364"/>
      <c r="C571" s="365"/>
      <c r="D571" s="365"/>
      <c r="E571" s="365"/>
      <c r="F571" s="365"/>
      <c r="G571" s="365"/>
      <c r="H571" s="365"/>
      <c r="I571" s="365"/>
      <c r="J571" s="365"/>
      <c r="K571" s="365"/>
      <c r="L571" s="365"/>
      <c r="M571" s="365"/>
      <c r="N571" s="365"/>
      <c r="O571" s="365"/>
      <c r="P571" s="366"/>
      <c r="Q571" s="2"/>
    </row>
    <row r="572" spans="1:17" x14ac:dyDescent="0.25">
      <c r="Q572" s="2"/>
    </row>
    <row r="574" spans="1:17" ht="15.75" x14ac:dyDescent="0.25">
      <c r="A574" s="231" t="s">
        <v>145</v>
      </c>
      <c r="B574" s="232"/>
      <c r="C574" s="232"/>
      <c r="D574" s="232"/>
      <c r="F574" s="233"/>
      <c r="G574" s="233"/>
      <c r="H574" s="233"/>
      <c r="I574" s="233"/>
      <c r="J574" s="233"/>
      <c r="K574" s="233"/>
      <c r="L574" s="233"/>
      <c r="M574" s="233"/>
      <c r="N574" s="233"/>
      <c r="O574" s="233"/>
      <c r="P574" s="233"/>
      <c r="Q574" s="233"/>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34" t="s">
        <v>154</v>
      </c>
      <c r="B576" s="235"/>
      <c r="C576" s="235"/>
      <c r="D576" s="235"/>
      <c r="E576" s="236"/>
      <c r="F576" s="236"/>
      <c r="G576" s="236"/>
      <c r="H576" s="236"/>
      <c r="I576" s="236"/>
      <c r="J576" s="236"/>
      <c r="K576" s="236"/>
      <c r="L576" s="236"/>
      <c r="M576" s="236"/>
      <c r="N576" s="236"/>
      <c r="O576" s="236"/>
      <c r="P576" s="236"/>
      <c r="Q576" s="237"/>
    </row>
    <row r="577" spans="1:17" x14ac:dyDescent="0.25">
      <c r="A577" s="211" t="s">
        <v>254</v>
      </c>
      <c r="B577" s="212"/>
      <c r="C577" s="212"/>
      <c r="D577" s="212"/>
      <c r="E577" s="212"/>
      <c r="F577" s="212"/>
      <c r="G577" s="212"/>
      <c r="H577" s="212"/>
      <c r="I577" s="212"/>
      <c r="J577" s="212"/>
      <c r="K577" s="212"/>
      <c r="L577" s="212"/>
      <c r="M577" s="212"/>
      <c r="N577" s="212"/>
      <c r="O577" s="212"/>
      <c r="P577" s="212"/>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1" t="s">
        <v>970</v>
      </c>
      <c r="B579" s="212"/>
      <c r="C579" s="212"/>
      <c r="D579" s="212"/>
      <c r="E579" s="212"/>
      <c r="F579" s="212"/>
      <c r="G579" s="212"/>
      <c r="H579" s="212"/>
      <c r="I579" s="212"/>
      <c r="J579" s="212"/>
      <c r="K579" s="212"/>
      <c r="L579" s="212"/>
      <c r="M579" s="212"/>
      <c r="N579" s="212"/>
      <c r="O579" s="212"/>
      <c r="P579" s="212"/>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38" t="s">
        <v>208</v>
      </c>
      <c r="B581" s="239"/>
      <c r="C581" s="72"/>
      <c r="D581" s="72"/>
      <c r="E581" s="72"/>
      <c r="F581" s="238" t="str">
        <f>F156</f>
        <v>12 months to 30 Nov 2023.</v>
      </c>
      <c r="G581" s="238"/>
      <c r="H581" s="238"/>
      <c r="I581" s="238"/>
      <c r="J581" s="140"/>
      <c r="K581" s="140"/>
      <c r="L581" s="238" t="str">
        <f>IF(H72&gt;0,TEXT(H72,"yyyy"),"")</f>
        <v/>
      </c>
      <c r="M581" s="239"/>
      <c r="N581" s="239"/>
      <c r="O581" s="239"/>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24" t="s">
        <v>255</v>
      </c>
      <c r="B584" s="225"/>
      <c r="C584" s="283"/>
      <c r="D584" s="284"/>
      <c r="E584" s="20"/>
      <c r="F584" s="70" t="s">
        <v>961</v>
      </c>
      <c r="G584" s="66" t="s">
        <v>61</v>
      </c>
      <c r="H584" s="213">
        <f>ROUND([1]TrialBalance!$EJ$48,D2)</f>
        <v>0</v>
      </c>
      <c r="I584" s="214"/>
      <c r="J584" s="26"/>
      <c r="K584" s="27"/>
      <c r="L584" s="70" t="s">
        <v>461</v>
      </c>
      <c r="M584" s="66" t="s">
        <v>61</v>
      </c>
      <c r="N584" s="213">
        <f>IF(H72&gt;0,ROUND([1]OpenAccounts!E84,D2),"")</f>
        <v>0</v>
      </c>
      <c r="O584" s="214"/>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303" t="s">
        <v>448</v>
      </c>
      <c r="G587" s="303"/>
      <c r="H587" s="303"/>
      <c r="I587" s="303"/>
      <c r="J587" s="41"/>
      <c r="K587" s="40"/>
      <c r="L587" s="303" t="s">
        <v>448</v>
      </c>
      <c r="M587" s="303"/>
      <c r="N587" s="303"/>
      <c r="O587" s="303"/>
      <c r="P587" s="41"/>
      <c r="Q587" s="2"/>
    </row>
    <row r="588" spans="1:17" ht="16.5" customHeight="1" x14ac:dyDescent="0.4">
      <c r="A588" s="265" t="s">
        <v>256</v>
      </c>
      <c r="B588" s="305"/>
      <c r="C588" s="306"/>
      <c r="D588" s="307"/>
      <c r="E588" s="22"/>
      <c r="F588" s="70" t="s">
        <v>962</v>
      </c>
      <c r="G588" s="67" t="s">
        <v>61</v>
      </c>
      <c r="H588" s="213"/>
      <c r="I588" s="214"/>
      <c r="J588" s="154"/>
      <c r="K588" s="142"/>
      <c r="L588" s="70" t="s">
        <v>462</v>
      </c>
      <c r="M588" s="67" t="s">
        <v>61</v>
      </c>
      <c r="N588" s="213"/>
      <c r="O588" s="214"/>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44" t="s">
        <v>257</v>
      </c>
      <c r="B591" s="245"/>
      <c r="C591" s="285"/>
      <c r="D591" s="286"/>
      <c r="E591" s="20"/>
      <c r="F591" s="70" t="s">
        <v>963</v>
      </c>
      <c r="G591" s="27" t="s">
        <v>61</v>
      </c>
      <c r="H591" s="242">
        <f>H584+H588</f>
        <v>0</v>
      </c>
      <c r="I591" s="325"/>
      <c r="J591" s="26"/>
      <c r="K591" s="27"/>
      <c r="L591" s="70" t="s">
        <v>463</v>
      </c>
      <c r="M591" s="27" t="s">
        <v>61</v>
      </c>
      <c r="N591" s="242">
        <f>IF(H72&gt;0,N584+N588,"")</f>
        <v>0</v>
      </c>
      <c r="O591" s="325"/>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345" t="s">
        <v>209</v>
      </c>
      <c r="B594" s="345"/>
      <c r="C594" s="345"/>
      <c r="D594" s="345"/>
      <c r="E594" s="345"/>
      <c r="F594" s="345"/>
      <c r="G594" s="345"/>
      <c r="H594" s="345"/>
      <c r="I594" s="345"/>
      <c r="J594" s="345"/>
      <c r="K594" s="345"/>
      <c r="L594" s="345"/>
      <c r="M594" s="345"/>
      <c r="N594" s="345"/>
      <c r="O594" s="345"/>
      <c r="Q594" s="2"/>
    </row>
    <row r="595" spans="1:17" x14ac:dyDescent="0.25">
      <c r="Q595" s="2"/>
    </row>
    <row r="596" spans="1:17" ht="99.95" customHeight="1" x14ac:dyDescent="0.25">
      <c r="A596" s="213"/>
      <c r="B596" s="346"/>
      <c r="C596" s="347"/>
      <c r="D596" s="347"/>
      <c r="E596" s="347"/>
      <c r="F596" s="347"/>
      <c r="G596" s="347"/>
      <c r="H596" s="347"/>
      <c r="I596" s="347"/>
      <c r="J596" s="347"/>
      <c r="K596" s="347"/>
      <c r="L596" s="347"/>
      <c r="M596" s="347"/>
      <c r="N596" s="347"/>
      <c r="O596" s="347"/>
      <c r="P596" s="348"/>
      <c r="Q596" s="2"/>
    </row>
    <row r="597" spans="1:17" x14ac:dyDescent="0.25">
      <c r="Q597" s="2"/>
    </row>
    <row r="599" spans="1:17" ht="15.75" x14ac:dyDescent="0.25">
      <c r="A599" s="231" t="s">
        <v>145</v>
      </c>
      <c r="B599" s="232"/>
      <c r="C599" s="232"/>
      <c r="D599" s="232"/>
      <c r="F599" s="233"/>
      <c r="G599" s="233"/>
      <c r="H599" s="233"/>
      <c r="I599" s="233"/>
      <c r="J599" s="233"/>
      <c r="K599" s="233"/>
      <c r="L599" s="233"/>
      <c r="M599" s="233"/>
      <c r="N599" s="233"/>
      <c r="O599" s="233"/>
      <c r="P599" s="233"/>
      <c r="Q599" s="233"/>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34" t="s">
        <v>258</v>
      </c>
      <c r="B601" s="235"/>
      <c r="C601" s="235"/>
      <c r="D601" s="235"/>
      <c r="E601" s="236"/>
      <c r="F601" s="236"/>
      <c r="G601" s="236"/>
      <c r="H601" s="236"/>
      <c r="I601" s="236"/>
      <c r="J601" s="236"/>
      <c r="K601" s="236"/>
      <c r="L601" s="236"/>
      <c r="M601" s="236"/>
      <c r="N601" s="236"/>
      <c r="O601" s="236"/>
      <c r="P601" s="236"/>
      <c r="Q601" s="237"/>
    </row>
    <row r="602" spans="1:17" x14ac:dyDescent="0.25">
      <c r="A602" s="211" t="s">
        <v>283</v>
      </c>
      <c r="B602" s="212"/>
      <c r="C602" s="212"/>
      <c r="D602" s="212"/>
      <c r="E602" s="212"/>
      <c r="F602" s="212"/>
      <c r="G602" s="212"/>
      <c r="H602" s="212"/>
      <c r="I602" s="212"/>
      <c r="J602" s="212"/>
      <c r="K602" s="212"/>
      <c r="L602" s="212"/>
      <c r="M602" s="212"/>
      <c r="N602" s="212"/>
      <c r="O602" s="212"/>
      <c r="P602" s="212"/>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1" t="s">
        <v>970</v>
      </c>
      <c r="B604" s="212"/>
      <c r="C604" s="212"/>
      <c r="D604" s="212"/>
      <c r="E604" s="212"/>
      <c r="F604" s="212"/>
      <c r="G604" s="212"/>
      <c r="H604" s="212"/>
      <c r="I604" s="212"/>
      <c r="J604" s="212"/>
      <c r="K604" s="212"/>
      <c r="L604" s="212"/>
      <c r="M604" s="212"/>
      <c r="N604" s="212"/>
      <c r="O604" s="212"/>
      <c r="P604" s="212"/>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38" t="s">
        <v>259</v>
      </c>
      <c r="B606" s="239"/>
      <c r="C606" s="72"/>
      <c r="D606" s="72"/>
      <c r="E606" s="72"/>
      <c r="F606" s="238"/>
      <c r="G606" s="238"/>
      <c r="H606" s="238"/>
      <c r="I606" s="238"/>
      <c r="J606" s="238"/>
      <c r="K606" s="238"/>
      <c r="L606" s="238"/>
      <c r="M606" s="238"/>
      <c r="N606" s="238"/>
      <c r="O606" s="238"/>
      <c r="P606" s="238"/>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24" t="str">
        <f>"At "&amp;TEXT(J2,"dd Mmm yyyy")&amp;":"</f>
        <v>At 01 Dec 2022:</v>
      </c>
      <c r="B609" s="225"/>
      <c r="C609" s="283"/>
      <c r="D609" s="284"/>
      <c r="E609" s="20"/>
      <c r="F609" s="70" t="s">
        <v>260</v>
      </c>
      <c r="G609" s="66" t="s">
        <v>61</v>
      </c>
      <c r="H609" s="213">
        <f>ROUND([1]PubNotes!$D$8,D2)</f>
        <v>0</v>
      </c>
      <c r="I609" s="214"/>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65" t="s">
        <v>263</v>
      </c>
      <c r="B612" s="305"/>
      <c r="C612" s="306"/>
      <c r="D612" s="307"/>
      <c r="E612" s="22"/>
      <c r="F612" s="70" t="s">
        <v>261</v>
      </c>
      <c r="G612" s="67" t="s">
        <v>61</v>
      </c>
      <c r="H612" s="213">
        <f>ROUND([1]PubNotes!$D$9,D2)</f>
        <v>0</v>
      </c>
      <c r="I612" s="214"/>
      <c r="J612" s="343"/>
      <c r="K612" s="344"/>
      <c r="L612" s="344"/>
      <c r="M612" s="344"/>
      <c r="N612" s="344"/>
      <c r="O612" s="344"/>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24" t="s">
        <v>262</v>
      </c>
      <c r="B615" s="225"/>
      <c r="C615" s="283"/>
      <c r="D615" s="284"/>
      <c r="E615" s="20"/>
      <c r="F615" s="70" t="s">
        <v>266</v>
      </c>
      <c r="G615" s="66" t="s">
        <v>61</v>
      </c>
      <c r="H615" s="213">
        <f>ROUND([1]PubNotes!$D$10,D2)</f>
        <v>0</v>
      </c>
      <c r="I615" s="214"/>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303" t="s">
        <v>448</v>
      </c>
      <c r="G618" s="303"/>
      <c r="H618" s="303"/>
      <c r="I618" s="303"/>
      <c r="J618" s="40"/>
      <c r="K618" s="40"/>
      <c r="L618" s="40"/>
      <c r="M618" s="40"/>
      <c r="N618" s="40"/>
      <c r="O618" s="40"/>
      <c r="P618" s="41"/>
      <c r="Q618" s="2"/>
    </row>
    <row r="619" spans="1:17" ht="18.75" x14ac:dyDescent="0.4">
      <c r="A619" s="265" t="s">
        <v>264</v>
      </c>
      <c r="B619" s="305"/>
      <c r="C619" s="306"/>
      <c r="D619" s="307"/>
      <c r="E619" s="22"/>
      <c r="F619" s="70" t="s">
        <v>267</v>
      </c>
      <c r="G619" s="67" t="s">
        <v>61</v>
      </c>
      <c r="H619" s="213"/>
      <c r="I619" s="214"/>
      <c r="J619" s="343"/>
      <c r="K619" s="344"/>
      <c r="L619" s="344"/>
      <c r="M619" s="344"/>
      <c r="N619" s="344"/>
      <c r="O619" s="344"/>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04" t="s">
        <v>448</v>
      </c>
      <c r="G622" s="304"/>
      <c r="H622" s="304"/>
      <c r="I622" s="304"/>
      <c r="J622" s="27"/>
      <c r="K622" s="27"/>
      <c r="L622" s="27"/>
      <c r="M622" s="27"/>
      <c r="N622" s="27"/>
      <c r="O622" s="27"/>
      <c r="P622" s="26"/>
      <c r="Q622" s="2"/>
    </row>
    <row r="623" spans="1:17" ht="18.75" x14ac:dyDescent="0.4">
      <c r="A623" s="224" t="s">
        <v>265</v>
      </c>
      <c r="B623" s="225"/>
      <c r="C623" s="283"/>
      <c r="D623" s="284"/>
      <c r="E623" s="20"/>
      <c r="F623" s="70" t="s">
        <v>268</v>
      </c>
      <c r="G623" s="66" t="s">
        <v>61</v>
      </c>
      <c r="H623" s="213"/>
      <c r="I623" s="214"/>
      <c r="J623" s="431"/>
      <c r="K623" s="290"/>
      <c r="L623" s="290"/>
      <c r="M623" s="290"/>
      <c r="N623" s="290"/>
      <c r="O623" s="290"/>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65" t="str">
        <f>"At "&amp;TEXT(N2,"dd Mmm yyyy")&amp;":"</f>
        <v>At 30 Nov 2023:</v>
      </c>
      <c r="B626" s="305"/>
      <c r="C626" s="306"/>
      <c r="D626" s="307"/>
      <c r="E626" s="22"/>
      <c r="F626" s="70" t="s">
        <v>269</v>
      </c>
      <c r="G626" s="107" t="s">
        <v>61</v>
      </c>
      <c r="H626" s="240">
        <f>H609+H612-H615+H619+H623</f>
        <v>0</v>
      </c>
      <c r="I626" s="241"/>
      <c r="J626" s="335"/>
      <c r="K626" s="344"/>
      <c r="L626" s="344"/>
      <c r="M626" s="344"/>
      <c r="N626" s="344"/>
      <c r="O626" s="344"/>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38" t="s">
        <v>270</v>
      </c>
      <c r="B629" s="239"/>
      <c r="C629" s="72"/>
      <c r="D629" s="72"/>
      <c r="E629" s="72"/>
      <c r="F629" s="238"/>
      <c r="G629" s="238"/>
      <c r="H629" s="238"/>
      <c r="I629" s="238"/>
      <c r="J629" s="238"/>
      <c r="K629" s="238"/>
      <c r="L629" s="238"/>
      <c r="M629" s="238"/>
      <c r="N629" s="238"/>
      <c r="O629" s="238"/>
      <c r="P629" s="238"/>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24" t="str">
        <f>"At "&amp;TEXT(J2,"dd Mmm yyyy")&amp;":"</f>
        <v>At 01 Dec 2022:</v>
      </c>
      <c r="B632" s="225"/>
      <c r="C632" s="283"/>
      <c r="D632" s="284"/>
      <c r="E632" s="20"/>
      <c r="F632" s="70" t="s">
        <v>271</v>
      </c>
      <c r="G632" s="66" t="s">
        <v>61</v>
      </c>
      <c r="H632" s="213">
        <f>ROUND([1]PubNotes!$D$14,D2)</f>
        <v>0</v>
      </c>
      <c r="I632" s="214"/>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65" t="s">
        <v>276</v>
      </c>
      <c r="B635" s="305"/>
      <c r="C635" s="306"/>
      <c r="D635" s="307"/>
      <c r="E635" s="22"/>
      <c r="F635" s="70" t="s">
        <v>272</v>
      </c>
      <c r="G635" s="67" t="s">
        <v>61</v>
      </c>
      <c r="H635" s="213">
        <f>ROUND([1]PubNotes!$D$15,D2)</f>
        <v>0</v>
      </c>
      <c r="I635" s="214"/>
      <c r="J635" s="343"/>
      <c r="K635" s="344"/>
      <c r="L635" s="344"/>
      <c r="M635" s="344"/>
      <c r="N635" s="344"/>
      <c r="O635" s="344"/>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24" t="s">
        <v>277</v>
      </c>
      <c r="B638" s="225"/>
      <c r="C638" s="283"/>
      <c r="D638" s="284"/>
      <c r="E638" s="20"/>
      <c r="F638" s="70" t="s">
        <v>273</v>
      </c>
      <c r="G638" s="66" t="s">
        <v>61</v>
      </c>
      <c r="H638" s="213">
        <f>ROUND([1]PubNotes!$D$16,D2)</f>
        <v>0</v>
      </c>
      <c r="I638" s="214"/>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303" t="s">
        <v>448</v>
      </c>
      <c r="G641" s="303"/>
      <c r="H641" s="303"/>
      <c r="I641" s="303"/>
      <c r="J641" s="40"/>
      <c r="K641" s="40"/>
      <c r="L641" s="40"/>
      <c r="M641" s="40"/>
      <c r="N641" s="40"/>
      <c r="O641" s="40"/>
      <c r="P641" s="41"/>
      <c r="Q641" s="2"/>
    </row>
    <row r="642" spans="1:17" ht="18.75" x14ac:dyDescent="0.4">
      <c r="A642" s="265" t="s">
        <v>278</v>
      </c>
      <c r="B642" s="305"/>
      <c r="C642" s="306"/>
      <c r="D642" s="307"/>
      <c r="E642" s="22"/>
      <c r="F642" s="70" t="s">
        <v>274</v>
      </c>
      <c r="G642" s="67" t="s">
        <v>61</v>
      </c>
      <c r="H642" s="213"/>
      <c r="I642" s="214"/>
      <c r="J642" s="343"/>
      <c r="K642" s="344"/>
      <c r="L642" s="344"/>
      <c r="M642" s="344"/>
      <c r="N642" s="344"/>
      <c r="O642" s="344"/>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24" t="str">
        <f>"At "&amp;TEXT(N2,"dd Mmm yyyy")&amp;":"</f>
        <v>At 30 Nov 2023:</v>
      </c>
      <c r="B645" s="225"/>
      <c r="C645" s="283"/>
      <c r="D645" s="284"/>
      <c r="E645" s="20"/>
      <c r="F645" s="70" t="s">
        <v>275</v>
      </c>
      <c r="G645" s="115" t="s">
        <v>61</v>
      </c>
      <c r="H645" s="242">
        <f>H632+H635-H638+H642</f>
        <v>0</v>
      </c>
      <c r="I645" s="325"/>
      <c r="J645" s="289"/>
      <c r="K645" s="290"/>
      <c r="L645" s="290"/>
      <c r="M645" s="290"/>
      <c r="N645" s="290"/>
      <c r="O645" s="290"/>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24" t="str">
        <f>"At "&amp;TEXT(N2,"dd Mmm yyyy")&amp;":"</f>
        <v>At 30 Nov 2023:</v>
      </c>
      <c r="B651" s="225"/>
      <c r="C651" s="283"/>
      <c r="D651" s="284"/>
      <c r="E651" s="20"/>
      <c r="F651" s="70" t="s">
        <v>280</v>
      </c>
      <c r="G651" s="115" t="s">
        <v>61</v>
      </c>
      <c r="H651" s="242">
        <f>H626-H645</f>
        <v>0</v>
      </c>
      <c r="I651" s="325"/>
      <c r="J651" s="289"/>
      <c r="K651" s="290"/>
      <c r="L651" s="290"/>
      <c r="M651" s="290"/>
      <c r="N651" s="290"/>
      <c r="O651" s="290"/>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65" t="str">
        <f>IF(H72&gt;0,"At "&amp;TEXT(H72,"dd Mmm yyyy")&amp;":","")</f>
        <v>At :</v>
      </c>
      <c r="B654" s="305"/>
      <c r="C654" s="306"/>
      <c r="D654" s="307"/>
      <c r="E654" s="22"/>
      <c r="F654" s="70" t="s">
        <v>464</v>
      </c>
      <c r="G654" s="107" t="s">
        <v>61</v>
      </c>
      <c r="H654" s="240">
        <f>IF(H72&gt;0,ROUND([1]OpenAccounts!$I$13,D2)-ROUND([1]OpenAccounts!$O$13,D2),"")</f>
        <v>0</v>
      </c>
      <c r="I654" s="241"/>
      <c r="J654" s="335"/>
      <c r="K654" s="344"/>
      <c r="L654" s="344"/>
      <c r="M654" s="344"/>
      <c r="N654" s="344"/>
      <c r="O654" s="344"/>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31" t="s">
        <v>145</v>
      </c>
      <c r="B658" s="232"/>
      <c r="C658" s="232"/>
      <c r="D658" s="232"/>
      <c r="F658" s="233"/>
      <c r="G658" s="233"/>
      <c r="H658" s="233"/>
      <c r="I658" s="233"/>
      <c r="J658" s="233"/>
      <c r="K658" s="233"/>
      <c r="L658" s="233"/>
      <c r="M658" s="233"/>
      <c r="N658" s="233"/>
      <c r="O658" s="233"/>
      <c r="P658" s="233"/>
      <c r="Q658" s="233"/>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34" t="s">
        <v>281</v>
      </c>
      <c r="B660" s="235"/>
      <c r="C660" s="235"/>
      <c r="D660" s="235"/>
      <c r="E660" s="236"/>
      <c r="F660" s="236"/>
      <c r="G660" s="236"/>
      <c r="H660" s="236"/>
      <c r="I660" s="236"/>
      <c r="J660" s="236"/>
      <c r="K660" s="236"/>
      <c r="L660" s="236"/>
      <c r="M660" s="236"/>
      <c r="N660" s="236"/>
      <c r="O660" s="236"/>
      <c r="P660" s="236"/>
      <c r="Q660" s="237"/>
    </row>
    <row r="661" spans="1:17" x14ac:dyDescent="0.25">
      <c r="A661" s="211" t="s">
        <v>282</v>
      </c>
      <c r="B661" s="212"/>
      <c r="C661" s="212"/>
      <c r="D661" s="212"/>
      <c r="E661" s="212"/>
      <c r="F661" s="212"/>
      <c r="G661" s="212"/>
      <c r="H661" s="212"/>
      <c r="I661" s="212"/>
      <c r="J661" s="212"/>
      <c r="K661" s="212"/>
      <c r="L661" s="212"/>
      <c r="M661" s="212"/>
      <c r="N661" s="212"/>
      <c r="O661" s="212"/>
      <c r="P661" s="212"/>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1" t="s">
        <v>970</v>
      </c>
      <c r="B663" s="212"/>
      <c r="C663" s="212"/>
      <c r="D663" s="212"/>
      <c r="E663" s="212"/>
      <c r="F663" s="212"/>
      <c r="G663" s="212"/>
      <c r="H663" s="212"/>
      <c r="I663" s="212"/>
      <c r="J663" s="212"/>
      <c r="K663" s="212"/>
      <c r="L663" s="212"/>
      <c r="M663" s="212"/>
      <c r="N663" s="212"/>
      <c r="O663" s="212"/>
      <c r="P663" s="212"/>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38" t="s">
        <v>259</v>
      </c>
      <c r="B665" s="239"/>
      <c r="C665" s="72"/>
      <c r="D665" s="72"/>
      <c r="E665" s="72"/>
      <c r="F665" s="238"/>
      <c r="G665" s="238"/>
      <c r="H665" s="238"/>
      <c r="I665" s="238"/>
      <c r="J665" s="238"/>
      <c r="K665" s="238"/>
      <c r="L665" s="238"/>
      <c r="M665" s="238"/>
      <c r="N665" s="238"/>
      <c r="O665" s="238"/>
      <c r="P665" s="238"/>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24" t="str">
        <f>"At "&amp;TEXT(J2,"dd Mmm yyyy")&amp;":"</f>
        <v>At 01 Dec 2022:</v>
      </c>
      <c r="B668" s="225"/>
      <c r="C668" s="283"/>
      <c r="D668" s="284"/>
      <c r="E668" s="20"/>
      <c r="F668" s="70" t="s">
        <v>284</v>
      </c>
      <c r="G668" s="66" t="s">
        <v>61</v>
      </c>
      <c r="H668" s="213">
        <f>ROUND([1]PubNotes!$B$8,D2)</f>
        <v>0</v>
      </c>
      <c r="I668" s="214"/>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65" t="s">
        <v>263</v>
      </c>
      <c r="B671" s="305"/>
      <c r="C671" s="306"/>
      <c r="D671" s="307"/>
      <c r="E671" s="22"/>
      <c r="F671" s="70" t="s">
        <v>285</v>
      </c>
      <c r="G671" s="67" t="s">
        <v>61</v>
      </c>
      <c r="H671" s="213">
        <f>ROUND([1]PubNotes!$B$9,D2)</f>
        <v>0</v>
      </c>
      <c r="I671" s="214"/>
      <c r="J671" s="343"/>
      <c r="K671" s="344"/>
      <c r="L671" s="344"/>
      <c r="M671" s="344"/>
      <c r="N671" s="344"/>
      <c r="O671" s="344"/>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24" t="s">
        <v>262</v>
      </c>
      <c r="B674" s="225"/>
      <c r="C674" s="283"/>
      <c r="D674" s="284"/>
      <c r="E674" s="20"/>
      <c r="F674" s="70" t="s">
        <v>286</v>
      </c>
      <c r="G674" s="66" t="s">
        <v>61</v>
      </c>
      <c r="H674" s="213">
        <f>ROUND([1]PubNotes!$B$10,D2)</f>
        <v>0</v>
      </c>
      <c r="I674" s="214"/>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303" t="s">
        <v>448</v>
      </c>
      <c r="G677" s="303"/>
      <c r="H677" s="303"/>
      <c r="I677" s="303"/>
      <c r="J677" s="40"/>
      <c r="K677" s="40"/>
      <c r="L677" s="40"/>
      <c r="M677" s="40"/>
      <c r="N677" s="40"/>
      <c r="O677" s="40"/>
      <c r="P677" s="41"/>
      <c r="Q677" s="2"/>
    </row>
    <row r="678" spans="1:17" ht="18.75" x14ac:dyDescent="0.4">
      <c r="A678" s="265" t="s">
        <v>264</v>
      </c>
      <c r="B678" s="305"/>
      <c r="C678" s="306"/>
      <c r="D678" s="307"/>
      <c r="E678" s="22"/>
      <c r="F678" s="70" t="s">
        <v>287</v>
      </c>
      <c r="G678" s="67" t="s">
        <v>61</v>
      </c>
      <c r="H678" s="213"/>
      <c r="I678" s="214"/>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04" t="s">
        <v>448</v>
      </c>
      <c r="G681" s="304"/>
      <c r="H681" s="304"/>
      <c r="I681" s="304"/>
      <c r="J681" s="27"/>
      <c r="K681" s="27"/>
      <c r="L681" s="27"/>
      <c r="M681" s="27"/>
      <c r="N681" s="27"/>
      <c r="O681" s="27"/>
      <c r="P681" s="26"/>
      <c r="Q681" s="2"/>
    </row>
    <row r="682" spans="1:17" ht="18.75" x14ac:dyDescent="0.4">
      <c r="A682" s="224" t="s">
        <v>265</v>
      </c>
      <c r="B682" s="225"/>
      <c r="C682" s="283"/>
      <c r="D682" s="284"/>
      <c r="E682" s="20"/>
      <c r="F682" s="70" t="s">
        <v>288</v>
      </c>
      <c r="G682" s="66" t="s">
        <v>61</v>
      </c>
      <c r="H682" s="213"/>
      <c r="I682" s="214"/>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65" t="str">
        <f>"At "&amp;TEXT(N2,"dd Mmm yyyy")&amp;":"</f>
        <v>At 30 Nov 2023:</v>
      </c>
      <c r="B685" s="305"/>
      <c r="C685" s="306"/>
      <c r="D685" s="307"/>
      <c r="E685" s="22"/>
      <c r="F685" s="70" t="s">
        <v>289</v>
      </c>
      <c r="G685" s="107" t="s">
        <v>61</v>
      </c>
      <c r="H685" s="240">
        <f>H668+H671-H674+H678+H682</f>
        <v>0</v>
      </c>
      <c r="I685" s="241"/>
      <c r="J685" s="335"/>
      <c r="K685" s="344"/>
      <c r="L685" s="344"/>
      <c r="M685" s="344"/>
      <c r="N685" s="344"/>
      <c r="O685" s="344"/>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38" t="s">
        <v>270</v>
      </c>
      <c r="B688" s="239"/>
      <c r="C688" s="72"/>
      <c r="D688" s="72"/>
      <c r="E688" s="72"/>
      <c r="F688" s="238"/>
      <c r="G688" s="238"/>
      <c r="H688" s="238"/>
      <c r="I688" s="238"/>
      <c r="J688" s="238"/>
      <c r="K688" s="238"/>
      <c r="L688" s="238"/>
      <c r="M688" s="238"/>
      <c r="N688" s="238"/>
      <c r="O688" s="238"/>
      <c r="P688" s="238"/>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24" t="str">
        <f>"At "&amp;TEXT(J2,"dd Mmm yyyy")&amp;":"</f>
        <v>At 01 Dec 2022:</v>
      </c>
      <c r="B691" s="225"/>
      <c r="C691" s="283"/>
      <c r="D691" s="284"/>
      <c r="E691" s="20"/>
      <c r="F691" s="70" t="s">
        <v>290</v>
      </c>
      <c r="G691" s="66" t="s">
        <v>61</v>
      </c>
      <c r="H691" s="213">
        <f>ROUND([1]PubNotes!$B$14,D2)</f>
        <v>0</v>
      </c>
      <c r="I691" s="214"/>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65" t="s">
        <v>276</v>
      </c>
      <c r="B694" s="305"/>
      <c r="C694" s="306"/>
      <c r="D694" s="307"/>
      <c r="E694" s="22"/>
      <c r="F694" s="70" t="s">
        <v>291</v>
      </c>
      <c r="G694" s="67" t="s">
        <v>61</v>
      </c>
      <c r="H694" s="213">
        <f>ROUND([1]PubNotes!$B$15,D2)</f>
        <v>0</v>
      </c>
      <c r="I694" s="214"/>
      <c r="J694" s="343"/>
      <c r="K694" s="344"/>
      <c r="L694" s="344"/>
      <c r="M694" s="344"/>
      <c r="N694" s="344"/>
      <c r="O694" s="344"/>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24" t="s">
        <v>277</v>
      </c>
      <c r="B697" s="225"/>
      <c r="C697" s="283"/>
      <c r="D697" s="284"/>
      <c r="E697" s="20"/>
      <c r="F697" s="70" t="s">
        <v>292</v>
      </c>
      <c r="G697" s="66" t="s">
        <v>61</v>
      </c>
      <c r="H697" s="213">
        <f>ROUND([1]PubNotes!$B$16,D2)</f>
        <v>0</v>
      </c>
      <c r="I697" s="214"/>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303" t="s">
        <v>448</v>
      </c>
      <c r="G700" s="303"/>
      <c r="H700" s="303"/>
      <c r="I700" s="303"/>
      <c r="J700" s="40"/>
      <c r="K700" s="40"/>
      <c r="L700" s="40"/>
      <c r="M700" s="40"/>
      <c r="N700" s="40"/>
      <c r="O700" s="40"/>
      <c r="P700" s="41"/>
      <c r="Q700" s="2"/>
    </row>
    <row r="701" spans="1:17" ht="18.75" x14ac:dyDescent="0.4">
      <c r="A701" s="265" t="s">
        <v>278</v>
      </c>
      <c r="B701" s="305"/>
      <c r="C701" s="306"/>
      <c r="D701" s="307"/>
      <c r="E701" s="22"/>
      <c r="F701" s="70" t="s">
        <v>293</v>
      </c>
      <c r="G701" s="67" t="s">
        <v>61</v>
      </c>
      <c r="H701" s="213"/>
      <c r="I701" s="214"/>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24" t="str">
        <f>"At "&amp;TEXT(N2,"dd Mmm yyyy")&amp;":"</f>
        <v>At 30 Nov 2023:</v>
      </c>
      <c r="B704" s="225"/>
      <c r="C704" s="283"/>
      <c r="D704" s="284"/>
      <c r="E704" s="20"/>
      <c r="F704" s="70" t="s">
        <v>294</v>
      </c>
      <c r="G704" s="115" t="s">
        <v>61</v>
      </c>
      <c r="H704" s="242">
        <f>H691+H694-H697+H701</f>
        <v>0</v>
      </c>
      <c r="I704" s="325"/>
      <c r="J704" s="289"/>
      <c r="K704" s="290"/>
      <c r="L704" s="290"/>
      <c r="M704" s="290"/>
      <c r="N704" s="290"/>
      <c r="O704" s="290"/>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24" t="str">
        <f>"At "&amp;TEXT(N2,"dd Mmm yyyy")&amp;":"</f>
        <v>At 30 Nov 2023:</v>
      </c>
      <c r="B710" s="225"/>
      <c r="C710" s="283"/>
      <c r="D710" s="284"/>
      <c r="E710" s="20"/>
      <c r="F710" s="70" t="s">
        <v>295</v>
      </c>
      <c r="G710" s="115" t="s">
        <v>61</v>
      </c>
      <c r="H710" s="242">
        <f>H685-H704</f>
        <v>0</v>
      </c>
      <c r="I710" s="325"/>
      <c r="J710" s="289"/>
      <c r="K710" s="290"/>
      <c r="L710" s="290"/>
      <c r="M710" s="290"/>
      <c r="N710" s="290"/>
      <c r="O710" s="290"/>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65" t="str">
        <f>IF(H72&gt;0,"At "&amp;TEXT(H72,"dd Mmm yyyy")&amp;":","")</f>
        <v>At :</v>
      </c>
      <c r="B713" s="305"/>
      <c r="C713" s="306"/>
      <c r="D713" s="307"/>
      <c r="E713" s="22"/>
      <c r="F713" s="70" t="s">
        <v>465</v>
      </c>
      <c r="G713" s="107" t="s">
        <v>61</v>
      </c>
      <c r="H713" s="240">
        <f>IF(H72&gt;0,ROUND([1]OpenAccounts!$G$13,D2)-ROUND([1]OpenAccounts!$M$13,D2),"")</f>
        <v>0</v>
      </c>
      <c r="I713" s="241"/>
      <c r="J713" s="335"/>
      <c r="K713" s="344"/>
      <c r="L713" s="344"/>
      <c r="M713" s="344"/>
      <c r="N713" s="344"/>
      <c r="O713" s="344"/>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31" t="s">
        <v>145</v>
      </c>
      <c r="B717" s="232"/>
      <c r="C717" s="232"/>
      <c r="D717" s="232"/>
      <c r="F717" s="233"/>
      <c r="G717" s="233"/>
      <c r="H717" s="233"/>
      <c r="I717" s="233"/>
      <c r="J717" s="233"/>
      <c r="K717" s="233"/>
      <c r="L717" s="233"/>
      <c r="M717" s="233"/>
      <c r="N717" s="233"/>
      <c r="O717" s="233"/>
      <c r="P717" s="233"/>
      <c r="Q717" s="233"/>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34" t="s">
        <v>296</v>
      </c>
      <c r="B719" s="235"/>
      <c r="C719" s="235"/>
      <c r="D719" s="235"/>
      <c r="E719" s="236"/>
      <c r="F719" s="236"/>
      <c r="G719" s="236"/>
      <c r="H719" s="236"/>
      <c r="I719" s="236"/>
      <c r="J719" s="236"/>
      <c r="K719" s="236"/>
      <c r="L719" s="236"/>
      <c r="M719" s="236"/>
      <c r="N719" s="236"/>
      <c r="O719" s="236"/>
      <c r="P719" s="236"/>
      <c r="Q719" s="237"/>
    </row>
    <row r="720" spans="1:17" x14ac:dyDescent="0.25">
      <c r="A720" s="211" t="s">
        <v>297</v>
      </c>
      <c r="B720" s="212"/>
      <c r="C720" s="212"/>
      <c r="D720" s="212"/>
      <c r="E720" s="212"/>
      <c r="F720" s="212"/>
      <c r="G720" s="212"/>
      <c r="H720" s="212"/>
      <c r="I720" s="212"/>
      <c r="J720" s="212"/>
      <c r="K720" s="212"/>
      <c r="L720" s="212"/>
      <c r="M720" s="212"/>
      <c r="N720" s="212"/>
      <c r="O720" s="212"/>
      <c r="P720" s="212"/>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1" t="s">
        <v>970</v>
      </c>
      <c r="B722" s="212"/>
      <c r="C722" s="212"/>
      <c r="D722" s="212"/>
      <c r="E722" s="212"/>
      <c r="F722" s="212"/>
      <c r="G722" s="212"/>
      <c r="H722" s="212"/>
      <c r="I722" s="212"/>
      <c r="J722" s="212"/>
      <c r="K722" s="212"/>
      <c r="L722" s="212"/>
      <c r="M722" s="212"/>
      <c r="N722" s="212"/>
      <c r="O722" s="212"/>
      <c r="P722" s="212"/>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38" t="s">
        <v>259</v>
      </c>
      <c r="B724" s="239"/>
      <c r="C724" s="72"/>
      <c r="D724" s="72"/>
      <c r="E724" s="72"/>
      <c r="F724" s="238"/>
      <c r="G724" s="238"/>
      <c r="H724" s="238"/>
      <c r="I724" s="238"/>
      <c r="J724" s="238"/>
      <c r="K724" s="238"/>
      <c r="L724" s="238"/>
      <c r="M724" s="238"/>
      <c r="N724" s="238"/>
      <c r="O724" s="238"/>
      <c r="P724" s="238"/>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24" t="str">
        <f>"At "&amp;TEXT(J2,"dd Mmm yyyy")&amp;":"</f>
        <v>At 01 Dec 2022:</v>
      </c>
      <c r="B727" s="225"/>
      <c r="C727" s="283"/>
      <c r="D727" s="284"/>
      <c r="E727" s="20"/>
      <c r="F727" s="70" t="s">
        <v>298</v>
      </c>
      <c r="G727" s="66" t="s">
        <v>61</v>
      </c>
      <c r="H727" s="213">
        <f>ROUND([1]PubNotes!$F$8,D2)</f>
        <v>0</v>
      </c>
      <c r="I727" s="214"/>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65" t="s">
        <v>263</v>
      </c>
      <c r="B730" s="305"/>
      <c r="C730" s="306"/>
      <c r="D730" s="307"/>
      <c r="E730" s="22"/>
      <c r="F730" s="70" t="s">
        <v>299</v>
      </c>
      <c r="G730" s="67" t="s">
        <v>61</v>
      </c>
      <c r="H730" s="213">
        <f>ROUND([1]PubNotes!$F$9,D2)</f>
        <v>0</v>
      </c>
      <c r="I730" s="214"/>
      <c r="J730" s="343"/>
      <c r="K730" s="344"/>
      <c r="L730" s="344"/>
      <c r="M730" s="344"/>
      <c r="N730" s="344"/>
      <c r="O730" s="344"/>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24" t="s">
        <v>262</v>
      </c>
      <c r="B733" s="225"/>
      <c r="C733" s="283"/>
      <c r="D733" s="284"/>
      <c r="E733" s="20"/>
      <c r="F733" s="70" t="s">
        <v>300</v>
      </c>
      <c r="G733" s="66" t="s">
        <v>61</v>
      </c>
      <c r="H733" s="213">
        <f>ROUND([1]PubNotes!$F$10,D2)</f>
        <v>0</v>
      </c>
      <c r="I733" s="214"/>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303" t="s">
        <v>448</v>
      </c>
      <c r="G736" s="303"/>
      <c r="H736" s="303"/>
      <c r="I736" s="303"/>
      <c r="J736" s="40"/>
      <c r="K736" s="40"/>
      <c r="L736" s="40"/>
      <c r="M736" s="40"/>
      <c r="N736" s="40"/>
      <c r="O736" s="40"/>
      <c r="P736" s="41"/>
      <c r="Q736" s="2"/>
    </row>
    <row r="737" spans="1:17" ht="18.75" x14ac:dyDescent="0.4">
      <c r="A737" s="265" t="s">
        <v>264</v>
      </c>
      <c r="B737" s="305"/>
      <c r="C737" s="306"/>
      <c r="D737" s="307"/>
      <c r="E737" s="22"/>
      <c r="F737" s="70" t="s">
        <v>301</v>
      </c>
      <c r="G737" s="67" t="s">
        <v>61</v>
      </c>
      <c r="H737" s="213"/>
      <c r="I737" s="214"/>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04" t="s">
        <v>448</v>
      </c>
      <c r="G740" s="304"/>
      <c r="H740" s="304"/>
      <c r="I740" s="304"/>
      <c r="J740" s="27"/>
      <c r="K740" s="27"/>
      <c r="L740" s="27"/>
      <c r="M740" s="27"/>
      <c r="N740" s="27"/>
      <c r="O740" s="27"/>
      <c r="P740" s="26"/>
      <c r="Q740" s="2"/>
    </row>
    <row r="741" spans="1:17" ht="18.75" x14ac:dyDescent="0.4">
      <c r="A741" s="224" t="s">
        <v>265</v>
      </c>
      <c r="B741" s="225"/>
      <c r="C741" s="283"/>
      <c r="D741" s="284"/>
      <c r="E741" s="20"/>
      <c r="F741" s="70" t="s">
        <v>302</v>
      </c>
      <c r="G741" s="66" t="s">
        <v>61</v>
      </c>
      <c r="H741" s="213"/>
      <c r="I741" s="214"/>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65" t="str">
        <f>"At "&amp;TEXT(N2,"dd Mmm yyyy")&amp;":"</f>
        <v>At 30 Nov 2023:</v>
      </c>
      <c r="B744" s="305"/>
      <c r="C744" s="306"/>
      <c r="D744" s="307"/>
      <c r="E744" s="22"/>
      <c r="F744" s="70" t="s">
        <v>303</v>
      </c>
      <c r="G744" s="107" t="s">
        <v>61</v>
      </c>
      <c r="H744" s="240">
        <f>H727+H730-H733+H737+H741</f>
        <v>0</v>
      </c>
      <c r="I744" s="241"/>
      <c r="J744" s="335"/>
      <c r="K744" s="344"/>
      <c r="L744" s="344"/>
      <c r="M744" s="344"/>
      <c r="N744" s="344"/>
      <c r="O744" s="344"/>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38" t="s">
        <v>270</v>
      </c>
      <c r="B747" s="239"/>
      <c r="C747" s="72"/>
      <c r="D747" s="72"/>
      <c r="E747" s="72"/>
      <c r="F747" s="238"/>
      <c r="G747" s="238"/>
      <c r="H747" s="238"/>
      <c r="I747" s="238"/>
      <c r="J747" s="238"/>
      <c r="K747" s="238"/>
      <c r="L747" s="238"/>
      <c r="M747" s="238"/>
      <c r="N747" s="238"/>
      <c r="O747" s="238"/>
      <c r="P747" s="238"/>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24" t="str">
        <f>"At "&amp;TEXT(J2,"dd Mmm yyyy")&amp;":"</f>
        <v>At 01 Dec 2022:</v>
      </c>
      <c r="B750" s="225"/>
      <c r="C750" s="283"/>
      <c r="D750" s="284"/>
      <c r="E750" s="20"/>
      <c r="F750" s="70" t="s">
        <v>304</v>
      </c>
      <c r="G750" s="66" t="s">
        <v>61</v>
      </c>
      <c r="H750" s="213">
        <f>ROUND([1]PubNotes!$F$14,D2)</f>
        <v>0</v>
      </c>
      <c r="I750" s="214"/>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65" t="s">
        <v>276</v>
      </c>
      <c r="B753" s="305"/>
      <c r="C753" s="306"/>
      <c r="D753" s="307"/>
      <c r="E753" s="22"/>
      <c r="F753" s="70" t="s">
        <v>305</v>
      </c>
      <c r="G753" s="67" t="s">
        <v>61</v>
      </c>
      <c r="H753" s="213">
        <f>ROUND([1]PubNotes!$F$15,D2)</f>
        <v>0</v>
      </c>
      <c r="I753" s="214"/>
      <c r="J753" s="343"/>
      <c r="K753" s="344"/>
      <c r="L753" s="344"/>
      <c r="M753" s="344"/>
      <c r="N753" s="344"/>
      <c r="O753" s="344"/>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24" t="s">
        <v>277</v>
      </c>
      <c r="B756" s="225"/>
      <c r="C756" s="283"/>
      <c r="D756" s="284"/>
      <c r="E756" s="20"/>
      <c r="F756" s="70" t="s">
        <v>306</v>
      </c>
      <c r="G756" s="66" t="s">
        <v>61</v>
      </c>
      <c r="H756" s="213">
        <f>ROUND([1]PubNotes!$F$16,D2)</f>
        <v>0</v>
      </c>
      <c r="I756" s="214"/>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303" t="s">
        <v>448</v>
      </c>
      <c r="G759" s="303"/>
      <c r="H759" s="303"/>
      <c r="I759" s="303"/>
      <c r="J759" s="40"/>
      <c r="K759" s="40"/>
      <c r="L759" s="40"/>
      <c r="M759" s="40"/>
      <c r="N759" s="40"/>
      <c r="O759" s="40"/>
      <c r="P759" s="41"/>
      <c r="Q759" s="2"/>
    </row>
    <row r="760" spans="1:17" ht="18.75" x14ac:dyDescent="0.4">
      <c r="A760" s="265" t="s">
        <v>278</v>
      </c>
      <c r="B760" s="305"/>
      <c r="C760" s="306"/>
      <c r="D760" s="307"/>
      <c r="E760" s="22"/>
      <c r="F760" s="70" t="s">
        <v>307</v>
      </c>
      <c r="G760" s="67" t="s">
        <v>61</v>
      </c>
      <c r="H760" s="213"/>
      <c r="I760" s="214"/>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24" t="str">
        <f>"At "&amp;TEXT(N2,"dd Mmm yyyy")&amp;":"</f>
        <v>At 30 Nov 2023:</v>
      </c>
      <c r="B763" s="225"/>
      <c r="C763" s="283"/>
      <c r="D763" s="284"/>
      <c r="E763" s="20"/>
      <c r="F763" s="70" t="s">
        <v>308</v>
      </c>
      <c r="G763" s="115" t="s">
        <v>61</v>
      </c>
      <c r="H763" s="242">
        <f>H750+H753-H756+H760</f>
        <v>0</v>
      </c>
      <c r="I763" s="325"/>
      <c r="J763" s="289"/>
      <c r="K763" s="290"/>
      <c r="L763" s="290"/>
      <c r="M763" s="290"/>
      <c r="N763" s="290"/>
      <c r="O763" s="290"/>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24" t="str">
        <f>"At "&amp;TEXT(N2,"dd Mmm yyyy")&amp;":"</f>
        <v>At 30 Nov 2023:</v>
      </c>
      <c r="B769" s="225"/>
      <c r="C769" s="283"/>
      <c r="D769" s="284"/>
      <c r="E769" s="20"/>
      <c r="F769" s="70" t="s">
        <v>309</v>
      </c>
      <c r="G769" s="115" t="s">
        <v>61</v>
      </c>
      <c r="H769" s="242">
        <f>H744-H763</f>
        <v>0</v>
      </c>
      <c r="I769" s="325"/>
      <c r="J769" s="289"/>
      <c r="K769" s="290"/>
      <c r="L769" s="290"/>
      <c r="M769" s="290"/>
      <c r="N769" s="290"/>
      <c r="O769" s="290"/>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65" t="str">
        <f>IF(H72&gt;0,"At "&amp;TEXT(H72,"dd Mmm yyyy")&amp;":","")</f>
        <v>At :</v>
      </c>
      <c r="B772" s="305"/>
      <c r="C772" s="306"/>
      <c r="D772" s="307"/>
      <c r="E772" s="22"/>
      <c r="F772" s="70" t="s">
        <v>467</v>
      </c>
      <c r="G772" s="107" t="s">
        <v>61</v>
      </c>
      <c r="H772" s="240">
        <f>IF(H72&gt;0,ROUND([1]OpenAccounts!$K$13,D2)-ROUND([1]OpenAccounts!$Q$13,D2),"")</f>
        <v>0</v>
      </c>
      <c r="I772" s="241"/>
      <c r="J772" s="335"/>
      <c r="K772" s="344"/>
      <c r="L772" s="344"/>
      <c r="M772" s="344"/>
      <c r="N772" s="344"/>
      <c r="O772" s="344"/>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31" t="s">
        <v>145</v>
      </c>
      <c r="B776" s="232"/>
      <c r="C776" s="232"/>
      <c r="D776" s="232"/>
      <c r="F776" s="233"/>
      <c r="G776" s="233"/>
      <c r="H776" s="233"/>
      <c r="I776" s="233"/>
      <c r="J776" s="233"/>
      <c r="K776" s="233"/>
      <c r="L776" s="233"/>
      <c r="M776" s="233"/>
      <c r="N776" s="233"/>
      <c r="O776" s="233"/>
      <c r="P776" s="233"/>
      <c r="Q776" s="233"/>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34" t="s">
        <v>310</v>
      </c>
      <c r="B778" s="235"/>
      <c r="C778" s="235"/>
      <c r="D778" s="235"/>
      <c r="E778" s="236"/>
      <c r="F778" s="236"/>
      <c r="G778" s="236"/>
      <c r="H778" s="236"/>
      <c r="I778" s="236"/>
      <c r="J778" s="236"/>
      <c r="K778" s="236"/>
      <c r="L778" s="236"/>
      <c r="M778" s="236"/>
      <c r="N778" s="236"/>
      <c r="O778" s="236"/>
      <c r="P778" s="236"/>
      <c r="Q778" s="237"/>
    </row>
    <row r="779" spans="1:17" x14ac:dyDescent="0.25">
      <c r="A779" s="211" t="s">
        <v>311</v>
      </c>
      <c r="B779" s="212"/>
      <c r="C779" s="212"/>
      <c r="D779" s="212"/>
      <c r="E779" s="212"/>
      <c r="F779" s="212"/>
      <c r="G779" s="212"/>
      <c r="H779" s="212"/>
      <c r="I779" s="212"/>
      <c r="J779" s="212"/>
      <c r="K779" s="212"/>
      <c r="L779" s="212"/>
      <c r="M779" s="212"/>
      <c r="N779" s="212"/>
      <c r="O779" s="212"/>
      <c r="P779" s="212"/>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1" t="s">
        <v>970</v>
      </c>
      <c r="B781" s="212"/>
      <c r="C781" s="212"/>
      <c r="D781" s="212"/>
      <c r="E781" s="212"/>
      <c r="F781" s="212"/>
      <c r="G781" s="212"/>
      <c r="H781" s="212"/>
      <c r="I781" s="212"/>
      <c r="J781" s="212"/>
      <c r="K781" s="212"/>
      <c r="L781" s="212"/>
      <c r="M781" s="212"/>
      <c r="N781" s="212"/>
      <c r="O781" s="212"/>
      <c r="P781" s="212"/>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38" t="s">
        <v>259</v>
      </c>
      <c r="B783" s="239"/>
      <c r="C783" s="72"/>
      <c r="D783" s="72"/>
      <c r="E783" s="72"/>
      <c r="F783" s="238"/>
      <c r="G783" s="238"/>
      <c r="H783" s="238"/>
      <c r="I783" s="238"/>
      <c r="J783" s="238"/>
      <c r="K783" s="238"/>
      <c r="L783" s="238"/>
      <c r="M783" s="238"/>
      <c r="N783" s="238"/>
      <c r="O783" s="238"/>
      <c r="P783" s="238"/>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24" t="str">
        <f>"At "&amp;TEXT(J2,"dd Mmm yyyy")&amp;":"</f>
        <v>At 01 Dec 2022:</v>
      </c>
      <c r="B786" s="225"/>
      <c r="C786" s="283"/>
      <c r="D786" s="284"/>
      <c r="E786" s="20"/>
      <c r="F786" s="70" t="s">
        <v>317</v>
      </c>
      <c r="G786" s="66" t="s">
        <v>61</v>
      </c>
      <c r="H786" s="213">
        <f>ROUND([1]PubNotes!$E$8,D2)</f>
        <v>0</v>
      </c>
      <c r="I786" s="214"/>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65" t="s">
        <v>263</v>
      </c>
      <c r="B789" s="305"/>
      <c r="C789" s="306"/>
      <c r="D789" s="307"/>
      <c r="E789" s="22"/>
      <c r="F789" s="70" t="s">
        <v>312</v>
      </c>
      <c r="G789" s="67" t="s">
        <v>61</v>
      </c>
      <c r="H789" s="213">
        <f>ROUND([1]PubNotes!$E$9,D2)</f>
        <v>0</v>
      </c>
      <c r="I789" s="214"/>
      <c r="J789" s="343"/>
      <c r="K789" s="344"/>
      <c r="L789" s="344"/>
      <c r="M789" s="344"/>
      <c r="N789" s="344"/>
      <c r="O789" s="344"/>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24" t="s">
        <v>262</v>
      </c>
      <c r="B792" s="225"/>
      <c r="C792" s="283"/>
      <c r="D792" s="284"/>
      <c r="E792" s="20"/>
      <c r="F792" s="70" t="s">
        <v>313</v>
      </c>
      <c r="G792" s="66" t="s">
        <v>61</v>
      </c>
      <c r="H792" s="213">
        <f>ROUND([1]PubNotes!$E$10,D2)</f>
        <v>0</v>
      </c>
      <c r="I792" s="214"/>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303" t="s">
        <v>448</v>
      </c>
      <c r="G795" s="303"/>
      <c r="H795" s="303"/>
      <c r="I795" s="303"/>
      <c r="J795" s="40"/>
      <c r="K795" s="40"/>
      <c r="L795" s="40"/>
      <c r="M795" s="40"/>
      <c r="N795" s="40"/>
      <c r="O795" s="40"/>
      <c r="P795" s="41"/>
      <c r="Q795" s="2"/>
    </row>
    <row r="796" spans="1:17" ht="18.75" x14ac:dyDescent="0.4">
      <c r="A796" s="265" t="s">
        <v>264</v>
      </c>
      <c r="B796" s="305"/>
      <c r="C796" s="306"/>
      <c r="D796" s="307"/>
      <c r="E796" s="22"/>
      <c r="F796" s="70" t="s">
        <v>314</v>
      </c>
      <c r="G796" s="67" t="s">
        <v>61</v>
      </c>
      <c r="H796" s="213"/>
      <c r="I796" s="214"/>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04" t="s">
        <v>448</v>
      </c>
      <c r="G799" s="304"/>
      <c r="H799" s="304"/>
      <c r="I799" s="304"/>
      <c r="J799" s="27"/>
      <c r="K799" s="27"/>
      <c r="L799" s="27"/>
      <c r="M799" s="27"/>
      <c r="N799" s="27"/>
      <c r="O799" s="27"/>
      <c r="P799" s="26"/>
      <c r="Q799" s="2"/>
    </row>
    <row r="800" spans="1:17" ht="18.75" x14ac:dyDescent="0.4">
      <c r="A800" s="224" t="s">
        <v>265</v>
      </c>
      <c r="B800" s="225"/>
      <c r="C800" s="283"/>
      <c r="D800" s="284"/>
      <c r="E800" s="20"/>
      <c r="F800" s="70" t="s">
        <v>315</v>
      </c>
      <c r="G800" s="66" t="s">
        <v>61</v>
      </c>
      <c r="H800" s="213"/>
      <c r="I800" s="214"/>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65" t="str">
        <f>"At "&amp;TEXT(N2,"dd Mmm yyyy")&amp;":"</f>
        <v>At 30 Nov 2023:</v>
      </c>
      <c r="B803" s="305"/>
      <c r="C803" s="306"/>
      <c r="D803" s="307"/>
      <c r="E803" s="22"/>
      <c r="F803" s="70" t="s">
        <v>316</v>
      </c>
      <c r="G803" s="107" t="s">
        <v>61</v>
      </c>
      <c r="H803" s="240">
        <f>H786+H789-H792+H796+H800</f>
        <v>0</v>
      </c>
      <c r="I803" s="241"/>
      <c r="J803" s="335"/>
      <c r="K803" s="344"/>
      <c r="L803" s="344"/>
      <c r="M803" s="344"/>
      <c r="N803" s="344"/>
      <c r="O803" s="344"/>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38" t="s">
        <v>270</v>
      </c>
      <c r="B806" s="239"/>
      <c r="C806" s="72"/>
      <c r="D806" s="72"/>
      <c r="E806" s="72"/>
      <c r="F806" s="238"/>
      <c r="G806" s="238"/>
      <c r="H806" s="238"/>
      <c r="I806" s="238"/>
      <c r="J806" s="238"/>
      <c r="K806" s="238"/>
      <c r="L806" s="238"/>
      <c r="M806" s="238"/>
      <c r="N806" s="238"/>
      <c r="O806" s="238"/>
      <c r="P806" s="238"/>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24" t="str">
        <f>"At "&amp;TEXT(J2,"dd Mmm yyyy")&amp;":"</f>
        <v>At 01 Dec 2022:</v>
      </c>
      <c r="B809" s="225"/>
      <c r="C809" s="283"/>
      <c r="D809" s="284"/>
      <c r="E809" s="20"/>
      <c r="F809" s="70" t="s">
        <v>318</v>
      </c>
      <c r="G809" s="66" t="s">
        <v>61</v>
      </c>
      <c r="H809" s="213">
        <f>ROUND([1]PubNotes!$E$14,D2)</f>
        <v>0</v>
      </c>
      <c r="I809" s="214"/>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65" t="s">
        <v>276</v>
      </c>
      <c r="B812" s="305"/>
      <c r="C812" s="306"/>
      <c r="D812" s="307"/>
      <c r="E812" s="22"/>
      <c r="F812" s="70" t="s">
        <v>319</v>
      </c>
      <c r="G812" s="67" t="s">
        <v>61</v>
      </c>
      <c r="H812" s="213">
        <f>ROUND([1]PubNotes!$E$15,D2)</f>
        <v>0</v>
      </c>
      <c r="I812" s="214"/>
      <c r="J812" s="343"/>
      <c r="K812" s="344"/>
      <c r="L812" s="344"/>
      <c r="M812" s="344"/>
      <c r="N812" s="344"/>
      <c r="O812" s="344"/>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24" t="s">
        <v>277</v>
      </c>
      <c r="B815" s="225"/>
      <c r="C815" s="283"/>
      <c r="D815" s="284"/>
      <c r="E815" s="20"/>
      <c r="F815" s="70" t="s">
        <v>320</v>
      </c>
      <c r="G815" s="66" t="s">
        <v>61</v>
      </c>
      <c r="H815" s="213">
        <f>ROUND([1]PubNotes!$E$16,D2)</f>
        <v>0</v>
      </c>
      <c r="I815" s="214"/>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303" t="s">
        <v>448</v>
      </c>
      <c r="G818" s="303"/>
      <c r="H818" s="303"/>
      <c r="I818" s="303"/>
      <c r="J818" s="40"/>
      <c r="K818" s="40"/>
      <c r="L818" s="40"/>
      <c r="M818" s="40"/>
      <c r="N818" s="40"/>
      <c r="O818" s="40"/>
      <c r="P818" s="41"/>
      <c r="Q818" s="2"/>
    </row>
    <row r="819" spans="1:17" ht="18.75" x14ac:dyDescent="0.4">
      <c r="A819" s="265" t="s">
        <v>278</v>
      </c>
      <c r="B819" s="305"/>
      <c r="C819" s="306"/>
      <c r="D819" s="307"/>
      <c r="E819" s="22"/>
      <c r="F819" s="70" t="s">
        <v>321</v>
      </c>
      <c r="G819" s="67" t="s">
        <v>61</v>
      </c>
      <c r="H819" s="213"/>
      <c r="I819" s="214"/>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24" t="str">
        <f>"At "&amp;TEXT(N2,"dd Mmm yyyy")&amp;":"</f>
        <v>At 30 Nov 2023:</v>
      </c>
      <c r="B822" s="225"/>
      <c r="C822" s="283"/>
      <c r="D822" s="284"/>
      <c r="E822" s="20"/>
      <c r="F822" s="70" t="s">
        <v>322</v>
      </c>
      <c r="G822" s="115" t="s">
        <v>61</v>
      </c>
      <c r="H822" s="242">
        <f>H809+H812-H815+H819</f>
        <v>0</v>
      </c>
      <c r="I822" s="325"/>
      <c r="J822" s="289"/>
      <c r="K822" s="290"/>
      <c r="L822" s="290"/>
      <c r="M822" s="290"/>
      <c r="N822" s="290"/>
      <c r="O822" s="290"/>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24" t="str">
        <f>"At "&amp;TEXT(N2,"dd Mmm yyyy")&amp;":"</f>
        <v>At 30 Nov 2023:</v>
      </c>
      <c r="B828" s="225"/>
      <c r="C828" s="283"/>
      <c r="D828" s="284"/>
      <c r="E828" s="20"/>
      <c r="F828" s="70" t="s">
        <v>323</v>
      </c>
      <c r="G828" s="115" t="s">
        <v>61</v>
      </c>
      <c r="H828" s="242">
        <f>H803-H822</f>
        <v>0</v>
      </c>
      <c r="I828" s="325"/>
      <c r="J828" s="289"/>
      <c r="K828" s="290"/>
      <c r="L828" s="290"/>
      <c r="M828" s="290"/>
      <c r="N828" s="290"/>
      <c r="O828" s="290"/>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65" t="str">
        <f>IF(H72&gt;0,"At "&amp;TEXT(H72,"dd Mmm yyyy")&amp;":","")</f>
        <v>At :</v>
      </c>
      <c r="B831" s="305"/>
      <c r="C831" s="306"/>
      <c r="D831" s="307"/>
      <c r="E831" s="22"/>
      <c r="F831" s="70" t="s">
        <v>466</v>
      </c>
      <c r="G831" s="107" t="s">
        <v>61</v>
      </c>
      <c r="H831" s="240">
        <f>IF(H72&gt;0,ROUND([1]OpenAccounts!$J$13,D2)-ROUND([1]OpenAccounts!$P$13,D2),"")</f>
        <v>0</v>
      </c>
      <c r="I831" s="241"/>
      <c r="J831" s="335"/>
      <c r="K831" s="344"/>
      <c r="L831" s="344"/>
      <c r="M831" s="344"/>
      <c r="N831" s="344"/>
      <c r="O831" s="344"/>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31" t="s">
        <v>145</v>
      </c>
      <c r="B835" s="232"/>
      <c r="C835" s="232"/>
      <c r="D835" s="232"/>
      <c r="F835" s="233"/>
      <c r="G835" s="233"/>
      <c r="H835" s="233"/>
      <c r="I835" s="233"/>
      <c r="J835" s="233"/>
      <c r="K835" s="233"/>
      <c r="L835" s="233"/>
      <c r="M835" s="233"/>
      <c r="N835" s="233"/>
      <c r="O835" s="233"/>
      <c r="P835" s="233"/>
      <c r="Q835" s="233"/>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34" t="s">
        <v>325</v>
      </c>
      <c r="B837" s="235"/>
      <c r="C837" s="235"/>
      <c r="D837" s="235"/>
      <c r="E837" s="236"/>
      <c r="F837" s="236"/>
      <c r="G837" s="236"/>
      <c r="H837" s="236"/>
      <c r="I837" s="236"/>
      <c r="J837" s="236"/>
      <c r="K837" s="236"/>
      <c r="L837" s="236"/>
      <c r="M837" s="236"/>
      <c r="N837" s="236"/>
      <c r="O837" s="236"/>
      <c r="P837" s="236"/>
      <c r="Q837" s="237"/>
    </row>
    <row r="838" spans="1:17" x14ac:dyDescent="0.25">
      <c r="A838" s="211" t="s">
        <v>324</v>
      </c>
      <c r="B838" s="212"/>
      <c r="C838" s="212"/>
      <c r="D838" s="212"/>
      <c r="E838" s="212"/>
      <c r="F838" s="212"/>
      <c r="G838" s="212"/>
      <c r="H838" s="212"/>
      <c r="I838" s="212"/>
      <c r="J838" s="212"/>
      <c r="K838" s="212"/>
      <c r="L838" s="212"/>
      <c r="M838" s="212"/>
      <c r="N838" s="212"/>
      <c r="O838" s="212"/>
      <c r="P838" s="212"/>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1" t="s">
        <v>970</v>
      </c>
      <c r="B840" s="212"/>
      <c r="C840" s="212"/>
      <c r="D840" s="212"/>
      <c r="E840" s="212"/>
      <c r="F840" s="212"/>
      <c r="G840" s="212"/>
      <c r="H840" s="212"/>
      <c r="I840" s="212"/>
      <c r="J840" s="212"/>
      <c r="K840" s="212"/>
      <c r="L840" s="212"/>
      <c r="M840" s="212"/>
      <c r="N840" s="212"/>
      <c r="O840" s="212"/>
      <c r="P840" s="212"/>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38" t="s">
        <v>259</v>
      </c>
      <c r="B842" s="239"/>
      <c r="C842" s="72"/>
      <c r="D842" s="72"/>
      <c r="E842" s="72"/>
      <c r="F842" s="238"/>
      <c r="G842" s="238"/>
      <c r="H842" s="238"/>
      <c r="I842" s="238"/>
      <c r="J842" s="238"/>
      <c r="K842" s="238"/>
      <c r="L842" s="238"/>
      <c r="M842" s="238"/>
      <c r="N842" s="238"/>
      <c r="O842" s="238"/>
      <c r="P842" s="238"/>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24" t="str">
        <f>"At "&amp;TEXT(J2,"dd Mmm yyyy")&amp;":"</f>
        <v>At 01 Dec 2022:</v>
      </c>
      <c r="B845" s="225"/>
      <c r="C845" s="283"/>
      <c r="D845" s="284"/>
      <c r="E845" s="20"/>
      <c r="F845" s="70" t="s">
        <v>326</v>
      </c>
      <c r="G845" s="66" t="s">
        <v>61</v>
      </c>
      <c r="H845" s="213">
        <f>ROUND([1]PubNotes!$C$8,D2)</f>
        <v>0</v>
      </c>
      <c r="I845" s="214"/>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65" t="s">
        <v>263</v>
      </c>
      <c r="B848" s="305"/>
      <c r="C848" s="306"/>
      <c r="D848" s="307"/>
      <c r="E848" s="22"/>
      <c r="F848" s="70" t="s">
        <v>327</v>
      </c>
      <c r="G848" s="67" t="s">
        <v>61</v>
      </c>
      <c r="H848" s="213">
        <f>ROUND([1]PubNotes!$C$9,D2)</f>
        <v>0</v>
      </c>
      <c r="I848" s="214"/>
      <c r="J848" s="343"/>
      <c r="K848" s="344"/>
      <c r="L848" s="344"/>
      <c r="M848" s="344"/>
      <c r="N848" s="344"/>
      <c r="O848" s="344"/>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24" t="s">
        <v>262</v>
      </c>
      <c r="B851" s="225"/>
      <c r="C851" s="283"/>
      <c r="D851" s="284"/>
      <c r="E851" s="20"/>
      <c r="F851" s="70" t="s">
        <v>328</v>
      </c>
      <c r="G851" s="66" t="s">
        <v>61</v>
      </c>
      <c r="H851" s="213">
        <f>ROUND([1]PubNotes!$C$10,D2)</f>
        <v>0</v>
      </c>
      <c r="I851" s="214"/>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303" t="s">
        <v>448</v>
      </c>
      <c r="G854" s="303"/>
      <c r="H854" s="303"/>
      <c r="I854" s="303"/>
      <c r="J854" s="40"/>
      <c r="K854" s="40"/>
      <c r="L854" s="40"/>
      <c r="M854" s="40"/>
      <c r="N854" s="40"/>
      <c r="O854" s="40"/>
      <c r="P854" s="41"/>
      <c r="Q854" s="2"/>
    </row>
    <row r="855" spans="1:17" ht="15.75" customHeight="1" x14ac:dyDescent="0.4">
      <c r="A855" s="265" t="s">
        <v>264</v>
      </c>
      <c r="B855" s="305"/>
      <c r="C855" s="306"/>
      <c r="D855" s="307"/>
      <c r="E855" s="22"/>
      <c r="F855" s="70" t="s">
        <v>329</v>
      </c>
      <c r="G855" s="67" t="s">
        <v>61</v>
      </c>
      <c r="H855" s="213"/>
      <c r="I855" s="214"/>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04" t="s">
        <v>448</v>
      </c>
      <c r="G858" s="304"/>
      <c r="H858" s="304"/>
      <c r="I858" s="304"/>
      <c r="J858" s="27"/>
      <c r="K858" s="27"/>
      <c r="L858" s="27"/>
      <c r="M858" s="27"/>
      <c r="N858" s="27"/>
      <c r="O858" s="27"/>
      <c r="P858" s="26"/>
      <c r="Q858" s="2"/>
    </row>
    <row r="859" spans="1:17" ht="18.75" x14ac:dyDescent="0.4">
      <c r="A859" s="224" t="s">
        <v>265</v>
      </c>
      <c r="B859" s="225"/>
      <c r="C859" s="283"/>
      <c r="D859" s="284"/>
      <c r="E859" s="20"/>
      <c r="F859" s="70" t="s">
        <v>330</v>
      </c>
      <c r="G859" s="66" t="s">
        <v>61</v>
      </c>
      <c r="H859" s="213"/>
      <c r="I859" s="214"/>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65" t="str">
        <f>"At "&amp;TEXT(N2,"dd Mmm yyyy")&amp;":"</f>
        <v>At 30 Nov 2023:</v>
      </c>
      <c r="B862" s="305"/>
      <c r="C862" s="306"/>
      <c r="D862" s="307"/>
      <c r="E862" s="22"/>
      <c r="F862" s="70" t="s">
        <v>331</v>
      </c>
      <c r="G862" s="107" t="s">
        <v>61</v>
      </c>
      <c r="H862" s="240">
        <f>H845+H848-H851+H855+H859</f>
        <v>0</v>
      </c>
      <c r="I862" s="241"/>
      <c r="J862" s="335"/>
      <c r="K862" s="344"/>
      <c r="L862" s="344"/>
      <c r="M862" s="344"/>
      <c r="N862" s="344"/>
      <c r="O862" s="344"/>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38" t="s">
        <v>270</v>
      </c>
      <c r="B865" s="239"/>
      <c r="C865" s="72"/>
      <c r="D865" s="72"/>
      <c r="E865" s="72"/>
      <c r="F865" s="238"/>
      <c r="G865" s="238"/>
      <c r="H865" s="238"/>
      <c r="I865" s="238"/>
      <c r="J865" s="238"/>
      <c r="K865" s="238"/>
      <c r="L865" s="238"/>
      <c r="M865" s="238"/>
      <c r="N865" s="238"/>
      <c r="O865" s="238"/>
      <c r="P865" s="238"/>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24" t="str">
        <f>"At "&amp;TEXT(J2,"dd Mmm yyyy")&amp;":"</f>
        <v>At 01 Dec 2022:</v>
      </c>
      <c r="B868" s="225"/>
      <c r="C868" s="283"/>
      <c r="D868" s="284"/>
      <c r="E868" s="20"/>
      <c r="F868" s="70" t="s">
        <v>332</v>
      </c>
      <c r="G868" s="66" t="s">
        <v>61</v>
      </c>
      <c r="H868" s="213">
        <f>ROUND([1]PubNotes!$C$14,D2)</f>
        <v>0</v>
      </c>
      <c r="I868" s="214"/>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65" t="s">
        <v>276</v>
      </c>
      <c r="B871" s="305"/>
      <c r="C871" s="306"/>
      <c r="D871" s="307"/>
      <c r="E871" s="22"/>
      <c r="F871" s="70" t="s">
        <v>333</v>
      </c>
      <c r="G871" s="67" t="s">
        <v>61</v>
      </c>
      <c r="H871" s="213">
        <f>ROUND([1]PubNotes!$C$15,D2)</f>
        <v>0</v>
      </c>
      <c r="I871" s="214"/>
      <c r="J871" s="343"/>
      <c r="K871" s="344"/>
      <c r="L871" s="344"/>
      <c r="M871" s="344"/>
      <c r="N871" s="344"/>
      <c r="O871" s="344"/>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24" t="s">
        <v>277</v>
      </c>
      <c r="B874" s="225"/>
      <c r="C874" s="283"/>
      <c r="D874" s="284"/>
      <c r="E874" s="20"/>
      <c r="F874" s="70" t="s">
        <v>334</v>
      </c>
      <c r="G874" s="66" t="s">
        <v>61</v>
      </c>
      <c r="H874" s="213">
        <f>ROUND([1]PubNotes!$C$16,D2)</f>
        <v>0</v>
      </c>
      <c r="I874" s="214"/>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303" t="s">
        <v>448</v>
      </c>
      <c r="G877" s="303"/>
      <c r="H877" s="303"/>
      <c r="I877" s="303"/>
      <c r="J877" s="40"/>
      <c r="K877" s="40"/>
      <c r="L877" s="40"/>
      <c r="M877" s="40"/>
      <c r="N877" s="40"/>
      <c r="O877" s="40"/>
      <c r="P877" s="41"/>
      <c r="Q877" s="2"/>
    </row>
    <row r="878" spans="1:17" ht="18.75" x14ac:dyDescent="0.4">
      <c r="A878" s="265" t="s">
        <v>278</v>
      </c>
      <c r="B878" s="305"/>
      <c r="C878" s="306"/>
      <c r="D878" s="307"/>
      <c r="E878" s="22"/>
      <c r="F878" s="70" t="s">
        <v>335</v>
      </c>
      <c r="G878" s="67" t="s">
        <v>61</v>
      </c>
      <c r="H878" s="213"/>
      <c r="I878" s="214"/>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24" t="str">
        <f>"At "&amp;TEXT(N2,"dd Mmm yyyy")&amp;":"</f>
        <v>At 30 Nov 2023:</v>
      </c>
      <c r="B881" s="225"/>
      <c r="C881" s="283"/>
      <c r="D881" s="284"/>
      <c r="E881" s="20"/>
      <c r="F881" s="70" t="s">
        <v>336</v>
      </c>
      <c r="G881" s="115" t="s">
        <v>61</v>
      </c>
      <c r="H881" s="242">
        <f>H868+H871-H874+H878</f>
        <v>0</v>
      </c>
      <c r="I881" s="325"/>
      <c r="J881" s="289"/>
      <c r="K881" s="290"/>
      <c r="L881" s="290"/>
      <c r="M881" s="290"/>
      <c r="N881" s="290"/>
      <c r="O881" s="290"/>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24" t="str">
        <f>"At "&amp;TEXT(N2,"dd Mmm yyyy")&amp;":"</f>
        <v>At 30 Nov 2023:</v>
      </c>
      <c r="B887" s="225"/>
      <c r="C887" s="283"/>
      <c r="D887" s="284"/>
      <c r="E887" s="20"/>
      <c r="F887" s="70" t="s">
        <v>337</v>
      </c>
      <c r="G887" s="115" t="s">
        <v>61</v>
      </c>
      <c r="H887" s="242">
        <f>H862-H881</f>
        <v>0</v>
      </c>
      <c r="I887" s="325"/>
      <c r="J887" s="289"/>
      <c r="K887" s="290"/>
      <c r="L887" s="290"/>
      <c r="M887" s="290"/>
      <c r="N887" s="290"/>
      <c r="O887" s="290"/>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65" t="str">
        <f>IF(H72&gt;0,"At "&amp;TEXT(H72,"dd Mmm yyyy")&amp;":","")</f>
        <v>At :</v>
      </c>
      <c r="B890" s="305"/>
      <c r="C890" s="306"/>
      <c r="D890" s="307"/>
      <c r="E890" s="22"/>
      <c r="F890" s="70" t="s">
        <v>468</v>
      </c>
      <c r="G890" s="107" t="s">
        <v>61</v>
      </c>
      <c r="H890" s="240">
        <f>IF(H72&gt;0,ROUND([1]OpenAccounts!$H$13,D2)-ROUND([1]OpenAccounts!$N$13,D2),"")</f>
        <v>0</v>
      </c>
      <c r="I890" s="241"/>
      <c r="J890" s="335"/>
      <c r="K890" s="344"/>
      <c r="L890" s="344"/>
      <c r="M890" s="344"/>
      <c r="N890" s="344"/>
      <c r="O890" s="344"/>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31" t="s">
        <v>145</v>
      </c>
      <c r="B894" s="232"/>
      <c r="C894" s="232"/>
      <c r="D894" s="232"/>
      <c r="F894" s="233"/>
      <c r="G894" s="233"/>
      <c r="H894" s="233"/>
      <c r="I894" s="233"/>
      <c r="J894" s="233"/>
      <c r="K894" s="233"/>
      <c r="L894" s="233"/>
      <c r="M894" s="233"/>
      <c r="N894" s="233"/>
      <c r="O894" s="233"/>
      <c r="P894" s="233"/>
      <c r="Q894" s="233"/>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34" t="s">
        <v>338</v>
      </c>
      <c r="B896" s="235"/>
      <c r="C896" s="235"/>
      <c r="D896" s="235"/>
      <c r="E896" s="236"/>
      <c r="F896" s="236"/>
      <c r="G896" s="236"/>
      <c r="H896" s="236"/>
      <c r="I896" s="236"/>
      <c r="J896" s="236"/>
      <c r="K896" s="236"/>
      <c r="L896" s="236"/>
      <c r="M896" s="236"/>
      <c r="N896" s="236"/>
      <c r="O896" s="236"/>
      <c r="P896" s="236"/>
      <c r="Q896" s="237"/>
    </row>
    <row r="897" spans="1:17" ht="24.75" customHeight="1" x14ac:dyDescent="0.25">
      <c r="A897" s="211" t="s">
        <v>339</v>
      </c>
      <c r="B897" s="212"/>
      <c r="C897" s="212"/>
      <c r="D897" s="212"/>
      <c r="E897" s="212"/>
      <c r="F897" s="212"/>
      <c r="G897" s="212"/>
      <c r="H897" s="212"/>
      <c r="I897" s="212"/>
      <c r="J897" s="212"/>
      <c r="K897" s="212"/>
      <c r="L897" s="212"/>
      <c r="M897" s="212"/>
      <c r="N897" s="212"/>
      <c r="O897" s="212"/>
      <c r="P897" s="212"/>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38" t="s">
        <v>259</v>
      </c>
      <c r="B899" s="239"/>
      <c r="C899" s="72"/>
      <c r="D899" s="72"/>
      <c r="E899" s="72"/>
      <c r="F899" s="238"/>
      <c r="G899" s="238"/>
      <c r="H899" s="238"/>
      <c r="I899" s="238"/>
      <c r="J899" s="238"/>
      <c r="K899" s="238"/>
      <c r="L899" s="238"/>
      <c r="M899" s="238"/>
      <c r="N899" s="238"/>
      <c r="O899" s="238"/>
      <c r="P899" s="238"/>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24" t="str">
        <f>"At "&amp;TEXT(J2,"dd Mmm yyyy")&amp;":"</f>
        <v>At 01 Dec 2022:</v>
      </c>
      <c r="B902" s="225"/>
      <c r="C902" s="283"/>
      <c r="D902" s="284"/>
      <c r="E902" s="20"/>
      <c r="F902" s="70" t="s">
        <v>469</v>
      </c>
      <c r="G902" s="115" t="s">
        <v>61</v>
      </c>
      <c r="H902" s="242">
        <f>H609+H668+H727+H786+H845</f>
        <v>0</v>
      </c>
      <c r="I902" s="243"/>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65" t="s">
        <v>263</v>
      </c>
      <c r="B905" s="305"/>
      <c r="C905" s="306"/>
      <c r="D905" s="307"/>
      <c r="E905" s="22"/>
      <c r="F905" s="70" t="s">
        <v>470</v>
      </c>
      <c r="G905" s="107" t="s">
        <v>61</v>
      </c>
      <c r="H905" s="240">
        <f>H612+H671+H730+H789+H848</f>
        <v>0</v>
      </c>
      <c r="I905" s="241"/>
      <c r="J905" s="335"/>
      <c r="K905" s="344"/>
      <c r="L905" s="344"/>
      <c r="M905" s="344"/>
      <c r="N905" s="344"/>
      <c r="O905" s="344"/>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24" t="s">
        <v>262</v>
      </c>
      <c r="B908" s="225"/>
      <c r="C908" s="283"/>
      <c r="D908" s="284"/>
      <c r="E908" s="20"/>
      <c r="F908" s="70" t="s">
        <v>471</v>
      </c>
      <c r="G908" s="115" t="s">
        <v>61</v>
      </c>
      <c r="H908" s="242">
        <f>H615+H674+H733+H792+H851</f>
        <v>0</v>
      </c>
      <c r="I908" s="243"/>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65" t="s">
        <v>264</v>
      </c>
      <c r="B911" s="305"/>
      <c r="C911" s="306"/>
      <c r="D911" s="307"/>
      <c r="E911" s="22"/>
      <c r="F911" s="70" t="s">
        <v>472</v>
      </c>
      <c r="G911" s="107" t="s">
        <v>61</v>
      </c>
      <c r="H911" s="240">
        <f>H619+H678+H737+H796+H855</f>
        <v>0</v>
      </c>
      <c r="I911" s="241"/>
      <c r="J911" s="335"/>
      <c r="K911" s="344"/>
      <c r="L911" s="344"/>
      <c r="M911" s="344"/>
      <c r="N911" s="344"/>
      <c r="O911" s="344"/>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24" t="s">
        <v>265</v>
      </c>
      <c r="B914" s="225"/>
      <c r="C914" s="283"/>
      <c r="D914" s="284"/>
      <c r="E914" s="20"/>
      <c r="F914" s="70" t="s">
        <v>473</v>
      </c>
      <c r="G914" s="115" t="s">
        <v>61</v>
      </c>
      <c r="H914" s="242">
        <f>H623+H682+H741+H800+H859</f>
        <v>0</v>
      </c>
      <c r="I914" s="243"/>
      <c r="J914" s="289"/>
      <c r="K914" s="290"/>
      <c r="L914" s="290"/>
      <c r="M914" s="290"/>
      <c r="N914" s="290"/>
      <c r="O914" s="290"/>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65" t="str">
        <f>"At "&amp;TEXT(N2,"dd Mmm yyyy")&amp;":"</f>
        <v>At 30 Nov 2023:</v>
      </c>
      <c r="B917" s="305"/>
      <c r="C917" s="306"/>
      <c r="D917" s="307"/>
      <c r="E917" s="22"/>
      <c r="F917" s="70" t="s">
        <v>474</v>
      </c>
      <c r="G917" s="107" t="s">
        <v>61</v>
      </c>
      <c r="H917" s="240">
        <f>H626+H685+H744+H803+H862</f>
        <v>0</v>
      </c>
      <c r="I917" s="241"/>
      <c r="J917" s="335"/>
      <c r="K917" s="344"/>
      <c r="L917" s="344"/>
      <c r="M917" s="344"/>
      <c r="N917" s="344"/>
      <c r="O917" s="344"/>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38" t="s">
        <v>270</v>
      </c>
      <c r="B920" s="239"/>
      <c r="C920" s="72"/>
      <c r="D920" s="72"/>
      <c r="E920" s="72"/>
      <c r="F920" s="238"/>
      <c r="G920" s="238"/>
      <c r="H920" s="238"/>
      <c r="I920" s="238"/>
      <c r="J920" s="238"/>
      <c r="K920" s="238"/>
      <c r="L920" s="238"/>
      <c r="M920" s="238"/>
      <c r="N920" s="238"/>
      <c r="O920" s="238"/>
      <c r="P920" s="238"/>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24" t="str">
        <f>"At "&amp;TEXT(J2,"dd Mmm yyyy")&amp;":"</f>
        <v>At 01 Dec 2022:</v>
      </c>
      <c r="B923" s="225"/>
      <c r="C923" s="283"/>
      <c r="D923" s="284"/>
      <c r="E923" s="20"/>
      <c r="F923" s="70" t="s">
        <v>475</v>
      </c>
      <c r="G923" s="115" t="s">
        <v>61</v>
      </c>
      <c r="H923" s="242">
        <f>H632+H691+H750+H809+H868</f>
        <v>0</v>
      </c>
      <c r="I923" s="243"/>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65" t="s">
        <v>276</v>
      </c>
      <c r="B926" s="305"/>
      <c r="C926" s="306"/>
      <c r="D926" s="307"/>
      <c r="E926" s="22"/>
      <c r="F926" s="70" t="s">
        <v>476</v>
      </c>
      <c r="G926" s="107" t="s">
        <v>61</v>
      </c>
      <c r="H926" s="240">
        <f>H635+H694+H753+H812+H871</f>
        <v>0</v>
      </c>
      <c r="I926" s="241"/>
      <c r="J926" s="335"/>
      <c r="K926" s="344"/>
      <c r="L926" s="344"/>
      <c r="M926" s="344"/>
      <c r="N926" s="344"/>
      <c r="O926" s="344"/>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24" t="s">
        <v>277</v>
      </c>
      <c r="B929" s="225"/>
      <c r="C929" s="283"/>
      <c r="D929" s="284"/>
      <c r="E929" s="20"/>
      <c r="F929" s="70" t="s">
        <v>477</v>
      </c>
      <c r="G929" s="115" t="s">
        <v>61</v>
      </c>
      <c r="H929" s="242">
        <f>H638+H697+H756+H815+H874</f>
        <v>0</v>
      </c>
      <c r="I929" s="243"/>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65" t="s">
        <v>278</v>
      </c>
      <c r="B932" s="305"/>
      <c r="C932" s="306"/>
      <c r="D932" s="307"/>
      <c r="E932" s="22"/>
      <c r="F932" s="70" t="s">
        <v>478</v>
      </c>
      <c r="G932" s="107" t="s">
        <v>61</v>
      </c>
      <c r="H932" s="240">
        <f>H642+H701+H760+H819+H878</f>
        <v>0</v>
      </c>
      <c r="I932" s="241"/>
      <c r="J932" s="335"/>
      <c r="K932" s="344"/>
      <c r="L932" s="344"/>
      <c r="M932" s="344"/>
      <c r="N932" s="344"/>
      <c r="O932" s="344"/>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24" t="str">
        <f>"At "&amp;TEXT(N2,"dd Mmm yyyy")&amp;":"</f>
        <v>At 30 Nov 2023:</v>
      </c>
      <c r="B935" s="225"/>
      <c r="C935" s="283"/>
      <c r="D935" s="284"/>
      <c r="E935" s="20"/>
      <c r="F935" s="70" t="s">
        <v>479</v>
      </c>
      <c r="G935" s="115" t="s">
        <v>61</v>
      </c>
      <c r="H935" s="242">
        <f>H645+H704+H763+H822+H881</f>
        <v>0</v>
      </c>
      <c r="I935" s="243"/>
      <c r="J935" s="289"/>
      <c r="K935" s="290"/>
      <c r="L935" s="290"/>
      <c r="M935" s="290"/>
      <c r="N935" s="290"/>
      <c r="O935" s="290"/>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24" t="str">
        <f>"At "&amp;TEXT(N2,"dd Mmm yyyy")&amp;":"</f>
        <v>At 30 Nov 2023:</v>
      </c>
      <c r="B941" s="225"/>
      <c r="C941" s="283"/>
      <c r="D941" s="284"/>
      <c r="E941" s="20"/>
      <c r="F941" s="70" t="s">
        <v>480</v>
      </c>
      <c r="G941" s="115" t="s">
        <v>61</v>
      </c>
      <c r="H941" s="242">
        <f>H651+H710+H769+H828+H887</f>
        <v>0</v>
      </c>
      <c r="I941" s="243"/>
      <c r="J941" s="289"/>
      <c r="K941" s="290"/>
      <c r="L941" s="290"/>
      <c r="M941" s="290"/>
      <c r="N941" s="290"/>
      <c r="O941" s="290"/>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65" t="str">
        <f>IF(H72&gt;0,"At "&amp;TEXT(H72,"dd Mmm yyyy")&amp;":","")</f>
        <v>At :</v>
      </c>
      <c r="B944" s="305"/>
      <c r="C944" s="306"/>
      <c r="D944" s="307"/>
      <c r="E944" s="22"/>
      <c r="F944" s="70" t="s">
        <v>481</v>
      </c>
      <c r="G944" s="107" t="s">
        <v>61</v>
      </c>
      <c r="H944" s="240">
        <f>IF(H72&gt;0,H654+H713+H772+H831+H890,"")</f>
        <v>0</v>
      </c>
      <c r="I944" s="241"/>
      <c r="J944" s="335"/>
      <c r="K944" s="344"/>
      <c r="L944" s="344"/>
      <c r="M944" s="344"/>
      <c r="N944" s="344"/>
      <c r="O944" s="344"/>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345" t="s">
        <v>209</v>
      </c>
      <c r="B947" s="345"/>
      <c r="C947" s="345"/>
      <c r="D947" s="345"/>
      <c r="E947" s="345"/>
      <c r="F947" s="345"/>
      <c r="G947" s="345"/>
      <c r="H947" s="345"/>
      <c r="I947" s="345"/>
      <c r="J947" s="345"/>
      <c r="K947" s="345"/>
      <c r="L947" s="345"/>
      <c r="M947" s="345"/>
      <c r="N947" s="345"/>
      <c r="O947" s="345"/>
      <c r="Q947" s="2"/>
    </row>
    <row r="948" spans="1:17" x14ac:dyDescent="0.25">
      <c r="Q948" s="2"/>
    </row>
    <row r="949" spans="1:17" ht="99.95" customHeight="1" x14ac:dyDescent="0.25">
      <c r="A949" s="213"/>
      <c r="B949" s="346"/>
      <c r="C949" s="347"/>
      <c r="D949" s="347"/>
      <c r="E949" s="347"/>
      <c r="F949" s="347"/>
      <c r="G949" s="347"/>
      <c r="H949" s="347"/>
      <c r="I949" s="347"/>
      <c r="J949" s="347"/>
      <c r="K949" s="347"/>
      <c r="L949" s="347"/>
      <c r="M949" s="347"/>
      <c r="N949" s="347"/>
      <c r="O949" s="347"/>
      <c r="P949" s="348"/>
      <c r="Q949" s="2"/>
    </row>
    <row r="950" spans="1:17" x14ac:dyDescent="0.25">
      <c r="Q950" s="2"/>
    </row>
    <row r="952" spans="1:17" ht="15.75" x14ac:dyDescent="0.25">
      <c r="A952" s="231" t="s">
        <v>145</v>
      </c>
      <c r="B952" s="232"/>
      <c r="C952" s="232"/>
      <c r="D952" s="232"/>
      <c r="F952" s="233"/>
      <c r="G952" s="233"/>
      <c r="H952" s="233"/>
      <c r="I952" s="233"/>
      <c r="J952" s="233"/>
      <c r="K952" s="233"/>
      <c r="L952" s="233"/>
      <c r="M952" s="233"/>
      <c r="N952" s="233"/>
      <c r="O952" s="233"/>
      <c r="P952" s="233"/>
      <c r="Q952" s="233"/>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34" t="s">
        <v>157</v>
      </c>
      <c r="B954" s="235"/>
      <c r="C954" s="235"/>
      <c r="D954" s="235"/>
      <c r="E954" s="236"/>
      <c r="F954" s="236"/>
      <c r="G954" s="236"/>
      <c r="H954" s="236"/>
      <c r="I954" s="236"/>
      <c r="J954" s="236"/>
      <c r="K954" s="236"/>
      <c r="L954" s="236"/>
      <c r="M954" s="236"/>
      <c r="N954" s="236"/>
      <c r="O954" s="236"/>
      <c r="P954" s="236"/>
      <c r="Q954" s="237"/>
    </row>
    <row r="955" spans="1:17" x14ac:dyDescent="0.25">
      <c r="A955" s="211" t="s">
        <v>340</v>
      </c>
      <c r="B955" s="212"/>
      <c r="C955" s="212"/>
      <c r="D955" s="212"/>
      <c r="E955" s="212"/>
      <c r="F955" s="212"/>
      <c r="G955" s="212"/>
      <c r="H955" s="212"/>
      <c r="I955" s="212"/>
      <c r="J955" s="212"/>
      <c r="K955" s="212"/>
      <c r="L955" s="212"/>
      <c r="M955" s="212"/>
      <c r="N955" s="212"/>
      <c r="O955" s="212"/>
      <c r="P955" s="212"/>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1" t="s">
        <v>970</v>
      </c>
      <c r="B957" s="212"/>
      <c r="C957" s="212"/>
      <c r="D957" s="212"/>
      <c r="E957" s="212"/>
      <c r="F957" s="212"/>
      <c r="G957" s="212"/>
      <c r="H957" s="212"/>
      <c r="I957" s="212"/>
      <c r="J957" s="212"/>
      <c r="K957" s="212"/>
      <c r="L957" s="212"/>
      <c r="M957" s="212"/>
      <c r="N957" s="212"/>
      <c r="O957" s="212"/>
      <c r="P957" s="212"/>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38"/>
      <c r="B959" s="239"/>
      <c r="C959" s="72"/>
      <c r="D959" s="72"/>
      <c r="E959" s="72"/>
      <c r="F959" s="140" t="str">
        <f>TEXT(N2,"yyyy")</f>
        <v>2023</v>
      </c>
      <c r="G959" s="140"/>
      <c r="H959" s="140"/>
      <c r="I959" s="140"/>
      <c r="J959" s="140"/>
      <c r="K959" s="140"/>
      <c r="L959" s="238" t="str">
        <f>IF(H72&gt;0,TEXT(H72,"yyyy"),"")</f>
        <v/>
      </c>
      <c r="M959" s="239"/>
      <c r="N959" s="239"/>
      <c r="O959" s="239"/>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24" t="s">
        <v>345</v>
      </c>
      <c r="B962" s="225"/>
      <c r="C962" s="283"/>
      <c r="D962" s="284"/>
      <c r="E962" s="20"/>
      <c r="F962" s="70" t="s">
        <v>341</v>
      </c>
      <c r="G962" s="66" t="s">
        <v>61</v>
      </c>
      <c r="H962" s="213">
        <f>ROUND([1]TrialBalance!$EJ$20,D2)</f>
        <v>0</v>
      </c>
      <c r="I962" s="214"/>
      <c r="J962" s="146"/>
      <c r="K962" s="109"/>
      <c r="L962" s="70" t="s">
        <v>482</v>
      </c>
      <c r="M962" s="66" t="s">
        <v>61</v>
      </c>
      <c r="N962" s="213">
        <f>IF(H72&gt;0,ROUND([1]TrialBalance!$D$20,D2),"")</f>
        <v>0</v>
      </c>
      <c r="O962" s="214"/>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303"/>
      <c r="G965" s="303"/>
      <c r="H965" s="303"/>
      <c r="I965" s="303"/>
      <c r="J965" s="40"/>
      <c r="K965" s="40"/>
      <c r="L965" s="303"/>
      <c r="M965" s="303"/>
      <c r="N965" s="303"/>
      <c r="O965" s="303"/>
      <c r="P965" s="41"/>
      <c r="Q965" s="2"/>
    </row>
    <row r="966" spans="1:17" ht="16.5" customHeight="1" x14ac:dyDescent="0.4">
      <c r="A966" s="265" t="s">
        <v>346</v>
      </c>
      <c r="B966" s="305"/>
      <c r="C966" s="306"/>
      <c r="D966" s="307"/>
      <c r="E966" s="22"/>
      <c r="F966" s="70" t="s">
        <v>342</v>
      </c>
      <c r="G966" s="67" t="s">
        <v>61</v>
      </c>
      <c r="H966" s="213">
        <f>IF(ROUND([1]TrialBalance!$EJ$39,D2)&lt;0,0,ROUND([1]TrialBalance!$EJ$39,D2))+ROUND([1]TrialBalance!$EJ$37,D2)</f>
        <v>0</v>
      </c>
      <c r="I966" s="214"/>
      <c r="J966" s="143"/>
      <c r="K966" s="142"/>
      <c r="L966" s="70" t="s">
        <v>483</v>
      </c>
      <c r="M966" s="67" t="s">
        <v>61</v>
      </c>
      <c r="N966" s="213">
        <f>IF(H72&gt;0,IF(ROUND([1]TrialBalance!$D$39,D2)&lt;0,0,ROUND([1]TrialBalance!$D$39,D2))+ROUND([1]TrialBalance!$D$37,D2),"")</f>
        <v>0</v>
      </c>
      <c r="O966" s="214"/>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04" t="s">
        <v>448</v>
      </c>
      <c r="G969" s="304"/>
      <c r="H969" s="304"/>
      <c r="I969" s="304"/>
      <c r="J969" s="27"/>
      <c r="K969" s="27"/>
      <c r="L969" s="304" t="s">
        <v>448</v>
      </c>
      <c r="M969" s="304"/>
      <c r="N969" s="304"/>
      <c r="O969" s="304"/>
      <c r="P969" s="26"/>
      <c r="Q969" s="2"/>
    </row>
    <row r="970" spans="1:17" ht="15" customHeight="1" x14ac:dyDescent="0.35">
      <c r="A970" s="224" t="s">
        <v>347</v>
      </c>
      <c r="B970" s="225"/>
      <c r="C970" s="283"/>
      <c r="D970" s="284"/>
      <c r="E970" s="20"/>
      <c r="F970" s="70" t="s">
        <v>343</v>
      </c>
      <c r="G970" s="66" t="s">
        <v>61</v>
      </c>
      <c r="H970" s="213"/>
      <c r="I970" s="214"/>
      <c r="J970" s="146"/>
      <c r="K970" s="109"/>
      <c r="L970" s="70" t="s">
        <v>484</v>
      </c>
      <c r="M970" s="66" t="s">
        <v>61</v>
      </c>
      <c r="N970" s="213"/>
      <c r="O970" s="214"/>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357" t="s">
        <v>212</v>
      </c>
      <c r="B973" s="358"/>
      <c r="C973" s="354"/>
      <c r="D973" s="359"/>
      <c r="E973" s="22"/>
      <c r="F973" s="70" t="s">
        <v>344</v>
      </c>
      <c r="G973" s="107" t="s">
        <v>61</v>
      </c>
      <c r="H973" s="240">
        <f>H962+H966+H970</f>
        <v>0</v>
      </c>
      <c r="I973" s="241"/>
      <c r="J973" s="147"/>
      <c r="K973" s="142"/>
      <c r="L973" s="70" t="s">
        <v>485</v>
      </c>
      <c r="M973" s="107" t="s">
        <v>61</v>
      </c>
      <c r="N973" s="240">
        <f>IF(H72&gt;0,N962+N966+N970,"")</f>
        <v>0</v>
      </c>
      <c r="O973" s="241"/>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12" t="s">
        <v>209</v>
      </c>
      <c r="B976" s="212"/>
      <c r="C976" s="212"/>
      <c r="D976" s="212"/>
      <c r="E976" s="212"/>
      <c r="F976" s="212"/>
      <c r="G976" s="212"/>
      <c r="H976" s="212"/>
      <c r="I976" s="212"/>
      <c r="J976" s="212"/>
      <c r="K976" s="212"/>
      <c r="L976" s="212"/>
      <c r="M976" s="212"/>
      <c r="N976" s="212"/>
      <c r="O976" s="212"/>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13" t="str">
        <f>IF(ROUND([1]TrialBalance!$EJ$37,0)&lt;&gt;0,"The total value of Long Term Debtors falling due in more than one year is " &amp; TEXT(ROUND([1]TrialBalance!$EJ$37,0),"0.00"),"")</f>
        <v/>
      </c>
      <c r="B978" s="346"/>
      <c r="C978" s="347"/>
      <c r="D978" s="347"/>
      <c r="E978" s="347"/>
      <c r="F978" s="347"/>
      <c r="G978" s="347"/>
      <c r="H978" s="347"/>
      <c r="I978" s="347"/>
      <c r="J978" s="347"/>
      <c r="K978" s="347"/>
      <c r="L978" s="347"/>
      <c r="M978" s="347"/>
      <c r="N978" s="347"/>
      <c r="O978" s="347"/>
      <c r="P978" s="348"/>
      <c r="Q978" s="2"/>
    </row>
    <row r="979" spans="1:17" x14ac:dyDescent="0.25">
      <c r="Q979" s="2"/>
    </row>
    <row r="980" spans="1:17" ht="35.25" customHeight="1" x14ac:dyDescent="0.25">
      <c r="A980" s="334" t="s">
        <v>353</v>
      </c>
      <c r="B980" s="334"/>
      <c r="C980" s="334"/>
      <c r="D980" s="334"/>
      <c r="E980" s="334"/>
      <c r="F980" s="334"/>
      <c r="G980" s="334"/>
      <c r="H980" s="334"/>
      <c r="I980" s="334"/>
      <c r="J980" s="334"/>
      <c r="K980" s="334"/>
      <c r="L980" s="334"/>
      <c r="M980" s="334"/>
      <c r="N980" s="334"/>
      <c r="O980" s="334"/>
      <c r="P980" s="334"/>
      <c r="Q980" s="2"/>
    </row>
    <row r="981" spans="1:17" x14ac:dyDescent="0.25">
      <c r="Q981" s="2"/>
    </row>
    <row r="982" spans="1:17" ht="29.25" customHeight="1" x14ac:dyDescent="0.25">
      <c r="A982" s="266" t="s">
        <v>348</v>
      </c>
      <c r="B982" s="266"/>
      <c r="C982" s="266"/>
      <c r="D982" s="266"/>
      <c r="E982" s="266"/>
      <c r="F982" s="266"/>
      <c r="G982" s="266"/>
      <c r="H982" s="266"/>
      <c r="I982" s="266"/>
      <c r="J982" s="58" t="s">
        <v>31</v>
      </c>
      <c r="K982" s="59"/>
      <c r="L982" s="60"/>
      <c r="M982" s="59" t="s">
        <v>29</v>
      </c>
      <c r="N982" s="117" t="s">
        <v>138</v>
      </c>
      <c r="O982" s="59" t="s">
        <v>30</v>
      </c>
      <c r="Q982" s="2"/>
    </row>
    <row r="983" spans="1:17" x14ac:dyDescent="0.25">
      <c r="Q983" s="2"/>
    </row>
    <row r="987" spans="1:17" ht="15.75" x14ac:dyDescent="0.25">
      <c r="A987" s="231" t="s">
        <v>145</v>
      </c>
      <c r="B987" s="232"/>
      <c r="C987" s="232"/>
      <c r="D987" s="232"/>
      <c r="F987" s="233"/>
      <c r="G987" s="233"/>
      <c r="H987" s="233"/>
      <c r="I987" s="233"/>
      <c r="J987" s="233"/>
      <c r="K987" s="233"/>
      <c r="L987" s="233"/>
      <c r="M987" s="233"/>
      <c r="N987" s="233"/>
      <c r="O987" s="233"/>
      <c r="P987" s="233"/>
      <c r="Q987" s="233"/>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34" t="s">
        <v>108</v>
      </c>
      <c r="B989" s="235"/>
      <c r="C989" s="235"/>
      <c r="D989" s="235"/>
      <c r="E989" s="236"/>
      <c r="F989" s="236"/>
      <c r="G989" s="236"/>
      <c r="H989" s="236"/>
      <c r="I989" s="236"/>
      <c r="J989" s="236"/>
      <c r="K989" s="236"/>
      <c r="L989" s="236"/>
      <c r="M989" s="236"/>
      <c r="N989" s="236"/>
      <c r="O989" s="236"/>
      <c r="P989" s="236"/>
      <c r="Q989" s="237"/>
    </row>
    <row r="990" spans="1:17" x14ac:dyDescent="0.25">
      <c r="A990" s="211" t="s">
        <v>349</v>
      </c>
      <c r="B990" s="212"/>
      <c r="C990" s="212"/>
      <c r="D990" s="212"/>
      <c r="E990" s="212"/>
      <c r="F990" s="212"/>
      <c r="G990" s="212"/>
      <c r="H990" s="212"/>
      <c r="I990" s="212"/>
      <c r="J990" s="212"/>
      <c r="K990" s="212"/>
      <c r="L990" s="212"/>
      <c r="M990" s="212"/>
      <c r="N990" s="212"/>
      <c r="O990" s="212"/>
      <c r="P990" s="212"/>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1" t="s">
        <v>970</v>
      </c>
      <c r="B992" s="212"/>
      <c r="C992" s="212"/>
      <c r="D992" s="212"/>
      <c r="E992" s="212"/>
      <c r="F992" s="212"/>
      <c r="G992" s="212"/>
      <c r="H992" s="212"/>
      <c r="I992" s="212"/>
      <c r="J992" s="212"/>
      <c r="K992" s="212"/>
      <c r="L992" s="212"/>
      <c r="M992" s="212"/>
      <c r="N992" s="212"/>
      <c r="O992" s="212"/>
      <c r="P992" s="212"/>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38"/>
      <c r="B994" s="239"/>
      <c r="C994" s="72"/>
      <c r="D994" s="72"/>
      <c r="E994" s="72"/>
      <c r="F994" s="140" t="str">
        <f>TEXT(N2,"yyyy")</f>
        <v>2023</v>
      </c>
      <c r="G994" s="140"/>
      <c r="H994" s="140"/>
      <c r="I994" s="140"/>
      <c r="J994" s="140"/>
      <c r="K994" s="140"/>
      <c r="L994" s="238" t="str">
        <f>IF(H72&gt;0,TEXT(H72,"yyyy"),"")</f>
        <v/>
      </c>
      <c r="M994" s="239"/>
      <c r="N994" s="239"/>
      <c r="O994" s="239"/>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24" t="s">
        <v>354</v>
      </c>
      <c r="B997" s="225"/>
      <c r="C997" s="283"/>
      <c r="D997" s="284"/>
      <c r="E997" s="20"/>
      <c r="F997" s="70" t="s">
        <v>350</v>
      </c>
      <c r="G997" s="66" t="s">
        <v>61</v>
      </c>
      <c r="H997" s="213">
        <f>IF(ROUND(SUM([1]TrialBalance!EJ22:EJ24),D2)&lt;0,ROUND(-SUM([1]TrialBalance!EJ22:EJ24),D2),0)</f>
        <v>0</v>
      </c>
      <c r="I997" s="214"/>
      <c r="J997" s="128"/>
      <c r="K997" s="109"/>
      <c r="L997" s="70" t="s">
        <v>486</v>
      </c>
      <c r="M997" s="66" t="s">
        <v>61</v>
      </c>
      <c r="N997" s="213">
        <f>IF(H72&gt;0,IF(ROUND(SUM([1]TrialBalance!D22:D24),D2)&lt;0,ROUND(-SUM([1]TrialBalance!D22:D24),D2),0),"")</f>
        <v>0</v>
      </c>
      <c r="O997" s="214"/>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360" t="s">
        <v>252</v>
      </c>
      <c r="G1000" s="360"/>
      <c r="H1000" s="360"/>
      <c r="I1000" s="360"/>
      <c r="J1000" s="164"/>
      <c r="K1000" s="163"/>
      <c r="L1000" s="360" t="s">
        <v>252</v>
      </c>
      <c r="M1000" s="360"/>
      <c r="N1000" s="360"/>
      <c r="O1000" s="360"/>
      <c r="P1000" s="41"/>
      <c r="Q1000" s="2"/>
    </row>
    <row r="1001" spans="1:17" ht="29.25" customHeight="1" x14ac:dyDescent="0.25">
      <c r="A1001" s="265" t="s">
        <v>355</v>
      </c>
      <c r="B1001" s="305"/>
      <c r="C1001" s="306"/>
      <c r="D1001" s="307"/>
      <c r="E1001" s="22"/>
      <c r="F1001" s="70" t="s">
        <v>351</v>
      </c>
      <c r="G1001" s="120" t="s">
        <v>61</v>
      </c>
      <c r="H1001" s="258"/>
      <c r="I1001" s="259"/>
      <c r="J1001" s="129"/>
      <c r="K1001" s="156"/>
      <c r="L1001" s="70" t="s">
        <v>487</v>
      </c>
      <c r="M1001" s="120" t="s">
        <v>61</v>
      </c>
      <c r="N1001" s="258"/>
      <c r="O1001" s="259"/>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24" t="s">
        <v>356</v>
      </c>
      <c r="B1004" s="225"/>
      <c r="C1004" s="283"/>
      <c r="D1004" s="284"/>
      <c r="E1004" s="20"/>
      <c r="F1004" s="70" t="s">
        <v>352</v>
      </c>
      <c r="G1004" s="66" t="s">
        <v>61</v>
      </c>
      <c r="H1004" s="213">
        <f>-ROUND([1]TrialBalance!$EJ$28+[1]TrialBalance!$EJ$29+[1]TrialBalance!$EJ$30+[1]TrialBalance!$EJ$31,D2)</f>
        <v>0</v>
      </c>
      <c r="I1004" s="214"/>
      <c r="J1004" s="175"/>
      <c r="K1004" s="109"/>
      <c r="L1004" s="70" t="s">
        <v>488</v>
      </c>
      <c r="M1004" s="66" t="s">
        <v>61</v>
      </c>
      <c r="N1004" s="213">
        <f>IF(H72&gt;0,-ROUND([1]TrialBalance!$D$28+[1]TrialBalance!$D$29+[1]TrialBalance!$D$30+[1]TrialBalance!$D$31,D2),"")</f>
        <v>0</v>
      </c>
      <c r="O1004" s="214"/>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65" t="s">
        <v>357</v>
      </c>
      <c r="B1007" s="305"/>
      <c r="C1007" s="306"/>
      <c r="D1007" s="307"/>
      <c r="E1007" s="22"/>
      <c r="F1007" s="70" t="s">
        <v>362</v>
      </c>
      <c r="G1007" s="67" t="s">
        <v>61</v>
      </c>
      <c r="H1007" s="213">
        <f>-(ROUND([1]TrialBalance!$EJ$32+[1]TrialBalance!$EJ$33+[1]TrialBalance!$EJ$34+[1]TrialBalance!$EJ$35,D2))</f>
        <v>0</v>
      </c>
      <c r="I1007" s="214"/>
      <c r="J1007" s="154"/>
      <c r="K1007" s="142"/>
      <c r="L1007" s="70" t="s">
        <v>489</v>
      </c>
      <c r="M1007" s="67" t="s">
        <v>61</v>
      </c>
      <c r="N1007" s="213">
        <f>IF(H72&gt;0,-(ROUND([1]TrialBalance!$D$32+[1]TrialBalance!$D$33+[1]TrialBalance!$D$34+[1]TrialBalance!$D$35,D2)),"")</f>
        <v>0</v>
      </c>
      <c r="O1007" s="214"/>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316" t="s">
        <v>448</v>
      </c>
      <c r="G1010" s="316"/>
      <c r="H1010" s="316"/>
      <c r="I1010" s="316"/>
      <c r="J1010" s="127"/>
      <c r="K1010" s="109"/>
      <c r="L1010" s="316" t="s">
        <v>448</v>
      </c>
      <c r="M1010" s="316"/>
      <c r="N1010" s="316"/>
      <c r="O1010" s="316"/>
      <c r="P1010" s="26"/>
      <c r="Q1010" s="2"/>
    </row>
    <row r="1011" spans="1:17" ht="15" customHeight="1" x14ac:dyDescent="0.35">
      <c r="A1011" s="224" t="s">
        <v>358</v>
      </c>
      <c r="B1011" s="225"/>
      <c r="C1011" s="283"/>
      <c r="D1011" s="284"/>
      <c r="E1011" s="20"/>
      <c r="F1011" s="70" t="s">
        <v>363</v>
      </c>
      <c r="G1011" s="66" t="s">
        <v>61</v>
      </c>
      <c r="H1011" s="213"/>
      <c r="I1011" s="214"/>
      <c r="J1011" s="128"/>
      <c r="K1011" s="109"/>
      <c r="L1011" s="70" t="s">
        <v>490</v>
      </c>
      <c r="M1011" s="66" t="s">
        <v>61</v>
      </c>
      <c r="N1011" s="213"/>
      <c r="O1011" s="214"/>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65" t="s">
        <v>359</v>
      </c>
      <c r="B1014" s="305"/>
      <c r="C1014" s="306"/>
      <c r="D1014" s="307"/>
      <c r="E1014" s="22"/>
      <c r="F1014" s="70" t="s">
        <v>364</v>
      </c>
      <c r="G1014" s="67" t="s">
        <v>61</v>
      </c>
      <c r="H1014" s="213">
        <v>0</v>
      </c>
      <c r="I1014" s="214"/>
      <c r="J1014" s="154"/>
      <c r="K1014" s="142"/>
      <c r="L1014" s="70" t="s">
        <v>491</v>
      </c>
      <c r="M1014" s="67" t="s">
        <v>61</v>
      </c>
      <c r="N1014" s="213">
        <v>0</v>
      </c>
      <c r="O1014" s="214"/>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44" t="s">
        <v>212</v>
      </c>
      <c r="B1017" s="245"/>
      <c r="C1017" s="285"/>
      <c r="D1017" s="286"/>
      <c r="E1017" s="20"/>
      <c r="F1017" s="70" t="s">
        <v>365</v>
      </c>
      <c r="G1017" s="119" t="s">
        <v>61</v>
      </c>
      <c r="H1017" s="361">
        <f>SUM(H997,H1001,H1004,H1007,H1011,H1014)</f>
        <v>0</v>
      </c>
      <c r="I1017" s="362"/>
      <c r="J1017" s="127"/>
      <c r="K1017" s="109"/>
      <c r="L1017" s="70" t="s">
        <v>492</v>
      </c>
      <c r="M1017" s="119" t="s">
        <v>61</v>
      </c>
      <c r="N1017" s="361">
        <f>IF(H72&gt;0,SUM(N997,N1001,N1004,N1007,N1011,N1014),"")</f>
        <v>0</v>
      </c>
      <c r="O1017" s="362"/>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12" t="s">
        <v>209</v>
      </c>
      <c r="B1020" s="212"/>
      <c r="C1020" s="212"/>
      <c r="D1020" s="212"/>
      <c r="E1020" s="212"/>
      <c r="F1020" s="212"/>
      <c r="G1020" s="212"/>
      <c r="H1020" s="212"/>
      <c r="I1020" s="212"/>
      <c r="J1020" s="212"/>
      <c r="K1020" s="212"/>
      <c r="L1020" s="212"/>
      <c r="M1020" s="212"/>
      <c r="N1020" s="212"/>
      <c r="O1020" s="212"/>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13" t="str">
        <f>IF(ROUND([1]TrialBalance!$EJ$37,0)&lt;&gt;0,"The total value of Long Term Debtors falling due in more than one year is " &amp; TEXT(ROUND([1]TrialBalance!$EJ$37,0),"0.00"),"")</f>
        <v/>
      </c>
      <c r="B1022" s="346"/>
      <c r="C1022" s="347"/>
      <c r="D1022" s="347"/>
      <c r="E1022" s="347"/>
      <c r="F1022" s="347"/>
      <c r="G1022" s="347"/>
      <c r="H1022" s="347"/>
      <c r="I1022" s="347"/>
      <c r="J1022" s="347"/>
      <c r="K1022" s="347"/>
      <c r="L1022" s="347"/>
      <c r="M1022" s="347"/>
      <c r="N1022" s="347"/>
      <c r="O1022" s="347"/>
      <c r="P1022" s="348"/>
      <c r="Q1022" s="2"/>
    </row>
    <row r="1023" spans="1:17" x14ac:dyDescent="0.25">
      <c r="Q1023" s="2"/>
    </row>
    <row r="1024" spans="1:17" ht="35.25" customHeight="1" x14ac:dyDescent="0.25">
      <c r="A1024" s="334" t="s">
        <v>353</v>
      </c>
      <c r="B1024" s="334"/>
      <c r="C1024" s="334"/>
      <c r="D1024" s="334"/>
      <c r="E1024" s="334"/>
      <c r="F1024" s="334"/>
      <c r="G1024" s="334"/>
      <c r="H1024" s="334"/>
      <c r="I1024" s="334"/>
      <c r="J1024" s="334"/>
      <c r="K1024" s="334"/>
      <c r="L1024" s="334"/>
      <c r="M1024" s="334"/>
      <c r="N1024" s="334"/>
      <c r="O1024" s="334"/>
      <c r="P1024" s="334"/>
      <c r="Q1024" s="2"/>
    </row>
    <row r="1025" spans="1:17" x14ac:dyDescent="0.25">
      <c r="Q1025" s="2"/>
    </row>
    <row r="1026" spans="1:17" ht="29.25" customHeight="1" x14ac:dyDescent="0.25">
      <c r="A1026" s="266" t="s">
        <v>348</v>
      </c>
      <c r="B1026" s="266"/>
      <c r="C1026" s="266"/>
      <c r="D1026" s="266"/>
      <c r="E1026" s="266"/>
      <c r="F1026" s="266"/>
      <c r="G1026" s="266"/>
      <c r="H1026" s="266"/>
      <c r="I1026" s="266"/>
      <c r="J1026" s="58" t="s">
        <v>31</v>
      </c>
      <c r="K1026" s="59"/>
      <c r="L1026" s="264" t="s">
        <v>29</v>
      </c>
      <c r="M1026" s="264"/>
      <c r="N1026" s="117" t="s">
        <v>138</v>
      </c>
      <c r="O1026" s="59" t="s">
        <v>30</v>
      </c>
      <c r="Q1026" s="2"/>
    </row>
    <row r="1027" spans="1:17" x14ac:dyDescent="0.25">
      <c r="Q1027" s="2"/>
    </row>
    <row r="1030" spans="1:17" ht="15.75" x14ac:dyDescent="0.25">
      <c r="A1030" s="231" t="s">
        <v>145</v>
      </c>
      <c r="B1030" s="232"/>
      <c r="C1030" s="232"/>
      <c r="D1030" s="232"/>
      <c r="F1030" s="233"/>
      <c r="G1030" s="233"/>
      <c r="H1030" s="233"/>
      <c r="I1030" s="233"/>
      <c r="J1030" s="233"/>
      <c r="K1030" s="233"/>
      <c r="L1030" s="233"/>
      <c r="M1030" s="233"/>
      <c r="N1030" s="233"/>
      <c r="O1030" s="233"/>
      <c r="P1030" s="233"/>
      <c r="Q1030" s="233"/>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34" t="s">
        <v>158</v>
      </c>
      <c r="B1032" s="235"/>
      <c r="C1032" s="235"/>
      <c r="D1032" s="235"/>
      <c r="E1032" s="236"/>
      <c r="F1032" s="236"/>
      <c r="G1032" s="236"/>
      <c r="H1032" s="236"/>
      <c r="I1032" s="236"/>
      <c r="J1032" s="236"/>
      <c r="K1032" s="236"/>
      <c r="L1032" s="236"/>
      <c r="M1032" s="236"/>
      <c r="N1032" s="236"/>
      <c r="O1032" s="236"/>
      <c r="P1032" s="236"/>
      <c r="Q1032" s="237"/>
    </row>
    <row r="1033" spans="1:17" x14ac:dyDescent="0.25">
      <c r="A1033" s="211" t="s">
        <v>360</v>
      </c>
      <c r="B1033" s="212"/>
      <c r="C1033" s="212"/>
      <c r="D1033" s="212"/>
      <c r="E1033" s="212"/>
      <c r="F1033" s="212"/>
      <c r="G1033" s="212"/>
      <c r="H1033" s="212"/>
      <c r="I1033" s="212"/>
      <c r="J1033" s="212"/>
      <c r="K1033" s="212"/>
      <c r="L1033" s="212"/>
      <c r="M1033" s="212"/>
      <c r="N1033" s="212"/>
      <c r="O1033" s="212"/>
      <c r="P1033" s="212"/>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1" t="s">
        <v>970</v>
      </c>
      <c r="B1035" s="212"/>
      <c r="C1035" s="212"/>
      <c r="D1035" s="212"/>
      <c r="E1035" s="212"/>
      <c r="F1035" s="212"/>
      <c r="G1035" s="212"/>
      <c r="H1035" s="212"/>
      <c r="I1035" s="212"/>
      <c r="J1035" s="212"/>
      <c r="K1035" s="212"/>
      <c r="L1035" s="212"/>
      <c r="M1035" s="212"/>
      <c r="N1035" s="212"/>
      <c r="O1035" s="212"/>
      <c r="P1035" s="212"/>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38"/>
      <c r="B1037" s="239"/>
      <c r="C1037" s="72"/>
      <c r="D1037" s="72"/>
      <c r="E1037" s="72"/>
      <c r="F1037" s="140" t="str">
        <f>TEXT(N2,"yyyy")</f>
        <v>2023</v>
      </c>
      <c r="G1037" s="140"/>
      <c r="H1037" s="140"/>
      <c r="I1037" s="140"/>
      <c r="J1037" s="140"/>
      <c r="K1037" s="140"/>
      <c r="L1037" s="238" t="str">
        <f>IF(H72&gt;0,TEXT(H72,"yyyy"),"")</f>
        <v/>
      </c>
      <c r="M1037" s="239"/>
      <c r="N1037" s="239"/>
      <c r="O1037" s="239"/>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316" t="s">
        <v>252</v>
      </c>
      <c r="G1040" s="316"/>
      <c r="H1040" s="316"/>
      <c r="I1040" s="316"/>
      <c r="J1040" s="27"/>
      <c r="K1040" s="27"/>
      <c r="L1040" s="216" t="s">
        <v>252</v>
      </c>
      <c r="M1040" s="216"/>
      <c r="N1040" s="216"/>
      <c r="O1040" s="216"/>
      <c r="P1040" s="26"/>
      <c r="Q1040" s="2"/>
    </row>
    <row r="1041" spans="1:17" ht="16.5" x14ac:dyDescent="0.35">
      <c r="A1041" s="224" t="s">
        <v>361</v>
      </c>
      <c r="B1041" s="225"/>
      <c r="C1041" s="283"/>
      <c r="D1041" s="284"/>
      <c r="E1041" s="20"/>
      <c r="F1041" s="70" t="s">
        <v>366</v>
      </c>
      <c r="G1041" s="66" t="s">
        <v>61</v>
      </c>
      <c r="H1041" s="213"/>
      <c r="I1041" s="214"/>
      <c r="J1041" s="146"/>
      <c r="K1041" s="109"/>
      <c r="L1041" s="70" t="s">
        <v>956</v>
      </c>
      <c r="M1041" s="66" t="s">
        <v>61</v>
      </c>
      <c r="N1041" s="213"/>
      <c r="O1041" s="214"/>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65" t="s">
        <v>355</v>
      </c>
      <c r="B1044" s="305"/>
      <c r="C1044" s="306"/>
      <c r="D1044" s="307"/>
      <c r="E1044" s="22"/>
      <c r="F1044" s="70" t="s">
        <v>367</v>
      </c>
      <c r="G1044" s="120" t="s">
        <v>61</v>
      </c>
      <c r="H1044" s="258">
        <f>-ROUND([1]TrialBalance!$EJ$40,D2)</f>
        <v>0</v>
      </c>
      <c r="I1044" s="259"/>
      <c r="J1044" s="155"/>
      <c r="K1044" s="156"/>
      <c r="L1044" s="70" t="s">
        <v>957</v>
      </c>
      <c r="M1044" s="120" t="s">
        <v>61</v>
      </c>
      <c r="N1044" s="258">
        <f>IF(H72&gt;0,-ROUND([1]TrialBalance!$D$40,D2),"")</f>
        <v>0</v>
      </c>
      <c r="O1044" s="259"/>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316"/>
      <c r="G1047" s="316"/>
      <c r="H1047" s="316"/>
      <c r="I1047" s="316"/>
      <c r="J1047" s="27"/>
      <c r="K1047" s="27"/>
      <c r="L1047" s="216"/>
      <c r="M1047" s="216"/>
      <c r="N1047" s="216"/>
      <c r="O1047" s="216"/>
      <c r="P1047" s="26"/>
      <c r="Q1047" s="2"/>
    </row>
    <row r="1048" spans="1:17" ht="15" customHeight="1" x14ac:dyDescent="0.35">
      <c r="A1048" s="224" t="s">
        <v>359</v>
      </c>
      <c r="B1048" s="225"/>
      <c r="C1048" s="283"/>
      <c r="D1048" s="284"/>
      <c r="E1048" s="20"/>
      <c r="F1048" s="70" t="s">
        <v>368</v>
      </c>
      <c r="G1048" s="66" t="s">
        <v>61</v>
      </c>
      <c r="H1048" s="213">
        <f>IF(-ROUND([1]TrialBalance!$EJ$39,D2)&lt;0,0,-ROUND([1]TrialBalance!$EJ$39,D2))</f>
        <v>0</v>
      </c>
      <c r="I1048" s="214"/>
      <c r="J1048" s="146"/>
      <c r="K1048" s="109"/>
      <c r="L1048" s="70" t="s">
        <v>958</v>
      </c>
      <c r="M1048" s="66" t="s">
        <v>61</v>
      </c>
      <c r="N1048" s="213">
        <f>IF(H72&gt;0,IF(-ROUND([1]TrialBalance!$D$39,D2)&lt;0,0,-ROUND([1]TrialBalance!$D$39,D2)),"")</f>
        <v>0</v>
      </c>
      <c r="O1048" s="214"/>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65" t="s">
        <v>212</v>
      </c>
      <c r="B1051" s="305"/>
      <c r="C1051" s="306"/>
      <c r="D1051" s="307"/>
      <c r="E1051" s="22"/>
      <c r="F1051" s="121" t="s">
        <v>369</v>
      </c>
      <c r="G1051" s="122" t="s">
        <v>61</v>
      </c>
      <c r="H1051" s="240">
        <f>H1041+H1044+H1048</f>
        <v>0</v>
      </c>
      <c r="I1051" s="241"/>
      <c r="J1051" s="147"/>
      <c r="K1051" s="151"/>
      <c r="L1051" s="121" t="s">
        <v>959</v>
      </c>
      <c r="M1051" s="122" t="s">
        <v>61</v>
      </c>
      <c r="N1051" s="240">
        <f>IF(H72&gt;0,N1041+N1044+N1048,"")</f>
        <v>0</v>
      </c>
      <c r="O1051" s="241"/>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12" t="s">
        <v>209</v>
      </c>
      <c r="B1054" s="212"/>
      <c r="C1054" s="212"/>
      <c r="D1054" s="212"/>
      <c r="E1054" s="212"/>
      <c r="F1054" s="212"/>
      <c r="G1054" s="212"/>
      <c r="H1054" s="212"/>
      <c r="I1054" s="212"/>
      <c r="J1054" s="212"/>
      <c r="K1054" s="212"/>
      <c r="L1054" s="212"/>
      <c r="M1054" s="212"/>
      <c r="N1054" s="212"/>
      <c r="O1054" s="212"/>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13" t="str">
        <f>IF(ROUND([1]TrialBalance!$EJ$37,0)&lt;&gt;0,"The total value of Long Term Debtors falling due in more than one year is " &amp; TEXT(ROUND([1]TrialBalance!$EJ$37,0),"0.00"),"")</f>
        <v/>
      </c>
      <c r="B1056" s="346"/>
      <c r="C1056" s="347"/>
      <c r="D1056" s="347"/>
      <c r="E1056" s="347"/>
      <c r="F1056" s="347"/>
      <c r="G1056" s="347"/>
      <c r="H1056" s="347"/>
      <c r="I1056" s="347"/>
      <c r="J1056" s="347"/>
      <c r="K1056" s="347"/>
      <c r="L1056" s="347"/>
      <c r="M1056" s="347"/>
      <c r="N1056" s="347"/>
      <c r="O1056" s="347"/>
      <c r="P1056" s="348"/>
      <c r="Q1056" s="2"/>
    </row>
    <row r="1057" spans="1:17" x14ac:dyDescent="0.25">
      <c r="Q1057" s="2"/>
    </row>
    <row r="1058" spans="1:17" ht="35.25" customHeight="1" x14ac:dyDescent="0.25">
      <c r="A1058" s="334" t="s">
        <v>353</v>
      </c>
      <c r="B1058" s="334"/>
      <c r="C1058" s="334"/>
      <c r="D1058" s="334"/>
      <c r="E1058" s="334"/>
      <c r="F1058" s="334"/>
      <c r="G1058" s="334"/>
      <c r="H1058" s="334"/>
      <c r="I1058" s="334"/>
      <c r="J1058" s="334"/>
      <c r="K1058" s="334"/>
      <c r="L1058" s="334"/>
      <c r="M1058" s="334"/>
      <c r="N1058" s="334"/>
      <c r="O1058" s="334"/>
      <c r="P1058" s="334"/>
      <c r="Q1058" s="2"/>
    </row>
    <row r="1059" spans="1:17" x14ac:dyDescent="0.25">
      <c r="Q1059" s="2"/>
    </row>
    <row r="1060" spans="1:17" ht="29.25" customHeight="1" x14ac:dyDescent="0.25">
      <c r="A1060" s="266" t="s">
        <v>348</v>
      </c>
      <c r="B1060" s="266"/>
      <c r="C1060" s="266"/>
      <c r="D1060" s="266"/>
      <c r="E1060" s="266"/>
      <c r="F1060" s="266"/>
      <c r="G1060" s="266"/>
      <c r="H1060" s="266"/>
      <c r="I1060" s="266"/>
      <c r="J1060" s="58" t="s">
        <v>31</v>
      </c>
      <c r="K1060" s="59"/>
      <c r="L1060" s="60"/>
      <c r="M1060" s="59" t="s">
        <v>29</v>
      </c>
      <c r="N1060" s="117" t="s">
        <v>138</v>
      </c>
      <c r="O1060" s="59" t="s">
        <v>30</v>
      </c>
      <c r="Q1060" s="2"/>
    </row>
    <row r="1061" spans="1:17" x14ac:dyDescent="0.25">
      <c r="Q1061" s="2"/>
    </row>
    <row r="1065" spans="1:17" ht="15.75" x14ac:dyDescent="0.25">
      <c r="A1065" s="231" t="s">
        <v>145</v>
      </c>
      <c r="B1065" s="232"/>
      <c r="C1065" s="232"/>
      <c r="D1065" s="232"/>
      <c r="F1065" s="233"/>
      <c r="G1065" s="233"/>
      <c r="H1065" s="233"/>
      <c r="I1065" s="233"/>
      <c r="J1065" s="233"/>
      <c r="K1065" s="233"/>
      <c r="L1065" s="233"/>
      <c r="M1065" s="233"/>
      <c r="N1065" s="233"/>
      <c r="O1065" s="233"/>
      <c r="P1065" s="233"/>
      <c r="Q1065" s="233"/>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34" t="s">
        <v>127</v>
      </c>
      <c r="B1067" s="235"/>
      <c r="C1067" s="235"/>
      <c r="D1067" s="235"/>
      <c r="E1067" s="236"/>
      <c r="F1067" s="236"/>
      <c r="G1067" s="236"/>
      <c r="H1067" s="236"/>
      <c r="I1067" s="236"/>
      <c r="J1067" s="236"/>
      <c r="K1067" s="236"/>
      <c r="L1067" s="236"/>
      <c r="M1067" s="236"/>
      <c r="N1067" s="236"/>
      <c r="O1067" s="236"/>
      <c r="P1067" s="236"/>
      <c r="Q1067" s="237"/>
    </row>
    <row r="1068" spans="1:17" x14ac:dyDescent="0.25">
      <c r="A1068" s="211" t="s">
        <v>370</v>
      </c>
      <c r="B1068" s="212"/>
      <c r="C1068" s="212"/>
      <c r="D1068" s="212"/>
      <c r="E1068" s="212"/>
      <c r="F1068" s="212"/>
      <c r="G1068" s="212"/>
      <c r="H1068" s="212"/>
      <c r="I1068" s="212"/>
      <c r="J1068" s="212"/>
      <c r="K1068" s="212"/>
      <c r="L1068" s="212"/>
      <c r="M1068" s="212"/>
      <c r="N1068" s="212"/>
      <c r="O1068" s="212"/>
      <c r="P1068" s="212"/>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1" t="s">
        <v>970</v>
      </c>
      <c r="B1070" s="212"/>
      <c r="C1070" s="212"/>
      <c r="D1070" s="212"/>
      <c r="E1070" s="212"/>
      <c r="F1070" s="212"/>
      <c r="G1070" s="212"/>
      <c r="H1070" s="212"/>
      <c r="I1070" s="212"/>
      <c r="J1070" s="212"/>
      <c r="K1070" s="212"/>
      <c r="L1070" s="212"/>
      <c r="M1070" s="212"/>
      <c r="N1070" s="212"/>
      <c r="O1070" s="212"/>
      <c r="P1070" s="212"/>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54" t="str">
        <f>IF(H72&gt;0,TEXT(H72,"yyyy"),"")</f>
        <v/>
      </c>
      <c r="G1072" s="306"/>
      <c r="H1072" s="306"/>
      <c r="I1072" s="306"/>
      <c r="J1072" s="306"/>
      <c r="K1072" s="306"/>
      <c r="L1072" s="306"/>
      <c r="M1072" s="306"/>
      <c r="N1072" s="306"/>
      <c r="O1072" s="306"/>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332" t="s">
        <v>496</v>
      </c>
      <c r="D1074" s="333"/>
      <c r="E1074" s="333"/>
      <c r="F1074" s="332" t="s">
        <v>497</v>
      </c>
      <c r="G1074" s="333"/>
      <c r="H1074" s="333"/>
      <c r="I1074" s="173"/>
      <c r="J1074" s="173"/>
      <c r="K1074" s="332" t="s">
        <v>498</v>
      </c>
      <c r="L1074" s="333"/>
      <c r="M1074" s="333"/>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356" t="s">
        <v>507</v>
      </c>
      <c r="D1076" s="345"/>
      <c r="E1076" s="345"/>
      <c r="F1076" s="345"/>
      <c r="G1076" s="345"/>
      <c r="H1076" s="345"/>
      <c r="I1076" s="345"/>
      <c r="J1076" s="345"/>
      <c r="K1076" s="345"/>
      <c r="L1076" s="345"/>
      <c r="M1076" s="345"/>
      <c r="N1076" s="345"/>
      <c r="O1076" s="345"/>
      <c r="P1076" s="26"/>
      <c r="Q1076" s="2"/>
    </row>
    <row r="1077" spans="1:17" ht="16.5" x14ac:dyDescent="0.35">
      <c r="A1077" s="224" t="s">
        <v>373</v>
      </c>
      <c r="B1077" s="284"/>
      <c r="C1077" s="126" t="s">
        <v>500</v>
      </c>
      <c r="D1077" s="172"/>
      <c r="E1077" s="127"/>
      <c r="F1077" s="166"/>
      <c r="G1077" s="27"/>
      <c r="H1077" s="126" t="s">
        <v>502</v>
      </c>
      <c r="I1077" s="165"/>
      <c r="J1077" s="128"/>
      <c r="K1077" s="167"/>
      <c r="L1077" s="126" t="s">
        <v>504</v>
      </c>
      <c r="M1077" s="124" t="s">
        <v>61</v>
      </c>
      <c r="N1077" s="351">
        <f>D1077*I1077</f>
        <v>0</v>
      </c>
      <c r="O1077" s="212"/>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349"/>
      <c r="D1080" s="345"/>
      <c r="E1080" s="345"/>
      <c r="F1080" s="349"/>
      <c r="G1080" s="345"/>
      <c r="H1080" s="345"/>
      <c r="I1080" s="345"/>
      <c r="J1080" s="350"/>
      <c r="K1080" s="40"/>
      <c r="L1080" s="40"/>
      <c r="M1080" s="40"/>
      <c r="N1080" s="40"/>
      <c r="O1080" s="40"/>
      <c r="P1080" s="41"/>
      <c r="Q1080" s="2"/>
    </row>
    <row r="1081" spans="1:17" ht="15" customHeight="1" x14ac:dyDescent="0.25">
      <c r="A1081" s="265" t="s">
        <v>374</v>
      </c>
      <c r="B1081" s="307"/>
      <c r="C1081" s="126" t="s">
        <v>501</v>
      </c>
      <c r="D1081" s="172"/>
      <c r="E1081" s="150"/>
      <c r="F1081" s="170"/>
      <c r="G1081" s="40"/>
      <c r="H1081" s="126" t="s">
        <v>503</v>
      </c>
      <c r="I1081" s="165"/>
      <c r="J1081" s="129"/>
      <c r="K1081" s="168"/>
      <c r="L1081" s="126" t="s">
        <v>505</v>
      </c>
      <c r="M1081" s="125" t="s">
        <v>61</v>
      </c>
      <c r="N1081" s="352">
        <f>D1081*I1082</f>
        <v>0</v>
      </c>
      <c r="O1081" s="345"/>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53"/>
      <c r="O1082" s="353"/>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24" t="s">
        <v>375</v>
      </c>
      <c r="B1084" s="284"/>
      <c r="C1084" s="20"/>
      <c r="D1084" s="20"/>
      <c r="E1084" s="7"/>
      <c r="F1084" s="109"/>
      <c r="G1084" s="109"/>
      <c r="H1084" s="109"/>
      <c r="I1084" s="109"/>
      <c r="J1084" s="127"/>
      <c r="K1084" s="167"/>
      <c r="L1084" s="126" t="s">
        <v>506</v>
      </c>
      <c r="M1084" s="124" t="s">
        <v>61</v>
      </c>
      <c r="N1084" s="351">
        <f>IF(H72&gt;0,ROUND([1]OpenAccounts!$E$33,D2),"")</f>
        <v>0</v>
      </c>
      <c r="O1084" s="212"/>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54" t="str">
        <f>TEXT(N2,"yyyy")</f>
        <v>2023</v>
      </c>
      <c r="G1087" s="306"/>
      <c r="H1087" s="306"/>
      <c r="I1087" s="306"/>
      <c r="J1087" s="306"/>
      <c r="K1087" s="306"/>
      <c r="L1087" s="306"/>
      <c r="M1087" s="306"/>
      <c r="N1087" s="306"/>
      <c r="O1087" s="306"/>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332" t="s">
        <v>496</v>
      </c>
      <c r="D1089" s="333"/>
      <c r="E1089" s="333"/>
      <c r="F1089" s="332" t="s">
        <v>497</v>
      </c>
      <c r="G1089" s="333"/>
      <c r="H1089" s="333"/>
      <c r="I1089" s="173"/>
      <c r="J1089" s="173"/>
      <c r="K1089" s="332" t="s">
        <v>498</v>
      </c>
      <c r="L1089" s="333"/>
      <c r="M1089" s="333"/>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24" t="s">
        <v>373</v>
      </c>
      <c r="B1091" s="284"/>
      <c r="C1091" s="126" t="s">
        <v>376</v>
      </c>
      <c r="D1091" s="172">
        <f>[2]RegisterofMembers!$G$1</f>
        <v>0</v>
      </c>
      <c r="E1091" s="127"/>
      <c r="F1091" s="166"/>
      <c r="G1091" s="27"/>
      <c r="H1091" s="126" t="s">
        <v>378</v>
      </c>
      <c r="I1091" s="165">
        <f>[2]RegisterofMembers!$F$1</f>
        <v>1</v>
      </c>
      <c r="J1091" s="128"/>
      <c r="K1091" s="167"/>
      <c r="L1091" s="126" t="s">
        <v>493</v>
      </c>
      <c r="M1091" s="124" t="s">
        <v>61</v>
      </c>
      <c r="N1091" s="351">
        <f>D1091*I1091</f>
        <v>0</v>
      </c>
      <c r="O1091" s="212"/>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349"/>
      <c r="D1094" s="345"/>
      <c r="E1094" s="345"/>
      <c r="F1094" s="349" t="s">
        <v>449</v>
      </c>
      <c r="G1094" s="345"/>
      <c r="H1094" s="345"/>
      <c r="I1094" s="345"/>
      <c r="J1094" s="350"/>
      <c r="K1094" s="40"/>
      <c r="L1094" s="40"/>
      <c r="M1094" s="40"/>
      <c r="N1094" s="40"/>
      <c r="O1094" s="40"/>
      <c r="P1094" s="41"/>
      <c r="Q1094" s="2"/>
    </row>
    <row r="1095" spans="1:17" ht="15" customHeight="1" x14ac:dyDescent="0.25">
      <c r="A1095" s="265" t="s">
        <v>374</v>
      </c>
      <c r="B1095" s="307"/>
      <c r="C1095" s="126" t="s">
        <v>377</v>
      </c>
      <c r="D1095" s="172"/>
      <c r="E1095" s="150"/>
      <c r="F1095" s="170"/>
      <c r="G1095" s="40"/>
      <c r="H1095" s="126" t="s">
        <v>379</v>
      </c>
      <c r="I1095" s="165"/>
      <c r="J1095" s="129"/>
      <c r="K1095" s="168"/>
      <c r="L1095" s="126" t="s">
        <v>494</v>
      </c>
      <c r="M1095" s="125" t="s">
        <v>61</v>
      </c>
      <c r="N1095" s="352">
        <f>D1095*I1095</f>
        <v>0</v>
      </c>
      <c r="O1095" s="345"/>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53"/>
      <c r="O1096" s="353"/>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24" t="s">
        <v>375</v>
      </c>
      <c r="B1098" s="284"/>
      <c r="C1098" s="20"/>
      <c r="D1098" s="20"/>
      <c r="E1098" s="7"/>
      <c r="F1098" s="109"/>
      <c r="G1098" s="109"/>
      <c r="H1098" s="109"/>
      <c r="I1098" s="109"/>
      <c r="J1098" s="127"/>
      <c r="K1098" s="167"/>
      <c r="L1098" s="126" t="s">
        <v>495</v>
      </c>
      <c r="M1098" s="124" t="s">
        <v>61</v>
      </c>
      <c r="N1098" s="351">
        <f>N1091+N1095</f>
        <v>0</v>
      </c>
      <c r="O1098" s="212"/>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12" t="s">
        <v>209</v>
      </c>
      <c r="B1101" s="212"/>
      <c r="C1101" s="212"/>
      <c r="D1101" s="212"/>
      <c r="E1101" s="212"/>
      <c r="F1101" s="212"/>
      <c r="G1101" s="212"/>
      <c r="H1101" s="212"/>
      <c r="I1101" s="212"/>
      <c r="J1101" s="212"/>
      <c r="K1101" s="212"/>
      <c r="L1101" s="212"/>
      <c r="M1101" s="212"/>
      <c r="N1101" s="212"/>
      <c r="O1101" s="212"/>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13" t="str">
        <f>IF(ROUND([1]TrialBalance!$EJ$37,0)&lt;&gt;0,"The total value of Long Term Debtors falling due in more than one year is " &amp; TEXT(ROUND([1]TrialBalance!$EJ$37,0),"0.00"),"")</f>
        <v/>
      </c>
      <c r="B1103" s="346"/>
      <c r="C1103" s="347"/>
      <c r="D1103" s="347"/>
      <c r="E1103" s="347"/>
      <c r="F1103" s="347"/>
      <c r="G1103" s="347"/>
      <c r="H1103" s="347"/>
      <c r="I1103" s="347"/>
      <c r="J1103" s="347"/>
      <c r="K1103" s="347"/>
      <c r="L1103" s="347"/>
      <c r="M1103" s="347"/>
      <c r="N1103" s="347"/>
      <c r="O1103" s="347"/>
      <c r="P1103" s="348"/>
      <c r="Q1103" s="2"/>
    </row>
    <row r="1104" spans="1:17" ht="15" customHeight="1" x14ac:dyDescent="0.25">
      <c r="Q1104" s="2"/>
    </row>
    <row r="1106" spans="1:256" ht="15.75" x14ac:dyDescent="0.25">
      <c r="A1106" s="231" t="s">
        <v>145</v>
      </c>
      <c r="B1106" s="232"/>
      <c r="C1106" s="232"/>
      <c r="D1106" s="232"/>
      <c r="F1106" s="233"/>
      <c r="G1106" s="233"/>
      <c r="H1106" s="233"/>
      <c r="I1106" s="233"/>
      <c r="J1106" s="233"/>
      <c r="K1106" s="233"/>
      <c r="L1106" s="233"/>
      <c r="M1106" s="233"/>
      <c r="N1106" s="233"/>
      <c r="O1106" s="233"/>
      <c r="P1106" s="233"/>
      <c r="Q1106" s="233"/>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34" t="s">
        <v>163</v>
      </c>
      <c r="B1108" s="235"/>
      <c r="C1108" s="235"/>
      <c r="D1108" s="235"/>
      <c r="E1108" s="236"/>
      <c r="F1108" s="236"/>
      <c r="G1108" s="236"/>
      <c r="H1108" s="236"/>
      <c r="I1108" s="236"/>
      <c r="J1108" s="236"/>
      <c r="K1108" s="236"/>
      <c r="L1108" s="236"/>
      <c r="M1108" s="236"/>
      <c r="N1108" s="236"/>
      <c r="O1108" s="236"/>
      <c r="P1108" s="236"/>
      <c r="Q1108" s="237"/>
    </row>
    <row r="1109" spans="1:256" x14ac:dyDescent="0.25">
      <c r="A1109" s="211" t="s">
        <v>380</v>
      </c>
      <c r="B1109" s="212"/>
      <c r="C1109" s="212"/>
      <c r="D1109" s="212"/>
      <c r="E1109" s="212"/>
      <c r="F1109" s="212"/>
      <c r="G1109" s="212"/>
      <c r="H1109" s="212"/>
      <c r="I1109" s="212"/>
      <c r="J1109" s="212"/>
      <c r="K1109" s="212"/>
      <c r="L1109" s="212"/>
      <c r="M1109" s="212"/>
      <c r="N1109" s="212"/>
      <c r="O1109" s="212"/>
      <c r="P1109" s="212"/>
      <c r="Q1109" s="38"/>
      <c r="R1109" s="51"/>
      <c r="S1109" s="51"/>
      <c r="T1109" s="51"/>
      <c r="U1109" s="51"/>
      <c r="V1109" s="51"/>
      <c r="W1109" s="51"/>
      <c r="X1109" s="51"/>
      <c r="Y1109" s="51"/>
      <c r="Z1109" s="51"/>
      <c r="AA1109" s="51"/>
      <c r="AB1109" s="51"/>
      <c r="AC1109" s="51"/>
      <c r="AD1109" s="51"/>
      <c r="AE1109" s="51"/>
      <c r="AF1109" s="51"/>
      <c r="AG1109" s="211"/>
      <c r="AH1109" s="212"/>
      <c r="AI1109" s="212"/>
      <c r="AJ1109" s="212"/>
      <c r="AK1109" s="212"/>
      <c r="AL1109" s="212"/>
      <c r="AM1109" s="212"/>
      <c r="AN1109" s="212"/>
      <c r="AO1109" s="212"/>
      <c r="AP1109" s="212"/>
      <c r="AQ1109" s="212"/>
      <c r="AR1109" s="212"/>
      <c r="AS1109" s="212"/>
      <c r="AT1109" s="212"/>
      <c r="AU1109" s="212"/>
      <c r="AV1109" s="212"/>
      <c r="AW1109" s="211"/>
      <c r="AX1109" s="212"/>
      <c r="AY1109" s="212"/>
      <c r="AZ1109" s="212"/>
      <c r="BA1109" s="212"/>
      <c r="BB1109" s="212"/>
      <c r="BC1109" s="212"/>
      <c r="BD1109" s="212"/>
      <c r="BE1109" s="212"/>
      <c r="BF1109" s="212"/>
      <c r="BG1109" s="212"/>
      <c r="BH1109" s="212"/>
      <c r="BI1109" s="212"/>
      <c r="BJ1109" s="212"/>
      <c r="BK1109" s="212"/>
      <c r="BL1109" s="212"/>
      <c r="BM1109" s="211"/>
      <c r="BN1109" s="212"/>
      <c r="BO1109" s="212"/>
      <c r="BP1109" s="212"/>
      <c r="BQ1109" s="212"/>
      <c r="BR1109" s="212"/>
      <c r="BS1109" s="212"/>
      <c r="BT1109" s="212"/>
      <c r="BU1109" s="212"/>
      <c r="BV1109" s="212"/>
      <c r="BW1109" s="212"/>
      <c r="BX1109" s="212"/>
      <c r="BY1109" s="212"/>
      <c r="BZ1109" s="212"/>
      <c r="CA1109" s="212"/>
      <c r="CB1109" s="212"/>
      <c r="CC1109" s="211"/>
      <c r="CD1109" s="212"/>
      <c r="CE1109" s="212"/>
      <c r="CF1109" s="212"/>
      <c r="CG1109" s="212"/>
      <c r="CH1109" s="212"/>
      <c r="CI1109" s="212"/>
      <c r="CJ1109" s="212"/>
      <c r="CK1109" s="212"/>
      <c r="CL1109" s="212"/>
      <c r="CM1109" s="212"/>
      <c r="CN1109" s="212"/>
      <c r="CO1109" s="212"/>
      <c r="CP1109" s="212"/>
      <c r="CQ1109" s="212"/>
      <c r="CR1109" s="212"/>
      <c r="CS1109" s="211"/>
      <c r="CT1109" s="212"/>
      <c r="CU1109" s="212"/>
      <c r="CV1109" s="212"/>
      <c r="CW1109" s="212"/>
      <c r="CX1109" s="212"/>
      <c r="CY1109" s="212"/>
      <c r="CZ1109" s="212"/>
      <c r="DA1109" s="212"/>
      <c r="DB1109" s="212"/>
      <c r="DC1109" s="212"/>
      <c r="DD1109" s="212"/>
      <c r="DE1109" s="212"/>
      <c r="DF1109" s="212"/>
      <c r="DG1109" s="212"/>
      <c r="DH1109" s="212"/>
      <c r="DI1109" s="211"/>
      <c r="DJ1109" s="212"/>
      <c r="DK1109" s="212"/>
      <c r="DL1109" s="212"/>
      <c r="DM1109" s="212"/>
      <c r="DN1109" s="212"/>
      <c r="DO1109" s="212"/>
      <c r="DP1109" s="212"/>
      <c r="DQ1109" s="212"/>
      <c r="DR1109" s="212"/>
      <c r="DS1109" s="212"/>
      <c r="DT1109" s="212"/>
      <c r="DU1109" s="212"/>
      <c r="DV1109" s="212"/>
      <c r="DW1109" s="212"/>
      <c r="DX1109" s="212"/>
      <c r="DY1109" s="211"/>
      <c r="DZ1109" s="212"/>
      <c r="EA1109" s="212"/>
      <c r="EB1109" s="212"/>
      <c r="EC1109" s="212"/>
      <c r="ED1109" s="212"/>
      <c r="EE1109" s="212"/>
      <c r="EF1109" s="212"/>
      <c r="EG1109" s="212"/>
      <c r="EH1109" s="212"/>
      <c r="EI1109" s="212"/>
      <c r="EJ1109" s="212"/>
      <c r="EK1109" s="212"/>
      <c r="EL1109" s="212"/>
      <c r="EM1109" s="212"/>
      <c r="EN1109" s="212"/>
      <c r="EO1109" s="211"/>
      <c r="EP1109" s="212"/>
      <c r="EQ1109" s="212"/>
      <c r="ER1109" s="212"/>
      <c r="ES1109" s="212"/>
      <c r="ET1109" s="212"/>
      <c r="EU1109" s="212"/>
      <c r="EV1109" s="212"/>
      <c r="EW1109" s="212"/>
      <c r="EX1109" s="212"/>
      <c r="EY1109" s="212"/>
      <c r="EZ1109" s="212"/>
      <c r="FA1109" s="212"/>
      <c r="FB1109" s="212"/>
      <c r="FC1109" s="212"/>
      <c r="FD1109" s="212"/>
      <c r="FE1109" s="211"/>
      <c r="FF1109" s="212"/>
      <c r="FG1109" s="212"/>
      <c r="FH1109" s="212"/>
      <c r="FI1109" s="212"/>
      <c r="FJ1109" s="212"/>
      <c r="FK1109" s="212"/>
      <c r="FL1109" s="212"/>
      <c r="FM1109" s="212"/>
      <c r="FN1109" s="212"/>
      <c r="FO1109" s="212"/>
      <c r="FP1109" s="212"/>
      <c r="FQ1109" s="212"/>
      <c r="FR1109" s="212"/>
      <c r="FS1109" s="212"/>
      <c r="FT1109" s="212"/>
      <c r="FU1109" s="211"/>
      <c r="FV1109" s="212"/>
      <c r="FW1109" s="212"/>
      <c r="FX1109" s="212"/>
      <c r="FY1109" s="212"/>
      <c r="FZ1109" s="212"/>
      <c r="GA1109" s="212"/>
      <c r="GB1109" s="212"/>
      <c r="GC1109" s="212"/>
      <c r="GD1109" s="212"/>
      <c r="GE1109" s="212"/>
      <c r="GF1109" s="212"/>
      <c r="GG1109" s="212"/>
      <c r="GH1109" s="212"/>
      <c r="GI1109" s="212"/>
      <c r="GJ1109" s="212"/>
      <c r="GK1109" s="211"/>
      <c r="GL1109" s="212"/>
      <c r="GM1109" s="212"/>
      <c r="GN1109" s="212"/>
      <c r="GO1109" s="212"/>
      <c r="GP1109" s="212"/>
      <c r="GQ1109" s="212"/>
      <c r="GR1109" s="212"/>
      <c r="GS1109" s="212"/>
      <c r="GT1109" s="212"/>
      <c r="GU1109" s="212"/>
      <c r="GV1109" s="212"/>
      <c r="GW1109" s="212"/>
      <c r="GX1109" s="212"/>
      <c r="GY1109" s="212"/>
      <c r="GZ1109" s="212"/>
      <c r="HA1109" s="211"/>
      <c r="HB1109" s="212"/>
      <c r="HC1109" s="212"/>
      <c r="HD1109" s="212"/>
      <c r="HE1109" s="212"/>
      <c r="HF1109" s="212"/>
      <c r="HG1109" s="212"/>
      <c r="HH1109" s="212"/>
      <c r="HI1109" s="212"/>
      <c r="HJ1109" s="212"/>
      <c r="HK1109" s="212"/>
      <c r="HL1109" s="212"/>
      <c r="HM1109" s="212"/>
      <c r="HN1109" s="212"/>
      <c r="HO1109" s="212"/>
      <c r="HP1109" s="212"/>
      <c r="HQ1109" s="211"/>
      <c r="HR1109" s="212"/>
      <c r="HS1109" s="212"/>
      <c r="HT1109" s="212"/>
      <c r="HU1109" s="212"/>
      <c r="HV1109" s="212"/>
      <c r="HW1109" s="212"/>
      <c r="HX1109" s="212"/>
      <c r="HY1109" s="212"/>
      <c r="HZ1109" s="212"/>
      <c r="IA1109" s="212"/>
      <c r="IB1109" s="212"/>
      <c r="IC1109" s="212"/>
      <c r="ID1109" s="212"/>
      <c r="IE1109" s="212"/>
      <c r="IF1109" s="212"/>
      <c r="IG1109" s="211"/>
      <c r="IH1109" s="212"/>
      <c r="II1109" s="212"/>
      <c r="IJ1109" s="212"/>
      <c r="IK1109" s="212"/>
      <c r="IL1109" s="212"/>
      <c r="IM1109" s="212"/>
      <c r="IN1109" s="212"/>
      <c r="IO1109" s="212"/>
      <c r="IP1109" s="212"/>
      <c r="IQ1109" s="212"/>
      <c r="IR1109" s="212"/>
      <c r="IS1109" s="212"/>
      <c r="IT1109" s="212"/>
      <c r="IU1109" s="212"/>
      <c r="IV1109" s="212"/>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1" t="s">
        <v>970</v>
      </c>
      <c r="B1111" s="212"/>
      <c r="C1111" s="212"/>
      <c r="D1111" s="212"/>
      <c r="E1111" s="212"/>
      <c r="F1111" s="212"/>
      <c r="G1111" s="212"/>
      <c r="H1111" s="212"/>
      <c r="I1111" s="212"/>
      <c r="J1111" s="212"/>
      <c r="K1111" s="212"/>
      <c r="L1111" s="212"/>
      <c r="M1111" s="212"/>
      <c r="N1111" s="212"/>
      <c r="O1111" s="212"/>
      <c r="P1111" s="212"/>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38" t="str">
        <f>IF(H72&gt;0,"Previous year profit and loss account","")</f>
        <v>Previous year profit and loss account</v>
      </c>
      <c r="B1113" s="239"/>
      <c r="C1113" s="212"/>
      <c r="D1113" s="212"/>
      <c r="E1113" s="72"/>
      <c r="F1113" s="238"/>
      <c r="G1113" s="238"/>
      <c r="H1113" s="238"/>
      <c r="I1113" s="238"/>
      <c r="J1113" s="238"/>
      <c r="K1113" s="238"/>
      <c r="L1113" s="238"/>
      <c r="M1113" s="238"/>
      <c r="N1113" s="238"/>
      <c r="O1113" s="238"/>
      <c r="P1113" s="238"/>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24" t="str">
        <f>IF(H72&gt;0,"Reserves at " &amp; TEXT(H68,"DD Mmm yyyy") &amp; ":","")</f>
        <v>Reserves at :</v>
      </c>
      <c r="B1116" s="225"/>
      <c r="C1116" s="283"/>
      <c r="D1116" s="284"/>
      <c r="E1116" s="20"/>
      <c r="F1116" s="70" t="s">
        <v>508</v>
      </c>
      <c r="G1116" s="66" t="s">
        <v>61</v>
      </c>
      <c r="H1116" s="213">
        <f>IF(H72&gt;0,ROUND([1]OpenAccounts!$E$34+[1]OpenAccounts!$E$35,D2)-ROUND([1]OpenAccounts!$G$85,D2),"")</f>
        <v>0</v>
      </c>
      <c r="I1116" s="35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21" t="str">
        <f>IF(H72&gt;0,"Profit for year: *","")</f>
        <v>Profit for year: *</v>
      </c>
      <c r="B1119" s="222"/>
      <c r="C1119" s="283"/>
      <c r="D1119" s="284"/>
      <c r="E1119" s="22"/>
      <c r="F1119" s="70" t="s">
        <v>509</v>
      </c>
      <c r="G1119" s="66" t="s">
        <v>61</v>
      </c>
      <c r="H1119" s="213">
        <f>N194</f>
        <v>0</v>
      </c>
      <c r="I1119" s="35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24" t="str">
        <f>IF(H72&gt;0,"Equity dividends paid: *","")</f>
        <v>Equity dividends paid: *</v>
      </c>
      <c r="B1122" s="225"/>
      <c r="C1122" s="283"/>
      <c r="D1122" s="284"/>
      <c r="E1122" s="20"/>
      <c r="F1122" s="70" t="s">
        <v>510</v>
      </c>
      <c r="G1122" s="66" t="s">
        <v>61</v>
      </c>
      <c r="H1122" s="213">
        <f>N591</f>
        <v>0</v>
      </c>
      <c r="I1122" s="35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21" t="str">
        <f>IF(H72&gt;0,"Retained profit at " &amp; TEXT(H72,"DD Mmm yyyy") &amp; ":","")</f>
        <v>Retained profit at :</v>
      </c>
      <c r="B1125" s="222"/>
      <c r="C1125" s="297"/>
      <c r="D1125" s="298"/>
      <c r="E1125" s="22"/>
      <c r="F1125" s="70" t="s">
        <v>511</v>
      </c>
      <c r="G1125" s="40" t="s">
        <v>61</v>
      </c>
      <c r="H1125" s="240">
        <f>IF(H72&gt;0,H1116+H1119-H1122,"")</f>
        <v>0</v>
      </c>
      <c r="I1125" s="241"/>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38" t="s">
        <v>381</v>
      </c>
      <c r="B1128" s="239"/>
      <c r="C1128" s="212"/>
      <c r="D1128" s="212"/>
      <c r="E1128" s="72"/>
      <c r="F1128" s="238"/>
      <c r="G1128" s="238"/>
      <c r="H1128" s="238"/>
      <c r="I1128" s="238"/>
      <c r="J1128" s="238"/>
      <c r="K1128" s="238"/>
      <c r="L1128" s="238"/>
      <c r="M1128" s="238"/>
      <c r="N1128" s="238"/>
      <c r="O1128" s="238"/>
      <c r="P1128" s="238"/>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24" t="str">
        <f>"Reserves at " &amp; TEXT(J2,"DD Mmm yyyy") &amp; ":"</f>
        <v>Reserves at 01 Dec 2022:</v>
      </c>
      <c r="B1131" s="225"/>
      <c r="C1131" s="283"/>
      <c r="D1131" s="284"/>
      <c r="E1131" s="20"/>
      <c r="F1131" s="70" t="s">
        <v>382</v>
      </c>
      <c r="G1131" s="66" t="s">
        <v>61</v>
      </c>
      <c r="H1131" s="213">
        <f>IF(H72&gt;0,H1125,0)</f>
        <v>0</v>
      </c>
      <c r="I1131" s="35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21" t="s">
        <v>386</v>
      </c>
      <c r="B1134" s="222"/>
      <c r="C1134" s="283"/>
      <c r="D1134" s="284"/>
      <c r="E1134" s="22"/>
      <c r="F1134" s="70" t="s">
        <v>383</v>
      </c>
      <c r="G1134" s="130" t="s">
        <v>61</v>
      </c>
      <c r="H1134" s="240">
        <f>H194</f>
        <v>0</v>
      </c>
      <c r="I1134" s="241"/>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24" t="s">
        <v>387</v>
      </c>
      <c r="B1137" s="225"/>
      <c r="C1137" s="283"/>
      <c r="D1137" s="284"/>
      <c r="E1137" s="20"/>
      <c r="F1137" s="70" t="s">
        <v>384</v>
      </c>
      <c r="G1137" s="27" t="s">
        <v>61</v>
      </c>
      <c r="H1137" s="242">
        <f>H591</f>
        <v>0</v>
      </c>
      <c r="I1137" s="283"/>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21" t="str">
        <f>"Retained profit at " &amp; TEXT(N2,"DD Mmm yyyy") &amp; ":"</f>
        <v>Retained profit at 30 Nov 2023:</v>
      </c>
      <c r="B1140" s="222"/>
      <c r="C1140" s="297"/>
      <c r="D1140" s="298"/>
      <c r="E1140" s="22"/>
      <c r="F1140" s="70" t="s">
        <v>385</v>
      </c>
      <c r="G1140" s="40" t="s">
        <v>61</v>
      </c>
      <c r="H1140" s="240">
        <f>H1131+H1134-H1137</f>
        <v>0</v>
      </c>
      <c r="I1140" s="241"/>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12" t="s">
        <v>209</v>
      </c>
      <c r="B1143" s="212"/>
      <c r="C1143" s="212"/>
      <c r="D1143" s="212"/>
      <c r="E1143" s="212"/>
      <c r="F1143" s="212"/>
      <c r="G1143" s="212"/>
      <c r="H1143" s="212"/>
      <c r="I1143" s="212"/>
      <c r="J1143" s="212"/>
      <c r="K1143" s="212"/>
      <c r="L1143" s="212"/>
      <c r="M1143" s="212"/>
      <c r="N1143" s="212"/>
      <c r="O1143" s="212"/>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13" t="str">
        <f>IF(ROUND([1]TrialBalance!$EJ$37,0)&lt;&gt;0,"The total value of Long Term Debtors falling due in more than one year is " &amp; TEXT(ROUND([1]TrialBalance!$EJ$37,0),"0.00"),"")</f>
        <v/>
      </c>
      <c r="B1145" s="346"/>
      <c r="C1145" s="347"/>
      <c r="D1145" s="347"/>
      <c r="E1145" s="347"/>
      <c r="F1145" s="347"/>
      <c r="G1145" s="347"/>
      <c r="H1145" s="347"/>
      <c r="I1145" s="347"/>
      <c r="J1145" s="347"/>
      <c r="K1145" s="347"/>
      <c r="L1145" s="347"/>
      <c r="M1145" s="347"/>
      <c r="N1145" s="347"/>
      <c r="O1145" s="347"/>
      <c r="P1145" s="348"/>
      <c r="Q1145" s="2"/>
    </row>
    <row r="1146" spans="1:17" ht="15" customHeight="1" x14ac:dyDescent="0.25">
      <c r="Q1146" s="2"/>
    </row>
    <row r="1148" spans="1:17" ht="15.75" x14ac:dyDescent="0.25">
      <c r="A1148" s="231" t="s">
        <v>396</v>
      </c>
      <c r="B1148" s="232"/>
      <c r="C1148" s="232"/>
      <c r="D1148" s="232"/>
      <c r="F1148" s="233" t="s">
        <v>12</v>
      </c>
      <c r="G1148" s="233"/>
      <c r="H1148" s="233"/>
      <c r="I1148" s="233"/>
      <c r="J1148" s="233"/>
      <c r="K1148" s="233"/>
      <c r="L1148" s="233"/>
      <c r="M1148" s="233"/>
      <c r="N1148" s="233"/>
      <c r="O1148" s="233"/>
      <c r="P1148" s="233"/>
      <c r="Q1148" s="233"/>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72"/>
      <c r="B1150" s="273"/>
      <c r="C1150" s="273"/>
      <c r="D1150" s="273"/>
      <c r="E1150" s="273"/>
      <c r="F1150" s="273"/>
      <c r="G1150" s="273"/>
      <c r="H1150" s="273"/>
      <c r="I1150" s="273"/>
      <c r="J1150" s="273"/>
      <c r="K1150" s="273"/>
      <c r="L1150" s="273"/>
      <c r="M1150" s="273"/>
      <c r="N1150" s="273"/>
      <c r="O1150" s="273"/>
      <c r="P1150" s="273"/>
      <c r="Q1150" s="274"/>
    </row>
    <row r="1151" spans="1:17" ht="28.5" customHeight="1" x14ac:dyDescent="0.25">
      <c r="A1151" s="326" t="s">
        <v>397</v>
      </c>
      <c r="B1151" s="212"/>
      <c r="C1151" s="212"/>
      <c r="D1151" s="212"/>
      <c r="E1151" s="212"/>
      <c r="F1151" s="212"/>
      <c r="G1151" s="212"/>
      <c r="H1151" s="212"/>
      <c r="I1151" s="212"/>
      <c r="J1151" s="212"/>
      <c r="K1151" s="212"/>
      <c r="L1151" s="212"/>
      <c r="M1151" s="212"/>
      <c r="N1151" s="212"/>
      <c r="O1151" s="212"/>
      <c r="P1151" s="37"/>
      <c r="Q1151" s="38"/>
    </row>
    <row r="1152" spans="1:17" x14ac:dyDescent="0.25">
      <c r="A1152" s="36"/>
      <c r="Q1152" s="2"/>
    </row>
    <row r="1153" spans="1:17" ht="4.5" customHeight="1" x14ac:dyDescent="0.25"/>
    <row r="1154" spans="1:17" x14ac:dyDescent="0.25">
      <c r="A1154" s="234" t="s">
        <v>165</v>
      </c>
      <c r="B1154" s="235"/>
      <c r="C1154" s="235"/>
      <c r="D1154" s="235"/>
      <c r="E1154" s="236"/>
      <c r="F1154" s="236"/>
      <c r="G1154" s="236"/>
      <c r="H1154" s="236"/>
      <c r="I1154" s="236"/>
      <c r="J1154" s="236"/>
      <c r="K1154" s="236"/>
      <c r="L1154" s="236"/>
      <c r="M1154" s="236"/>
      <c r="N1154" s="236"/>
      <c r="O1154" s="236"/>
      <c r="P1154" s="236"/>
      <c r="Q1154" s="237"/>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27" t="s">
        <v>398</v>
      </c>
      <c r="B1157" s="328"/>
      <c r="C1157" s="306"/>
      <c r="D1157" s="306"/>
      <c r="E1157" s="136" t="s">
        <v>31</v>
      </c>
      <c r="F1157" s="70" t="s">
        <v>399</v>
      </c>
      <c r="G1157" s="73"/>
      <c r="H1157" s="336">
        <f>[1]OpenAccounts!$E$8</f>
        <v>0</v>
      </c>
      <c r="I1157" s="336"/>
      <c r="J1157" s="337"/>
      <c r="K1157" s="337"/>
      <c r="L1157" s="337"/>
      <c r="M1157" s="337"/>
      <c r="N1157" s="337"/>
      <c r="O1157" s="338"/>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12" t="s">
        <v>400</v>
      </c>
      <c r="B1160" s="212"/>
      <c r="C1160" s="212"/>
      <c r="D1160" s="212"/>
      <c r="E1160" s="212"/>
      <c r="F1160" s="212"/>
      <c r="G1160" s="212"/>
      <c r="H1160" s="212"/>
      <c r="I1160" s="212"/>
      <c r="J1160" s="212"/>
      <c r="K1160" s="212"/>
      <c r="L1160" s="212"/>
      <c r="M1160" s="212"/>
      <c r="N1160" s="212"/>
      <c r="O1160" s="212"/>
      <c r="Q1160" s="2"/>
    </row>
    <row r="1161" spans="1:17" ht="4.5" customHeight="1" x14ac:dyDescent="0.25"/>
    <row r="1162" spans="1:17" x14ac:dyDescent="0.25">
      <c r="A1162" s="234" t="s">
        <v>401</v>
      </c>
      <c r="B1162" s="235"/>
      <c r="C1162" s="235"/>
      <c r="D1162" s="235"/>
      <c r="E1162" s="236"/>
      <c r="F1162" s="236"/>
      <c r="G1162" s="236"/>
      <c r="H1162" s="236"/>
      <c r="I1162" s="236"/>
      <c r="J1162" s="236"/>
      <c r="K1162" s="236"/>
      <c r="L1162" s="236"/>
      <c r="M1162" s="236"/>
      <c r="N1162" s="236"/>
      <c r="O1162" s="236"/>
      <c r="P1162" s="236"/>
      <c r="Q1162" s="237"/>
    </row>
    <row r="1163" spans="1:17" ht="4.5" customHeight="1" x14ac:dyDescent="0.25">
      <c r="A1163" s="1"/>
      <c r="B1163" s="1"/>
      <c r="Q1163" s="2"/>
    </row>
    <row r="1164" spans="1:17" ht="53.25" customHeight="1" x14ac:dyDescent="0.25">
      <c r="A1164" s="299" t="s">
        <v>405</v>
      </c>
      <c r="B1164" s="300"/>
      <c r="C1164" s="301"/>
      <c r="D1164" s="301"/>
      <c r="E1164" s="301"/>
      <c r="F1164" s="301"/>
      <c r="G1164" s="301"/>
      <c r="H1164" s="301"/>
      <c r="I1164" s="301"/>
      <c r="J1164" s="301"/>
      <c r="K1164" s="301"/>
      <c r="L1164" s="301"/>
      <c r="M1164" s="301"/>
      <c r="N1164" s="301"/>
      <c r="O1164" s="301"/>
      <c r="P1164" s="302"/>
      <c r="Q1164" s="2"/>
    </row>
    <row r="1165" spans="1:17" ht="4.5" customHeight="1" x14ac:dyDescent="0.25">
      <c r="A1165" s="1"/>
      <c r="B1165" s="1"/>
    </row>
    <row r="1166" spans="1:17" x14ac:dyDescent="0.25">
      <c r="A1166" s="234" t="s">
        <v>402</v>
      </c>
      <c r="B1166" s="235"/>
      <c r="C1166" s="235"/>
      <c r="D1166" s="235"/>
      <c r="E1166" s="236"/>
      <c r="F1166" s="236"/>
      <c r="G1166" s="236"/>
      <c r="H1166" s="236"/>
      <c r="I1166" s="236"/>
      <c r="J1166" s="236"/>
      <c r="K1166" s="236"/>
      <c r="L1166" s="236"/>
      <c r="M1166" s="236"/>
      <c r="N1166" s="236"/>
      <c r="O1166" s="236"/>
      <c r="P1166" s="236"/>
      <c r="Q1166" s="237"/>
    </row>
    <row r="1167" spans="1:17" ht="4.5" customHeight="1" x14ac:dyDescent="0.25">
      <c r="A1167" s="1"/>
      <c r="B1167" s="1"/>
      <c r="Q1167" s="2"/>
    </row>
    <row r="1168" spans="1:17" ht="53.25" customHeight="1" x14ac:dyDescent="0.25">
      <c r="A1168" s="299" t="s">
        <v>960</v>
      </c>
      <c r="B1168" s="300"/>
      <c r="C1168" s="301"/>
      <c r="D1168" s="301"/>
      <c r="E1168" s="301"/>
      <c r="F1168" s="301"/>
      <c r="G1168" s="301"/>
      <c r="H1168" s="301"/>
      <c r="I1168" s="301"/>
      <c r="J1168" s="301"/>
      <c r="K1168" s="301"/>
      <c r="L1168" s="301"/>
      <c r="M1168" s="301"/>
      <c r="N1168" s="301"/>
      <c r="O1168" s="301"/>
      <c r="P1168" s="302"/>
      <c r="Q1168" s="2"/>
    </row>
    <row r="1169" spans="1:256" x14ac:dyDescent="0.25">
      <c r="Q1169" s="2"/>
    </row>
    <row r="1170" spans="1:256" ht="31.5" customHeight="1" x14ac:dyDescent="0.25">
      <c r="A1170" s="212" t="s">
        <v>403</v>
      </c>
      <c r="B1170" s="212"/>
      <c r="C1170" s="212"/>
      <c r="D1170" s="212"/>
      <c r="E1170" s="212"/>
      <c r="F1170" s="212"/>
      <c r="G1170" s="212"/>
      <c r="H1170" s="212"/>
      <c r="I1170" s="212"/>
      <c r="J1170" s="212"/>
      <c r="K1170" s="212"/>
      <c r="L1170" s="212"/>
      <c r="M1170" s="212"/>
      <c r="N1170" s="212"/>
      <c r="O1170" s="212"/>
      <c r="P1170" s="212"/>
      <c r="Q1170" s="2"/>
    </row>
    <row r="1171" spans="1:256" ht="5.0999999999999996" customHeight="1" x14ac:dyDescent="0.25">
      <c r="A1171" s="138"/>
      <c r="B1171" s="137"/>
    </row>
    <row r="1172" spans="1:256" x14ac:dyDescent="0.25">
      <c r="A1172" s="234" t="s">
        <v>209</v>
      </c>
      <c r="B1172" s="235"/>
      <c r="C1172" s="235"/>
      <c r="D1172" s="235"/>
      <c r="E1172" s="236"/>
      <c r="F1172" s="236"/>
      <c r="G1172" s="236"/>
      <c r="H1172" s="236"/>
      <c r="I1172" s="236"/>
      <c r="J1172" s="236"/>
      <c r="K1172" s="236"/>
      <c r="L1172" s="236"/>
      <c r="M1172" s="236"/>
      <c r="N1172" s="236"/>
      <c r="O1172" s="236"/>
      <c r="P1172" s="236"/>
      <c r="Q1172" s="237"/>
    </row>
    <row r="1173" spans="1:256" ht="4.5" customHeight="1" x14ac:dyDescent="0.25">
      <c r="Q1173" s="2"/>
    </row>
    <row r="1174" spans="1:256" ht="53.25" customHeight="1" x14ac:dyDescent="0.25">
      <c r="A1174" s="299"/>
      <c r="B1174" s="300"/>
      <c r="C1174" s="301"/>
      <c r="D1174" s="301"/>
      <c r="E1174" s="301"/>
      <c r="F1174" s="301"/>
      <c r="G1174" s="301"/>
      <c r="H1174" s="301"/>
      <c r="I1174" s="301"/>
      <c r="J1174" s="301"/>
      <c r="K1174" s="301"/>
      <c r="L1174" s="301"/>
      <c r="M1174" s="301"/>
      <c r="N1174" s="301"/>
      <c r="O1174" s="301"/>
      <c r="P1174" s="302"/>
      <c r="Q1174" s="2"/>
    </row>
    <row r="1175" spans="1:256" x14ac:dyDescent="0.25">
      <c r="Q1175" s="2"/>
    </row>
    <row r="1176" spans="1:256" ht="30" customHeight="1" x14ac:dyDescent="0.25">
      <c r="A1176" s="212" t="s">
        <v>404</v>
      </c>
      <c r="B1176" s="212"/>
      <c r="C1176" s="212"/>
      <c r="D1176" s="212"/>
      <c r="E1176" s="212"/>
      <c r="F1176" s="212"/>
      <c r="G1176" s="212"/>
      <c r="H1176" s="212"/>
      <c r="I1176" s="212"/>
      <c r="J1176" s="212"/>
      <c r="K1176" s="212"/>
      <c r="L1176" s="212"/>
      <c r="M1176" s="212"/>
      <c r="N1176" s="212"/>
      <c r="O1176" s="212"/>
      <c r="P1176" s="212"/>
      <c r="Q1176" s="2"/>
    </row>
    <row r="1177" spans="1:256" x14ac:dyDescent="0.25">
      <c r="Q1177" s="2"/>
    </row>
    <row r="1178" spans="1:256" ht="15.75" x14ac:dyDescent="0.25">
      <c r="A1178" s="447" t="s">
        <v>995</v>
      </c>
      <c r="B1178" s="448"/>
      <c r="C1178" s="448"/>
      <c r="D1178" s="448"/>
      <c r="E1178" s="448"/>
      <c r="F1178" s="448"/>
      <c r="G1178" s="448"/>
      <c r="H1178" s="448"/>
      <c r="I1178" s="448"/>
      <c r="J1178" s="448"/>
      <c r="K1178" s="448"/>
      <c r="L1178" s="448"/>
      <c r="M1178" s="448"/>
      <c r="N1178" s="448"/>
      <c r="O1178" s="448"/>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34" t="s">
        <v>515</v>
      </c>
      <c r="B1180" s="235"/>
      <c r="C1180" s="235"/>
      <c r="D1180" s="235"/>
      <c r="E1180" s="236"/>
      <c r="F1180" s="236"/>
      <c r="G1180" s="236"/>
      <c r="H1180" s="236"/>
      <c r="I1180" s="236"/>
      <c r="J1180" s="236"/>
      <c r="K1180" s="236"/>
      <c r="L1180" s="236"/>
      <c r="M1180" s="236"/>
      <c r="N1180" s="236"/>
      <c r="O1180" s="236"/>
      <c r="P1180" s="236"/>
      <c r="Q1180" s="237"/>
    </row>
    <row r="1181" spans="1:256" x14ac:dyDescent="0.25">
      <c r="A1181" s="211" t="s">
        <v>973</v>
      </c>
      <c r="B1181" s="212"/>
      <c r="C1181" s="212"/>
      <c r="D1181" s="212"/>
      <c r="E1181" s="212"/>
      <c r="F1181" s="212"/>
      <c r="G1181" s="212"/>
      <c r="H1181" s="212"/>
      <c r="I1181" s="212"/>
      <c r="J1181" s="212"/>
      <c r="K1181" s="212"/>
      <c r="L1181" s="212"/>
      <c r="M1181" s="212"/>
      <c r="N1181" s="212"/>
      <c r="O1181" s="212"/>
      <c r="P1181" s="212"/>
      <c r="Q1181" s="38"/>
      <c r="R1181" s="51"/>
      <c r="S1181" s="51"/>
      <c r="T1181" s="51"/>
      <c r="U1181" s="51"/>
      <c r="V1181" s="51"/>
      <c r="W1181" s="51"/>
      <c r="X1181" s="51"/>
      <c r="Y1181" s="51"/>
      <c r="Z1181" s="51"/>
      <c r="AA1181" s="51"/>
      <c r="AB1181" s="51"/>
      <c r="AC1181" s="51"/>
      <c r="AD1181" s="51"/>
      <c r="AE1181" s="51"/>
      <c r="AF1181" s="51"/>
      <c r="AG1181" s="211"/>
      <c r="AH1181" s="212"/>
      <c r="AI1181" s="212"/>
      <c r="AJ1181" s="212"/>
      <c r="AK1181" s="212"/>
      <c r="AL1181" s="212"/>
      <c r="AM1181" s="212"/>
      <c r="AN1181" s="212"/>
      <c r="AO1181" s="212"/>
      <c r="AP1181" s="212"/>
      <c r="AQ1181" s="212"/>
      <c r="AR1181" s="212"/>
      <c r="AS1181" s="212"/>
      <c r="AT1181" s="212"/>
      <c r="AU1181" s="212"/>
      <c r="AV1181" s="212"/>
      <c r="AW1181" s="211"/>
      <c r="AX1181" s="212"/>
      <c r="AY1181" s="212"/>
      <c r="AZ1181" s="212"/>
      <c r="BA1181" s="212"/>
      <c r="BB1181" s="212"/>
      <c r="BC1181" s="212"/>
      <c r="BD1181" s="212"/>
      <c r="BE1181" s="212"/>
      <c r="BF1181" s="212"/>
      <c r="BG1181" s="212"/>
      <c r="BH1181" s="212"/>
      <c r="BI1181" s="212"/>
      <c r="BJ1181" s="212"/>
      <c r="BK1181" s="212"/>
      <c r="BL1181" s="212"/>
      <c r="BM1181" s="211"/>
      <c r="BN1181" s="212"/>
      <c r="BO1181" s="212"/>
      <c r="BP1181" s="212"/>
      <c r="BQ1181" s="212"/>
      <c r="BR1181" s="212"/>
      <c r="BS1181" s="212"/>
      <c r="BT1181" s="212"/>
      <c r="BU1181" s="212"/>
      <c r="BV1181" s="212"/>
      <c r="BW1181" s="212"/>
      <c r="BX1181" s="212"/>
      <c r="BY1181" s="212"/>
      <c r="BZ1181" s="212"/>
      <c r="CA1181" s="212"/>
      <c r="CB1181" s="212"/>
      <c r="CC1181" s="211"/>
      <c r="CD1181" s="212"/>
      <c r="CE1181" s="212"/>
      <c r="CF1181" s="212"/>
      <c r="CG1181" s="212"/>
      <c r="CH1181" s="212"/>
      <c r="CI1181" s="212"/>
      <c r="CJ1181" s="212"/>
      <c r="CK1181" s="212"/>
      <c r="CL1181" s="212"/>
      <c r="CM1181" s="212"/>
      <c r="CN1181" s="212"/>
      <c r="CO1181" s="212"/>
      <c r="CP1181" s="212"/>
      <c r="CQ1181" s="212"/>
      <c r="CR1181" s="212"/>
      <c r="CS1181" s="211"/>
      <c r="CT1181" s="212"/>
      <c r="CU1181" s="212"/>
      <c r="CV1181" s="212"/>
      <c r="CW1181" s="212"/>
      <c r="CX1181" s="212"/>
      <c r="CY1181" s="212"/>
      <c r="CZ1181" s="212"/>
      <c r="DA1181" s="212"/>
      <c r="DB1181" s="212"/>
      <c r="DC1181" s="212"/>
      <c r="DD1181" s="212"/>
      <c r="DE1181" s="212"/>
      <c r="DF1181" s="212"/>
      <c r="DG1181" s="212"/>
      <c r="DH1181" s="212"/>
      <c r="DI1181" s="211"/>
      <c r="DJ1181" s="212"/>
      <c r="DK1181" s="212"/>
      <c r="DL1181" s="212"/>
      <c r="DM1181" s="212"/>
      <c r="DN1181" s="212"/>
      <c r="DO1181" s="212"/>
      <c r="DP1181" s="212"/>
      <c r="DQ1181" s="212"/>
      <c r="DR1181" s="212"/>
      <c r="DS1181" s="212"/>
      <c r="DT1181" s="212"/>
      <c r="DU1181" s="212"/>
      <c r="DV1181" s="212"/>
      <c r="DW1181" s="212"/>
      <c r="DX1181" s="212"/>
      <c r="DY1181" s="211"/>
      <c r="DZ1181" s="212"/>
      <c r="EA1181" s="212"/>
      <c r="EB1181" s="212"/>
      <c r="EC1181" s="212"/>
      <c r="ED1181" s="212"/>
      <c r="EE1181" s="212"/>
      <c r="EF1181" s="212"/>
      <c r="EG1181" s="212"/>
      <c r="EH1181" s="212"/>
      <c r="EI1181" s="212"/>
      <c r="EJ1181" s="212"/>
      <c r="EK1181" s="212"/>
      <c r="EL1181" s="212"/>
      <c r="EM1181" s="212"/>
      <c r="EN1181" s="212"/>
      <c r="EO1181" s="211"/>
      <c r="EP1181" s="212"/>
      <c r="EQ1181" s="212"/>
      <c r="ER1181" s="212"/>
      <c r="ES1181" s="212"/>
      <c r="ET1181" s="212"/>
      <c r="EU1181" s="212"/>
      <c r="EV1181" s="212"/>
      <c r="EW1181" s="212"/>
      <c r="EX1181" s="212"/>
      <c r="EY1181" s="212"/>
      <c r="EZ1181" s="212"/>
      <c r="FA1181" s="212"/>
      <c r="FB1181" s="212"/>
      <c r="FC1181" s="212"/>
      <c r="FD1181" s="212"/>
      <c r="FE1181" s="211"/>
      <c r="FF1181" s="212"/>
      <c r="FG1181" s="212"/>
      <c r="FH1181" s="212"/>
      <c r="FI1181" s="212"/>
      <c r="FJ1181" s="212"/>
      <c r="FK1181" s="212"/>
      <c r="FL1181" s="212"/>
      <c r="FM1181" s="212"/>
      <c r="FN1181" s="212"/>
      <c r="FO1181" s="212"/>
      <c r="FP1181" s="212"/>
      <c r="FQ1181" s="212"/>
      <c r="FR1181" s="212"/>
      <c r="FS1181" s="212"/>
      <c r="FT1181" s="212"/>
      <c r="FU1181" s="211"/>
      <c r="FV1181" s="212"/>
      <c r="FW1181" s="212"/>
      <c r="FX1181" s="212"/>
      <c r="FY1181" s="212"/>
      <c r="FZ1181" s="212"/>
      <c r="GA1181" s="212"/>
      <c r="GB1181" s="212"/>
      <c r="GC1181" s="212"/>
      <c r="GD1181" s="212"/>
      <c r="GE1181" s="212"/>
      <c r="GF1181" s="212"/>
      <c r="GG1181" s="212"/>
      <c r="GH1181" s="212"/>
      <c r="GI1181" s="212"/>
      <c r="GJ1181" s="212"/>
      <c r="GK1181" s="211"/>
      <c r="GL1181" s="212"/>
      <c r="GM1181" s="212"/>
      <c r="GN1181" s="212"/>
      <c r="GO1181" s="212"/>
      <c r="GP1181" s="212"/>
      <c r="GQ1181" s="212"/>
      <c r="GR1181" s="212"/>
      <c r="GS1181" s="212"/>
      <c r="GT1181" s="212"/>
      <c r="GU1181" s="212"/>
      <c r="GV1181" s="212"/>
      <c r="GW1181" s="212"/>
      <c r="GX1181" s="212"/>
      <c r="GY1181" s="212"/>
      <c r="GZ1181" s="212"/>
      <c r="HA1181" s="211"/>
      <c r="HB1181" s="212"/>
      <c r="HC1181" s="212"/>
      <c r="HD1181" s="212"/>
      <c r="HE1181" s="212"/>
      <c r="HF1181" s="212"/>
      <c r="HG1181" s="212"/>
      <c r="HH1181" s="212"/>
      <c r="HI1181" s="212"/>
      <c r="HJ1181" s="212"/>
      <c r="HK1181" s="212"/>
      <c r="HL1181" s="212"/>
      <c r="HM1181" s="212"/>
      <c r="HN1181" s="212"/>
      <c r="HO1181" s="212"/>
      <c r="HP1181" s="212"/>
      <c r="HQ1181" s="211"/>
      <c r="HR1181" s="212"/>
      <c r="HS1181" s="212"/>
      <c r="HT1181" s="212"/>
      <c r="HU1181" s="212"/>
      <c r="HV1181" s="212"/>
      <c r="HW1181" s="212"/>
      <c r="HX1181" s="212"/>
      <c r="HY1181" s="212"/>
      <c r="HZ1181" s="212"/>
      <c r="IA1181" s="212"/>
      <c r="IB1181" s="212"/>
      <c r="IC1181" s="212"/>
      <c r="ID1181" s="212"/>
      <c r="IE1181" s="212"/>
      <c r="IF1181" s="212"/>
      <c r="IG1181" s="211"/>
      <c r="IH1181" s="212"/>
      <c r="II1181" s="212"/>
      <c r="IJ1181" s="212"/>
      <c r="IK1181" s="212"/>
      <c r="IL1181" s="212"/>
      <c r="IM1181" s="212"/>
      <c r="IN1181" s="212"/>
      <c r="IO1181" s="212"/>
      <c r="IP1181" s="212"/>
      <c r="IQ1181" s="212"/>
      <c r="IR1181" s="212"/>
      <c r="IS1181" s="212"/>
      <c r="IT1181" s="212"/>
      <c r="IU1181" s="212"/>
      <c r="IV1181" s="212"/>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1" t="s">
        <v>516</v>
      </c>
      <c r="B1183" s="212"/>
      <c r="C1183" s="212"/>
      <c r="D1183" s="212"/>
      <c r="E1183" s="212"/>
      <c r="F1183" s="212"/>
      <c r="G1183" s="212"/>
      <c r="H1183" s="212"/>
      <c r="I1183" s="212"/>
      <c r="J1183" s="212"/>
      <c r="K1183" s="212"/>
      <c r="L1183" s="212"/>
      <c r="M1183" s="212"/>
      <c r="N1183" s="212"/>
      <c r="O1183" s="212"/>
      <c r="P1183" s="212"/>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38"/>
      <c r="B1185" s="239"/>
      <c r="C1185" s="212"/>
      <c r="D1185" s="212"/>
      <c r="E1185" s="72"/>
      <c r="F1185" s="140"/>
      <c r="G1185" s="140"/>
      <c r="H1185" s="140"/>
      <c r="I1185" s="140"/>
      <c r="J1185" s="140"/>
      <c r="K1185" s="140"/>
      <c r="L1185" s="140"/>
      <c r="M1185" s="140"/>
      <c r="N1185" s="140"/>
      <c r="O1185" s="140"/>
      <c r="P1185" s="140"/>
      <c r="Q1185" s="38"/>
    </row>
    <row r="1186" spans="1:17" x14ac:dyDescent="0.25">
      <c r="A1186" s="36"/>
      <c r="F1186" s="238" t="s">
        <v>519</v>
      </c>
      <c r="G1186" s="239"/>
      <c r="H1186" s="212"/>
      <c r="I1186" s="212"/>
      <c r="L1186" s="238" t="str">
        <f>IF(H72&gt;0,"Previous year account balances","")</f>
        <v>Previous year account balances</v>
      </c>
      <c r="M1186" s="239"/>
      <c r="N1186" s="212"/>
      <c r="O1186" s="212"/>
      <c r="Q1186" s="2"/>
    </row>
    <row r="1187" spans="1:17" x14ac:dyDescent="0.25">
      <c r="A1187" s="238"/>
      <c r="B1187" s="239"/>
      <c r="C1187" s="72"/>
      <c r="D1187" s="72"/>
      <c r="E1187" s="72"/>
      <c r="F1187" s="140" t="str">
        <f>TEXT(N2,"yyyy")</f>
        <v>2023</v>
      </c>
      <c r="G1187" s="140"/>
      <c r="H1187" s="140"/>
      <c r="I1187" s="140"/>
      <c r="J1187" s="140"/>
      <c r="K1187" s="140"/>
      <c r="L1187" s="238" t="str">
        <f>IF(H72&gt;0,TEXT(H72,"yyyy"),"")</f>
        <v/>
      </c>
      <c r="M1187" s="239"/>
      <c r="N1187" s="239"/>
      <c r="O1187" s="239"/>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44" t="s">
        <v>523</v>
      </c>
      <c r="B1190" s="245"/>
      <c r="C1190" s="245"/>
      <c r="D1190" s="246"/>
      <c r="E1190" s="20"/>
      <c r="F1190" s="70" t="s">
        <v>122</v>
      </c>
      <c r="G1190" s="115" t="s">
        <v>61</v>
      </c>
      <c r="H1190" s="242">
        <f>(H252+(SUM(H258,H261,H1213)-H270))-H279-H283</f>
        <v>0</v>
      </c>
      <c r="I1190" s="242"/>
      <c r="J1190" s="179"/>
      <c r="K1190" s="27"/>
      <c r="L1190" s="70" t="s">
        <v>437</v>
      </c>
      <c r="M1190" s="186" t="s">
        <v>61</v>
      </c>
      <c r="N1190" s="242">
        <f>N286</f>
        <v>0</v>
      </c>
      <c r="O1190" s="242"/>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47" t="s">
        <v>130</v>
      </c>
      <c r="B1193" s="248"/>
      <c r="C1193" s="285"/>
      <c r="D1193" s="286"/>
      <c r="E1193" s="22"/>
      <c r="F1193" s="70" t="s">
        <v>134</v>
      </c>
      <c r="G1193" s="107" t="s">
        <v>61</v>
      </c>
      <c r="H1193" s="240">
        <f>H309</f>
        <v>0</v>
      </c>
      <c r="I1193" s="241"/>
      <c r="J1193" s="176"/>
      <c r="K1193" s="40"/>
      <c r="L1193" s="70" t="s">
        <v>442</v>
      </c>
      <c r="M1193" s="107" t="s">
        <v>61</v>
      </c>
      <c r="N1193" s="240">
        <f>N309</f>
        <v>0</v>
      </c>
      <c r="O1193" s="241"/>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24" t="str">
        <f>[1]TrialBalance!$B$22&amp;":"</f>
        <v>Bank Current Account:</v>
      </c>
      <c r="B1198" s="225"/>
      <c r="C1198" s="283"/>
      <c r="D1198" s="284"/>
      <c r="E1198" s="20"/>
      <c r="F1198" s="70" t="s">
        <v>518</v>
      </c>
      <c r="G1198" s="40" t="s">
        <v>61</v>
      </c>
      <c r="H1198" s="213">
        <f>ROUND([1]TrialBalance!EJ22,D2)</f>
        <v>0</v>
      </c>
      <c r="I1198" s="214"/>
      <c r="J1198" s="179"/>
      <c r="K1198" s="27"/>
      <c r="L1198" s="70" t="s">
        <v>518</v>
      </c>
      <c r="M1198" s="67" t="s">
        <v>61</v>
      </c>
      <c r="N1198" s="213">
        <f>IF(H72&gt;0,ROUND([1]TrialBalance!D22,D2),"")</f>
        <v>0</v>
      </c>
      <c r="O1198" s="214"/>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21" t="str">
        <f>[1]TrialBalance!$B$23&amp;":"</f>
        <v>Bank Savings Account:</v>
      </c>
      <c r="B1201" s="222"/>
      <c r="C1201" s="283"/>
      <c r="D1201" s="284"/>
      <c r="E1201" s="22"/>
      <c r="F1201" s="70" t="s">
        <v>518</v>
      </c>
      <c r="G1201" s="67" t="s">
        <v>61</v>
      </c>
      <c r="H1201" s="213">
        <f>ROUND([1]TrialBalance!EJ23,D2)</f>
        <v>0</v>
      </c>
      <c r="I1201" s="214"/>
      <c r="J1201" s="176"/>
      <c r="K1201" s="40"/>
      <c r="L1201" s="70" t="s">
        <v>518</v>
      </c>
      <c r="M1201" s="67" t="s">
        <v>61</v>
      </c>
      <c r="N1201" s="213">
        <f>IF(H72&gt;0,ROUND([1]TrialBalance!D23,D2),"")</f>
        <v>0</v>
      </c>
      <c r="O1201" s="214"/>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24" t="str">
        <f>[1]TrialBalance!$B$24&amp;":"</f>
        <v>Credit Card Account:</v>
      </c>
      <c r="B1204" s="225"/>
      <c r="C1204" s="283"/>
      <c r="D1204" s="284"/>
      <c r="E1204" s="20"/>
      <c r="F1204" s="70" t="s">
        <v>518</v>
      </c>
      <c r="G1204" s="40" t="s">
        <v>61</v>
      </c>
      <c r="H1204" s="213">
        <f>ROUND([1]TrialBalance!EJ24,D2)</f>
        <v>0</v>
      </c>
      <c r="I1204" s="214"/>
      <c r="J1204" s="179"/>
      <c r="K1204" s="27"/>
      <c r="L1204" s="70" t="s">
        <v>518</v>
      </c>
      <c r="M1204" s="67" t="s">
        <v>61</v>
      </c>
      <c r="N1204" s="213">
        <f>IF(H72&gt;0,ROUND([1]TrialBalance!D24,D2),"")</f>
        <v>0</v>
      </c>
      <c r="O1204" s="214"/>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21" t="str">
        <f>[1]TrialBalance!$B$25&amp;":"</f>
        <v>Cash Account:</v>
      </c>
      <c r="B1207" s="222"/>
      <c r="C1207" s="283"/>
      <c r="D1207" s="284"/>
      <c r="E1207" s="22"/>
      <c r="F1207" s="70" t="s">
        <v>518</v>
      </c>
      <c r="G1207" s="67" t="s">
        <v>61</v>
      </c>
      <c r="H1207" s="213">
        <f>ROUND([1]TrialBalance!EJ25,D2)</f>
        <v>0</v>
      </c>
      <c r="I1207" s="214"/>
      <c r="J1207" s="176"/>
      <c r="K1207" s="40"/>
      <c r="L1207" s="70" t="s">
        <v>518</v>
      </c>
      <c r="M1207" s="67" t="s">
        <v>61</v>
      </c>
      <c r="N1207" s="213">
        <f>IF(H72&gt;0,ROUND([1]TrialBalance!D25,D2),"")</f>
        <v>0</v>
      </c>
      <c r="O1207" s="214"/>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24" t="str">
        <f>[1]TrialBalance!$B$26&amp;":"</f>
        <v>Intra Cash &amp; Bank Transfers:</v>
      </c>
      <c r="B1210" s="225"/>
      <c r="C1210" s="283"/>
      <c r="D1210" s="284"/>
      <c r="E1210" s="20"/>
      <c r="F1210" s="70" t="s">
        <v>518</v>
      </c>
      <c r="G1210" s="66" t="s">
        <v>61</v>
      </c>
      <c r="H1210" s="213">
        <f>ROUND([1]TrialBalance!EJ26,D2)</f>
        <v>0</v>
      </c>
      <c r="I1210" s="214"/>
      <c r="J1210" s="179"/>
      <c r="K1210" s="27"/>
      <c r="L1210" s="70" t="s">
        <v>518</v>
      </c>
      <c r="M1210" s="67" t="s">
        <v>61</v>
      </c>
      <c r="N1210" s="213">
        <f>IF(H72&gt;0,ROUND([1]TrialBalance!D26,D2),"")</f>
        <v>0</v>
      </c>
      <c r="O1210" s="214"/>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21" t="s">
        <v>525</v>
      </c>
      <c r="B1213" s="222"/>
      <c r="C1213" s="283"/>
      <c r="D1213" s="284"/>
      <c r="E1213" s="22"/>
      <c r="F1213" s="70" t="s">
        <v>115</v>
      </c>
      <c r="G1213" s="67" t="s">
        <v>61</v>
      </c>
      <c r="H1213" s="213">
        <f>IF(SUM(H1198,H1201,H1204)&gt;0,SUM(H1198,H1201,H1204,H1207,H1210),H1207)</f>
        <v>0</v>
      </c>
      <c r="I1213" s="214"/>
      <c r="J1213" s="176"/>
      <c r="K1213" s="40"/>
      <c r="L1213" s="70" t="s">
        <v>429</v>
      </c>
      <c r="M1213" s="67" t="s">
        <v>61</v>
      </c>
      <c r="N1213" s="213">
        <f>IF(SUM(N1198,N1201,N1204)&gt;0,SUM(N1198,N1201,N1204,N1207,N1210),N1207)</f>
        <v>0</v>
      </c>
      <c r="O1213" s="214"/>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44" t="s">
        <v>524</v>
      </c>
      <c r="B1217" s="245"/>
      <c r="C1217" s="287"/>
      <c r="D1217" s="288"/>
      <c r="E1217" s="20"/>
      <c r="F1217" s="70" t="s">
        <v>518</v>
      </c>
      <c r="G1217" s="27" t="s">
        <v>61</v>
      </c>
      <c r="H1217" s="242" t="str">
        <f>IF(ABS(H1190-H1193)&gt;0,"Yes","No")</f>
        <v>No</v>
      </c>
      <c r="I1217" s="243"/>
      <c r="J1217" s="179"/>
      <c r="K1217" s="27"/>
      <c r="L1217" s="216" t="s">
        <v>996</v>
      </c>
      <c r="M1217" s="216"/>
      <c r="N1217" s="216"/>
      <c r="O1217" s="216"/>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21" t="s">
        <v>517</v>
      </c>
      <c r="B1220" s="222"/>
      <c r="C1220" s="283"/>
      <c r="D1220" s="284"/>
      <c r="E1220" s="22"/>
      <c r="F1220" s="70" t="s">
        <v>518</v>
      </c>
      <c r="G1220" s="67" t="s">
        <v>61</v>
      </c>
      <c r="H1220" s="213">
        <f>IF(H1217="Yes",D3,0)</f>
        <v>0</v>
      </c>
      <c r="I1220" s="214"/>
      <c r="J1220" s="176"/>
      <c r="K1220" s="40"/>
      <c r="L1220" s="70" t="s">
        <v>518</v>
      </c>
      <c r="M1220" s="67" t="s">
        <v>61</v>
      </c>
      <c r="N1220" s="213">
        <v>0</v>
      </c>
      <c r="O1220" s="214"/>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44" t="s">
        <v>526</v>
      </c>
      <c r="B1223" s="245"/>
      <c r="C1223" s="287"/>
      <c r="D1223" s="288"/>
      <c r="E1223" s="20"/>
      <c r="F1223" s="70" t="s">
        <v>115</v>
      </c>
      <c r="G1223" s="27" t="s">
        <v>61</v>
      </c>
      <c r="H1223" s="242">
        <f>IF(SUM(H1198,H1201,H1204,H1207)&gt;0,SUM(H1198,H1201,H1204,H1207,H1210),H1207)+H1220</f>
        <v>0</v>
      </c>
      <c r="I1223" s="243"/>
      <c r="J1223" s="179"/>
      <c r="K1223" s="27"/>
      <c r="L1223" s="70" t="s">
        <v>429</v>
      </c>
      <c r="M1223" s="27" t="s">
        <v>61</v>
      </c>
      <c r="N1223" s="242">
        <f>IF(H72&gt;0,IF(SUM(N1198,N1201,N1204,N1207)&gt;0,SUM(N1198,N1201,N1204,N1207,N1210),N1207)+N1220,"")</f>
        <v>0</v>
      </c>
      <c r="O1223" s="243"/>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31" t="s">
        <v>527</v>
      </c>
      <c r="B1227" s="232"/>
      <c r="C1227" s="232"/>
      <c r="D1227" s="232"/>
      <c r="F1227" s="233" t="s">
        <v>12</v>
      </c>
      <c r="G1227" s="233"/>
      <c r="H1227" s="233"/>
      <c r="I1227" s="233"/>
      <c r="J1227" s="233"/>
      <c r="K1227" s="233"/>
      <c r="L1227" s="233"/>
      <c r="M1227" s="233"/>
      <c r="N1227" s="233"/>
      <c r="O1227" s="233"/>
      <c r="P1227" s="233"/>
      <c r="Q1227" s="233"/>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72"/>
      <c r="B1229" s="273"/>
      <c r="C1229" s="273"/>
      <c r="D1229" s="273"/>
      <c r="E1229" s="273"/>
      <c r="F1229" s="273"/>
      <c r="G1229" s="273"/>
      <c r="H1229" s="273"/>
      <c r="I1229" s="273"/>
      <c r="J1229" s="273"/>
      <c r="K1229" s="273"/>
      <c r="L1229" s="273"/>
      <c r="M1229" s="273"/>
      <c r="N1229" s="273"/>
      <c r="O1229" s="273"/>
      <c r="P1229" s="273"/>
      <c r="Q1229" s="274"/>
    </row>
    <row r="1230" spans="1:17" ht="28.5" customHeight="1" x14ac:dyDescent="0.25">
      <c r="A1230" s="326" t="s">
        <v>528</v>
      </c>
      <c r="B1230" s="212"/>
      <c r="C1230" s="212"/>
      <c r="D1230" s="212"/>
      <c r="E1230" s="212"/>
      <c r="F1230" s="212"/>
      <c r="G1230" s="212"/>
      <c r="H1230" s="212"/>
      <c r="I1230" s="212"/>
      <c r="J1230" s="212"/>
      <c r="K1230" s="212"/>
      <c r="L1230" s="212"/>
      <c r="M1230" s="212"/>
      <c r="N1230" s="212"/>
      <c r="O1230" s="212"/>
      <c r="P1230" s="37"/>
      <c r="Q1230" s="38"/>
    </row>
    <row r="1231" spans="1:17" x14ac:dyDescent="0.25">
      <c r="Q1231" s="38"/>
    </row>
    <row r="1232" spans="1:17" ht="28.5" customHeight="1" x14ac:dyDescent="0.25">
      <c r="A1232" s="326" t="s">
        <v>529</v>
      </c>
      <c r="B1232" s="212"/>
      <c r="C1232" s="212"/>
      <c r="D1232" s="212"/>
      <c r="E1232" s="212"/>
      <c r="F1232" s="212"/>
      <c r="G1232" s="212"/>
      <c r="H1232" s="212"/>
      <c r="I1232" s="212"/>
      <c r="J1232" s="212"/>
      <c r="K1232" s="212"/>
      <c r="L1232" s="212"/>
      <c r="M1232" s="212"/>
      <c r="N1232" s="212"/>
      <c r="O1232" s="212"/>
      <c r="P1232" s="37"/>
      <c r="Q1232" s="38"/>
    </row>
    <row r="1233" spans="1:17" x14ac:dyDescent="0.25">
      <c r="Q1233" s="38"/>
    </row>
    <row r="1234" spans="1:17" x14ac:dyDescent="0.25">
      <c r="Q1234" s="38"/>
    </row>
    <row r="1235" spans="1:17" ht="15" customHeight="1" x14ac:dyDescent="0.25">
      <c r="A1235" s="266" t="s">
        <v>530</v>
      </c>
      <c r="B1235" s="266"/>
      <c r="C1235" s="266"/>
      <c r="D1235" s="266"/>
      <c r="E1235" s="266"/>
      <c r="F1235" s="266"/>
      <c r="G1235" s="266"/>
      <c r="H1235" s="266"/>
      <c r="I1235" s="266"/>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66" t="str">
        <f>"Do your accounts start on " &amp; TEXT(J2,"dd Mmm yyyy") &amp; "?"</f>
        <v>Do your accounts start on 01 Dec 2022?</v>
      </c>
      <c r="B1237" s="266"/>
      <c r="C1237" s="266"/>
      <c r="D1237" s="266"/>
      <c r="E1237" s="266"/>
      <c r="F1237" s="266"/>
      <c r="G1237" s="266"/>
      <c r="H1237" s="266"/>
      <c r="I1237" s="266"/>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66" t="str">
        <f>"Do your accounts end on " &amp; TEXT(N2,"dd Mmm yyyy") &amp; "?"</f>
        <v>Do your accounts end on 30 Nov 2023?</v>
      </c>
      <c r="B1239" s="266"/>
      <c r="C1239" s="266"/>
      <c r="D1239" s="266"/>
      <c r="E1239" s="266"/>
      <c r="F1239" s="266"/>
      <c r="G1239" s="266"/>
      <c r="H1239" s="266"/>
      <c r="I1239" s="266"/>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438" t="s">
        <v>531</v>
      </c>
      <c r="B1242" s="439"/>
      <c r="C1242" s="406"/>
      <c r="D1242" s="406"/>
      <c r="E1242" s="406"/>
      <c r="F1242" s="406"/>
      <c r="G1242" s="406"/>
      <c r="H1242" s="406"/>
      <c r="I1242" s="406"/>
      <c r="J1242" s="26"/>
      <c r="K1242" s="27"/>
      <c r="L1242" s="70" t="s">
        <v>949</v>
      </c>
      <c r="M1242" s="186"/>
      <c r="N1242" s="440">
        <f>J2</f>
        <v>44896</v>
      </c>
      <c r="O1242" s="441"/>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444" t="s">
        <v>532</v>
      </c>
      <c r="B1245" s="445"/>
      <c r="C1245" s="445"/>
      <c r="D1245" s="445"/>
      <c r="E1245" s="445"/>
      <c r="F1245" s="445"/>
      <c r="G1245" s="445"/>
      <c r="H1245" s="445"/>
      <c r="I1245" s="445"/>
      <c r="J1245" s="41"/>
      <c r="K1245" s="40"/>
      <c r="L1245" s="70" t="s">
        <v>950</v>
      </c>
      <c r="M1245" s="107"/>
      <c r="N1245" s="442">
        <f>N2</f>
        <v>45260</v>
      </c>
      <c r="O1245" s="443"/>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438" t="s">
        <v>974</v>
      </c>
      <c r="B1248" s="439"/>
      <c r="C1248" s="439"/>
      <c r="D1248" s="439"/>
      <c r="E1248" s="439"/>
      <c r="F1248" s="439"/>
      <c r="G1248" s="439"/>
      <c r="H1248" s="439"/>
      <c r="I1248" s="439"/>
      <c r="J1248" s="26"/>
      <c r="K1248" s="27"/>
      <c r="L1248" s="70" t="s">
        <v>951</v>
      </c>
      <c r="M1248" s="67" t="s">
        <v>61</v>
      </c>
      <c r="N1248" s="213">
        <f>H188</f>
        <v>0</v>
      </c>
      <c r="O1248" s="214"/>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444" t="s">
        <v>975</v>
      </c>
      <c r="B1251" s="445"/>
      <c r="C1251" s="445"/>
      <c r="D1251" s="445"/>
      <c r="E1251" s="445"/>
      <c r="F1251" s="445"/>
      <c r="G1251" s="445"/>
      <c r="H1251" s="445"/>
      <c r="I1251" s="445"/>
      <c r="J1251" s="41"/>
      <c r="K1251" s="40"/>
      <c r="L1251" s="70" t="s">
        <v>952</v>
      </c>
      <c r="M1251" s="67" t="s">
        <v>61</v>
      </c>
      <c r="N1251" s="213">
        <f>N1248</f>
        <v>0</v>
      </c>
      <c r="O1251" s="214"/>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31" t="s">
        <v>533</v>
      </c>
      <c r="B1255" s="232"/>
      <c r="C1255" s="232"/>
      <c r="D1255" s="232"/>
      <c r="F1255" s="233" t="s">
        <v>12</v>
      </c>
      <c r="G1255" s="233"/>
      <c r="H1255" s="233"/>
      <c r="I1255" s="233"/>
      <c r="J1255" s="233"/>
      <c r="K1255" s="233"/>
      <c r="L1255" s="233"/>
      <c r="M1255" s="233"/>
      <c r="N1255" s="233"/>
      <c r="O1255" s="233"/>
      <c r="P1255" s="233"/>
      <c r="Q1255" s="233"/>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72"/>
      <c r="B1257" s="273"/>
      <c r="C1257" s="273"/>
      <c r="D1257" s="273"/>
      <c r="E1257" s="273"/>
      <c r="F1257" s="273"/>
      <c r="G1257" s="273"/>
      <c r="H1257" s="273"/>
      <c r="I1257" s="273"/>
      <c r="J1257" s="273"/>
      <c r="K1257" s="273"/>
      <c r="L1257" s="273"/>
      <c r="M1257" s="273"/>
      <c r="N1257" s="273"/>
      <c r="O1257" s="273"/>
      <c r="P1257" s="273"/>
      <c r="Q1257" s="274"/>
    </row>
    <row r="1258" spans="1:17" ht="28.5" customHeight="1" x14ac:dyDescent="0.25">
      <c r="A1258" s="326" t="s">
        <v>534</v>
      </c>
      <c r="B1258" s="212"/>
      <c r="C1258" s="212"/>
      <c r="D1258" s="212"/>
      <c r="E1258" s="212"/>
      <c r="F1258" s="212"/>
      <c r="G1258" s="212"/>
      <c r="H1258" s="212"/>
      <c r="I1258" s="212"/>
      <c r="J1258" s="212"/>
      <c r="K1258" s="212"/>
      <c r="L1258" s="212"/>
      <c r="M1258" s="212"/>
      <c r="N1258" s="212"/>
      <c r="O1258" s="212"/>
      <c r="P1258" s="37"/>
      <c r="Q1258" s="38"/>
    </row>
    <row r="1259" spans="1:17" x14ac:dyDescent="0.25">
      <c r="Q1259" s="38"/>
    </row>
    <row r="1260" spans="1:17" ht="28.5" customHeight="1" x14ac:dyDescent="0.25">
      <c r="A1260" s="326" t="s">
        <v>535</v>
      </c>
      <c r="B1260" s="212"/>
      <c r="C1260" s="212"/>
      <c r="D1260" s="212"/>
      <c r="E1260" s="212"/>
      <c r="F1260" s="212"/>
      <c r="G1260" s="212"/>
      <c r="H1260" s="212"/>
      <c r="I1260" s="212"/>
      <c r="J1260" s="212"/>
      <c r="K1260" s="212"/>
      <c r="L1260" s="212"/>
      <c r="M1260" s="212"/>
      <c r="N1260" s="212"/>
      <c r="O1260" s="212"/>
      <c r="P1260" s="37"/>
      <c r="Q1260" s="38"/>
    </row>
    <row r="1262" spans="1:17" x14ac:dyDescent="0.25">
      <c r="A1262" s="234" t="s">
        <v>150</v>
      </c>
      <c r="B1262" s="235"/>
      <c r="C1262" s="235"/>
      <c r="D1262" s="235"/>
      <c r="E1262" s="236"/>
      <c r="F1262" s="236"/>
      <c r="G1262" s="236"/>
      <c r="H1262" s="236"/>
      <c r="I1262" s="236"/>
      <c r="J1262" s="236"/>
      <c r="K1262" s="236"/>
      <c r="L1262" s="236"/>
      <c r="M1262" s="236"/>
      <c r="N1262" s="236"/>
      <c r="O1262" s="236"/>
      <c r="P1262" s="236"/>
      <c r="Q1262" s="237"/>
    </row>
    <row r="1263" spans="1:17" ht="5.0999999999999996" customHeight="1" x14ac:dyDescent="0.25">
      <c r="A1263" s="211"/>
      <c r="B1263" s="212"/>
      <c r="C1263" s="212"/>
      <c r="D1263" s="212"/>
      <c r="E1263" s="212"/>
      <c r="F1263" s="212"/>
      <c r="G1263" s="212"/>
      <c r="H1263" s="212"/>
      <c r="I1263" s="212"/>
      <c r="J1263" s="212"/>
      <c r="K1263" s="212"/>
      <c r="L1263" s="212"/>
      <c r="M1263" s="212"/>
      <c r="N1263" s="212"/>
      <c r="O1263" s="212"/>
      <c r="P1263" s="212"/>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438" t="s">
        <v>536</v>
      </c>
      <c r="B1265" s="439"/>
      <c r="C1265" s="439"/>
      <c r="D1265" s="439"/>
      <c r="E1265" s="439"/>
      <c r="F1265" s="439"/>
      <c r="G1265" s="439"/>
      <c r="H1265" s="439"/>
      <c r="I1265" s="439"/>
      <c r="J1265" s="26"/>
      <c r="K1265" s="27"/>
      <c r="L1265" s="70" t="s">
        <v>537</v>
      </c>
      <c r="M1265" s="67" t="s">
        <v>61</v>
      </c>
      <c r="N1265" s="213">
        <f>-SUM(ROUND([1]TrialBalance!EJ53,D2),ROUND([1]TrialBalance!EJ54,D2),ROUND([1]TrialBalance!EJ55,D2),ROUND([1]TrialBalance!EJ56,D2))</f>
        <v>0</v>
      </c>
      <c r="O1265" s="214"/>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34" t="s">
        <v>538</v>
      </c>
      <c r="B1269" s="235"/>
      <c r="C1269" s="235"/>
      <c r="D1269" s="235"/>
      <c r="E1269" s="236"/>
      <c r="F1269" s="236"/>
      <c r="G1269" s="236"/>
      <c r="H1269" s="236"/>
      <c r="I1269" s="236"/>
      <c r="J1269" s="236"/>
      <c r="K1269" s="236"/>
      <c r="L1269" s="236"/>
      <c r="M1269" s="236"/>
      <c r="N1269" s="236"/>
      <c r="O1269" s="236"/>
      <c r="P1269" s="236"/>
      <c r="Q1269" s="237"/>
    </row>
    <row r="1270" spans="1:17" ht="5.0999999999999996" customHeight="1" x14ac:dyDescent="0.25">
      <c r="Q1270" s="38"/>
    </row>
    <row r="1271" spans="1:17" ht="15" customHeight="1" x14ac:dyDescent="0.25">
      <c r="A1271" s="266" t="s">
        <v>542</v>
      </c>
      <c r="B1271" s="266"/>
      <c r="C1271" s="266"/>
      <c r="D1271" s="266"/>
      <c r="E1271" s="266"/>
      <c r="F1271" s="266"/>
      <c r="G1271" s="266"/>
      <c r="H1271" s="266"/>
      <c r="I1271" s="266"/>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24" t="s">
        <v>543</v>
      </c>
      <c r="B1274" s="225"/>
      <c r="C1274" s="225"/>
      <c r="D1274" s="225"/>
      <c r="E1274" s="225"/>
      <c r="F1274" s="225"/>
      <c r="G1274" s="225"/>
      <c r="H1274" s="225"/>
      <c r="I1274" s="225"/>
      <c r="J1274" s="226"/>
      <c r="K1274" s="27"/>
      <c r="L1274" s="70" t="s">
        <v>552</v>
      </c>
      <c r="M1274" s="67" t="s">
        <v>61</v>
      </c>
      <c r="N1274" s="213">
        <f>ROUND([1]TrialBalance!$D$19,D2)</f>
        <v>0</v>
      </c>
      <c r="O1274" s="214"/>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21" t="s">
        <v>544</v>
      </c>
      <c r="B1277" s="222"/>
      <c r="C1277" s="222"/>
      <c r="D1277" s="222"/>
      <c r="E1277" s="222"/>
      <c r="F1277" s="222"/>
      <c r="G1277" s="222"/>
      <c r="H1277" s="222"/>
      <c r="I1277" s="222"/>
      <c r="J1277" s="223"/>
      <c r="K1277" s="40"/>
      <c r="L1277" s="70" t="s">
        <v>553</v>
      </c>
      <c r="M1277" s="67" t="s">
        <v>61</v>
      </c>
      <c r="N1277" s="213">
        <f>ROUND(([1]TrialBalance!EJ60)-[1]TrialBalance!D19+[1]TrialBalance!EJ19,D2)</f>
        <v>0</v>
      </c>
      <c r="O1277" s="214"/>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24" t="s">
        <v>545</v>
      </c>
      <c r="B1280" s="225"/>
      <c r="C1280" s="225"/>
      <c r="D1280" s="225"/>
      <c r="E1280" s="225"/>
      <c r="F1280" s="225"/>
      <c r="G1280" s="225"/>
      <c r="H1280" s="225"/>
      <c r="I1280" s="225"/>
      <c r="J1280" s="226"/>
      <c r="K1280" s="27"/>
      <c r="L1280" s="70" t="s">
        <v>554</v>
      </c>
      <c r="M1280" s="67" t="s">
        <v>61</v>
      </c>
      <c r="N1280" s="213">
        <f>ROUND([1]TrialBalance!EJ62+[1]TrialBalance!EJ70,D2)</f>
        <v>0</v>
      </c>
      <c r="O1280" s="214"/>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21" t="s">
        <v>546</v>
      </c>
      <c r="B1283" s="222"/>
      <c r="C1283" s="222"/>
      <c r="D1283" s="222"/>
      <c r="E1283" s="222"/>
      <c r="F1283" s="222"/>
      <c r="G1283" s="222"/>
      <c r="H1283" s="222"/>
      <c r="I1283" s="222"/>
      <c r="J1283" s="223"/>
      <c r="K1283" s="40"/>
      <c r="L1283" s="70" t="s">
        <v>555</v>
      </c>
      <c r="M1283" s="67" t="s">
        <v>61</v>
      </c>
      <c r="N1283" s="213">
        <f>ROUND([1]TrialBalance!$EJ$19,D2)</f>
        <v>0</v>
      </c>
      <c r="O1283" s="214"/>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24" t="s">
        <v>63</v>
      </c>
      <c r="B1286" s="225"/>
      <c r="C1286" s="225"/>
      <c r="D1286" s="225"/>
      <c r="E1286" s="225"/>
      <c r="F1286" s="225"/>
      <c r="G1286" s="225"/>
      <c r="H1286" s="225"/>
      <c r="I1286" s="225"/>
      <c r="J1286" s="226"/>
      <c r="K1286" s="27"/>
      <c r="L1286" s="70" t="s">
        <v>556</v>
      </c>
      <c r="M1286" s="186" t="s">
        <v>61</v>
      </c>
      <c r="N1286" s="242">
        <f>SUM(N1274,N1277,N1280)-N1283</f>
        <v>0</v>
      </c>
      <c r="O1286" s="243"/>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34" t="s">
        <v>539</v>
      </c>
      <c r="B1290" s="235"/>
      <c r="C1290" s="235"/>
      <c r="D1290" s="235"/>
      <c r="E1290" s="236"/>
      <c r="F1290" s="236"/>
      <c r="G1290" s="236"/>
      <c r="H1290" s="236"/>
      <c r="I1290" s="236"/>
      <c r="J1290" s="236"/>
      <c r="K1290" s="236"/>
      <c r="L1290" s="236"/>
      <c r="M1290" s="236"/>
      <c r="N1290" s="236"/>
      <c r="O1290" s="236"/>
      <c r="P1290" s="236"/>
      <c r="Q1290" s="237"/>
    </row>
    <row r="1291" spans="1:17" ht="5.0999999999999996" customHeight="1" x14ac:dyDescent="0.25">
      <c r="A1291" s="211"/>
      <c r="B1291" s="212"/>
      <c r="C1291" s="212"/>
      <c r="D1291" s="212"/>
      <c r="E1291" s="212"/>
      <c r="F1291" s="212"/>
      <c r="G1291" s="212"/>
      <c r="H1291" s="212"/>
      <c r="I1291" s="212"/>
      <c r="J1291" s="212"/>
      <c r="K1291" s="212"/>
      <c r="L1291" s="212"/>
      <c r="M1291" s="212"/>
      <c r="N1291" s="212"/>
      <c r="O1291" s="212"/>
      <c r="P1291" s="212"/>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79" t="s">
        <v>541</v>
      </c>
      <c r="B1293" s="280"/>
      <c r="C1293" s="280"/>
      <c r="D1293" s="280"/>
      <c r="E1293" s="280"/>
      <c r="F1293" s="280"/>
      <c r="G1293" s="280"/>
      <c r="H1293" s="280"/>
      <c r="I1293" s="280"/>
      <c r="J1293" s="26"/>
      <c r="K1293" s="27"/>
      <c r="L1293" s="70" t="s">
        <v>540</v>
      </c>
      <c r="M1293" s="186" t="s">
        <v>61</v>
      </c>
      <c r="N1293" s="242">
        <f>N1265-N1286</f>
        <v>0</v>
      </c>
      <c r="O1293" s="243"/>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31" t="s">
        <v>547</v>
      </c>
      <c r="B1297" s="232"/>
      <c r="C1297" s="232"/>
      <c r="D1297" s="232"/>
      <c r="F1297" s="233"/>
      <c r="G1297" s="233"/>
      <c r="H1297" s="233"/>
      <c r="I1297" s="233"/>
      <c r="J1297" s="233"/>
      <c r="K1297" s="233"/>
      <c r="L1297" s="233"/>
      <c r="M1297" s="233"/>
      <c r="N1297" s="233"/>
      <c r="O1297" s="233"/>
      <c r="P1297" s="233"/>
      <c r="Q1297" s="233"/>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72"/>
      <c r="B1299" s="273"/>
      <c r="C1299" s="273"/>
      <c r="D1299" s="273"/>
      <c r="E1299" s="273"/>
      <c r="F1299" s="273"/>
      <c r="G1299" s="273"/>
      <c r="H1299" s="273"/>
      <c r="I1299" s="273"/>
      <c r="J1299" s="273"/>
      <c r="K1299" s="273"/>
      <c r="L1299" s="273"/>
      <c r="M1299" s="273"/>
      <c r="N1299" s="273"/>
      <c r="O1299" s="273"/>
      <c r="P1299" s="273"/>
      <c r="Q1299" s="274"/>
    </row>
    <row r="1300" spans="1:17" ht="28.5" customHeight="1" x14ac:dyDescent="0.25">
      <c r="A1300" s="326" t="s">
        <v>548</v>
      </c>
      <c r="B1300" s="212"/>
      <c r="C1300" s="212"/>
      <c r="D1300" s="212"/>
      <c r="E1300" s="212"/>
      <c r="F1300" s="212"/>
      <c r="G1300" s="212"/>
      <c r="H1300" s="212"/>
      <c r="I1300" s="212"/>
      <c r="J1300" s="212"/>
      <c r="K1300" s="212"/>
      <c r="L1300" s="212"/>
      <c r="M1300" s="212"/>
      <c r="N1300" s="212"/>
      <c r="O1300" s="212"/>
      <c r="P1300" s="37"/>
      <c r="Q1300" s="38"/>
    </row>
    <row r="1301" spans="1:17" x14ac:dyDescent="0.25">
      <c r="Q1301" s="38"/>
    </row>
    <row r="1302" spans="1:17" ht="15" customHeight="1" x14ac:dyDescent="0.25">
      <c r="A1302" s="326" t="s">
        <v>549</v>
      </c>
      <c r="B1302" s="212"/>
      <c r="C1302" s="212"/>
      <c r="D1302" s="212"/>
      <c r="E1302" s="212"/>
      <c r="F1302" s="212"/>
      <c r="G1302" s="212"/>
      <c r="H1302" s="212"/>
      <c r="I1302" s="212"/>
      <c r="J1302" s="212"/>
      <c r="K1302" s="212"/>
      <c r="L1302" s="212"/>
      <c r="M1302" s="212"/>
      <c r="N1302" s="212"/>
      <c r="O1302" s="212"/>
      <c r="P1302" s="37"/>
      <c r="Q1302" s="38"/>
    </row>
    <row r="1303" spans="1:17" x14ac:dyDescent="0.25">
      <c r="Q1303" s="38"/>
    </row>
    <row r="1304" spans="1:17" ht="4.5" customHeight="1" x14ac:dyDescent="0.25"/>
    <row r="1305" spans="1:17" x14ac:dyDescent="0.25">
      <c r="A1305" s="234" t="s">
        <v>557</v>
      </c>
      <c r="B1305" s="235"/>
      <c r="C1305" s="235"/>
      <c r="D1305" s="235"/>
      <c r="E1305" s="236"/>
      <c r="F1305" s="236"/>
      <c r="G1305" s="236"/>
      <c r="H1305" s="236"/>
      <c r="I1305" s="236"/>
      <c r="J1305" s="236"/>
      <c r="K1305" s="236"/>
      <c r="L1305" s="236"/>
      <c r="M1305" s="236"/>
      <c r="N1305" s="236"/>
      <c r="O1305" s="236"/>
      <c r="P1305" s="236"/>
      <c r="Q1305" s="237"/>
    </row>
    <row r="1306" spans="1:17" ht="5.0999999999999996" customHeight="1" x14ac:dyDescent="0.25">
      <c r="A1306" s="211"/>
      <c r="B1306" s="212"/>
      <c r="C1306" s="212"/>
      <c r="D1306" s="212"/>
      <c r="E1306" s="212"/>
      <c r="F1306" s="212"/>
      <c r="G1306" s="212"/>
      <c r="H1306" s="212"/>
      <c r="I1306" s="212"/>
      <c r="J1306" s="212"/>
      <c r="K1306" s="212"/>
      <c r="L1306" s="212"/>
      <c r="M1306" s="212"/>
      <c r="N1306" s="212"/>
      <c r="O1306" s="212"/>
      <c r="P1306" s="212"/>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24" t="s">
        <v>558</v>
      </c>
      <c r="B1308" s="225"/>
      <c r="C1308" s="225"/>
      <c r="D1308" s="225"/>
      <c r="E1308" s="225"/>
      <c r="F1308" s="225"/>
      <c r="G1308" s="225"/>
      <c r="H1308" s="225"/>
      <c r="I1308" s="225"/>
      <c r="J1308" s="226"/>
      <c r="K1308" s="27"/>
      <c r="L1308" s="70" t="s">
        <v>567</v>
      </c>
      <c r="M1308" s="67" t="s">
        <v>61</v>
      </c>
      <c r="N1308" s="213">
        <f>H477</f>
        <v>0</v>
      </c>
      <c r="O1308" s="214"/>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21" t="s">
        <v>210</v>
      </c>
      <c r="B1311" s="222"/>
      <c r="C1311" s="222"/>
      <c r="D1311" s="222"/>
      <c r="E1311" s="222"/>
      <c r="F1311" s="222"/>
      <c r="G1311" s="222"/>
      <c r="H1311" s="222"/>
      <c r="I1311" s="222"/>
      <c r="J1311" s="223"/>
      <c r="K1311" s="40"/>
      <c r="L1311" s="70" t="s">
        <v>568</v>
      </c>
      <c r="M1311" s="67" t="s">
        <v>61</v>
      </c>
      <c r="N1311" s="213">
        <f>H473</f>
        <v>0</v>
      </c>
      <c r="O1311" s="214"/>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24" t="s">
        <v>550</v>
      </c>
      <c r="B1314" s="225"/>
      <c r="C1314" s="225"/>
      <c r="D1314" s="225"/>
      <c r="E1314" s="225"/>
      <c r="F1314" s="225"/>
      <c r="G1314" s="225"/>
      <c r="H1314" s="225"/>
      <c r="I1314" s="225"/>
      <c r="J1314" s="226"/>
      <c r="K1314" s="27"/>
      <c r="L1314" s="70" t="s">
        <v>569</v>
      </c>
      <c r="M1314" s="67" t="s">
        <v>61</v>
      </c>
      <c r="N1314" s="213">
        <f>H508</f>
        <v>0</v>
      </c>
      <c r="O1314" s="214"/>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349" t="s">
        <v>559</v>
      </c>
      <c r="B1317" s="446"/>
      <c r="C1317" s="446"/>
      <c r="D1317" s="446"/>
      <c r="E1317" s="446"/>
      <c r="F1317" s="446"/>
      <c r="G1317" s="446"/>
      <c r="H1317" s="446"/>
      <c r="I1317" s="446"/>
      <c r="J1317" s="446"/>
      <c r="K1317" s="190"/>
      <c r="L1317" s="192"/>
      <c r="M1317" s="122"/>
      <c r="N1317" s="122"/>
      <c r="O1317" s="122"/>
      <c r="P1317" s="41"/>
      <c r="Q1317" s="2"/>
    </row>
    <row r="1318" spans="1:17" x14ac:dyDescent="0.25">
      <c r="A1318" s="221" t="s">
        <v>551</v>
      </c>
      <c r="B1318" s="222"/>
      <c r="C1318" s="222"/>
      <c r="D1318" s="222"/>
      <c r="E1318" s="222"/>
      <c r="F1318" s="222"/>
      <c r="G1318" s="222"/>
      <c r="H1318" s="222"/>
      <c r="I1318" s="222"/>
      <c r="J1318" s="223"/>
      <c r="K1318" s="40"/>
      <c r="L1318" s="70" t="s">
        <v>570</v>
      </c>
      <c r="M1318" s="67" t="s">
        <v>61</v>
      </c>
      <c r="N1318" s="213">
        <f>ROUND([1]TrialBalance!EJ61,D2)</f>
        <v>0</v>
      </c>
      <c r="O1318" s="214"/>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34" t="s">
        <v>560</v>
      </c>
      <c r="B1322" s="235"/>
      <c r="C1322" s="235"/>
      <c r="D1322" s="235"/>
      <c r="E1322" s="236"/>
      <c r="F1322" s="236"/>
      <c r="G1322" s="236"/>
      <c r="H1322" s="236"/>
      <c r="I1322" s="236"/>
      <c r="J1322" s="236"/>
      <c r="K1322" s="236"/>
      <c r="L1322" s="236"/>
      <c r="M1322" s="236"/>
      <c r="N1322" s="236"/>
      <c r="O1322" s="236"/>
      <c r="P1322" s="236"/>
      <c r="Q1322" s="237"/>
    </row>
    <row r="1323" spans="1:17" ht="5.0999999999999996" customHeight="1" x14ac:dyDescent="0.25">
      <c r="A1323" s="211"/>
      <c r="B1323" s="212"/>
      <c r="C1323" s="212"/>
      <c r="D1323" s="212"/>
      <c r="E1323" s="212"/>
      <c r="F1323" s="212"/>
      <c r="G1323" s="212"/>
      <c r="H1323" s="212"/>
      <c r="I1323" s="212"/>
      <c r="J1323" s="212"/>
      <c r="K1323" s="212"/>
      <c r="L1323" s="212"/>
      <c r="M1323" s="212"/>
      <c r="N1323" s="212"/>
      <c r="O1323" s="212"/>
      <c r="P1323" s="212"/>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6" t="s">
        <v>252</v>
      </c>
      <c r="M1325" s="216"/>
      <c r="N1325" s="216"/>
      <c r="O1325" s="216"/>
      <c r="P1325" s="26"/>
      <c r="Q1325" s="2"/>
    </row>
    <row r="1326" spans="1:17" x14ac:dyDescent="0.25">
      <c r="A1326" s="224" t="s">
        <v>561</v>
      </c>
      <c r="B1326" s="225"/>
      <c r="C1326" s="225"/>
      <c r="D1326" s="225"/>
      <c r="E1326" s="225"/>
      <c r="F1326" s="225"/>
      <c r="G1326" s="225"/>
      <c r="H1326" s="225"/>
      <c r="I1326" s="225"/>
      <c r="J1326" s="226"/>
      <c r="K1326" s="27"/>
      <c r="L1326" s="70" t="s">
        <v>571</v>
      </c>
      <c r="M1326" s="67" t="s">
        <v>61</v>
      </c>
      <c r="N1326" s="213"/>
      <c r="O1326" s="214"/>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19" t="s">
        <v>252</v>
      </c>
      <c r="M1329" s="219"/>
      <c r="N1329" s="219"/>
      <c r="O1329" s="219"/>
      <c r="P1329" s="41"/>
      <c r="Q1329" s="2"/>
    </row>
    <row r="1330" spans="1:17" x14ac:dyDescent="0.25">
      <c r="A1330" s="221" t="s">
        <v>562</v>
      </c>
      <c r="B1330" s="222"/>
      <c r="C1330" s="222"/>
      <c r="D1330" s="222"/>
      <c r="E1330" s="222"/>
      <c r="F1330" s="222"/>
      <c r="G1330" s="222"/>
      <c r="H1330" s="222"/>
      <c r="I1330" s="222"/>
      <c r="J1330" s="223"/>
      <c r="K1330" s="40"/>
      <c r="L1330" s="70" t="s">
        <v>572</v>
      </c>
      <c r="M1330" s="67" t="s">
        <v>61</v>
      </c>
      <c r="N1330" s="213"/>
      <c r="O1330" s="214"/>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24" t="s">
        <v>563</v>
      </c>
      <c r="B1333" s="225"/>
      <c r="C1333" s="225"/>
      <c r="D1333" s="225"/>
      <c r="E1333" s="225"/>
      <c r="F1333" s="225"/>
      <c r="G1333" s="225"/>
      <c r="H1333" s="225"/>
      <c r="I1333" s="225"/>
      <c r="J1333" s="226"/>
      <c r="K1333" s="27"/>
      <c r="L1333" s="70" t="s">
        <v>573</v>
      </c>
      <c r="M1333" s="67" t="s">
        <v>61</v>
      </c>
      <c r="N1333" s="213">
        <f>ROUND([1]TrialBalance!EJ80,D2)</f>
        <v>0</v>
      </c>
      <c r="O1333" s="214"/>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34" t="s">
        <v>564</v>
      </c>
      <c r="B1337" s="235"/>
      <c r="C1337" s="235"/>
      <c r="D1337" s="235"/>
      <c r="E1337" s="236"/>
      <c r="F1337" s="236"/>
      <c r="G1337" s="236"/>
      <c r="H1337" s="236"/>
      <c r="I1337" s="236"/>
      <c r="J1337" s="236"/>
      <c r="K1337" s="236"/>
      <c r="L1337" s="236"/>
      <c r="M1337" s="236"/>
      <c r="N1337" s="236"/>
      <c r="O1337" s="236"/>
      <c r="P1337" s="236"/>
      <c r="Q1337" s="237"/>
    </row>
    <row r="1338" spans="1:17" ht="5.0999999999999996" customHeight="1" x14ac:dyDescent="0.25">
      <c r="A1338" s="211"/>
      <c r="B1338" s="212"/>
      <c r="C1338" s="212"/>
      <c r="D1338" s="212"/>
      <c r="E1338" s="212"/>
      <c r="F1338" s="212"/>
      <c r="G1338" s="212"/>
      <c r="H1338" s="212"/>
      <c r="I1338" s="212"/>
      <c r="J1338" s="212"/>
      <c r="K1338" s="212"/>
      <c r="L1338" s="212"/>
      <c r="M1338" s="212"/>
      <c r="N1338" s="212"/>
      <c r="O1338" s="212"/>
      <c r="P1338" s="212"/>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24" t="s">
        <v>565</v>
      </c>
      <c r="B1340" s="225"/>
      <c r="C1340" s="225"/>
      <c r="D1340" s="225"/>
      <c r="E1340" s="225"/>
      <c r="F1340" s="225"/>
      <c r="G1340" s="225"/>
      <c r="H1340" s="225"/>
      <c r="I1340" s="225"/>
      <c r="J1340" s="226"/>
      <c r="K1340" s="27"/>
      <c r="L1340" s="70" t="s">
        <v>574</v>
      </c>
      <c r="M1340" s="67" t="s">
        <v>61</v>
      </c>
      <c r="N1340" s="213">
        <f>ROUND([1]TrialBalance!EJ69,D2)</f>
        <v>0</v>
      </c>
      <c r="O1340" s="214"/>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21" t="s">
        <v>566</v>
      </c>
      <c r="B1343" s="222"/>
      <c r="C1343" s="222"/>
      <c r="D1343" s="222"/>
      <c r="E1343" s="222"/>
      <c r="F1343" s="222"/>
      <c r="G1343" s="222"/>
      <c r="H1343" s="222"/>
      <c r="I1343" s="222"/>
      <c r="J1343" s="223"/>
      <c r="K1343" s="40"/>
      <c r="L1343" s="70" t="s">
        <v>575</v>
      </c>
      <c r="M1343" s="67" t="s">
        <v>61</v>
      </c>
      <c r="N1343" s="213">
        <f>ROUND([1]TrialBalance!EJ68,D2)</f>
        <v>0</v>
      </c>
      <c r="O1343" s="214"/>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24" t="s">
        <v>976</v>
      </c>
      <c r="B1346" s="225"/>
      <c r="C1346" s="225"/>
      <c r="D1346" s="225"/>
      <c r="E1346" s="225"/>
      <c r="F1346" s="225"/>
      <c r="G1346" s="225"/>
      <c r="H1346" s="225"/>
      <c r="I1346" s="225"/>
      <c r="J1346" s="226"/>
      <c r="K1346" s="27"/>
      <c r="L1346" s="70" t="s">
        <v>576</v>
      </c>
      <c r="M1346" s="67" t="s">
        <v>61</v>
      </c>
      <c r="N1346" s="213">
        <f>ROUND([1]TrialBalance!EJ72,D2)</f>
        <v>0</v>
      </c>
      <c r="O1346" s="214"/>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34" t="s">
        <v>577</v>
      </c>
      <c r="B1350" s="235"/>
      <c r="C1350" s="235"/>
      <c r="D1350" s="235"/>
      <c r="E1350" s="236"/>
      <c r="F1350" s="236"/>
      <c r="G1350" s="236"/>
      <c r="H1350" s="236"/>
      <c r="I1350" s="236"/>
      <c r="J1350" s="236"/>
      <c r="K1350" s="236"/>
      <c r="L1350" s="236"/>
      <c r="M1350" s="236"/>
      <c r="N1350" s="236"/>
      <c r="O1350" s="236"/>
      <c r="P1350" s="236"/>
      <c r="Q1350" s="237"/>
    </row>
    <row r="1351" spans="1:17" ht="5.0999999999999996" customHeight="1" x14ac:dyDescent="0.25">
      <c r="A1351" s="211"/>
      <c r="B1351" s="212"/>
      <c r="C1351" s="212"/>
      <c r="D1351" s="212"/>
      <c r="E1351" s="212"/>
      <c r="F1351" s="212"/>
      <c r="G1351" s="212"/>
      <c r="H1351" s="212"/>
      <c r="I1351" s="212"/>
      <c r="J1351" s="212"/>
      <c r="K1351" s="212"/>
      <c r="L1351" s="212"/>
      <c r="M1351" s="212"/>
      <c r="N1351" s="212"/>
      <c r="O1351" s="212"/>
      <c r="P1351" s="212"/>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24" t="s">
        <v>977</v>
      </c>
      <c r="B1353" s="225"/>
      <c r="C1353" s="225"/>
      <c r="D1353" s="225"/>
      <c r="E1353" s="225"/>
      <c r="F1353" s="225"/>
      <c r="G1353" s="225"/>
      <c r="H1353" s="225"/>
      <c r="I1353" s="225"/>
      <c r="J1353" s="226"/>
      <c r="K1353" s="27"/>
      <c r="L1353" s="70" t="s">
        <v>578</v>
      </c>
      <c r="M1353" s="67" t="s">
        <v>61</v>
      </c>
      <c r="N1353" s="213">
        <f>ROUND([1]TrialBalance!EJ74,D2)</f>
        <v>0</v>
      </c>
      <c r="O1353" s="214"/>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21" t="s">
        <v>594</v>
      </c>
      <c r="B1356" s="222"/>
      <c r="C1356" s="222"/>
      <c r="D1356" s="222"/>
      <c r="E1356" s="222"/>
      <c r="F1356" s="222"/>
      <c r="G1356" s="222"/>
      <c r="H1356" s="222"/>
      <c r="I1356" s="222"/>
      <c r="J1356" s="223"/>
      <c r="K1356" s="40"/>
      <c r="L1356" s="70" t="s">
        <v>579</v>
      </c>
      <c r="M1356" s="67" t="s">
        <v>61</v>
      </c>
      <c r="N1356" s="213">
        <f>ROUND([1]TrialBalance!EJ81,D2)</f>
        <v>0</v>
      </c>
      <c r="O1356" s="214"/>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24" t="s">
        <v>595</v>
      </c>
      <c r="B1359" s="225"/>
      <c r="C1359" s="225"/>
      <c r="D1359" s="225"/>
      <c r="E1359" s="225"/>
      <c r="F1359" s="225"/>
      <c r="G1359" s="225"/>
      <c r="H1359" s="225"/>
      <c r="I1359" s="225"/>
      <c r="J1359" s="226"/>
      <c r="K1359" s="27"/>
      <c r="L1359" s="70" t="s">
        <v>580</v>
      </c>
      <c r="M1359" s="67" t="s">
        <v>61</v>
      </c>
      <c r="N1359" s="213">
        <f>ROUND([1]TrialBalance!EJ83+[1]TrialBalance!EJ88+[1]TrialBalance!EJ89,D2)</f>
        <v>0</v>
      </c>
      <c r="O1359" s="214"/>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21" t="s">
        <v>596</v>
      </c>
      <c r="B1362" s="222"/>
      <c r="C1362" s="222"/>
      <c r="D1362" s="222"/>
      <c r="E1362" s="222"/>
      <c r="F1362" s="222"/>
      <c r="G1362" s="222"/>
      <c r="H1362" s="222"/>
      <c r="I1362" s="222"/>
      <c r="J1362" s="223"/>
      <c r="K1362" s="40"/>
      <c r="L1362" s="70" t="s">
        <v>581</v>
      </c>
      <c r="M1362" s="67" t="s">
        <v>61</v>
      </c>
      <c r="N1362" s="213">
        <f>ROUND([1]TrialBalance!EJ87,D2)</f>
        <v>0</v>
      </c>
      <c r="O1362" s="214"/>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24" t="s">
        <v>597</v>
      </c>
      <c r="B1365" s="225"/>
      <c r="C1365" s="225"/>
      <c r="D1365" s="225"/>
      <c r="E1365" s="225"/>
      <c r="F1365" s="225"/>
      <c r="G1365" s="225"/>
      <c r="H1365" s="225"/>
      <c r="I1365" s="225"/>
      <c r="J1365" s="226"/>
      <c r="K1365" s="27"/>
      <c r="L1365" s="70" t="s">
        <v>582</v>
      </c>
      <c r="M1365" s="67" t="s">
        <v>61</v>
      </c>
      <c r="N1365" s="213">
        <f>ROUND([1]TrialBalance!EJ84,D2)</f>
        <v>0</v>
      </c>
      <c r="O1365" s="214"/>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19" t="s">
        <v>252</v>
      </c>
      <c r="M1368" s="219"/>
      <c r="N1368" s="219"/>
      <c r="O1368" s="219"/>
      <c r="P1368" s="41"/>
      <c r="Q1368" s="2"/>
    </row>
    <row r="1369" spans="1:17" x14ac:dyDescent="0.25">
      <c r="A1369" s="221" t="s">
        <v>598</v>
      </c>
      <c r="B1369" s="222"/>
      <c r="C1369" s="222"/>
      <c r="D1369" s="222"/>
      <c r="E1369" s="222"/>
      <c r="F1369" s="222"/>
      <c r="G1369" s="222"/>
      <c r="H1369" s="222"/>
      <c r="I1369" s="222"/>
      <c r="J1369" s="223"/>
      <c r="K1369" s="40"/>
      <c r="L1369" s="70" t="s">
        <v>583</v>
      </c>
      <c r="M1369" s="67" t="s">
        <v>61</v>
      </c>
      <c r="N1369" s="213"/>
      <c r="O1369" s="214"/>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24" t="s">
        <v>599</v>
      </c>
      <c r="B1372" s="225"/>
      <c r="C1372" s="225"/>
      <c r="D1372" s="225"/>
      <c r="E1372" s="225"/>
      <c r="F1372" s="225"/>
      <c r="G1372" s="225"/>
      <c r="H1372" s="225"/>
      <c r="I1372" s="225"/>
      <c r="J1372" s="226"/>
      <c r="K1372" s="27"/>
      <c r="L1372" s="70" t="s">
        <v>584</v>
      </c>
      <c r="M1372" s="67" t="s">
        <v>61</v>
      </c>
      <c r="N1372" s="213">
        <f>ROUND([1]TrialBalance!EJ78,D2)</f>
        <v>0</v>
      </c>
      <c r="O1372" s="214"/>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21" t="s">
        <v>600</v>
      </c>
      <c r="B1375" s="222"/>
      <c r="C1375" s="222"/>
      <c r="D1375" s="222"/>
      <c r="E1375" s="222"/>
      <c r="F1375" s="222"/>
      <c r="G1375" s="222"/>
      <c r="H1375" s="222"/>
      <c r="I1375" s="222"/>
      <c r="J1375" s="223"/>
      <c r="K1375" s="40"/>
      <c r="L1375" s="70" t="s">
        <v>585</v>
      </c>
      <c r="M1375" s="67" t="s">
        <v>61</v>
      </c>
      <c r="N1375" s="213">
        <f>ROUND([1]TrialBalance!EJ82,D2)</f>
        <v>0</v>
      </c>
      <c r="O1375" s="214"/>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24" t="s">
        <v>601</v>
      </c>
      <c r="B1378" s="225"/>
      <c r="C1378" s="225"/>
      <c r="D1378" s="225"/>
      <c r="E1378" s="225"/>
      <c r="F1378" s="225"/>
      <c r="G1378" s="225"/>
      <c r="H1378" s="225"/>
      <c r="I1378" s="225"/>
      <c r="J1378" s="226"/>
      <c r="K1378" s="27"/>
      <c r="L1378" s="70" t="s">
        <v>586</v>
      </c>
      <c r="M1378" s="67" t="s">
        <v>61</v>
      </c>
      <c r="N1378" s="213">
        <f>ROUND([1]TrialBalance!EJ86,D2)</f>
        <v>0</v>
      </c>
      <c r="O1378" s="214"/>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21" t="s">
        <v>978</v>
      </c>
      <c r="B1381" s="222"/>
      <c r="C1381" s="222"/>
      <c r="D1381" s="222"/>
      <c r="E1381" s="222"/>
      <c r="F1381" s="222"/>
      <c r="G1381" s="222"/>
      <c r="H1381" s="222"/>
      <c r="I1381" s="222"/>
      <c r="J1381" s="223"/>
      <c r="K1381" s="40"/>
      <c r="L1381" s="70" t="s">
        <v>587</v>
      </c>
      <c r="M1381" s="67" t="s">
        <v>61</v>
      </c>
      <c r="N1381" s="213">
        <f>ROUND([1]TrialBalance!EJ76,D2)</f>
        <v>0</v>
      </c>
      <c r="O1381" s="214"/>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24" t="s">
        <v>602</v>
      </c>
      <c r="B1384" s="225"/>
      <c r="C1384" s="225"/>
      <c r="D1384" s="225"/>
      <c r="E1384" s="225"/>
      <c r="F1384" s="225"/>
      <c r="G1384" s="225"/>
      <c r="H1384" s="225"/>
      <c r="I1384" s="225"/>
      <c r="J1384" s="226"/>
      <c r="K1384" s="27"/>
      <c r="L1384" s="70" t="s">
        <v>588</v>
      </c>
      <c r="M1384" s="67" t="s">
        <v>61</v>
      </c>
      <c r="N1384" s="213">
        <f>ROUND([1]TrialBalance!EJ77,D2)</f>
        <v>0</v>
      </c>
      <c r="O1384" s="214"/>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21" t="s">
        <v>603</v>
      </c>
      <c r="B1387" s="222"/>
      <c r="C1387" s="222"/>
      <c r="D1387" s="222"/>
      <c r="E1387" s="222"/>
      <c r="F1387" s="222"/>
      <c r="G1387" s="222"/>
      <c r="H1387" s="222"/>
      <c r="I1387" s="222"/>
      <c r="J1387" s="223"/>
      <c r="K1387" s="40"/>
      <c r="L1387" s="70" t="s">
        <v>589</v>
      </c>
      <c r="M1387" s="67" t="s">
        <v>61</v>
      </c>
      <c r="N1387" s="213">
        <f>ROUND([1]TrialBalance!EJ75,D2)+ROUND([1]TrialBalance!EJ73,D2)+ROUND([1]TrialBalance!EJ71,D2)+ROUND([1]TrialBalance!EJ79,D2)+ROUND([1]TrialBalance!EJ85,D2)</f>
        <v>0</v>
      </c>
      <c r="O1387" s="214"/>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24" t="s">
        <v>604</v>
      </c>
      <c r="B1390" s="225"/>
      <c r="C1390" s="225"/>
      <c r="D1390" s="225"/>
      <c r="E1390" s="225"/>
      <c r="F1390" s="225"/>
      <c r="G1390" s="225"/>
      <c r="H1390" s="225"/>
      <c r="I1390" s="225"/>
      <c r="J1390" s="226"/>
      <c r="K1390" s="27"/>
      <c r="L1390" s="70" t="s">
        <v>590</v>
      </c>
      <c r="M1390" s="67" t="s">
        <v>61</v>
      </c>
      <c r="N1390" s="213">
        <v>0</v>
      </c>
      <c r="O1390" s="214"/>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34" t="s">
        <v>591</v>
      </c>
      <c r="B1394" s="235"/>
      <c r="C1394" s="235"/>
      <c r="D1394" s="235"/>
      <c r="E1394" s="236"/>
      <c r="F1394" s="236"/>
      <c r="G1394" s="236"/>
      <c r="H1394" s="236"/>
      <c r="I1394" s="236"/>
      <c r="J1394" s="236"/>
      <c r="K1394" s="236"/>
      <c r="L1394" s="236"/>
      <c r="M1394" s="236"/>
      <c r="N1394" s="236"/>
      <c r="O1394" s="236"/>
      <c r="P1394" s="236"/>
      <c r="Q1394" s="237"/>
    </row>
    <row r="1395" spans="1:17" ht="5.0999999999999996" customHeight="1" x14ac:dyDescent="0.25">
      <c r="A1395" s="211"/>
      <c r="B1395" s="212"/>
      <c r="C1395" s="212"/>
      <c r="D1395" s="212"/>
      <c r="E1395" s="212"/>
      <c r="F1395" s="212"/>
      <c r="G1395" s="212"/>
      <c r="H1395" s="212"/>
      <c r="I1395" s="212"/>
      <c r="J1395" s="212"/>
      <c r="K1395" s="212"/>
      <c r="L1395" s="212"/>
      <c r="M1395" s="212"/>
      <c r="N1395" s="212"/>
      <c r="O1395" s="212"/>
      <c r="P1395" s="212"/>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79" t="s">
        <v>592</v>
      </c>
      <c r="B1397" s="280"/>
      <c r="C1397" s="280"/>
      <c r="D1397" s="280"/>
      <c r="E1397" s="280"/>
      <c r="F1397" s="280"/>
      <c r="G1397" s="280"/>
      <c r="H1397" s="280"/>
      <c r="I1397" s="280"/>
      <c r="J1397" s="26"/>
      <c r="K1397" s="27"/>
      <c r="L1397" s="70" t="s">
        <v>593</v>
      </c>
      <c r="M1397" s="186" t="s">
        <v>61</v>
      </c>
      <c r="N1397" s="242">
        <f>SUM(N1308,N1311,N1314,N1318,N1326,N1330,N1333,N1340,N1343,N1346,N1353,N1356,N1359,N1362,N1365,N1369,N1372,N1375,N1378,N1381,N1384,N1387,N1390)</f>
        <v>0</v>
      </c>
      <c r="O1397" s="243"/>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31" t="s">
        <v>605</v>
      </c>
      <c r="B1401" s="232"/>
      <c r="C1401" s="232"/>
      <c r="D1401" s="232"/>
      <c r="F1401" s="233"/>
      <c r="G1401" s="233"/>
      <c r="H1401" s="233"/>
      <c r="I1401" s="233"/>
      <c r="J1401" s="233"/>
      <c r="K1401" s="233"/>
      <c r="L1401" s="233"/>
      <c r="M1401" s="233"/>
      <c r="N1401" s="233"/>
      <c r="O1401" s="233"/>
      <c r="P1401" s="233"/>
      <c r="Q1401" s="233"/>
    </row>
    <row r="1402" spans="1:17" ht="5.0999999999999996" customHeight="1" x14ac:dyDescent="0.25"/>
    <row r="1403" spans="1:17" x14ac:dyDescent="0.25">
      <c r="A1403" s="234" t="s">
        <v>606</v>
      </c>
      <c r="B1403" s="235"/>
      <c r="C1403" s="235"/>
      <c r="D1403" s="235"/>
      <c r="E1403" s="236"/>
      <c r="F1403" s="236"/>
      <c r="G1403" s="236"/>
      <c r="H1403" s="236"/>
      <c r="I1403" s="236"/>
      <c r="J1403" s="236"/>
      <c r="K1403" s="236"/>
      <c r="L1403" s="236"/>
      <c r="M1403" s="236"/>
      <c r="N1403" s="236"/>
      <c r="O1403" s="236"/>
      <c r="P1403" s="236"/>
      <c r="Q1403" s="237"/>
    </row>
    <row r="1404" spans="1:17" ht="15" customHeight="1" x14ac:dyDescent="0.25">
      <c r="A1404" s="211"/>
      <c r="B1404" s="212"/>
      <c r="C1404" s="212"/>
      <c r="D1404" s="212"/>
      <c r="E1404" s="212"/>
      <c r="F1404" s="212"/>
      <c r="G1404" s="212"/>
      <c r="H1404" s="212"/>
      <c r="I1404" s="212"/>
      <c r="J1404" s="212"/>
      <c r="K1404" s="212"/>
      <c r="L1404" s="212"/>
      <c r="M1404" s="212"/>
      <c r="N1404" s="212"/>
      <c r="O1404" s="212"/>
      <c r="P1404" s="212"/>
      <c r="Q1404" s="38"/>
    </row>
    <row r="1405" spans="1:17" x14ac:dyDescent="0.25">
      <c r="A1405" s="238" t="s">
        <v>381</v>
      </c>
      <c r="B1405" s="239"/>
      <c r="C1405" s="212"/>
      <c r="D1405" s="212"/>
      <c r="E1405" s="72"/>
      <c r="F1405" s="238"/>
      <c r="G1405" s="238"/>
      <c r="H1405" s="238"/>
      <c r="I1405" s="238"/>
      <c r="J1405" s="238"/>
      <c r="K1405" s="238"/>
      <c r="L1405" s="238"/>
      <c r="M1405" s="238"/>
      <c r="N1405" s="238"/>
      <c r="O1405" s="238"/>
      <c r="P1405" s="238"/>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79" t="s">
        <v>607</v>
      </c>
      <c r="B1408" s="280"/>
      <c r="C1408" s="280"/>
      <c r="D1408" s="280"/>
      <c r="E1408" s="280"/>
      <c r="F1408" s="280"/>
      <c r="G1408" s="280"/>
      <c r="H1408" s="280"/>
      <c r="I1408" s="280"/>
      <c r="J1408" s="26"/>
      <c r="K1408" s="27"/>
      <c r="L1408" s="70" t="s">
        <v>608</v>
      </c>
      <c r="M1408" s="186" t="s">
        <v>61</v>
      </c>
      <c r="N1408" s="242">
        <f>N1293</f>
        <v>0</v>
      </c>
      <c r="O1408" s="243"/>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1"/>
      <c r="B1410" s="212"/>
      <c r="C1410" s="212"/>
      <c r="D1410" s="212"/>
      <c r="E1410" s="212"/>
      <c r="F1410" s="212"/>
      <c r="G1410" s="212"/>
      <c r="H1410" s="212"/>
      <c r="I1410" s="212"/>
      <c r="J1410" s="212"/>
      <c r="K1410" s="212"/>
      <c r="L1410" s="212"/>
      <c r="M1410" s="212"/>
      <c r="N1410" s="212"/>
      <c r="O1410" s="212"/>
      <c r="P1410" s="212"/>
      <c r="Q1410" s="38"/>
    </row>
    <row r="1411" spans="1:17" x14ac:dyDescent="0.25">
      <c r="A1411" s="238" t="s">
        <v>547</v>
      </c>
      <c r="B1411" s="239"/>
      <c r="C1411" s="212"/>
      <c r="D1411" s="212"/>
      <c r="E1411" s="72"/>
      <c r="F1411" s="238"/>
      <c r="G1411" s="238"/>
      <c r="H1411" s="238"/>
      <c r="I1411" s="238"/>
      <c r="J1411" s="238"/>
      <c r="K1411" s="238"/>
      <c r="L1411" s="238"/>
      <c r="M1411" s="238"/>
      <c r="N1411" s="238"/>
      <c r="O1411" s="238"/>
      <c r="P1411" s="238"/>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79" t="s">
        <v>592</v>
      </c>
      <c r="B1414" s="280"/>
      <c r="C1414" s="280"/>
      <c r="D1414" s="280"/>
      <c r="E1414" s="280"/>
      <c r="F1414" s="280"/>
      <c r="G1414" s="280"/>
      <c r="H1414" s="280"/>
      <c r="I1414" s="280"/>
      <c r="J1414" s="26"/>
      <c r="K1414" s="27"/>
      <c r="L1414" s="70" t="s">
        <v>609</v>
      </c>
      <c r="M1414" s="186" t="s">
        <v>61</v>
      </c>
      <c r="N1414" s="242">
        <f>N1397</f>
        <v>0</v>
      </c>
      <c r="O1414" s="243"/>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38" t="s">
        <v>610</v>
      </c>
      <c r="B1417" s="239"/>
      <c r="C1417" s="212"/>
      <c r="D1417" s="212"/>
      <c r="E1417" s="72"/>
      <c r="F1417" s="238"/>
      <c r="G1417" s="238"/>
      <c r="H1417" s="238"/>
      <c r="I1417" s="238"/>
      <c r="J1417" s="238"/>
      <c r="K1417" s="238"/>
      <c r="L1417" s="238"/>
      <c r="M1417" s="238"/>
      <c r="N1417" s="238"/>
      <c r="O1417" s="238"/>
      <c r="P1417" s="238"/>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1" t="s">
        <v>611</v>
      </c>
      <c r="B1419" s="212"/>
      <c r="C1419" s="212"/>
      <c r="D1419" s="212"/>
      <c r="E1419" s="212"/>
      <c r="F1419" s="212"/>
      <c r="G1419" s="212"/>
      <c r="H1419" s="212"/>
      <c r="I1419" s="212"/>
      <c r="J1419" s="212"/>
      <c r="K1419" s="212"/>
      <c r="L1419" s="212"/>
      <c r="M1419" s="212"/>
      <c r="N1419" s="212"/>
      <c r="O1419" s="212"/>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438" t="s">
        <v>612</v>
      </c>
      <c r="B1422" s="439"/>
      <c r="C1422" s="439"/>
      <c r="D1422" s="439"/>
      <c r="E1422" s="439"/>
      <c r="F1422" s="439"/>
      <c r="G1422" s="439"/>
      <c r="H1422" s="439"/>
      <c r="I1422" s="439"/>
      <c r="J1422" s="26"/>
      <c r="K1422" s="27"/>
      <c r="L1422" s="70" t="s">
        <v>613</v>
      </c>
      <c r="M1422" s="67" t="s">
        <v>61</v>
      </c>
      <c r="N1422" s="213">
        <f>-ROUND([1]TrialBalance!EJ58,D2)</f>
        <v>0</v>
      </c>
      <c r="O1422" s="214"/>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38" t="s">
        <v>979</v>
      </c>
      <c r="B1425" s="239"/>
      <c r="C1425" s="212"/>
      <c r="D1425" s="212"/>
      <c r="E1425" s="72"/>
      <c r="F1425" s="238"/>
      <c r="G1425" s="238"/>
      <c r="H1425" s="238"/>
      <c r="I1425" s="238"/>
      <c r="J1425" s="238"/>
      <c r="K1425" s="238"/>
      <c r="L1425" s="238"/>
      <c r="M1425" s="238"/>
      <c r="N1425" s="238"/>
      <c r="O1425" s="238"/>
      <c r="P1425" s="238"/>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1" t="s">
        <v>614</v>
      </c>
      <c r="B1427" s="212"/>
      <c r="C1427" s="212"/>
      <c r="D1427" s="212"/>
      <c r="E1427" s="212"/>
      <c r="F1427" s="212"/>
      <c r="G1427" s="212"/>
      <c r="H1427" s="212"/>
      <c r="I1427" s="212"/>
      <c r="J1427" s="212"/>
      <c r="K1427" s="212"/>
      <c r="L1427" s="212"/>
      <c r="M1427" s="212"/>
      <c r="N1427" s="212"/>
      <c r="O1427" s="212"/>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79" t="s">
        <v>615</v>
      </c>
      <c r="B1430" s="280"/>
      <c r="C1430" s="280"/>
      <c r="D1430" s="280"/>
      <c r="E1430" s="280"/>
      <c r="F1430" s="280"/>
      <c r="G1430" s="280"/>
      <c r="H1430" s="280"/>
      <c r="I1430" s="280"/>
      <c r="J1430" s="26"/>
      <c r="K1430" s="27"/>
      <c r="L1430" s="70" t="s">
        <v>616</v>
      </c>
      <c r="M1430" s="186" t="s">
        <v>61</v>
      </c>
      <c r="N1430" s="242">
        <f>N1408-N1414+N1422</f>
        <v>0</v>
      </c>
      <c r="O1430" s="243"/>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31" t="s">
        <v>617</v>
      </c>
      <c r="B1434" s="232"/>
      <c r="C1434" s="232"/>
      <c r="D1434" s="232"/>
      <c r="F1434" s="233"/>
      <c r="G1434" s="233"/>
      <c r="H1434" s="233"/>
      <c r="I1434" s="233"/>
      <c r="J1434" s="233"/>
      <c r="K1434" s="233"/>
      <c r="L1434" s="233"/>
      <c r="M1434" s="233"/>
      <c r="N1434" s="233"/>
      <c r="O1434" s="233"/>
      <c r="P1434" s="233"/>
      <c r="Q1434" s="233"/>
    </row>
    <row r="1435" spans="1:17" ht="5.0999999999999996" customHeight="1" x14ac:dyDescent="0.25"/>
    <row r="1436" spans="1:17" x14ac:dyDescent="0.25">
      <c r="A1436" s="234" t="s">
        <v>618</v>
      </c>
      <c r="B1436" s="235"/>
      <c r="C1436" s="235"/>
      <c r="D1436" s="235"/>
      <c r="E1436" s="236"/>
      <c r="F1436" s="236"/>
      <c r="G1436" s="236"/>
      <c r="H1436" s="236"/>
      <c r="I1436" s="236"/>
      <c r="J1436" s="236"/>
      <c r="K1436" s="236"/>
      <c r="L1436" s="236"/>
      <c r="M1436" s="236"/>
      <c r="N1436" s="236"/>
      <c r="O1436" s="236"/>
      <c r="P1436" s="236"/>
      <c r="Q1436" s="237"/>
    </row>
    <row r="1437" spans="1:17" ht="15" customHeight="1" x14ac:dyDescent="0.25">
      <c r="A1437" s="211"/>
      <c r="B1437" s="212"/>
      <c r="C1437" s="212"/>
      <c r="D1437" s="212"/>
      <c r="E1437" s="212"/>
      <c r="F1437" s="212"/>
      <c r="G1437" s="212"/>
      <c r="H1437" s="212"/>
      <c r="I1437" s="212"/>
      <c r="J1437" s="212"/>
      <c r="K1437" s="212"/>
      <c r="L1437" s="212"/>
      <c r="M1437" s="212"/>
      <c r="N1437" s="212"/>
      <c r="O1437" s="212"/>
      <c r="P1437" s="212"/>
      <c r="Q1437" s="38"/>
    </row>
    <row r="1438" spans="1:17" x14ac:dyDescent="0.25">
      <c r="A1438" s="238" t="s">
        <v>619</v>
      </c>
      <c r="B1438" s="239"/>
      <c r="C1438" s="212"/>
      <c r="D1438" s="212"/>
      <c r="E1438" s="72"/>
      <c r="F1438" s="238"/>
      <c r="G1438" s="238"/>
      <c r="H1438" s="238"/>
      <c r="I1438" s="238"/>
      <c r="J1438" s="238"/>
      <c r="K1438" s="238"/>
      <c r="L1438" s="238"/>
      <c r="M1438" s="238"/>
      <c r="N1438" s="238"/>
      <c r="O1438" s="238"/>
      <c r="P1438" s="238"/>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79" t="s">
        <v>620</v>
      </c>
      <c r="B1441" s="280"/>
      <c r="C1441" s="280"/>
      <c r="D1441" s="280"/>
      <c r="E1441" s="280"/>
      <c r="F1441" s="280"/>
      <c r="G1441" s="280"/>
      <c r="H1441" s="280"/>
      <c r="I1441" s="280"/>
      <c r="J1441" s="26"/>
      <c r="K1441" s="27"/>
      <c r="L1441" s="70" t="s">
        <v>621</v>
      </c>
      <c r="M1441" s="186" t="s">
        <v>61</v>
      </c>
      <c r="N1441" s="242">
        <f>N1430</f>
        <v>0</v>
      </c>
      <c r="O1441" s="243"/>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1"/>
      <c r="B1443" s="212"/>
      <c r="C1443" s="212"/>
      <c r="D1443" s="212"/>
      <c r="E1443" s="212"/>
      <c r="F1443" s="212"/>
      <c r="G1443" s="212"/>
      <c r="H1443" s="212"/>
      <c r="I1443" s="212"/>
      <c r="J1443" s="212"/>
      <c r="K1443" s="212"/>
      <c r="L1443" s="212"/>
      <c r="M1443" s="212"/>
      <c r="N1443" s="212"/>
      <c r="O1443" s="212"/>
      <c r="P1443" s="212"/>
      <c r="Q1443" s="38"/>
    </row>
    <row r="1444" spans="1:17" x14ac:dyDescent="0.25">
      <c r="A1444" s="238" t="s">
        <v>622</v>
      </c>
      <c r="B1444" s="239"/>
      <c r="C1444" s="212"/>
      <c r="D1444" s="212"/>
      <c r="E1444" s="72"/>
      <c r="F1444" s="238"/>
      <c r="G1444" s="238"/>
      <c r="H1444" s="238"/>
      <c r="I1444" s="238"/>
      <c r="J1444" s="238"/>
      <c r="K1444" s="238"/>
      <c r="L1444" s="238"/>
      <c r="M1444" s="238"/>
      <c r="N1444" s="238"/>
      <c r="O1444" s="238"/>
      <c r="P1444" s="238"/>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1" t="s">
        <v>623</v>
      </c>
      <c r="B1446" s="212"/>
      <c r="C1446" s="212"/>
      <c r="D1446" s="212"/>
      <c r="E1446" s="212"/>
      <c r="F1446" s="212"/>
      <c r="G1446" s="212"/>
      <c r="H1446" s="212"/>
      <c r="I1446" s="212"/>
      <c r="J1446" s="212"/>
      <c r="K1446" s="212"/>
      <c r="L1446" s="212"/>
      <c r="M1446" s="212"/>
      <c r="N1446" s="212"/>
      <c r="O1446" s="212"/>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24" t="s">
        <v>596</v>
      </c>
      <c r="B1449" s="225"/>
      <c r="C1449" s="225"/>
      <c r="D1449" s="225"/>
      <c r="E1449" s="225"/>
      <c r="F1449" s="225"/>
      <c r="G1449" s="225"/>
      <c r="H1449" s="225"/>
      <c r="I1449" s="225"/>
      <c r="J1449" s="226"/>
      <c r="K1449" s="27"/>
      <c r="L1449" s="70" t="s">
        <v>633</v>
      </c>
      <c r="M1449" s="67" t="s">
        <v>61</v>
      </c>
      <c r="N1449" s="213">
        <f>H926+[1]TrialBalance!EJ85</f>
        <v>0</v>
      </c>
      <c r="O1449" s="214"/>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19" t="s">
        <v>252</v>
      </c>
      <c r="M1452" s="219"/>
      <c r="N1452" s="219"/>
      <c r="O1452" s="219"/>
      <c r="P1452" s="41"/>
      <c r="Q1452" s="2"/>
    </row>
    <row r="1453" spans="1:17" x14ac:dyDescent="0.25">
      <c r="A1453" s="221" t="s">
        <v>640</v>
      </c>
      <c r="B1453" s="222"/>
      <c r="C1453" s="222"/>
      <c r="D1453" s="222"/>
      <c r="E1453" s="222"/>
      <c r="F1453" s="222"/>
      <c r="G1453" s="222"/>
      <c r="H1453" s="222"/>
      <c r="I1453" s="222"/>
      <c r="J1453" s="223"/>
      <c r="K1453" s="40"/>
      <c r="L1453" s="70" t="s">
        <v>634</v>
      </c>
      <c r="M1453" s="67" t="s">
        <v>61</v>
      </c>
      <c r="N1453" s="213"/>
      <c r="O1453" s="214"/>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6" t="s">
        <v>252</v>
      </c>
      <c r="M1456" s="216"/>
      <c r="N1456" s="216"/>
      <c r="O1456" s="216"/>
      <c r="P1456" s="26"/>
      <c r="Q1456" s="2"/>
    </row>
    <row r="1457" spans="1:17" x14ac:dyDescent="0.25">
      <c r="A1457" s="224" t="s">
        <v>597</v>
      </c>
      <c r="B1457" s="225"/>
      <c r="C1457" s="225"/>
      <c r="D1457" s="225"/>
      <c r="E1457" s="225"/>
      <c r="F1457" s="225"/>
      <c r="G1457" s="225"/>
      <c r="H1457" s="225"/>
      <c r="I1457" s="225"/>
      <c r="J1457" s="226"/>
      <c r="K1457" s="27"/>
      <c r="L1457" s="70" t="s">
        <v>635</v>
      </c>
      <c r="M1457" s="67" t="s">
        <v>61</v>
      </c>
      <c r="N1457" s="213"/>
      <c r="O1457" s="214"/>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19" t="s">
        <v>252</v>
      </c>
      <c r="M1460" s="219"/>
      <c r="N1460" s="219"/>
      <c r="O1460" s="219"/>
      <c r="P1460" s="41"/>
      <c r="Q1460" s="2"/>
    </row>
    <row r="1461" spans="1:17" x14ac:dyDescent="0.25">
      <c r="A1461" s="221" t="s">
        <v>641</v>
      </c>
      <c r="B1461" s="222"/>
      <c r="C1461" s="222"/>
      <c r="D1461" s="222"/>
      <c r="E1461" s="222"/>
      <c r="F1461" s="222"/>
      <c r="G1461" s="222"/>
      <c r="H1461" s="222"/>
      <c r="I1461" s="222"/>
      <c r="J1461" s="223"/>
      <c r="K1461" s="40"/>
      <c r="L1461" s="70" t="s">
        <v>636</v>
      </c>
      <c r="M1461" s="67" t="s">
        <v>61</v>
      </c>
      <c r="N1461" s="213"/>
      <c r="O1461" s="214"/>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21" t="s">
        <v>642</v>
      </c>
      <c r="B1464" s="222"/>
      <c r="C1464" s="222"/>
      <c r="D1464" s="222"/>
      <c r="E1464" s="222"/>
      <c r="F1464" s="222"/>
      <c r="G1464" s="222"/>
      <c r="H1464" s="222"/>
      <c r="I1464" s="222"/>
      <c r="J1464" s="223"/>
      <c r="K1464" s="40"/>
      <c r="L1464" s="70" t="s">
        <v>637</v>
      </c>
      <c r="M1464" s="67" t="s">
        <v>61</v>
      </c>
      <c r="N1464" s="213">
        <f>IF(H929&gt;0,H929,0)</f>
        <v>0</v>
      </c>
      <c r="O1464" s="214"/>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6" t="s">
        <v>449</v>
      </c>
      <c r="M1467" s="216"/>
      <c r="N1467" s="216"/>
      <c r="O1467" s="216"/>
      <c r="P1467" s="26"/>
      <c r="Q1467" s="2"/>
    </row>
    <row r="1468" spans="1:17" x14ac:dyDescent="0.25">
      <c r="A1468" s="224" t="s">
        <v>643</v>
      </c>
      <c r="B1468" s="225"/>
      <c r="C1468" s="225"/>
      <c r="D1468" s="225"/>
      <c r="E1468" s="225"/>
      <c r="F1468" s="225"/>
      <c r="G1468" s="225"/>
      <c r="H1468" s="225"/>
      <c r="I1468" s="225"/>
      <c r="J1468" s="226"/>
      <c r="K1468" s="27"/>
      <c r="L1468" s="70" t="s">
        <v>638</v>
      </c>
      <c r="M1468" s="67" t="s">
        <v>61</v>
      </c>
      <c r="N1468" s="213"/>
      <c r="O1468" s="214"/>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19"/>
      <c r="M1470" s="219"/>
      <c r="N1470" s="219"/>
      <c r="O1470" s="219"/>
      <c r="P1470" s="30"/>
      <c r="Q1470" s="2"/>
    </row>
    <row r="1471" spans="1:17" ht="15" customHeight="1" x14ac:dyDescent="0.35">
      <c r="A1471" s="61"/>
      <c r="B1471" s="22"/>
      <c r="C1471" s="22"/>
      <c r="D1471" s="22"/>
      <c r="E1471" s="22"/>
      <c r="F1471" s="40"/>
      <c r="G1471" s="40"/>
      <c r="H1471" s="40"/>
      <c r="I1471" s="40"/>
      <c r="J1471" s="176"/>
      <c r="K1471" s="40"/>
      <c r="L1471" s="219" t="s">
        <v>449</v>
      </c>
      <c r="M1471" s="219"/>
      <c r="N1471" s="219"/>
      <c r="O1471" s="219"/>
      <c r="P1471" s="41"/>
      <c r="Q1471" s="2"/>
    </row>
    <row r="1472" spans="1:17" x14ac:dyDescent="0.25">
      <c r="A1472" s="221" t="s">
        <v>644</v>
      </c>
      <c r="B1472" s="222"/>
      <c r="C1472" s="222"/>
      <c r="D1472" s="222"/>
      <c r="E1472" s="222"/>
      <c r="F1472" s="222"/>
      <c r="G1472" s="222"/>
      <c r="H1472" s="222"/>
      <c r="I1472" s="222"/>
      <c r="J1472" s="223"/>
      <c r="K1472" s="40"/>
      <c r="L1472" s="70" t="s">
        <v>639</v>
      </c>
      <c r="M1472" s="67" t="s">
        <v>61</v>
      </c>
      <c r="N1472" s="213"/>
      <c r="O1472" s="214"/>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79" t="s">
        <v>625</v>
      </c>
      <c r="B1475" s="280"/>
      <c r="C1475" s="280"/>
      <c r="D1475" s="280"/>
      <c r="E1475" s="280"/>
      <c r="F1475" s="280"/>
      <c r="G1475" s="280"/>
      <c r="H1475" s="280"/>
      <c r="I1475" s="280"/>
      <c r="J1475" s="26"/>
      <c r="K1475" s="27"/>
      <c r="L1475" s="70" t="s">
        <v>624</v>
      </c>
      <c r="M1475" s="186" t="s">
        <v>61</v>
      </c>
      <c r="N1475" s="242">
        <f>SUM(N1449,N1453,N1457,N1461,N1464,N1468,N1472)</f>
        <v>0</v>
      </c>
      <c r="O1475" s="243"/>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38" t="s">
        <v>626</v>
      </c>
      <c r="B1478" s="239"/>
      <c r="C1478" s="212"/>
      <c r="D1478" s="212"/>
      <c r="E1478" s="72"/>
      <c r="F1478" s="238"/>
      <c r="G1478" s="238"/>
      <c r="H1478" s="238"/>
      <c r="I1478" s="238"/>
      <c r="J1478" s="238"/>
      <c r="K1478" s="238"/>
      <c r="L1478" s="238"/>
      <c r="M1478" s="238"/>
      <c r="N1478" s="238"/>
      <c r="O1478" s="238"/>
      <c r="P1478" s="238"/>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1" t="s">
        <v>627</v>
      </c>
      <c r="B1480" s="212"/>
      <c r="C1480" s="212"/>
      <c r="D1480" s="212"/>
      <c r="E1480" s="212"/>
      <c r="F1480" s="212"/>
      <c r="G1480" s="212"/>
      <c r="H1480" s="212"/>
      <c r="I1480" s="212"/>
      <c r="J1480" s="212"/>
      <c r="K1480" s="212"/>
      <c r="L1480" s="212"/>
      <c r="M1480" s="212"/>
      <c r="N1480" s="212"/>
      <c r="O1480" s="212"/>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6" t="s">
        <v>449</v>
      </c>
      <c r="M1483" s="216"/>
      <c r="N1483" s="216"/>
      <c r="O1483" s="216"/>
      <c r="P1483" s="26"/>
      <c r="Q1483" s="2"/>
    </row>
    <row r="1484" spans="1:17" x14ac:dyDescent="0.25">
      <c r="A1484" s="224" t="s">
        <v>645</v>
      </c>
      <c r="B1484" s="225"/>
      <c r="C1484" s="225"/>
      <c r="D1484" s="225"/>
      <c r="E1484" s="225"/>
      <c r="F1484" s="225"/>
      <c r="G1484" s="225"/>
      <c r="H1484" s="225"/>
      <c r="I1484" s="225"/>
      <c r="J1484" s="226"/>
      <c r="K1484" s="27"/>
      <c r="L1484" s="70" t="s">
        <v>648</v>
      </c>
      <c r="M1484" s="67" t="s">
        <v>61</v>
      </c>
      <c r="N1484" s="213"/>
      <c r="O1484" s="214"/>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19" t="s">
        <v>449</v>
      </c>
      <c r="M1487" s="219"/>
      <c r="N1487" s="219"/>
      <c r="O1487" s="219"/>
      <c r="P1487" s="41"/>
      <c r="Q1487" s="2"/>
    </row>
    <row r="1488" spans="1:17" x14ac:dyDescent="0.25">
      <c r="A1488" s="221" t="s">
        <v>646</v>
      </c>
      <c r="B1488" s="222"/>
      <c r="C1488" s="222"/>
      <c r="D1488" s="222"/>
      <c r="E1488" s="222"/>
      <c r="F1488" s="222"/>
      <c r="G1488" s="222"/>
      <c r="H1488" s="222"/>
      <c r="I1488" s="222"/>
      <c r="J1488" s="223"/>
      <c r="K1488" s="40"/>
      <c r="L1488" s="70" t="s">
        <v>649</v>
      </c>
      <c r="M1488" s="67" t="s">
        <v>61</v>
      </c>
      <c r="N1488" s="213"/>
      <c r="O1488" s="214"/>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24" t="s">
        <v>647</v>
      </c>
      <c r="B1491" s="225"/>
      <c r="C1491" s="225"/>
      <c r="D1491" s="225"/>
      <c r="E1491" s="225"/>
      <c r="F1491" s="225"/>
      <c r="G1491" s="225"/>
      <c r="H1491" s="225"/>
      <c r="I1491" s="225"/>
      <c r="J1491" s="226"/>
      <c r="K1491" s="27"/>
      <c r="L1491" s="70" t="s">
        <v>650</v>
      </c>
      <c r="M1491" s="186" t="s">
        <v>61</v>
      </c>
      <c r="N1491" s="242">
        <f>N1422</f>
        <v>0</v>
      </c>
      <c r="O1491" s="243"/>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21" t="s">
        <v>628</v>
      </c>
      <c r="B1494" s="222"/>
      <c r="C1494" s="222"/>
      <c r="D1494" s="222"/>
      <c r="E1494" s="222"/>
      <c r="F1494" s="222"/>
      <c r="G1494" s="222"/>
      <c r="H1494" s="222"/>
      <c r="I1494" s="222"/>
      <c r="J1494" s="223"/>
      <c r="K1494" s="40"/>
      <c r="L1494" s="70" t="s">
        <v>632</v>
      </c>
      <c r="M1494" s="107" t="s">
        <v>61</v>
      </c>
      <c r="N1494" s="240">
        <f>SUM(N1484,N1488,N1491)</f>
        <v>0</v>
      </c>
      <c r="O1494" s="241"/>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38" t="s">
        <v>629</v>
      </c>
      <c r="B1497" s="239"/>
      <c r="C1497" s="212"/>
      <c r="D1497" s="212"/>
      <c r="E1497" s="72"/>
      <c r="F1497" s="238"/>
      <c r="G1497" s="238"/>
      <c r="H1497" s="238"/>
      <c r="I1497" s="238"/>
      <c r="J1497" s="238"/>
      <c r="K1497" s="238"/>
      <c r="L1497" s="238"/>
      <c r="M1497" s="238"/>
      <c r="N1497" s="238"/>
      <c r="O1497" s="238"/>
      <c r="P1497" s="238"/>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79" t="s">
        <v>630</v>
      </c>
      <c r="B1500" s="280"/>
      <c r="C1500" s="280"/>
      <c r="D1500" s="280"/>
      <c r="E1500" s="280"/>
      <c r="F1500" s="280"/>
      <c r="G1500" s="280"/>
      <c r="H1500" s="280"/>
      <c r="I1500" s="280"/>
      <c r="J1500" s="26"/>
      <c r="K1500" s="27"/>
      <c r="L1500" s="70" t="s">
        <v>631</v>
      </c>
      <c r="M1500" s="186" t="s">
        <v>61</v>
      </c>
      <c r="N1500" s="242">
        <f>N1441+N1475-N1494</f>
        <v>0</v>
      </c>
      <c r="O1500" s="243"/>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31" t="s">
        <v>651</v>
      </c>
      <c r="B1504" s="232"/>
      <c r="C1504" s="232"/>
      <c r="D1504" s="232"/>
      <c r="F1504" s="233" t="s">
        <v>12</v>
      </c>
      <c r="G1504" s="233"/>
      <c r="H1504" s="233"/>
      <c r="I1504" s="233"/>
      <c r="J1504" s="233"/>
      <c r="K1504" s="233"/>
      <c r="L1504" s="233"/>
      <c r="M1504" s="233"/>
      <c r="N1504" s="233"/>
      <c r="O1504" s="233"/>
      <c r="P1504" s="233"/>
      <c r="Q1504" s="233"/>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72"/>
      <c r="B1506" s="273"/>
      <c r="C1506" s="273"/>
      <c r="D1506" s="273"/>
      <c r="E1506" s="273"/>
      <c r="F1506" s="273"/>
      <c r="G1506" s="273"/>
      <c r="H1506" s="273"/>
      <c r="I1506" s="273"/>
      <c r="J1506" s="273"/>
      <c r="K1506" s="273"/>
      <c r="L1506" s="273"/>
      <c r="M1506" s="273"/>
      <c r="N1506" s="273"/>
      <c r="O1506" s="273"/>
      <c r="P1506" s="273"/>
      <c r="Q1506" s="274"/>
    </row>
    <row r="1507" spans="1:256" ht="36.75" customHeight="1" x14ac:dyDescent="0.25">
      <c r="A1507" s="326" t="s">
        <v>652</v>
      </c>
      <c r="B1507" s="212"/>
      <c r="C1507" s="212"/>
      <c r="D1507" s="212"/>
      <c r="E1507" s="212"/>
      <c r="F1507" s="212"/>
      <c r="G1507" s="212"/>
      <c r="H1507" s="212"/>
      <c r="I1507" s="212"/>
      <c r="J1507" s="212"/>
      <c r="K1507" s="212"/>
      <c r="L1507" s="212"/>
      <c r="M1507" s="212"/>
      <c r="N1507" s="212"/>
      <c r="O1507" s="212"/>
      <c r="P1507" s="37"/>
      <c r="Q1507" s="38"/>
    </row>
    <row r="1508" spans="1:256" x14ac:dyDescent="0.25">
      <c r="Q1508" s="38"/>
    </row>
    <row r="1509" spans="1:256" ht="27.75" customHeight="1" x14ac:dyDescent="0.25">
      <c r="A1509" s="266" t="s">
        <v>653</v>
      </c>
      <c r="B1509" s="266"/>
      <c r="C1509" s="266"/>
      <c r="D1509" s="266"/>
      <c r="E1509" s="266"/>
      <c r="F1509" s="266"/>
      <c r="G1509" s="266"/>
      <c r="H1509" s="266"/>
      <c r="I1509" s="266"/>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19" t="s">
        <v>980</v>
      </c>
      <c r="B1511" s="345"/>
      <c r="C1511" s="345"/>
      <c r="D1511" s="345"/>
      <c r="E1511" s="345"/>
      <c r="F1511" s="345"/>
      <c r="G1511" s="345"/>
      <c r="H1511" s="345"/>
      <c r="I1511" s="345"/>
      <c r="J1511" s="345"/>
      <c r="K1511" s="345"/>
      <c r="L1511" s="345"/>
      <c r="M1511" s="345"/>
      <c r="N1511" s="345"/>
      <c r="O1511" s="345"/>
      <c r="P1511" s="345"/>
      <c r="Q1511" s="38"/>
    </row>
    <row r="1512" spans="1:256" ht="29.25" customHeight="1" x14ac:dyDescent="0.25">
      <c r="A1512" s="266" t="s">
        <v>654</v>
      </c>
      <c r="B1512" s="266"/>
      <c r="C1512" s="266"/>
      <c r="D1512" s="266"/>
      <c r="E1512" s="266"/>
      <c r="F1512" s="266"/>
      <c r="G1512" s="266"/>
      <c r="H1512" s="266"/>
      <c r="I1512" s="266"/>
      <c r="J1512" s="58" t="s">
        <v>31</v>
      </c>
      <c r="K1512" s="59"/>
      <c r="L1512" s="263" t="s">
        <v>29</v>
      </c>
      <c r="M1512" s="264"/>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34" t="s">
        <v>655</v>
      </c>
      <c r="B1515" s="235"/>
      <c r="C1515" s="235"/>
      <c r="D1515" s="235"/>
      <c r="E1515" s="236"/>
      <c r="F1515" s="236"/>
      <c r="G1515" s="236"/>
      <c r="H1515" s="236"/>
      <c r="I1515" s="236"/>
      <c r="J1515" s="236"/>
      <c r="K1515" s="236"/>
      <c r="L1515" s="236"/>
      <c r="M1515" s="236"/>
      <c r="N1515" s="236"/>
      <c r="O1515" s="236"/>
      <c r="P1515" s="236"/>
      <c r="Q1515" s="237"/>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1" t="s">
        <v>656</v>
      </c>
      <c r="B1517" s="212"/>
      <c r="C1517" s="212"/>
      <c r="D1517" s="212"/>
      <c r="E1517" s="212"/>
      <c r="F1517" s="212"/>
      <c r="G1517" s="212"/>
      <c r="H1517" s="212"/>
      <c r="I1517" s="212"/>
      <c r="J1517" s="212"/>
      <c r="K1517" s="212"/>
      <c r="L1517" s="212"/>
      <c r="M1517" s="212"/>
      <c r="N1517" s="212"/>
      <c r="O1517" s="212"/>
      <c r="P1517" s="212"/>
      <c r="Q1517" s="38"/>
      <c r="R1517" s="51"/>
      <c r="S1517" s="51"/>
      <c r="T1517" s="51"/>
      <c r="U1517" s="51"/>
      <c r="V1517" s="51"/>
      <c r="W1517" s="51"/>
      <c r="X1517" s="51"/>
      <c r="Y1517" s="51"/>
      <c r="Z1517" s="51"/>
      <c r="AA1517" s="51"/>
      <c r="AB1517" s="51"/>
      <c r="AC1517" s="51"/>
      <c r="AD1517" s="51"/>
      <c r="AE1517" s="51"/>
      <c r="AF1517" s="51"/>
      <c r="AG1517" s="211"/>
      <c r="AH1517" s="212"/>
      <c r="AI1517" s="212"/>
      <c r="AJ1517" s="212"/>
      <c r="AK1517" s="212"/>
      <c r="AL1517" s="212"/>
      <c r="AM1517" s="212"/>
      <c r="AN1517" s="212"/>
      <c r="AO1517" s="212"/>
      <c r="AP1517" s="212"/>
      <c r="AQ1517" s="212"/>
      <c r="AR1517" s="212"/>
      <c r="AS1517" s="212"/>
      <c r="AT1517" s="212"/>
      <c r="AU1517" s="212"/>
      <c r="AV1517" s="212"/>
      <c r="AW1517" s="211"/>
      <c r="AX1517" s="212"/>
      <c r="AY1517" s="212"/>
      <c r="AZ1517" s="212"/>
      <c r="BA1517" s="212"/>
      <c r="BB1517" s="212"/>
      <c r="BC1517" s="212"/>
      <c r="BD1517" s="212"/>
      <c r="BE1517" s="212"/>
      <c r="BF1517" s="212"/>
      <c r="BG1517" s="212"/>
      <c r="BH1517" s="212"/>
      <c r="BI1517" s="212"/>
      <c r="BJ1517" s="212"/>
      <c r="BK1517" s="212"/>
      <c r="BL1517" s="212"/>
      <c r="BM1517" s="211"/>
      <c r="BN1517" s="212"/>
      <c r="BO1517" s="212"/>
      <c r="BP1517" s="212"/>
      <c r="BQ1517" s="212"/>
      <c r="BR1517" s="212"/>
      <c r="BS1517" s="212"/>
      <c r="BT1517" s="212"/>
      <c r="BU1517" s="212"/>
      <c r="BV1517" s="212"/>
      <c r="BW1517" s="212"/>
      <c r="BX1517" s="212"/>
      <c r="BY1517" s="212"/>
      <c r="BZ1517" s="212"/>
      <c r="CA1517" s="212"/>
      <c r="CB1517" s="212"/>
      <c r="CC1517" s="211"/>
      <c r="CD1517" s="212"/>
      <c r="CE1517" s="212"/>
      <c r="CF1517" s="212"/>
      <c r="CG1517" s="212"/>
      <c r="CH1517" s="212"/>
      <c r="CI1517" s="212"/>
      <c r="CJ1517" s="212"/>
      <c r="CK1517" s="212"/>
      <c r="CL1517" s="212"/>
      <c r="CM1517" s="212"/>
      <c r="CN1517" s="212"/>
      <c r="CO1517" s="212"/>
      <c r="CP1517" s="212"/>
      <c r="CQ1517" s="212"/>
      <c r="CR1517" s="212"/>
      <c r="CS1517" s="211"/>
      <c r="CT1517" s="212"/>
      <c r="CU1517" s="212"/>
      <c r="CV1517" s="212"/>
      <c r="CW1517" s="212"/>
      <c r="CX1517" s="212"/>
      <c r="CY1517" s="212"/>
      <c r="CZ1517" s="212"/>
      <c r="DA1517" s="212"/>
      <c r="DB1517" s="212"/>
      <c r="DC1517" s="212"/>
      <c r="DD1517" s="212"/>
      <c r="DE1517" s="212"/>
      <c r="DF1517" s="212"/>
      <c r="DG1517" s="212"/>
      <c r="DH1517" s="212"/>
      <c r="DI1517" s="211"/>
      <c r="DJ1517" s="212"/>
      <c r="DK1517" s="212"/>
      <c r="DL1517" s="212"/>
      <c r="DM1517" s="212"/>
      <c r="DN1517" s="212"/>
      <c r="DO1517" s="212"/>
      <c r="DP1517" s="212"/>
      <c r="DQ1517" s="212"/>
      <c r="DR1517" s="212"/>
      <c r="DS1517" s="212"/>
      <c r="DT1517" s="212"/>
      <c r="DU1517" s="212"/>
      <c r="DV1517" s="212"/>
      <c r="DW1517" s="212"/>
      <c r="DX1517" s="212"/>
      <c r="DY1517" s="211"/>
      <c r="DZ1517" s="212"/>
      <c r="EA1517" s="212"/>
      <c r="EB1517" s="212"/>
      <c r="EC1517" s="212"/>
      <c r="ED1517" s="212"/>
      <c r="EE1517" s="212"/>
      <c r="EF1517" s="212"/>
      <c r="EG1517" s="212"/>
      <c r="EH1517" s="212"/>
      <c r="EI1517" s="212"/>
      <c r="EJ1517" s="212"/>
      <c r="EK1517" s="212"/>
      <c r="EL1517" s="212"/>
      <c r="EM1517" s="212"/>
      <c r="EN1517" s="212"/>
      <c r="EO1517" s="211"/>
      <c r="EP1517" s="212"/>
      <c r="EQ1517" s="212"/>
      <c r="ER1517" s="212"/>
      <c r="ES1517" s="212"/>
      <c r="ET1517" s="212"/>
      <c r="EU1517" s="212"/>
      <c r="EV1517" s="212"/>
      <c r="EW1517" s="212"/>
      <c r="EX1517" s="212"/>
      <c r="EY1517" s="212"/>
      <c r="EZ1517" s="212"/>
      <c r="FA1517" s="212"/>
      <c r="FB1517" s="212"/>
      <c r="FC1517" s="212"/>
      <c r="FD1517" s="212"/>
      <c r="FE1517" s="211"/>
      <c r="FF1517" s="212"/>
      <c r="FG1517" s="212"/>
      <c r="FH1517" s="212"/>
      <c r="FI1517" s="212"/>
      <c r="FJ1517" s="212"/>
      <c r="FK1517" s="212"/>
      <c r="FL1517" s="212"/>
      <c r="FM1517" s="212"/>
      <c r="FN1517" s="212"/>
      <c r="FO1517" s="212"/>
      <c r="FP1517" s="212"/>
      <c r="FQ1517" s="212"/>
      <c r="FR1517" s="212"/>
      <c r="FS1517" s="212"/>
      <c r="FT1517" s="212"/>
      <c r="FU1517" s="211"/>
      <c r="FV1517" s="212"/>
      <c r="FW1517" s="212"/>
      <c r="FX1517" s="212"/>
      <c r="FY1517" s="212"/>
      <c r="FZ1517" s="212"/>
      <c r="GA1517" s="212"/>
      <c r="GB1517" s="212"/>
      <c r="GC1517" s="212"/>
      <c r="GD1517" s="212"/>
      <c r="GE1517" s="212"/>
      <c r="GF1517" s="212"/>
      <c r="GG1517" s="212"/>
      <c r="GH1517" s="212"/>
      <c r="GI1517" s="212"/>
      <c r="GJ1517" s="212"/>
      <c r="GK1517" s="211"/>
      <c r="GL1517" s="212"/>
      <c r="GM1517" s="212"/>
      <c r="GN1517" s="212"/>
      <c r="GO1517" s="212"/>
      <c r="GP1517" s="212"/>
      <c r="GQ1517" s="212"/>
      <c r="GR1517" s="212"/>
      <c r="GS1517" s="212"/>
      <c r="GT1517" s="212"/>
      <c r="GU1517" s="212"/>
      <c r="GV1517" s="212"/>
      <c r="GW1517" s="212"/>
      <c r="GX1517" s="212"/>
      <c r="GY1517" s="212"/>
      <c r="GZ1517" s="212"/>
      <c r="HA1517" s="211"/>
      <c r="HB1517" s="212"/>
      <c r="HC1517" s="212"/>
      <c r="HD1517" s="212"/>
      <c r="HE1517" s="212"/>
      <c r="HF1517" s="212"/>
      <c r="HG1517" s="212"/>
      <c r="HH1517" s="212"/>
      <c r="HI1517" s="212"/>
      <c r="HJ1517" s="212"/>
      <c r="HK1517" s="212"/>
      <c r="HL1517" s="212"/>
      <c r="HM1517" s="212"/>
      <c r="HN1517" s="212"/>
      <c r="HO1517" s="212"/>
      <c r="HP1517" s="212"/>
      <c r="HQ1517" s="211"/>
      <c r="HR1517" s="212"/>
      <c r="HS1517" s="212"/>
      <c r="HT1517" s="212"/>
      <c r="HU1517" s="212"/>
      <c r="HV1517" s="212"/>
      <c r="HW1517" s="212"/>
      <c r="HX1517" s="212"/>
      <c r="HY1517" s="212"/>
      <c r="HZ1517" s="212"/>
      <c r="IA1517" s="212"/>
      <c r="IB1517" s="212"/>
      <c r="IC1517" s="212"/>
      <c r="ID1517" s="212"/>
      <c r="IE1517" s="212"/>
      <c r="IF1517" s="212"/>
      <c r="IG1517" s="211"/>
      <c r="IH1517" s="212"/>
      <c r="II1517" s="212"/>
      <c r="IJ1517" s="212"/>
      <c r="IK1517" s="212"/>
      <c r="IL1517" s="212"/>
      <c r="IM1517" s="212"/>
      <c r="IN1517" s="212"/>
      <c r="IO1517" s="212"/>
      <c r="IP1517" s="212"/>
      <c r="IQ1517" s="212"/>
      <c r="IR1517" s="212"/>
      <c r="IS1517" s="212"/>
      <c r="IT1517" s="212"/>
      <c r="IU1517" s="212"/>
      <c r="IV1517" s="212"/>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19" t="s">
        <v>981</v>
      </c>
      <c r="B1519" s="219"/>
      <c r="C1519" s="219"/>
      <c r="D1519" s="219"/>
      <c r="E1519" s="219"/>
      <c r="F1519" s="219"/>
      <c r="G1519" s="219"/>
      <c r="H1519" s="219"/>
      <c r="I1519" s="219"/>
      <c r="J1519" s="219"/>
      <c r="K1519" s="219"/>
      <c r="L1519" s="219"/>
      <c r="M1519" s="219"/>
      <c r="N1519" s="219"/>
      <c r="O1519" s="219"/>
      <c r="P1519" s="219"/>
      <c r="Q1519" s="38"/>
    </row>
    <row r="1520" spans="1:256" ht="15" customHeight="1" x14ac:dyDescent="0.25">
      <c r="A1520" s="282" t="s">
        <v>657</v>
      </c>
      <c r="B1520" s="282"/>
      <c r="C1520" s="282"/>
      <c r="D1520" s="282"/>
      <c r="E1520" s="282"/>
      <c r="F1520" s="282"/>
      <c r="G1520" s="282"/>
      <c r="H1520" s="282"/>
      <c r="I1520" s="282"/>
      <c r="J1520" s="58" t="s">
        <v>31</v>
      </c>
      <c r="K1520" s="59"/>
      <c r="L1520" s="263" t="s">
        <v>29</v>
      </c>
      <c r="M1520" s="264"/>
      <c r="N1520" s="60" t="s">
        <v>32</v>
      </c>
      <c r="O1520" s="59" t="s">
        <v>30</v>
      </c>
      <c r="Q1520" s="38"/>
    </row>
    <row r="1521" spans="1:256" x14ac:dyDescent="0.25">
      <c r="Q1521" s="38"/>
    </row>
    <row r="1522" spans="1:256" ht="5.0999999999999996" customHeight="1" x14ac:dyDescent="0.25"/>
    <row r="1523" spans="1:256" x14ac:dyDescent="0.25">
      <c r="A1523" s="234" t="s">
        <v>658</v>
      </c>
      <c r="B1523" s="235"/>
      <c r="C1523" s="235"/>
      <c r="D1523" s="235"/>
      <c r="E1523" s="236"/>
      <c r="F1523" s="236"/>
      <c r="G1523" s="236"/>
      <c r="H1523" s="236"/>
      <c r="I1523" s="236"/>
      <c r="J1523" s="236"/>
      <c r="K1523" s="236"/>
      <c r="L1523" s="236"/>
      <c r="M1523" s="236"/>
      <c r="N1523" s="236"/>
      <c r="O1523" s="236"/>
      <c r="P1523" s="236"/>
      <c r="Q1523" s="237"/>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1" t="s">
        <v>659</v>
      </c>
      <c r="B1525" s="212"/>
      <c r="C1525" s="212"/>
      <c r="D1525" s="212"/>
      <c r="E1525" s="212"/>
      <c r="F1525" s="212"/>
      <c r="G1525" s="212"/>
      <c r="H1525" s="212"/>
      <c r="I1525" s="212"/>
      <c r="J1525" s="212"/>
      <c r="K1525" s="212"/>
      <c r="L1525" s="212"/>
      <c r="M1525" s="212"/>
      <c r="N1525" s="212"/>
      <c r="O1525" s="212"/>
      <c r="P1525" s="212"/>
      <c r="Q1525" s="38"/>
      <c r="R1525" s="51"/>
      <c r="S1525" s="51"/>
      <c r="T1525" s="51"/>
      <c r="U1525" s="51"/>
      <c r="V1525" s="51"/>
      <c r="W1525" s="51"/>
      <c r="X1525" s="51"/>
      <c r="Y1525" s="51"/>
      <c r="Z1525" s="51"/>
      <c r="AA1525" s="51"/>
      <c r="AB1525" s="51"/>
      <c r="AC1525" s="51"/>
      <c r="AD1525" s="51"/>
      <c r="AE1525" s="51"/>
      <c r="AF1525" s="51"/>
      <c r="AG1525" s="211"/>
      <c r="AH1525" s="212"/>
      <c r="AI1525" s="212"/>
      <c r="AJ1525" s="212"/>
      <c r="AK1525" s="212"/>
      <c r="AL1525" s="212"/>
      <c r="AM1525" s="212"/>
      <c r="AN1525" s="212"/>
      <c r="AO1525" s="212"/>
      <c r="AP1525" s="212"/>
      <c r="AQ1525" s="212"/>
      <c r="AR1525" s="212"/>
      <c r="AS1525" s="212"/>
      <c r="AT1525" s="212"/>
      <c r="AU1525" s="212"/>
      <c r="AV1525" s="212"/>
      <c r="AW1525" s="211"/>
      <c r="AX1525" s="212"/>
      <c r="AY1525" s="212"/>
      <c r="AZ1525" s="212"/>
      <c r="BA1525" s="212"/>
      <c r="BB1525" s="212"/>
      <c r="BC1525" s="212"/>
      <c r="BD1525" s="212"/>
      <c r="BE1525" s="212"/>
      <c r="BF1525" s="212"/>
      <c r="BG1525" s="212"/>
      <c r="BH1525" s="212"/>
      <c r="BI1525" s="212"/>
      <c r="BJ1525" s="212"/>
      <c r="BK1525" s="212"/>
      <c r="BL1525" s="212"/>
      <c r="BM1525" s="211"/>
      <c r="BN1525" s="212"/>
      <c r="BO1525" s="212"/>
      <c r="BP1525" s="212"/>
      <c r="BQ1525" s="212"/>
      <c r="BR1525" s="212"/>
      <c r="BS1525" s="212"/>
      <c r="BT1525" s="212"/>
      <c r="BU1525" s="212"/>
      <c r="BV1525" s="212"/>
      <c r="BW1525" s="212"/>
      <c r="BX1525" s="212"/>
      <c r="BY1525" s="212"/>
      <c r="BZ1525" s="212"/>
      <c r="CA1525" s="212"/>
      <c r="CB1525" s="212"/>
      <c r="CC1525" s="211"/>
      <c r="CD1525" s="212"/>
      <c r="CE1525" s="212"/>
      <c r="CF1525" s="212"/>
      <c r="CG1525" s="212"/>
      <c r="CH1525" s="212"/>
      <c r="CI1525" s="212"/>
      <c r="CJ1525" s="212"/>
      <c r="CK1525" s="212"/>
      <c r="CL1525" s="212"/>
      <c r="CM1525" s="212"/>
      <c r="CN1525" s="212"/>
      <c r="CO1525" s="212"/>
      <c r="CP1525" s="212"/>
      <c r="CQ1525" s="212"/>
      <c r="CR1525" s="212"/>
      <c r="CS1525" s="211"/>
      <c r="CT1525" s="212"/>
      <c r="CU1525" s="212"/>
      <c r="CV1525" s="212"/>
      <c r="CW1525" s="212"/>
      <c r="CX1525" s="212"/>
      <c r="CY1525" s="212"/>
      <c r="CZ1525" s="212"/>
      <c r="DA1525" s="212"/>
      <c r="DB1525" s="212"/>
      <c r="DC1525" s="212"/>
      <c r="DD1525" s="212"/>
      <c r="DE1525" s="212"/>
      <c r="DF1525" s="212"/>
      <c r="DG1525" s="212"/>
      <c r="DH1525" s="212"/>
      <c r="DI1525" s="211"/>
      <c r="DJ1525" s="212"/>
      <c r="DK1525" s="212"/>
      <c r="DL1525" s="212"/>
      <c r="DM1525" s="212"/>
      <c r="DN1525" s="212"/>
      <c r="DO1525" s="212"/>
      <c r="DP1525" s="212"/>
      <c r="DQ1525" s="212"/>
      <c r="DR1525" s="212"/>
      <c r="DS1525" s="212"/>
      <c r="DT1525" s="212"/>
      <c r="DU1525" s="212"/>
      <c r="DV1525" s="212"/>
      <c r="DW1525" s="212"/>
      <c r="DX1525" s="212"/>
      <c r="DY1525" s="211"/>
      <c r="DZ1525" s="212"/>
      <c r="EA1525" s="212"/>
      <c r="EB1525" s="212"/>
      <c r="EC1525" s="212"/>
      <c r="ED1525" s="212"/>
      <c r="EE1525" s="212"/>
      <c r="EF1525" s="212"/>
      <c r="EG1525" s="212"/>
      <c r="EH1525" s="212"/>
      <c r="EI1525" s="212"/>
      <c r="EJ1525" s="212"/>
      <c r="EK1525" s="212"/>
      <c r="EL1525" s="212"/>
      <c r="EM1525" s="212"/>
      <c r="EN1525" s="212"/>
      <c r="EO1525" s="211"/>
      <c r="EP1525" s="212"/>
      <c r="EQ1525" s="212"/>
      <c r="ER1525" s="212"/>
      <c r="ES1525" s="212"/>
      <c r="ET1525" s="212"/>
      <c r="EU1525" s="212"/>
      <c r="EV1525" s="212"/>
      <c r="EW1525" s="212"/>
      <c r="EX1525" s="212"/>
      <c r="EY1525" s="212"/>
      <c r="EZ1525" s="212"/>
      <c r="FA1525" s="212"/>
      <c r="FB1525" s="212"/>
      <c r="FC1525" s="212"/>
      <c r="FD1525" s="212"/>
      <c r="FE1525" s="211"/>
      <c r="FF1525" s="212"/>
      <c r="FG1525" s="212"/>
      <c r="FH1525" s="212"/>
      <c r="FI1525" s="212"/>
      <c r="FJ1525" s="212"/>
      <c r="FK1525" s="212"/>
      <c r="FL1525" s="212"/>
      <c r="FM1525" s="212"/>
      <c r="FN1525" s="212"/>
      <c r="FO1525" s="212"/>
      <c r="FP1525" s="212"/>
      <c r="FQ1525" s="212"/>
      <c r="FR1525" s="212"/>
      <c r="FS1525" s="212"/>
      <c r="FT1525" s="212"/>
      <c r="FU1525" s="211"/>
      <c r="FV1525" s="212"/>
      <c r="FW1525" s="212"/>
      <c r="FX1525" s="212"/>
      <c r="FY1525" s="212"/>
      <c r="FZ1525" s="212"/>
      <c r="GA1525" s="212"/>
      <c r="GB1525" s="212"/>
      <c r="GC1525" s="212"/>
      <c r="GD1525" s="212"/>
      <c r="GE1525" s="212"/>
      <c r="GF1525" s="212"/>
      <c r="GG1525" s="212"/>
      <c r="GH1525" s="212"/>
      <c r="GI1525" s="212"/>
      <c r="GJ1525" s="212"/>
      <c r="GK1525" s="211"/>
      <c r="GL1525" s="212"/>
      <c r="GM1525" s="212"/>
      <c r="GN1525" s="212"/>
      <c r="GO1525" s="212"/>
      <c r="GP1525" s="212"/>
      <c r="GQ1525" s="212"/>
      <c r="GR1525" s="212"/>
      <c r="GS1525" s="212"/>
      <c r="GT1525" s="212"/>
      <c r="GU1525" s="212"/>
      <c r="GV1525" s="212"/>
      <c r="GW1525" s="212"/>
      <c r="GX1525" s="212"/>
      <c r="GY1525" s="212"/>
      <c r="GZ1525" s="212"/>
      <c r="HA1525" s="211"/>
      <c r="HB1525" s="212"/>
      <c r="HC1525" s="212"/>
      <c r="HD1525" s="212"/>
      <c r="HE1525" s="212"/>
      <c r="HF1525" s="212"/>
      <c r="HG1525" s="212"/>
      <c r="HH1525" s="212"/>
      <c r="HI1525" s="212"/>
      <c r="HJ1525" s="212"/>
      <c r="HK1525" s="212"/>
      <c r="HL1525" s="212"/>
      <c r="HM1525" s="212"/>
      <c r="HN1525" s="212"/>
      <c r="HO1525" s="212"/>
      <c r="HP1525" s="212"/>
      <c r="HQ1525" s="211"/>
      <c r="HR1525" s="212"/>
      <c r="HS1525" s="212"/>
      <c r="HT1525" s="212"/>
      <c r="HU1525" s="212"/>
      <c r="HV1525" s="212"/>
      <c r="HW1525" s="212"/>
      <c r="HX1525" s="212"/>
      <c r="HY1525" s="212"/>
      <c r="HZ1525" s="212"/>
      <c r="IA1525" s="212"/>
      <c r="IB1525" s="212"/>
      <c r="IC1525" s="212"/>
      <c r="ID1525" s="212"/>
      <c r="IE1525" s="212"/>
      <c r="IF1525" s="212"/>
      <c r="IG1525" s="211"/>
      <c r="IH1525" s="212"/>
      <c r="II1525" s="212"/>
      <c r="IJ1525" s="212"/>
      <c r="IK1525" s="212"/>
      <c r="IL1525" s="212"/>
      <c r="IM1525" s="212"/>
      <c r="IN1525" s="212"/>
      <c r="IO1525" s="212"/>
      <c r="IP1525" s="212"/>
      <c r="IQ1525" s="212"/>
      <c r="IR1525" s="212"/>
      <c r="IS1525" s="212"/>
      <c r="IT1525" s="212"/>
      <c r="IU1525" s="212"/>
      <c r="IV1525" s="212"/>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19" t="s">
        <v>661</v>
      </c>
      <c r="D1527" s="219"/>
      <c r="E1527" s="219"/>
      <c r="F1527" s="219"/>
      <c r="G1527" s="219"/>
      <c r="H1527" s="219"/>
      <c r="I1527" s="219"/>
      <c r="J1527" s="219"/>
      <c r="K1527" s="219"/>
      <c r="L1527" s="219"/>
      <c r="M1527" s="219"/>
      <c r="N1527" s="219"/>
      <c r="O1527" s="219"/>
      <c r="P1527" s="37"/>
      <c r="Q1527" s="38"/>
    </row>
    <row r="1528" spans="1:256" ht="15" customHeight="1" x14ac:dyDescent="0.25">
      <c r="A1528" s="282" t="s">
        <v>660</v>
      </c>
      <c r="B1528" s="282"/>
      <c r="C1528" s="282"/>
      <c r="D1528" s="282"/>
      <c r="E1528" s="282"/>
      <c r="F1528" s="282"/>
      <c r="G1528" s="282"/>
      <c r="H1528" s="282"/>
      <c r="I1528" s="282"/>
      <c r="J1528" s="58" t="s">
        <v>31</v>
      </c>
      <c r="K1528" s="59"/>
      <c r="L1528" s="60" t="s">
        <v>32</v>
      </c>
      <c r="M1528" s="59" t="s">
        <v>29</v>
      </c>
      <c r="N1528" s="59"/>
      <c r="O1528" s="59" t="s">
        <v>30</v>
      </c>
      <c r="Q1528" s="38"/>
    </row>
    <row r="1529" spans="1:256" x14ac:dyDescent="0.25">
      <c r="Q1529" s="38"/>
    </row>
    <row r="1531" spans="1:256" ht="15.75" x14ac:dyDescent="0.25">
      <c r="A1531" s="231" t="s">
        <v>651</v>
      </c>
      <c r="B1531" s="232"/>
      <c r="C1531" s="232"/>
      <c r="D1531" s="232"/>
      <c r="F1531" s="233"/>
      <c r="G1531" s="233"/>
      <c r="H1531" s="233"/>
      <c r="I1531" s="233"/>
      <c r="J1531" s="233"/>
      <c r="K1531" s="233"/>
      <c r="L1531" s="233"/>
      <c r="M1531" s="233"/>
      <c r="N1531" s="233"/>
      <c r="O1531" s="233"/>
      <c r="P1531" s="233"/>
      <c r="Q1531" s="233"/>
    </row>
    <row r="1532" spans="1:256" ht="5.0999999999999996" customHeight="1" x14ac:dyDescent="0.25"/>
    <row r="1533" spans="1:256" x14ac:dyDescent="0.25">
      <c r="A1533" s="234" t="s">
        <v>655</v>
      </c>
      <c r="B1533" s="235"/>
      <c r="C1533" s="235"/>
      <c r="D1533" s="235"/>
      <c r="E1533" s="236"/>
      <c r="F1533" s="236"/>
      <c r="G1533" s="236"/>
      <c r="H1533" s="236"/>
      <c r="I1533" s="236"/>
      <c r="J1533" s="236"/>
      <c r="K1533" s="236"/>
      <c r="L1533" s="236"/>
      <c r="M1533" s="236"/>
      <c r="N1533" s="236"/>
      <c r="O1533" s="236"/>
      <c r="P1533" s="236"/>
      <c r="Q1533" s="237"/>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1" t="s">
        <v>662</v>
      </c>
      <c r="B1535" s="212"/>
      <c r="C1535" s="212"/>
      <c r="D1535" s="212"/>
      <c r="E1535" s="212"/>
      <c r="F1535" s="212"/>
      <c r="G1535" s="212"/>
      <c r="H1535" s="212"/>
      <c r="I1535" s="212"/>
      <c r="J1535" s="212"/>
      <c r="K1535" s="212"/>
      <c r="L1535" s="212"/>
      <c r="M1535" s="212"/>
      <c r="N1535" s="212"/>
      <c r="O1535" s="212"/>
      <c r="P1535" s="212"/>
      <c r="Q1535" s="38"/>
      <c r="R1535" s="51"/>
      <c r="S1535" s="51"/>
      <c r="T1535" s="51"/>
      <c r="U1535" s="51"/>
      <c r="V1535" s="51"/>
      <c r="W1535" s="51"/>
      <c r="X1535" s="51"/>
      <c r="Y1535" s="51"/>
      <c r="Z1535" s="51"/>
      <c r="AA1535" s="51"/>
      <c r="AB1535" s="51"/>
      <c r="AC1535" s="51"/>
      <c r="AD1535" s="51"/>
      <c r="AE1535" s="51"/>
      <c r="AF1535" s="51"/>
      <c r="AG1535" s="211"/>
      <c r="AH1535" s="212"/>
      <c r="AI1535" s="212"/>
      <c r="AJ1535" s="212"/>
      <c r="AK1535" s="212"/>
      <c r="AL1535" s="212"/>
      <c r="AM1535" s="212"/>
      <c r="AN1535" s="212"/>
      <c r="AO1535" s="212"/>
      <c r="AP1535" s="212"/>
      <c r="AQ1535" s="212"/>
      <c r="AR1535" s="212"/>
      <c r="AS1535" s="212"/>
      <c r="AT1535" s="212"/>
      <c r="AU1535" s="212"/>
      <c r="AV1535" s="212"/>
      <c r="AW1535" s="211"/>
      <c r="AX1535" s="212"/>
      <c r="AY1535" s="212"/>
      <c r="AZ1535" s="212"/>
      <c r="BA1535" s="212"/>
      <c r="BB1535" s="212"/>
      <c r="BC1535" s="212"/>
      <c r="BD1535" s="212"/>
      <c r="BE1535" s="212"/>
      <c r="BF1535" s="212"/>
      <c r="BG1535" s="212"/>
      <c r="BH1535" s="212"/>
      <c r="BI1535" s="212"/>
      <c r="BJ1535" s="212"/>
      <c r="BK1535" s="212"/>
      <c r="BL1535" s="212"/>
      <c r="BM1535" s="211"/>
      <c r="BN1535" s="212"/>
      <c r="BO1535" s="212"/>
      <c r="BP1535" s="212"/>
      <c r="BQ1535" s="212"/>
      <c r="BR1535" s="212"/>
      <c r="BS1535" s="212"/>
      <c r="BT1535" s="212"/>
      <c r="BU1535" s="212"/>
      <c r="BV1535" s="212"/>
      <c r="BW1535" s="212"/>
      <c r="BX1535" s="212"/>
      <c r="BY1535" s="212"/>
      <c r="BZ1535" s="212"/>
      <c r="CA1535" s="212"/>
      <c r="CB1535" s="212"/>
      <c r="CC1535" s="211"/>
      <c r="CD1535" s="212"/>
      <c r="CE1535" s="212"/>
      <c r="CF1535" s="212"/>
      <c r="CG1535" s="212"/>
      <c r="CH1535" s="212"/>
      <c r="CI1535" s="212"/>
      <c r="CJ1535" s="212"/>
      <c r="CK1535" s="212"/>
      <c r="CL1535" s="212"/>
      <c r="CM1535" s="212"/>
      <c r="CN1535" s="212"/>
      <c r="CO1535" s="212"/>
      <c r="CP1535" s="212"/>
      <c r="CQ1535" s="212"/>
      <c r="CR1535" s="212"/>
      <c r="CS1535" s="211"/>
      <c r="CT1535" s="212"/>
      <c r="CU1535" s="212"/>
      <c r="CV1535" s="212"/>
      <c r="CW1535" s="212"/>
      <c r="CX1535" s="212"/>
      <c r="CY1535" s="212"/>
      <c r="CZ1535" s="212"/>
      <c r="DA1535" s="212"/>
      <c r="DB1535" s="212"/>
      <c r="DC1535" s="212"/>
      <c r="DD1535" s="212"/>
      <c r="DE1535" s="212"/>
      <c r="DF1535" s="212"/>
      <c r="DG1535" s="212"/>
      <c r="DH1535" s="212"/>
      <c r="DI1535" s="211"/>
      <c r="DJ1535" s="212"/>
      <c r="DK1535" s="212"/>
      <c r="DL1535" s="212"/>
      <c r="DM1535" s="212"/>
      <c r="DN1535" s="212"/>
      <c r="DO1535" s="212"/>
      <c r="DP1535" s="212"/>
      <c r="DQ1535" s="212"/>
      <c r="DR1535" s="212"/>
      <c r="DS1535" s="212"/>
      <c r="DT1535" s="212"/>
      <c r="DU1535" s="212"/>
      <c r="DV1535" s="212"/>
      <c r="DW1535" s="212"/>
      <c r="DX1535" s="212"/>
      <c r="DY1535" s="211"/>
      <c r="DZ1535" s="212"/>
      <c r="EA1535" s="212"/>
      <c r="EB1535" s="212"/>
      <c r="EC1535" s="212"/>
      <c r="ED1535" s="212"/>
      <c r="EE1535" s="212"/>
      <c r="EF1535" s="212"/>
      <c r="EG1535" s="212"/>
      <c r="EH1535" s="212"/>
      <c r="EI1535" s="212"/>
      <c r="EJ1535" s="212"/>
      <c r="EK1535" s="212"/>
      <c r="EL1535" s="212"/>
      <c r="EM1535" s="212"/>
      <c r="EN1535" s="212"/>
      <c r="EO1535" s="211"/>
      <c r="EP1535" s="212"/>
      <c r="EQ1535" s="212"/>
      <c r="ER1535" s="212"/>
      <c r="ES1535" s="212"/>
      <c r="ET1535" s="212"/>
      <c r="EU1535" s="212"/>
      <c r="EV1535" s="212"/>
      <c r="EW1535" s="212"/>
      <c r="EX1535" s="212"/>
      <c r="EY1535" s="212"/>
      <c r="EZ1535" s="212"/>
      <c r="FA1535" s="212"/>
      <c r="FB1535" s="212"/>
      <c r="FC1535" s="212"/>
      <c r="FD1535" s="212"/>
      <c r="FE1535" s="211"/>
      <c r="FF1535" s="212"/>
      <c r="FG1535" s="212"/>
      <c r="FH1535" s="212"/>
      <c r="FI1535" s="212"/>
      <c r="FJ1535" s="212"/>
      <c r="FK1535" s="212"/>
      <c r="FL1535" s="212"/>
      <c r="FM1535" s="212"/>
      <c r="FN1535" s="212"/>
      <c r="FO1535" s="212"/>
      <c r="FP1535" s="212"/>
      <c r="FQ1535" s="212"/>
      <c r="FR1535" s="212"/>
      <c r="FS1535" s="212"/>
      <c r="FT1535" s="212"/>
      <c r="FU1535" s="211"/>
      <c r="FV1535" s="212"/>
      <c r="FW1535" s="212"/>
      <c r="FX1535" s="212"/>
      <c r="FY1535" s="212"/>
      <c r="FZ1535" s="212"/>
      <c r="GA1535" s="212"/>
      <c r="GB1535" s="212"/>
      <c r="GC1535" s="212"/>
      <c r="GD1535" s="212"/>
      <c r="GE1535" s="212"/>
      <c r="GF1535" s="212"/>
      <c r="GG1535" s="212"/>
      <c r="GH1535" s="212"/>
      <c r="GI1535" s="212"/>
      <c r="GJ1535" s="212"/>
      <c r="GK1535" s="211"/>
      <c r="GL1535" s="212"/>
      <c r="GM1535" s="212"/>
      <c r="GN1535" s="212"/>
      <c r="GO1535" s="212"/>
      <c r="GP1535" s="212"/>
      <c r="GQ1535" s="212"/>
      <c r="GR1535" s="212"/>
      <c r="GS1535" s="212"/>
      <c r="GT1535" s="212"/>
      <c r="GU1535" s="212"/>
      <c r="GV1535" s="212"/>
      <c r="GW1535" s="212"/>
      <c r="GX1535" s="212"/>
      <c r="GY1535" s="212"/>
      <c r="GZ1535" s="212"/>
      <c r="HA1535" s="211"/>
      <c r="HB1535" s="212"/>
      <c r="HC1535" s="212"/>
      <c r="HD1535" s="212"/>
      <c r="HE1535" s="212"/>
      <c r="HF1535" s="212"/>
      <c r="HG1535" s="212"/>
      <c r="HH1535" s="212"/>
      <c r="HI1535" s="212"/>
      <c r="HJ1535" s="212"/>
      <c r="HK1535" s="212"/>
      <c r="HL1535" s="212"/>
      <c r="HM1535" s="212"/>
      <c r="HN1535" s="212"/>
      <c r="HO1535" s="212"/>
      <c r="HP1535" s="212"/>
      <c r="HQ1535" s="211"/>
      <c r="HR1535" s="212"/>
      <c r="HS1535" s="212"/>
      <c r="HT1535" s="212"/>
      <c r="HU1535" s="212"/>
      <c r="HV1535" s="212"/>
      <c r="HW1535" s="212"/>
      <c r="HX1535" s="212"/>
      <c r="HY1535" s="212"/>
      <c r="HZ1535" s="212"/>
      <c r="IA1535" s="212"/>
      <c r="IB1535" s="212"/>
      <c r="IC1535" s="212"/>
      <c r="ID1535" s="212"/>
      <c r="IE1535" s="212"/>
      <c r="IF1535" s="212"/>
      <c r="IG1535" s="211"/>
      <c r="IH1535" s="212"/>
      <c r="II1535" s="212"/>
      <c r="IJ1535" s="212"/>
      <c r="IK1535" s="212"/>
      <c r="IL1535" s="212"/>
      <c r="IM1535" s="212"/>
      <c r="IN1535" s="212"/>
      <c r="IO1535" s="212"/>
      <c r="IP1535" s="212"/>
      <c r="IQ1535" s="212"/>
      <c r="IR1535" s="212"/>
      <c r="IS1535" s="212"/>
      <c r="IT1535" s="212"/>
      <c r="IU1535" s="212"/>
      <c r="IV1535" s="212"/>
    </row>
    <row r="1536" spans="1:256" x14ac:dyDescent="0.25">
      <c r="Q1536" s="38"/>
    </row>
    <row r="1537" spans="1:256" ht="45.75" customHeight="1" x14ac:dyDescent="0.35">
      <c r="A1537" s="219" t="s">
        <v>982</v>
      </c>
      <c r="B1537" s="219"/>
      <c r="C1537" s="219"/>
      <c r="D1537" s="219"/>
      <c r="E1537" s="219"/>
      <c r="F1537" s="219"/>
      <c r="G1537" s="219"/>
      <c r="H1537" s="219"/>
      <c r="I1537" s="219"/>
      <c r="J1537" s="219"/>
      <c r="K1537" s="219"/>
      <c r="L1537" s="219"/>
      <c r="M1537" s="219"/>
      <c r="N1537" s="219"/>
      <c r="O1537" s="219"/>
      <c r="P1537" s="219"/>
      <c r="Q1537" s="38"/>
    </row>
    <row r="1538" spans="1:256" x14ac:dyDescent="0.25">
      <c r="Q1538" s="38"/>
    </row>
    <row r="1539" spans="1:256" ht="15.75" x14ac:dyDescent="0.25">
      <c r="A1539" s="231" t="s">
        <v>651</v>
      </c>
      <c r="B1539" s="232"/>
      <c r="C1539" s="232"/>
      <c r="D1539" s="232"/>
      <c r="F1539" s="233"/>
      <c r="G1539" s="233"/>
      <c r="H1539" s="233"/>
      <c r="I1539" s="233"/>
      <c r="J1539" s="233"/>
      <c r="K1539" s="233"/>
      <c r="L1539" s="233"/>
      <c r="M1539" s="233"/>
      <c r="N1539" s="233"/>
      <c r="O1539" s="233"/>
      <c r="P1539" s="233"/>
      <c r="Q1539" s="233"/>
    </row>
    <row r="1540" spans="1:256" ht="5.0999999999999996" customHeight="1" x14ac:dyDescent="0.25"/>
    <row r="1541" spans="1:256" x14ac:dyDescent="0.25">
      <c r="A1541" s="234" t="s">
        <v>655</v>
      </c>
      <c r="B1541" s="235"/>
      <c r="C1541" s="235"/>
      <c r="D1541" s="235"/>
      <c r="E1541" s="236"/>
      <c r="F1541" s="236"/>
      <c r="G1541" s="236"/>
      <c r="H1541" s="236"/>
      <c r="I1541" s="236"/>
      <c r="J1541" s="236"/>
      <c r="K1541" s="236"/>
      <c r="L1541" s="236"/>
      <c r="M1541" s="236"/>
      <c r="N1541" s="236"/>
      <c r="O1541" s="236"/>
      <c r="P1541" s="236"/>
      <c r="Q1541" s="237"/>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1" t="s">
        <v>872</v>
      </c>
      <c r="B1543" s="212"/>
      <c r="C1543" s="212"/>
      <c r="D1543" s="212"/>
      <c r="E1543" s="212"/>
      <c r="F1543" s="212"/>
      <c r="G1543" s="212"/>
      <c r="H1543" s="212"/>
      <c r="I1543" s="212"/>
      <c r="J1543" s="212"/>
      <c r="K1543" s="212"/>
      <c r="L1543" s="212"/>
      <c r="M1543" s="212"/>
      <c r="N1543" s="212"/>
      <c r="O1543" s="212"/>
      <c r="P1543" s="212"/>
      <c r="Q1543" s="38"/>
      <c r="R1543" s="51"/>
      <c r="S1543" s="51"/>
      <c r="T1543" s="51"/>
      <c r="U1543" s="51"/>
      <c r="V1543" s="51"/>
      <c r="W1543" s="51"/>
      <c r="X1543" s="51"/>
      <c r="Y1543" s="51"/>
      <c r="Z1543" s="51"/>
      <c r="AA1543" s="51"/>
      <c r="AB1543" s="51"/>
      <c r="AC1543" s="51"/>
      <c r="AD1543" s="51"/>
      <c r="AE1543" s="51"/>
      <c r="AF1543" s="51"/>
      <c r="AG1543" s="211"/>
      <c r="AH1543" s="212"/>
      <c r="AI1543" s="212"/>
      <c r="AJ1543" s="212"/>
      <c r="AK1543" s="212"/>
      <c r="AL1543" s="212"/>
      <c r="AM1543" s="212"/>
      <c r="AN1543" s="212"/>
      <c r="AO1543" s="212"/>
      <c r="AP1543" s="212"/>
      <c r="AQ1543" s="212"/>
      <c r="AR1543" s="212"/>
      <c r="AS1543" s="212"/>
      <c r="AT1543" s="212"/>
      <c r="AU1543" s="212"/>
      <c r="AV1543" s="212"/>
      <c r="AW1543" s="211"/>
      <c r="AX1543" s="212"/>
      <c r="AY1543" s="212"/>
      <c r="AZ1543" s="212"/>
      <c r="BA1543" s="212"/>
      <c r="BB1543" s="212"/>
      <c r="BC1543" s="212"/>
      <c r="BD1543" s="212"/>
      <c r="BE1543" s="212"/>
      <c r="BF1543" s="212"/>
      <c r="BG1543" s="212"/>
      <c r="BH1543" s="212"/>
      <c r="BI1543" s="212"/>
      <c r="BJ1543" s="212"/>
      <c r="BK1543" s="212"/>
      <c r="BL1543" s="212"/>
      <c r="BM1543" s="211"/>
      <c r="BN1543" s="212"/>
      <c r="BO1543" s="212"/>
      <c r="BP1543" s="212"/>
      <c r="BQ1543" s="212"/>
      <c r="BR1543" s="212"/>
      <c r="BS1543" s="212"/>
      <c r="BT1543" s="212"/>
      <c r="BU1543" s="212"/>
      <c r="BV1543" s="212"/>
      <c r="BW1543" s="212"/>
      <c r="BX1543" s="212"/>
      <c r="BY1543" s="212"/>
      <c r="BZ1543" s="212"/>
      <c r="CA1543" s="212"/>
      <c r="CB1543" s="212"/>
      <c r="CC1543" s="211"/>
      <c r="CD1543" s="212"/>
      <c r="CE1543" s="212"/>
      <c r="CF1543" s="212"/>
      <c r="CG1543" s="212"/>
      <c r="CH1543" s="212"/>
      <c r="CI1543" s="212"/>
      <c r="CJ1543" s="212"/>
      <c r="CK1543" s="212"/>
      <c r="CL1543" s="212"/>
      <c r="CM1543" s="212"/>
      <c r="CN1543" s="212"/>
      <c r="CO1543" s="212"/>
      <c r="CP1543" s="212"/>
      <c r="CQ1543" s="212"/>
      <c r="CR1543" s="212"/>
      <c r="CS1543" s="211"/>
      <c r="CT1543" s="212"/>
      <c r="CU1543" s="212"/>
      <c r="CV1543" s="212"/>
      <c r="CW1543" s="212"/>
      <c r="CX1543" s="212"/>
      <c r="CY1543" s="212"/>
      <c r="CZ1543" s="212"/>
      <c r="DA1543" s="212"/>
      <c r="DB1543" s="212"/>
      <c r="DC1543" s="212"/>
      <c r="DD1543" s="212"/>
      <c r="DE1543" s="212"/>
      <c r="DF1543" s="212"/>
      <c r="DG1543" s="212"/>
      <c r="DH1543" s="212"/>
      <c r="DI1543" s="211"/>
      <c r="DJ1543" s="212"/>
      <c r="DK1543" s="212"/>
      <c r="DL1543" s="212"/>
      <c r="DM1543" s="212"/>
      <c r="DN1543" s="212"/>
      <c r="DO1543" s="212"/>
      <c r="DP1543" s="212"/>
      <c r="DQ1543" s="212"/>
      <c r="DR1543" s="212"/>
      <c r="DS1543" s="212"/>
      <c r="DT1543" s="212"/>
      <c r="DU1543" s="212"/>
      <c r="DV1543" s="212"/>
      <c r="DW1543" s="212"/>
      <c r="DX1543" s="212"/>
      <c r="DY1543" s="211"/>
      <c r="DZ1543" s="212"/>
      <c r="EA1543" s="212"/>
      <c r="EB1543" s="212"/>
      <c r="EC1543" s="212"/>
      <c r="ED1543" s="212"/>
      <c r="EE1543" s="212"/>
      <c r="EF1543" s="212"/>
      <c r="EG1543" s="212"/>
      <c r="EH1543" s="212"/>
      <c r="EI1543" s="212"/>
      <c r="EJ1543" s="212"/>
      <c r="EK1543" s="212"/>
      <c r="EL1543" s="212"/>
      <c r="EM1543" s="212"/>
      <c r="EN1543" s="212"/>
      <c r="EO1543" s="211"/>
      <c r="EP1543" s="212"/>
      <c r="EQ1543" s="212"/>
      <c r="ER1543" s="212"/>
      <c r="ES1543" s="212"/>
      <c r="ET1543" s="212"/>
      <c r="EU1543" s="212"/>
      <c r="EV1543" s="212"/>
      <c r="EW1543" s="212"/>
      <c r="EX1543" s="212"/>
      <c r="EY1543" s="212"/>
      <c r="EZ1543" s="212"/>
      <c r="FA1543" s="212"/>
      <c r="FB1543" s="212"/>
      <c r="FC1543" s="212"/>
      <c r="FD1543" s="212"/>
      <c r="FE1543" s="211"/>
      <c r="FF1543" s="212"/>
      <c r="FG1543" s="212"/>
      <c r="FH1543" s="212"/>
      <c r="FI1543" s="212"/>
      <c r="FJ1543" s="212"/>
      <c r="FK1543" s="212"/>
      <c r="FL1543" s="212"/>
      <c r="FM1543" s="212"/>
      <c r="FN1543" s="212"/>
      <c r="FO1543" s="212"/>
      <c r="FP1543" s="212"/>
      <c r="FQ1543" s="212"/>
      <c r="FR1543" s="212"/>
      <c r="FS1543" s="212"/>
      <c r="FT1543" s="212"/>
      <c r="FU1543" s="211"/>
      <c r="FV1543" s="212"/>
      <c r="FW1543" s="212"/>
      <c r="FX1543" s="212"/>
      <c r="FY1543" s="212"/>
      <c r="FZ1543" s="212"/>
      <c r="GA1543" s="212"/>
      <c r="GB1543" s="212"/>
      <c r="GC1543" s="212"/>
      <c r="GD1543" s="212"/>
      <c r="GE1543" s="212"/>
      <c r="GF1543" s="212"/>
      <c r="GG1543" s="212"/>
      <c r="GH1543" s="212"/>
      <c r="GI1543" s="212"/>
      <c r="GJ1543" s="212"/>
      <c r="GK1543" s="211"/>
      <c r="GL1543" s="212"/>
      <c r="GM1543" s="212"/>
      <c r="GN1543" s="212"/>
      <c r="GO1543" s="212"/>
      <c r="GP1543" s="212"/>
      <c r="GQ1543" s="212"/>
      <c r="GR1543" s="212"/>
      <c r="GS1543" s="212"/>
      <c r="GT1543" s="212"/>
      <c r="GU1543" s="212"/>
      <c r="GV1543" s="212"/>
      <c r="GW1543" s="212"/>
      <c r="GX1543" s="212"/>
      <c r="GY1543" s="212"/>
      <c r="GZ1543" s="212"/>
      <c r="HA1543" s="211"/>
      <c r="HB1543" s="212"/>
      <c r="HC1543" s="212"/>
      <c r="HD1543" s="212"/>
      <c r="HE1543" s="212"/>
      <c r="HF1543" s="212"/>
      <c r="HG1543" s="212"/>
      <c r="HH1543" s="212"/>
      <c r="HI1543" s="212"/>
      <c r="HJ1543" s="212"/>
      <c r="HK1543" s="212"/>
      <c r="HL1543" s="212"/>
      <c r="HM1543" s="212"/>
      <c r="HN1543" s="212"/>
      <c r="HO1543" s="212"/>
      <c r="HP1543" s="212"/>
      <c r="HQ1543" s="211"/>
      <c r="HR1543" s="212"/>
      <c r="HS1543" s="212"/>
      <c r="HT1543" s="212"/>
      <c r="HU1543" s="212"/>
      <c r="HV1543" s="212"/>
      <c r="HW1543" s="212"/>
      <c r="HX1543" s="212"/>
      <c r="HY1543" s="212"/>
      <c r="HZ1543" s="212"/>
      <c r="IA1543" s="212"/>
      <c r="IB1543" s="212"/>
      <c r="IC1543" s="212"/>
      <c r="ID1543" s="212"/>
      <c r="IE1543" s="212"/>
      <c r="IF1543" s="212"/>
      <c r="IG1543" s="211"/>
      <c r="IH1543" s="212"/>
      <c r="II1543" s="212"/>
      <c r="IJ1543" s="212"/>
      <c r="IK1543" s="212"/>
      <c r="IL1543" s="212"/>
      <c r="IM1543" s="212"/>
      <c r="IN1543" s="212"/>
      <c r="IO1543" s="212"/>
      <c r="IP1543" s="212"/>
      <c r="IQ1543" s="212"/>
      <c r="IR1543" s="212"/>
      <c r="IS1543" s="212"/>
      <c r="IT1543" s="212"/>
      <c r="IU1543" s="212"/>
      <c r="IV1543" s="212"/>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19" t="s">
        <v>983</v>
      </c>
      <c r="B1545" s="219"/>
      <c r="C1545" s="219"/>
      <c r="D1545" s="219"/>
      <c r="E1545" s="219"/>
      <c r="F1545" s="219"/>
      <c r="G1545" s="219"/>
      <c r="H1545" s="219"/>
      <c r="I1545" s="219"/>
      <c r="J1545" s="219"/>
      <c r="K1545" s="219"/>
      <c r="L1545" s="219"/>
      <c r="M1545" s="219"/>
      <c r="N1545" s="219"/>
      <c r="O1545" s="219"/>
      <c r="P1545" s="219"/>
      <c r="Q1545" s="38"/>
    </row>
    <row r="1546" spans="1:256" x14ac:dyDescent="0.25">
      <c r="Q1546" s="38"/>
    </row>
    <row r="1547" spans="1:256" x14ac:dyDescent="0.25">
      <c r="A1547" s="238" t="s">
        <v>873</v>
      </c>
      <c r="B1547" s="239"/>
      <c r="C1547" s="212"/>
      <c r="D1547" s="212"/>
      <c r="E1547" s="72"/>
      <c r="F1547" s="238"/>
      <c r="G1547" s="238"/>
      <c r="H1547" s="238"/>
      <c r="I1547" s="238"/>
      <c r="J1547" s="238"/>
      <c r="K1547" s="238"/>
      <c r="L1547" s="238"/>
      <c r="M1547" s="238"/>
      <c r="N1547" s="238"/>
      <c r="O1547" s="238"/>
      <c r="P1547" s="238"/>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15" t="s">
        <v>897</v>
      </c>
      <c r="L1550" s="216"/>
      <c r="M1550" s="216"/>
      <c r="N1550" s="216"/>
      <c r="O1550" s="216"/>
      <c r="P1550" s="217"/>
      <c r="Q1550" s="2"/>
    </row>
    <row r="1551" spans="1:256" x14ac:dyDescent="0.25">
      <c r="A1551" s="224" t="s">
        <v>878</v>
      </c>
      <c r="B1551" s="225"/>
      <c r="C1551" s="225"/>
      <c r="D1551" s="225"/>
      <c r="E1551" s="225"/>
      <c r="F1551" s="225"/>
      <c r="G1551" s="225"/>
      <c r="H1551" s="225"/>
      <c r="I1551" s="225"/>
      <c r="J1551" s="226"/>
      <c r="K1551" s="27"/>
      <c r="L1551" s="70" t="s">
        <v>875</v>
      </c>
      <c r="M1551" s="67" t="s">
        <v>61</v>
      </c>
      <c r="N1551" s="213"/>
      <c r="O1551" s="214"/>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218" t="s">
        <v>897</v>
      </c>
      <c r="L1554" s="219"/>
      <c r="M1554" s="219"/>
      <c r="N1554" s="219"/>
      <c r="O1554" s="219"/>
      <c r="P1554" s="220"/>
      <c r="Q1554" s="2"/>
    </row>
    <row r="1555" spans="1:17" x14ac:dyDescent="0.25">
      <c r="A1555" s="221" t="s">
        <v>880</v>
      </c>
      <c r="B1555" s="222"/>
      <c r="C1555" s="222"/>
      <c r="D1555" s="222"/>
      <c r="E1555" s="222"/>
      <c r="F1555" s="222"/>
      <c r="G1555" s="222"/>
      <c r="H1555" s="222"/>
      <c r="I1555" s="222"/>
      <c r="J1555" s="223"/>
      <c r="K1555" s="40"/>
      <c r="L1555" s="70" t="s">
        <v>883</v>
      </c>
      <c r="M1555" s="67" t="s">
        <v>61</v>
      </c>
      <c r="N1555" s="213"/>
      <c r="O1555" s="214"/>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15" t="s">
        <v>897</v>
      </c>
      <c r="L1558" s="216"/>
      <c r="M1558" s="216"/>
      <c r="N1558" s="216"/>
      <c r="O1558" s="216"/>
      <c r="P1558" s="217"/>
      <c r="Q1558" s="2"/>
    </row>
    <row r="1559" spans="1:17" x14ac:dyDescent="0.25">
      <c r="A1559" s="224" t="s">
        <v>263</v>
      </c>
      <c r="B1559" s="225"/>
      <c r="C1559" s="225"/>
      <c r="D1559" s="225"/>
      <c r="E1559" s="225"/>
      <c r="F1559" s="225"/>
      <c r="G1559" s="225"/>
      <c r="H1559" s="225"/>
      <c r="I1559" s="225"/>
      <c r="J1559" s="226"/>
      <c r="K1559" s="27"/>
      <c r="L1559" s="70" t="s">
        <v>884</v>
      </c>
      <c r="M1559" s="67" t="s">
        <v>61</v>
      </c>
      <c r="N1559" s="213"/>
      <c r="O1559" s="214"/>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218" t="s">
        <v>897</v>
      </c>
      <c r="L1562" s="219"/>
      <c r="M1562" s="219"/>
      <c r="N1562" s="219"/>
      <c r="O1562" s="219"/>
      <c r="P1562" s="220"/>
      <c r="Q1562" s="2"/>
    </row>
    <row r="1563" spans="1:17" x14ac:dyDescent="0.25">
      <c r="A1563" s="221" t="s">
        <v>262</v>
      </c>
      <c r="B1563" s="222"/>
      <c r="C1563" s="222"/>
      <c r="D1563" s="222"/>
      <c r="E1563" s="222"/>
      <c r="F1563" s="222"/>
      <c r="G1563" s="222"/>
      <c r="H1563" s="222"/>
      <c r="I1563" s="222"/>
      <c r="J1563" s="223"/>
      <c r="K1563" s="40"/>
      <c r="L1563" s="70" t="s">
        <v>885</v>
      </c>
      <c r="M1563" s="67" t="s">
        <v>61</v>
      </c>
      <c r="N1563" s="213"/>
      <c r="O1563" s="214"/>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15" t="s">
        <v>897</v>
      </c>
      <c r="L1566" s="216"/>
      <c r="M1566" s="216"/>
      <c r="N1566" s="216"/>
      <c r="O1566" s="216"/>
      <c r="P1566" s="217"/>
      <c r="Q1566" s="2"/>
    </row>
    <row r="1567" spans="1:17" x14ac:dyDescent="0.25">
      <c r="A1567" s="224" t="s">
        <v>696</v>
      </c>
      <c r="B1567" s="225"/>
      <c r="C1567" s="225"/>
      <c r="D1567" s="225"/>
      <c r="E1567" s="225"/>
      <c r="F1567" s="225"/>
      <c r="G1567" s="225"/>
      <c r="H1567" s="225"/>
      <c r="I1567" s="225"/>
      <c r="J1567" s="226"/>
      <c r="K1567" s="27"/>
      <c r="L1567" s="70" t="s">
        <v>886</v>
      </c>
      <c r="M1567" s="67" t="s">
        <v>61</v>
      </c>
      <c r="N1567" s="213"/>
      <c r="O1567" s="214"/>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218" t="s">
        <v>897</v>
      </c>
      <c r="L1570" s="219"/>
      <c r="M1570" s="219"/>
      <c r="N1570" s="219"/>
      <c r="O1570" s="219"/>
      <c r="P1570" s="220"/>
      <c r="Q1570" s="2"/>
    </row>
    <row r="1571" spans="1:17" x14ac:dyDescent="0.25">
      <c r="A1571" s="221" t="s">
        <v>881</v>
      </c>
      <c r="B1571" s="222"/>
      <c r="C1571" s="222"/>
      <c r="D1571" s="222"/>
      <c r="E1571" s="222"/>
      <c r="F1571" s="222"/>
      <c r="G1571" s="222"/>
      <c r="H1571" s="222"/>
      <c r="I1571" s="222"/>
      <c r="J1571" s="223"/>
      <c r="K1571" s="40"/>
      <c r="L1571" s="70" t="s">
        <v>887</v>
      </c>
      <c r="M1571" s="67" t="s">
        <v>61</v>
      </c>
      <c r="N1571" s="213"/>
      <c r="O1571" s="214"/>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15" t="s">
        <v>897</v>
      </c>
      <c r="L1574" s="216"/>
      <c r="M1574" s="216"/>
      <c r="N1574" s="216"/>
      <c r="O1574" s="216"/>
      <c r="P1574" s="217"/>
      <c r="Q1574" s="2"/>
    </row>
    <row r="1575" spans="1:17" x14ac:dyDescent="0.25">
      <c r="A1575" s="224" t="s">
        <v>882</v>
      </c>
      <c r="B1575" s="225"/>
      <c r="C1575" s="225"/>
      <c r="D1575" s="225"/>
      <c r="E1575" s="225"/>
      <c r="F1575" s="225"/>
      <c r="G1575" s="225"/>
      <c r="H1575" s="225"/>
      <c r="I1575" s="225"/>
      <c r="J1575" s="226"/>
      <c r="K1575" s="27"/>
      <c r="L1575" s="70" t="s">
        <v>889</v>
      </c>
      <c r="M1575" s="67" t="s">
        <v>61</v>
      </c>
      <c r="N1575" s="213"/>
      <c r="O1575" s="214"/>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218" t="s">
        <v>897</v>
      </c>
      <c r="L1578" s="219"/>
      <c r="M1578" s="219"/>
      <c r="N1578" s="219"/>
      <c r="O1578" s="219"/>
      <c r="P1578" s="220"/>
      <c r="Q1578" s="2"/>
    </row>
    <row r="1579" spans="1:17" x14ac:dyDescent="0.25">
      <c r="A1579" s="221" t="s">
        <v>690</v>
      </c>
      <c r="B1579" s="222"/>
      <c r="C1579" s="222"/>
      <c r="D1579" s="222"/>
      <c r="E1579" s="222"/>
      <c r="F1579" s="222"/>
      <c r="G1579" s="222"/>
      <c r="H1579" s="222"/>
      <c r="I1579" s="222"/>
      <c r="J1579" s="223"/>
      <c r="K1579" s="40"/>
      <c r="L1579" s="70" t="s">
        <v>888</v>
      </c>
      <c r="M1579" s="67" t="s">
        <v>61</v>
      </c>
      <c r="N1579" s="213"/>
      <c r="O1579" s="214"/>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38" t="s">
        <v>874</v>
      </c>
      <c r="B1582" s="239"/>
      <c r="C1582" s="212"/>
      <c r="D1582" s="212"/>
      <c r="E1582" s="72"/>
      <c r="F1582" s="238"/>
      <c r="G1582" s="238"/>
      <c r="H1582" s="238"/>
      <c r="I1582" s="238"/>
      <c r="J1582" s="238"/>
      <c r="K1582" s="238"/>
      <c r="L1582" s="238"/>
      <c r="M1582" s="238"/>
      <c r="N1582" s="238"/>
      <c r="O1582" s="238"/>
      <c r="P1582" s="238"/>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15" t="s">
        <v>897</v>
      </c>
      <c r="L1585" s="216"/>
      <c r="M1585" s="216"/>
      <c r="N1585" s="216"/>
      <c r="O1585" s="216"/>
      <c r="P1585" s="217"/>
      <c r="Q1585" s="2"/>
    </row>
    <row r="1586" spans="1:17" x14ac:dyDescent="0.25">
      <c r="A1586" s="224" t="s">
        <v>878</v>
      </c>
      <c r="B1586" s="225"/>
      <c r="C1586" s="225"/>
      <c r="D1586" s="225"/>
      <c r="E1586" s="225"/>
      <c r="F1586" s="225"/>
      <c r="G1586" s="225"/>
      <c r="H1586" s="225"/>
      <c r="I1586" s="225"/>
      <c r="J1586" s="226"/>
      <c r="K1586" s="27"/>
      <c r="L1586" s="70" t="s">
        <v>876</v>
      </c>
      <c r="M1586" s="67" t="s">
        <v>61</v>
      </c>
      <c r="N1586" s="213"/>
      <c r="O1586" s="214"/>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218" t="s">
        <v>897</v>
      </c>
      <c r="L1589" s="219"/>
      <c r="M1589" s="219"/>
      <c r="N1589" s="219"/>
      <c r="O1589" s="219"/>
      <c r="P1589" s="220"/>
      <c r="Q1589" s="2"/>
    </row>
    <row r="1590" spans="1:17" x14ac:dyDescent="0.25">
      <c r="A1590" s="221" t="s">
        <v>880</v>
      </c>
      <c r="B1590" s="222"/>
      <c r="C1590" s="222"/>
      <c r="D1590" s="222"/>
      <c r="E1590" s="222"/>
      <c r="F1590" s="222"/>
      <c r="G1590" s="222"/>
      <c r="H1590" s="222"/>
      <c r="I1590" s="222"/>
      <c r="J1590" s="223"/>
      <c r="K1590" s="40"/>
      <c r="L1590" s="70" t="s">
        <v>890</v>
      </c>
      <c r="M1590" s="67" t="s">
        <v>61</v>
      </c>
      <c r="N1590" s="213"/>
      <c r="O1590" s="214"/>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15" t="s">
        <v>897</v>
      </c>
      <c r="L1593" s="216"/>
      <c r="M1593" s="216"/>
      <c r="N1593" s="216"/>
      <c r="O1593" s="216"/>
      <c r="P1593" s="217"/>
      <c r="Q1593" s="2"/>
    </row>
    <row r="1594" spans="1:17" x14ac:dyDescent="0.25">
      <c r="A1594" s="224" t="s">
        <v>263</v>
      </c>
      <c r="B1594" s="225"/>
      <c r="C1594" s="225"/>
      <c r="D1594" s="225"/>
      <c r="E1594" s="225"/>
      <c r="F1594" s="225"/>
      <c r="G1594" s="225"/>
      <c r="H1594" s="225"/>
      <c r="I1594" s="225"/>
      <c r="J1594" s="226"/>
      <c r="K1594" s="27"/>
      <c r="L1594" s="70" t="s">
        <v>891</v>
      </c>
      <c r="M1594" s="67" t="s">
        <v>61</v>
      </c>
      <c r="N1594" s="213"/>
      <c r="O1594" s="214"/>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218" t="s">
        <v>897</v>
      </c>
      <c r="L1597" s="219"/>
      <c r="M1597" s="219"/>
      <c r="N1597" s="219"/>
      <c r="O1597" s="219"/>
      <c r="P1597" s="220"/>
      <c r="Q1597" s="2"/>
    </row>
    <row r="1598" spans="1:17" x14ac:dyDescent="0.25">
      <c r="A1598" s="221" t="s">
        <v>262</v>
      </c>
      <c r="B1598" s="222"/>
      <c r="C1598" s="222"/>
      <c r="D1598" s="222"/>
      <c r="E1598" s="222"/>
      <c r="F1598" s="222"/>
      <c r="G1598" s="222"/>
      <c r="H1598" s="222"/>
      <c r="I1598" s="222"/>
      <c r="J1598" s="223"/>
      <c r="K1598" s="40"/>
      <c r="L1598" s="70" t="s">
        <v>892</v>
      </c>
      <c r="M1598" s="67" t="s">
        <v>61</v>
      </c>
      <c r="N1598" s="213"/>
      <c r="O1598" s="214"/>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15" t="s">
        <v>897</v>
      </c>
      <c r="L1601" s="216"/>
      <c r="M1601" s="216"/>
      <c r="N1601" s="216"/>
      <c r="O1601" s="216"/>
      <c r="P1601" s="217"/>
      <c r="Q1601" s="2"/>
    </row>
    <row r="1602" spans="1:17" x14ac:dyDescent="0.25">
      <c r="A1602" s="224" t="s">
        <v>696</v>
      </c>
      <c r="B1602" s="225"/>
      <c r="C1602" s="225"/>
      <c r="D1602" s="225"/>
      <c r="E1602" s="225"/>
      <c r="F1602" s="225"/>
      <c r="G1602" s="225"/>
      <c r="H1602" s="225"/>
      <c r="I1602" s="225"/>
      <c r="J1602" s="226"/>
      <c r="K1602" s="27"/>
      <c r="L1602" s="70" t="s">
        <v>893</v>
      </c>
      <c r="M1602" s="67" t="s">
        <v>61</v>
      </c>
      <c r="N1602" s="213"/>
      <c r="O1602" s="214"/>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218" t="s">
        <v>897</v>
      </c>
      <c r="L1605" s="219"/>
      <c r="M1605" s="219"/>
      <c r="N1605" s="219"/>
      <c r="O1605" s="219"/>
      <c r="P1605" s="220"/>
      <c r="Q1605" s="2"/>
    </row>
    <row r="1606" spans="1:17" x14ac:dyDescent="0.25">
      <c r="A1606" s="221" t="s">
        <v>881</v>
      </c>
      <c r="B1606" s="222"/>
      <c r="C1606" s="222"/>
      <c r="D1606" s="222"/>
      <c r="E1606" s="222"/>
      <c r="F1606" s="222"/>
      <c r="G1606" s="222"/>
      <c r="H1606" s="222"/>
      <c r="I1606" s="222"/>
      <c r="J1606" s="223"/>
      <c r="K1606" s="40"/>
      <c r="L1606" s="70" t="s">
        <v>894</v>
      </c>
      <c r="M1606" s="67" t="s">
        <v>61</v>
      </c>
      <c r="N1606" s="213"/>
      <c r="O1606" s="214"/>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15" t="s">
        <v>897</v>
      </c>
      <c r="L1609" s="216"/>
      <c r="M1609" s="216"/>
      <c r="N1609" s="216"/>
      <c r="O1609" s="216"/>
      <c r="P1609" s="217"/>
      <c r="Q1609" s="2"/>
    </row>
    <row r="1610" spans="1:17" x14ac:dyDescent="0.25">
      <c r="A1610" s="224" t="s">
        <v>882</v>
      </c>
      <c r="B1610" s="225"/>
      <c r="C1610" s="225"/>
      <c r="D1610" s="225"/>
      <c r="E1610" s="225"/>
      <c r="F1610" s="225"/>
      <c r="G1610" s="225"/>
      <c r="H1610" s="225"/>
      <c r="I1610" s="225"/>
      <c r="J1610" s="226"/>
      <c r="K1610" s="27"/>
      <c r="L1610" s="70" t="s">
        <v>895</v>
      </c>
      <c r="M1610" s="67" t="s">
        <v>61</v>
      </c>
      <c r="N1610" s="213"/>
      <c r="O1610" s="214"/>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218" t="s">
        <v>897</v>
      </c>
      <c r="L1613" s="219"/>
      <c r="M1613" s="219"/>
      <c r="N1613" s="219"/>
      <c r="O1613" s="219"/>
      <c r="P1613" s="220"/>
      <c r="Q1613" s="2"/>
    </row>
    <row r="1614" spans="1:17" x14ac:dyDescent="0.25">
      <c r="A1614" s="221" t="s">
        <v>690</v>
      </c>
      <c r="B1614" s="222"/>
      <c r="C1614" s="222"/>
      <c r="D1614" s="222"/>
      <c r="E1614" s="222"/>
      <c r="F1614" s="222"/>
      <c r="G1614" s="222"/>
      <c r="H1614" s="222"/>
      <c r="I1614" s="222"/>
      <c r="J1614" s="223"/>
      <c r="K1614" s="40"/>
      <c r="L1614" s="70" t="s">
        <v>896</v>
      </c>
      <c r="M1614" s="67" t="s">
        <v>61</v>
      </c>
      <c r="N1614" s="213"/>
      <c r="O1614" s="214"/>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38" t="s">
        <v>877</v>
      </c>
      <c r="B1617" s="239"/>
      <c r="C1617" s="212"/>
      <c r="D1617" s="212"/>
      <c r="E1617" s="72"/>
      <c r="F1617" s="238"/>
      <c r="G1617" s="238"/>
      <c r="H1617" s="238"/>
      <c r="I1617" s="238"/>
      <c r="J1617" s="238"/>
      <c r="K1617" s="238"/>
      <c r="L1617" s="238"/>
      <c r="M1617" s="238"/>
      <c r="N1617" s="238"/>
      <c r="O1617" s="238"/>
      <c r="P1617" s="238"/>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24" t="s">
        <v>984</v>
      </c>
      <c r="B1620" s="225"/>
      <c r="C1620" s="225"/>
      <c r="D1620" s="225"/>
      <c r="E1620" s="225"/>
      <c r="F1620" s="225"/>
      <c r="G1620" s="225"/>
      <c r="H1620" s="225"/>
      <c r="I1620" s="225"/>
      <c r="J1620" s="226"/>
      <c r="K1620" s="27"/>
      <c r="L1620" s="70" t="s">
        <v>879</v>
      </c>
      <c r="M1620" s="67" t="s">
        <v>61</v>
      </c>
      <c r="N1620" s="213">
        <f>SUM(N1555,N1590)</f>
        <v>0</v>
      </c>
      <c r="O1620" s="214"/>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21" t="s">
        <v>625</v>
      </c>
      <c r="B1623" s="222"/>
      <c r="C1623" s="222"/>
      <c r="D1623" s="222"/>
      <c r="E1623" s="222"/>
      <c r="F1623" s="222"/>
      <c r="G1623" s="222"/>
      <c r="H1623" s="222"/>
      <c r="I1623" s="222"/>
      <c r="J1623" s="223"/>
      <c r="K1623" s="40"/>
      <c r="L1623" s="70" t="s">
        <v>901</v>
      </c>
      <c r="M1623" s="67" t="s">
        <v>61</v>
      </c>
      <c r="N1623" s="213">
        <f>SUM(N1559,N1594)</f>
        <v>0</v>
      </c>
      <c r="O1623" s="214"/>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24" t="s">
        <v>898</v>
      </c>
      <c r="B1626" s="225"/>
      <c r="C1626" s="225"/>
      <c r="D1626" s="225"/>
      <c r="E1626" s="225"/>
      <c r="F1626" s="225"/>
      <c r="G1626" s="225"/>
      <c r="H1626" s="225"/>
      <c r="I1626" s="225"/>
      <c r="J1626" s="226"/>
      <c r="K1626" s="27"/>
      <c r="L1626" s="70" t="s">
        <v>902</v>
      </c>
      <c r="M1626" s="67" t="s">
        <v>61</v>
      </c>
      <c r="N1626" s="213">
        <f>SUM(N1563,N1598)</f>
        <v>0</v>
      </c>
      <c r="O1626" s="214"/>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21" t="s">
        <v>899</v>
      </c>
      <c r="B1629" s="222"/>
      <c r="C1629" s="222"/>
      <c r="D1629" s="222"/>
      <c r="E1629" s="222"/>
      <c r="F1629" s="222"/>
      <c r="G1629" s="222"/>
      <c r="H1629" s="222"/>
      <c r="I1629" s="222"/>
      <c r="J1629" s="223"/>
      <c r="K1629" s="40"/>
      <c r="L1629" s="70" t="s">
        <v>903</v>
      </c>
      <c r="M1629" s="67" t="s">
        <v>61</v>
      </c>
      <c r="N1629" s="213">
        <f>SUM(N1567,N1602)</f>
        <v>0</v>
      </c>
      <c r="O1629" s="214"/>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24" t="s">
        <v>774</v>
      </c>
      <c r="B1632" s="225"/>
      <c r="C1632" s="225"/>
      <c r="D1632" s="225"/>
      <c r="E1632" s="225"/>
      <c r="F1632" s="225"/>
      <c r="G1632" s="225"/>
      <c r="H1632" s="225"/>
      <c r="I1632" s="225"/>
      <c r="J1632" s="226"/>
      <c r="K1632" s="27"/>
      <c r="L1632" s="70" t="s">
        <v>904</v>
      </c>
      <c r="M1632" s="67" t="s">
        <v>61</v>
      </c>
      <c r="N1632" s="213">
        <f>SUM(N1571,N1606)</f>
        <v>0</v>
      </c>
      <c r="O1632" s="214"/>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21" t="s">
        <v>900</v>
      </c>
      <c r="B1635" s="222"/>
      <c r="C1635" s="222"/>
      <c r="D1635" s="222"/>
      <c r="E1635" s="222"/>
      <c r="F1635" s="222"/>
      <c r="G1635" s="222"/>
      <c r="H1635" s="222"/>
      <c r="I1635" s="222"/>
      <c r="J1635" s="223"/>
      <c r="K1635" s="40"/>
      <c r="L1635" s="70" t="s">
        <v>905</v>
      </c>
      <c r="M1635" s="67" t="s">
        <v>61</v>
      </c>
      <c r="N1635" s="213">
        <f>SUM(N1575,N1610)</f>
        <v>0</v>
      </c>
      <c r="O1635" s="214"/>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24" t="s">
        <v>985</v>
      </c>
      <c r="B1638" s="225"/>
      <c r="C1638" s="225"/>
      <c r="D1638" s="225"/>
      <c r="E1638" s="225"/>
      <c r="F1638" s="225"/>
      <c r="G1638" s="225"/>
      <c r="H1638" s="225"/>
      <c r="I1638" s="225"/>
      <c r="J1638" s="226"/>
      <c r="K1638" s="27"/>
      <c r="L1638" s="70" t="s">
        <v>906</v>
      </c>
      <c r="M1638" s="67" t="s">
        <v>61</v>
      </c>
      <c r="N1638" s="213">
        <f>SUM(N1579,N1614)</f>
        <v>0</v>
      </c>
      <c r="O1638" s="214"/>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31" t="s">
        <v>651</v>
      </c>
      <c r="B1642" s="232"/>
      <c r="C1642" s="232"/>
      <c r="D1642" s="232"/>
      <c r="F1642" s="233"/>
      <c r="G1642" s="233"/>
      <c r="H1642" s="233"/>
      <c r="I1642" s="233"/>
      <c r="J1642" s="233"/>
      <c r="K1642" s="233"/>
      <c r="L1642" s="233"/>
      <c r="M1642" s="233"/>
      <c r="N1642" s="233"/>
      <c r="O1642" s="233"/>
      <c r="P1642" s="233"/>
      <c r="Q1642" s="233"/>
    </row>
    <row r="1643" spans="1:256" ht="5.0999999999999996" customHeight="1" x14ac:dyDescent="0.25"/>
    <row r="1644" spans="1:256" x14ac:dyDescent="0.25">
      <c r="A1644" s="234" t="s">
        <v>658</v>
      </c>
      <c r="B1644" s="235"/>
      <c r="C1644" s="235"/>
      <c r="D1644" s="235"/>
      <c r="E1644" s="236"/>
      <c r="F1644" s="236"/>
      <c r="G1644" s="236"/>
      <c r="H1644" s="236"/>
      <c r="I1644" s="236"/>
      <c r="J1644" s="236"/>
      <c r="K1644" s="236"/>
      <c r="L1644" s="236"/>
      <c r="M1644" s="236"/>
      <c r="N1644" s="236"/>
      <c r="O1644" s="236"/>
      <c r="P1644" s="236"/>
      <c r="Q1644" s="237"/>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1" t="s">
        <v>663</v>
      </c>
      <c r="B1646" s="212"/>
      <c r="C1646" s="212"/>
      <c r="D1646" s="212"/>
      <c r="E1646" s="212"/>
      <c r="F1646" s="212"/>
      <c r="G1646" s="212"/>
      <c r="H1646" s="212"/>
      <c r="I1646" s="212"/>
      <c r="J1646" s="212"/>
      <c r="K1646" s="212"/>
      <c r="L1646" s="212"/>
      <c r="M1646" s="212"/>
      <c r="N1646" s="212"/>
      <c r="O1646" s="212"/>
      <c r="P1646" s="212"/>
      <c r="Q1646" s="38"/>
      <c r="R1646" s="51"/>
      <c r="S1646" s="51"/>
      <c r="T1646" s="51"/>
      <c r="U1646" s="51"/>
      <c r="V1646" s="51"/>
      <c r="W1646" s="51"/>
      <c r="X1646" s="51"/>
      <c r="Y1646" s="51"/>
      <c r="Z1646" s="51"/>
      <c r="AA1646" s="51"/>
      <c r="AB1646" s="51"/>
      <c r="AC1646" s="51"/>
      <c r="AD1646" s="51"/>
      <c r="AE1646" s="51"/>
      <c r="AF1646" s="51"/>
      <c r="AG1646" s="211"/>
      <c r="AH1646" s="212"/>
      <c r="AI1646" s="212"/>
      <c r="AJ1646" s="212"/>
      <c r="AK1646" s="212"/>
      <c r="AL1646" s="212"/>
      <c r="AM1646" s="212"/>
      <c r="AN1646" s="212"/>
      <c r="AO1646" s="212"/>
      <c r="AP1646" s="212"/>
      <c r="AQ1646" s="212"/>
      <c r="AR1646" s="212"/>
      <c r="AS1646" s="212"/>
      <c r="AT1646" s="212"/>
      <c r="AU1646" s="212"/>
      <c r="AV1646" s="212"/>
      <c r="AW1646" s="211"/>
      <c r="AX1646" s="212"/>
      <c r="AY1646" s="212"/>
      <c r="AZ1646" s="212"/>
      <c r="BA1646" s="212"/>
      <c r="BB1646" s="212"/>
      <c r="BC1646" s="212"/>
      <c r="BD1646" s="212"/>
      <c r="BE1646" s="212"/>
      <c r="BF1646" s="212"/>
      <c r="BG1646" s="212"/>
      <c r="BH1646" s="212"/>
      <c r="BI1646" s="212"/>
      <c r="BJ1646" s="212"/>
      <c r="BK1646" s="212"/>
      <c r="BL1646" s="212"/>
      <c r="BM1646" s="211"/>
      <c r="BN1646" s="212"/>
      <c r="BO1646" s="212"/>
      <c r="BP1646" s="212"/>
      <c r="BQ1646" s="212"/>
      <c r="BR1646" s="212"/>
      <c r="BS1646" s="212"/>
      <c r="BT1646" s="212"/>
      <c r="BU1646" s="212"/>
      <c r="BV1646" s="212"/>
      <c r="BW1646" s="212"/>
      <c r="BX1646" s="212"/>
      <c r="BY1646" s="212"/>
      <c r="BZ1646" s="212"/>
      <c r="CA1646" s="212"/>
      <c r="CB1646" s="212"/>
      <c r="CC1646" s="211"/>
      <c r="CD1646" s="212"/>
      <c r="CE1646" s="212"/>
      <c r="CF1646" s="212"/>
      <c r="CG1646" s="212"/>
      <c r="CH1646" s="212"/>
      <c r="CI1646" s="212"/>
      <c r="CJ1646" s="212"/>
      <c r="CK1646" s="212"/>
      <c r="CL1646" s="212"/>
      <c r="CM1646" s="212"/>
      <c r="CN1646" s="212"/>
      <c r="CO1646" s="212"/>
      <c r="CP1646" s="212"/>
      <c r="CQ1646" s="212"/>
      <c r="CR1646" s="212"/>
      <c r="CS1646" s="211"/>
      <c r="CT1646" s="212"/>
      <c r="CU1646" s="212"/>
      <c r="CV1646" s="212"/>
      <c r="CW1646" s="212"/>
      <c r="CX1646" s="212"/>
      <c r="CY1646" s="212"/>
      <c r="CZ1646" s="212"/>
      <c r="DA1646" s="212"/>
      <c r="DB1646" s="212"/>
      <c r="DC1646" s="212"/>
      <c r="DD1646" s="212"/>
      <c r="DE1646" s="212"/>
      <c r="DF1646" s="212"/>
      <c r="DG1646" s="212"/>
      <c r="DH1646" s="212"/>
      <c r="DI1646" s="211"/>
      <c r="DJ1646" s="212"/>
      <c r="DK1646" s="212"/>
      <c r="DL1646" s="212"/>
      <c r="DM1646" s="212"/>
      <c r="DN1646" s="212"/>
      <c r="DO1646" s="212"/>
      <c r="DP1646" s="212"/>
      <c r="DQ1646" s="212"/>
      <c r="DR1646" s="212"/>
      <c r="DS1646" s="212"/>
      <c r="DT1646" s="212"/>
      <c r="DU1646" s="212"/>
      <c r="DV1646" s="212"/>
      <c r="DW1646" s="212"/>
      <c r="DX1646" s="212"/>
      <c r="DY1646" s="211"/>
      <c r="DZ1646" s="212"/>
      <c r="EA1646" s="212"/>
      <c r="EB1646" s="212"/>
      <c r="EC1646" s="212"/>
      <c r="ED1646" s="212"/>
      <c r="EE1646" s="212"/>
      <c r="EF1646" s="212"/>
      <c r="EG1646" s="212"/>
      <c r="EH1646" s="212"/>
      <c r="EI1646" s="212"/>
      <c r="EJ1646" s="212"/>
      <c r="EK1646" s="212"/>
      <c r="EL1646" s="212"/>
      <c r="EM1646" s="212"/>
      <c r="EN1646" s="212"/>
      <c r="EO1646" s="211"/>
      <c r="EP1646" s="212"/>
      <c r="EQ1646" s="212"/>
      <c r="ER1646" s="212"/>
      <c r="ES1646" s="212"/>
      <c r="ET1646" s="212"/>
      <c r="EU1646" s="212"/>
      <c r="EV1646" s="212"/>
      <c r="EW1646" s="212"/>
      <c r="EX1646" s="212"/>
      <c r="EY1646" s="212"/>
      <c r="EZ1646" s="212"/>
      <c r="FA1646" s="212"/>
      <c r="FB1646" s="212"/>
      <c r="FC1646" s="212"/>
      <c r="FD1646" s="212"/>
      <c r="FE1646" s="211"/>
      <c r="FF1646" s="212"/>
      <c r="FG1646" s="212"/>
      <c r="FH1646" s="212"/>
      <c r="FI1646" s="212"/>
      <c r="FJ1646" s="212"/>
      <c r="FK1646" s="212"/>
      <c r="FL1646" s="212"/>
      <c r="FM1646" s="212"/>
      <c r="FN1646" s="212"/>
      <c r="FO1646" s="212"/>
      <c r="FP1646" s="212"/>
      <c r="FQ1646" s="212"/>
      <c r="FR1646" s="212"/>
      <c r="FS1646" s="212"/>
      <c r="FT1646" s="212"/>
      <c r="FU1646" s="211"/>
      <c r="FV1646" s="212"/>
      <c r="FW1646" s="212"/>
      <c r="FX1646" s="212"/>
      <c r="FY1646" s="212"/>
      <c r="FZ1646" s="212"/>
      <c r="GA1646" s="212"/>
      <c r="GB1646" s="212"/>
      <c r="GC1646" s="212"/>
      <c r="GD1646" s="212"/>
      <c r="GE1646" s="212"/>
      <c r="GF1646" s="212"/>
      <c r="GG1646" s="212"/>
      <c r="GH1646" s="212"/>
      <c r="GI1646" s="212"/>
      <c r="GJ1646" s="212"/>
      <c r="GK1646" s="211"/>
      <c r="GL1646" s="212"/>
      <c r="GM1646" s="212"/>
      <c r="GN1646" s="212"/>
      <c r="GO1646" s="212"/>
      <c r="GP1646" s="212"/>
      <c r="GQ1646" s="212"/>
      <c r="GR1646" s="212"/>
      <c r="GS1646" s="212"/>
      <c r="GT1646" s="212"/>
      <c r="GU1646" s="212"/>
      <c r="GV1646" s="212"/>
      <c r="GW1646" s="212"/>
      <c r="GX1646" s="212"/>
      <c r="GY1646" s="212"/>
      <c r="GZ1646" s="212"/>
      <c r="HA1646" s="211"/>
      <c r="HB1646" s="212"/>
      <c r="HC1646" s="212"/>
      <c r="HD1646" s="212"/>
      <c r="HE1646" s="212"/>
      <c r="HF1646" s="212"/>
      <c r="HG1646" s="212"/>
      <c r="HH1646" s="212"/>
      <c r="HI1646" s="212"/>
      <c r="HJ1646" s="212"/>
      <c r="HK1646" s="212"/>
      <c r="HL1646" s="212"/>
      <c r="HM1646" s="212"/>
      <c r="HN1646" s="212"/>
      <c r="HO1646" s="212"/>
      <c r="HP1646" s="212"/>
      <c r="HQ1646" s="211"/>
      <c r="HR1646" s="212"/>
      <c r="HS1646" s="212"/>
      <c r="HT1646" s="212"/>
      <c r="HU1646" s="212"/>
      <c r="HV1646" s="212"/>
      <c r="HW1646" s="212"/>
      <c r="HX1646" s="212"/>
      <c r="HY1646" s="212"/>
      <c r="HZ1646" s="212"/>
      <c r="IA1646" s="212"/>
      <c r="IB1646" s="212"/>
      <c r="IC1646" s="212"/>
      <c r="ID1646" s="212"/>
      <c r="IE1646" s="212"/>
      <c r="IF1646" s="212"/>
      <c r="IG1646" s="211"/>
      <c r="IH1646" s="212"/>
      <c r="II1646" s="212"/>
      <c r="IJ1646" s="212"/>
      <c r="IK1646" s="212"/>
      <c r="IL1646" s="212"/>
      <c r="IM1646" s="212"/>
      <c r="IN1646" s="212"/>
      <c r="IO1646" s="212"/>
      <c r="IP1646" s="212"/>
      <c r="IQ1646" s="212"/>
      <c r="IR1646" s="212"/>
      <c r="IS1646" s="212"/>
      <c r="IT1646" s="212"/>
      <c r="IU1646" s="212"/>
      <c r="IV1646" s="212"/>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24" t="s">
        <v>880</v>
      </c>
      <c r="B1649" s="225"/>
      <c r="C1649" s="225"/>
      <c r="D1649" s="225"/>
      <c r="E1649" s="225"/>
      <c r="F1649" s="225"/>
      <c r="G1649" s="225"/>
      <c r="H1649" s="225"/>
      <c r="I1649" s="225"/>
      <c r="J1649" s="226"/>
      <c r="K1649" s="27"/>
      <c r="L1649" s="70" t="s">
        <v>664</v>
      </c>
      <c r="M1649" s="67" t="s">
        <v>61</v>
      </c>
      <c r="N1649" s="213">
        <f>ROUND([3]Schedule!$G$1,D2)</f>
        <v>0</v>
      </c>
      <c r="O1649" s="214"/>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218" t="s">
        <v>907</v>
      </c>
      <c r="B1652" s="219"/>
      <c r="C1652" s="219"/>
      <c r="D1652" s="219"/>
      <c r="E1652" s="219"/>
      <c r="F1652" s="219"/>
      <c r="G1652" s="219"/>
      <c r="H1652" s="219"/>
      <c r="I1652" s="219"/>
      <c r="J1652" s="219"/>
      <c r="K1652" s="219"/>
      <c r="L1652" s="219"/>
      <c r="M1652" s="219"/>
      <c r="N1652" s="219"/>
      <c r="O1652" s="219"/>
      <c r="P1652" s="219"/>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218" t="s">
        <v>986</v>
      </c>
      <c r="B1654" s="219"/>
      <c r="C1654" s="219"/>
      <c r="D1654" s="219"/>
      <c r="E1654" s="219"/>
      <c r="F1654" s="219"/>
      <c r="G1654" s="219"/>
      <c r="H1654" s="219"/>
      <c r="I1654" s="219"/>
      <c r="J1654" s="219"/>
      <c r="K1654" s="219"/>
      <c r="L1654" s="219"/>
      <c r="M1654" s="219"/>
      <c r="N1654" s="219"/>
      <c r="O1654" s="219"/>
      <c r="P1654" s="219"/>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24" t="s">
        <v>786</v>
      </c>
      <c r="B1656" s="225"/>
      <c r="C1656" s="225"/>
      <c r="D1656" s="225"/>
      <c r="E1656" s="225"/>
      <c r="F1656" s="225"/>
      <c r="G1656" s="225"/>
      <c r="H1656" s="225"/>
      <c r="I1656" s="225"/>
      <c r="J1656" s="226"/>
      <c r="K1656" s="27"/>
      <c r="L1656" s="70" t="s">
        <v>518</v>
      </c>
      <c r="M1656" s="67" t="s">
        <v>61</v>
      </c>
      <c r="N1656" s="213">
        <v>50000</v>
      </c>
      <c r="O1656" s="214"/>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38" t="s">
        <v>672</v>
      </c>
      <c r="B1659" s="239"/>
      <c r="C1659" s="212"/>
      <c r="D1659" s="212"/>
      <c r="E1659" s="72"/>
      <c r="F1659" s="238"/>
      <c r="G1659" s="238"/>
      <c r="H1659" s="238"/>
      <c r="I1659" s="238"/>
      <c r="J1659" s="238"/>
      <c r="K1659" s="238"/>
      <c r="L1659" s="238"/>
      <c r="M1659" s="238"/>
      <c r="N1659" s="238"/>
      <c r="O1659" s="238"/>
      <c r="P1659" s="238"/>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60" t="s">
        <v>449</v>
      </c>
      <c r="L1662" s="261"/>
      <c r="M1662" s="261"/>
      <c r="N1662" s="261"/>
      <c r="O1662" s="261"/>
      <c r="P1662" s="262"/>
      <c r="Q1662" s="2"/>
    </row>
    <row r="1663" spans="1:17" x14ac:dyDescent="0.25">
      <c r="A1663" s="224" t="s">
        <v>669</v>
      </c>
      <c r="B1663" s="225"/>
      <c r="C1663" s="225"/>
      <c r="D1663" s="225"/>
      <c r="E1663" s="225"/>
      <c r="F1663" s="225"/>
      <c r="G1663" s="225"/>
      <c r="H1663" s="225"/>
      <c r="I1663" s="225"/>
      <c r="J1663" s="226"/>
      <c r="K1663" s="27"/>
      <c r="L1663" s="70" t="s">
        <v>665</v>
      </c>
      <c r="M1663" s="67" t="s">
        <v>61</v>
      </c>
      <c r="N1663" s="213"/>
      <c r="O1663" s="214"/>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52" t="s">
        <v>449</v>
      </c>
      <c r="L1666" s="253"/>
      <c r="M1666" s="253"/>
      <c r="N1666" s="253"/>
      <c r="O1666" s="253"/>
      <c r="P1666" s="254"/>
      <c r="Q1666" s="2"/>
    </row>
    <row r="1667" spans="1:17" x14ac:dyDescent="0.25">
      <c r="A1667" s="221" t="s">
        <v>670</v>
      </c>
      <c r="B1667" s="222"/>
      <c r="C1667" s="222"/>
      <c r="D1667" s="222"/>
      <c r="E1667" s="222"/>
      <c r="F1667" s="222"/>
      <c r="G1667" s="222"/>
      <c r="H1667" s="222"/>
      <c r="I1667" s="222"/>
      <c r="J1667" s="223"/>
      <c r="K1667" s="40"/>
      <c r="L1667" s="70" t="s">
        <v>666</v>
      </c>
      <c r="M1667" s="67" t="s">
        <v>61</v>
      </c>
      <c r="N1667" s="213"/>
      <c r="O1667" s="214"/>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60" t="s">
        <v>449</v>
      </c>
      <c r="L1670" s="261"/>
      <c r="M1670" s="261"/>
      <c r="N1670" s="261"/>
      <c r="O1670" s="261"/>
      <c r="P1670" s="262"/>
      <c r="Q1670" s="2"/>
    </row>
    <row r="1671" spans="1:17" x14ac:dyDescent="0.25">
      <c r="A1671" s="224" t="s">
        <v>908</v>
      </c>
      <c r="B1671" s="225"/>
      <c r="C1671" s="225"/>
      <c r="D1671" s="225"/>
      <c r="E1671" s="225"/>
      <c r="F1671" s="225"/>
      <c r="G1671" s="225"/>
      <c r="H1671" s="225"/>
      <c r="I1671" s="225"/>
      <c r="J1671" s="226"/>
      <c r="K1671" s="27"/>
      <c r="L1671" s="207" t="s">
        <v>667</v>
      </c>
      <c r="M1671" s="186" t="s">
        <v>61</v>
      </c>
      <c r="N1671" s="242">
        <f>SUM(N1663,N1667)</f>
        <v>0</v>
      </c>
      <c r="O1671" s="243"/>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21" t="s">
        <v>671</v>
      </c>
      <c r="B1674" s="222"/>
      <c r="C1674" s="222"/>
      <c r="D1674" s="222"/>
      <c r="E1674" s="222"/>
      <c r="F1674" s="222"/>
      <c r="G1674" s="222"/>
      <c r="H1674" s="222"/>
      <c r="I1674" s="222"/>
      <c r="J1674" s="223"/>
      <c r="K1674" s="40"/>
      <c r="L1674" s="70" t="s">
        <v>668</v>
      </c>
      <c r="M1674" s="67" t="s">
        <v>61</v>
      </c>
      <c r="N1674" s="213">
        <f>ROUND([1]CorporationTax!$F$79,D2)</f>
        <v>0</v>
      </c>
      <c r="O1674" s="214"/>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38" t="s">
        <v>673</v>
      </c>
      <c r="B1677" s="239"/>
      <c r="C1677" s="212"/>
      <c r="D1677" s="212"/>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24" t="s">
        <v>674</v>
      </c>
      <c r="B1680" s="225"/>
      <c r="C1680" s="225"/>
      <c r="D1680" s="225"/>
      <c r="E1680" s="225"/>
      <c r="F1680" s="225"/>
      <c r="G1680" s="225"/>
      <c r="H1680" s="225"/>
      <c r="I1680" s="225"/>
      <c r="J1680" s="226"/>
      <c r="K1680" s="27"/>
      <c r="L1680" s="70" t="s">
        <v>675</v>
      </c>
      <c r="M1680" s="67" t="s">
        <v>61</v>
      </c>
      <c r="N1680" s="213">
        <f>ROUND([1]CorporationTax!$I$79,D2)</f>
        <v>0</v>
      </c>
      <c r="O1680" s="214"/>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38" t="s">
        <v>676</v>
      </c>
      <c r="B1683" s="239"/>
      <c r="C1683" s="212"/>
      <c r="D1683" s="212"/>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24" t="s">
        <v>677</v>
      </c>
      <c r="B1686" s="225"/>
      <c r="C1686" s="225"/>
      <c r="D1686" s="225"/>
      <c r="E1686" s="225"/>
      <c r="F1686" s="225"/>
      <c r="G1686" s="225"/>
      <c r="H1686" s="225"/>
      <c r="I1686" s="225"/>
      <c r="J1686" s="226"/>
      <c r="K1686" s="27"/>
      <c r="L1686" s="70" t="s">
        <v>678</v>
      </c>
      <c r="M1686" s="67" t="s">
        <v>61</v>
      </c>
      <c r="N1686" s="213">
        <f>MAX([1]CorporationTax!$I$18,0)</f>
        <v>0</v>
      </c>
      <c r="O1686" s="214"/>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38" t="s">
        <v>679</v>
      </c>
      <c r="B1689" s="239"/>
      <c r="C1689" s="212"/>
      <c r="D1689" s="212"/>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60" t="s">
        <v>449</v>
      </c>
      <c r="L1692" s="261"/>
      <c r="M1692" s="261"/>
      <c r="N1692" s="261"/>
      <c r="O1692" s="261"/>
      <c r="P1692" s="262"/>
      <c r="Q1692" s="2"/>
    </row>
    <row r="1693" spans="1:17" x14ac:dyDescent="0.25">
      <c r="A1693" s="224" t="s">
        <v>692</v>
      </c>
      <c r="B1693" s="225"/>
      <c r="C1693" s="225"/>
      <c r="D1693" s="225"/>
      <c r="E1693" s="225"/>
      <c r="F1693" s="225"/>
      <c r="G1693" s="225"/>
      <c r="H1693" s="225"/>
      <c r="I1693" s="225"/>
      <c r="J1693" s="226"/>
      <c r="K1693" s="27"/>
      <c r="L1693" s="70" t="s">
        <v>680</v>
      </c>
      <c r="M1693" s="67" t="s">
        <v>61</v>
      </c>
      <c r="N1693" s="213"/>
      <c r="O1693" s="214"/>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52" t="s">
        <v>449</v>
      </c>
      <c r="L1696" s="253"/>
      <c r="M1696" s="253"/>
      <c r="N1696" s="253"/>
      <c r="O1696" s="253"/>
      <c r="P1696" s="254"/>
      <c r="Q1696" s="2"/>
    </row>
    <row r="1697" spans="1:17" x14ac:dyDescent="0.25">
      <c r="A1697" s="221" t="s">
        <v>693</v>
      </c>
      <c r="B1697" s="222"/>
      <c r="C1697" s="222"/>
      <c r="D1697" s="222"/>
      <c r="E1697" s="222"/>
      <c r="F1697" s="222"/>
      <c r="G1697" s="222"/>
      <c r="H1697" s="222"/>
      <c r="I1697" s="222"/>
      <c r="J1697" s="223"/>
      <c r="K1697" s="40"/>
      <c r="L1697" s="70" t="s">
        <v>681</v>
      </c>
      <c r="M1697" s="67" t="s">
        <v>61</v>
      </c>
      <c r="N1697" s="213"/>
      <c r="O1697" s="214"/>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60" t="s">
        <v>449</v>
      </c>
      <c r="L1700" s="261"/>
      <c r="M1700" s="261"/>
      <c r="N1700" s="261"/>
      <c r="O1700" s="261"/>
      <c r="P1700" s="262"/>
      <c r="Q1700" s="2"/>
    </row>
    <row r="1701" spans="1:17" x14ac:dyDescent="0.25">
      <c r="A1701" s="224" t="s">
        <v>691</v>
      </c>
      <c r="B1701" s="225"/>
      <c r="C1701" s="225"/>
      <c r="D1701" s="225"/>
      <c r="E1701" s="225"/>
      <c r="F1701" s="225"/>
      <c r="G1701" s="225"/>
      <c r="H1701" s="225"/>
      <c r="I1701" s="225"/>
      <c r="J1701" s="226"/>
      <c r="K1701" s="27"/>
      <c r="L1701" s="207" t="s">
        <v>682</v>
      </c>
      <c r="M1701" s="197" t="s">
        <v>61</v>
      </c>
      <c r="N1701" s="242">
        <f>SUM(N1693,N1697)</f>
        <v>0</v>
      </c>
      <c r="O1701" s="243"/>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21" t="s">
        <v>694</v>
      </c>
      <c r="B1704" s="222"/>
      <c r="C1704" s="222"/>
      <c r="D1704" s="222"/>
      <c r="E1704" s="222"/>
      <c r="F1704" s="222"/>
      <c r="G1704" s="222"/>
      <c r="H1704" s="222"/>
      <c r="I1704" s="222"/>
      <c r="J1704" s="223"/>
      <c r="K1704" s="40"/>
      <c r="L1704" s="70" t="s">
        <v>683</v>
      </c>
      <c r="M1704" s="67" t="s">
        <v>61</v>
      </c>
      <c r="N1704" s="213">
        <f>MIN(N1656,N1680)</f>
        <v>0</v>
      </c>
      <c r="O1704" s="214"/>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24" t="s">
        <v>695</v>
      </c>
      <c r="B1707" s="225"/>
      <c r="C1707" s="225"/>
      <c r="D1707" s="225"/>
      <c r="E1707" s="225"/>
      <c r="F1707" s="225"/>
      <c r="G1707" s="225"/>
      <c r="H1707" s="225"/>
      <c r="I1707" s="225"/>
      <c r="J1707" s="226"/>
      <c r="K1707" s="27"/>
      <c r="L1707" s="70" t="s">
        <v>684</v>
      </c>
      <c r="M1707" s="67" t="s">
        <v>61</v>
      </c>
      <c r="N1707" s="213">
        <f>ROUND([1]CorporationTax!$I$17,D2)</f>
        <v>0</v>
      </c>
      <c r="O1707" s="214"/>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21" t="s">
        <v>696</v>
      </c>
      <c r="B1710" s="222"/>
      <c r="C1710" s="222"/>
      <c r="D1710" s="222"/>
      <c r="E1710" s="222"/>
      <c r="F1710" s="222"/>
      <c r="G1710" s="222"/>
      <c r="H1710" s="222"/>
      <c r="I1710" s="222"/>
      <c r="J1710" s="223"/>
      <c r="K1710" s="40"/>
      <c r="L1710" s="70" t="s">
        <v>685</v>
      </c>
      <c r="M1710" s="130" t="s">
        <v>61</v>
      </c>
      <c r="N1710" s="240">
        <f>IF([1]CorporationTax!$K$102&lt;0,ROUND([1]CorporationTax!$K$102,D2),0)</f>
        <v>0</v>
      </c>
      <c r="O1710" s="241"/>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44" t="s">
        <v>697</v>
      </c>
      <c r="B1713" s="245"/>
      <c r="C1713" s="245"/>
      <c r="D1713" s="245"/>
      <c r="E1713" s="245"/>
      <c r="F1713" s="245"/>
      <c r="G1713" s="245"/>
      <c r="H1713" s="245"/>
      <c r="I1713" s="245"/>
      <c r="J1713" s="246"/>
      <c r="K1713" s="27"/>
      <c r="L1713" s="70" t="s">
        <v>686</v>
      </c>
      <c r="M1713" s="197" t="s">
        <v>61</v>
      </c>
      <c r="N1713" s="242">
        <f>SUM(N1704,N1707,N1710)</f>
        <v>0</v>
      </c>
      <c r="O1713" s="243"/>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47" t="s">
        <v>881</v>
      </c>
      <c r="B1716" s="248"/>
      <c r="C1716" s="248"/>
      <c r="D1716" s="248"/>
      <c r="E1716" s="248"/>
      <c r="F1716" s="248"/>
      <c r="G1716" s="248"/>
      <c r="H1716" s="248"/>
      <c r="I1716" s="248"/>
      <c r="J1716" s="249"/>
      <c r="K1716" s="40"/>
      <c r="L1716" s="70" t="s">
        <v>687</v>
      </c>
      <c r="M1716" s="67" t="s">
        <v>61</v>
      </c>
      <c r="N1716" s="213">
        <f>N1686</f>
        <v>0</v>
      </c>
      <c r="O1716" s="214"/>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38" t="s">
        <v>689</v>
      </c>
      <c r="B1719" s="239"/>
      <c r="C1719" s="212"/>
      <c r="D1719" s="212"/>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24" t="s">
        <v>690</v>
      </c>
      <c r="B1722" s="225"/>
      <c r="C1722" s="225"/>
      <c r="D1722" s="225"/>
      <c r="E1722" s="225"/>
      <c r="F1722" s="225"/>
      <c r="G1722" s="225"/>
      <c r="H1722" s="225"/>
      <c r="I1722" s="225"/>
      <c r="J1722" s="226"/>
      <c r="K1722" s="27"/>
      <c r="L1722" s="70" t="s">
        <v>688</v>
      </c>
      <c r="M1722" s="197" t="s">
        <v>61</v>
      </c>
      <c r="N1722" s="242">
        <f>N1649+SUM(N1663,N1667,N1671,N1674)-SUM(N1713,N1716)</f>
        <v>0</v>
      </c>
      <c r="O1722" s="243"/>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31" t="s">
        <v>651</v>
      </c>
      <c r="B1726" s="232"/>
      <c r="C1726" s="232"/>
      <c r="D1726" s="232"/>
      <c r="F1726" s="233"/>
      <c r="G1726" s="233"/>
      <c r="H1726" s="233"/>
      <c r="I1726" s="233"/>
      <c r="J1726" s="233"/>
      <c r="K1726" s="233"/>
      <c r="L1726" s="233"/>
      <c r="M1726" s="233"/>
      <c r="N1726" s="233"/>
      <c r="O1726" s="233"/>
      <c r="P1726" s="233"/>
      <c r="Q1726" s="233"/>
    </row>
    <row r="1727" spans="1:17" ht="5.0999999999999996" customHeight="1" x14ac:dyDescent="0.25"/>
    <row r="1728" spans="1:17" x14ac:dyDescent="0.25">
      <c r="A1728" s="234" t="s">
        <v>698</v>
      </c>
      <c r="B1728" s="235"/>
      <c r="C1728" s="235"/>
      <c r="D1728" s="235"/>
      <c r="E1728" s="236"/>
      <c r="F1728" s="236"/>
      <c r="G1728" s="236"/>
      <c r="H1728" s="236"/>
      <c r="I1728" s="236"/>
      <c r="J1728" s="236"/>
      <c r="K1728" s="236"/>
      <c r="L1728" s="236"/>
      <c r="M1728" s="236"/>
      <c r="N1728" s="236"/>
      <c r="O1728" s="236"/>
      <c r="P1728" s="236"/>
      <c r="Q1728" s="237"/>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1" t="s">
        <v>699</v>
      </c>
      <c r="B1730" s="212"/>
      <c r="C1730" s="212"/>
      <c r="D1730" s="212"/>
      <c r="E1730" s="212"/>
      <c r="F1730" s="212"/>
      <c r="G1730" s="212"/>
      <c r="H1730" s="212"/>
      <c r="I1730" s="212"/>
      <c r="J1730" s="212"/>
      <c r="K1730" s="212"/>
      <c r="L1730" s="212"/>
      <c r="M1730" s="212"/>
      <c r="N1730" s="212"/>
      <c r="O1730" s="212"/>
      <c r="P1730" s="212"/>
      <c r="Q1730" s="38"/>
      <c r="R1730" s="51"/>
      <c r="S1730" s="51"/>
      <c r="T1730" s="51"/>
      <c r="U1730" s="51"/>
      <c r="V1730" s="51"/>
      <c r="W1730" s="51"/>
      <c r="X1730" s="51"/>
      <c r="Y1730" s="51"/>
      <c r="Z1730" s="51"/>
      <c r="AA1730" s="51"/>
      <c r="AB1730" s="51"/>
      <c r="AC1730" s="51"/>
      <c r="AD1730" s="51"/>
      <c r="AE1730" s="51"/>
      <c r="AF1730" s="51"/>
      <c r="AG1730" s="211"/>
      <c r="AH1730" s="212"/>
      <c r="AI1730" s="212"/>
      <c r="AJ1730" s="212"/>
      <c r="AK1730" s="212"/>
      <c r="AL1730" s="212"/>
      <c r="AM1730" s="212"/>
      <c r="AN1730" s="212"/>
      <c r="AO1730" s="212"/>
      <c r="AP1730" s="212"/>
      <c r="AQ1730" s="212"/>
      <c r="AR1730" s="212"/>
      <c r="AS1730" s="212"/>
      <c r="AT1730" s="212"/>
      <c r="AU1730" s="212"/>
      <c r="AV1730" s="212"/>
      <c r="AW1730" s="211"/>
      <c r="AX1730" s="212"/>
      <c r="AY1730" s="212"/>
      <c r="AZ1730" s="212"/>
      <c r="BA1730" s="212"/>
      <c r="BB1730" s="212"/>
      <c r="BC1730" s="212"/>
      <c r="BD1730" s="212"/>
      <c r="BE1730" s="212"/>
      <c r="BF1730" s="212"/>
      <c r="BG1730" s="212"/>
      <c r="BH1730" s="212"/>
      <c r="BI1730" s="212"/>
      <c r="BJ1730" s="212"/>
      <c r="BK1730" s="212"/>
      <c r="BL1730" s="212"/>
      <c r="BM1730" s="211"/>
      <c r="BN1730" s="212"/>
      <c r="BO1730" s="212"/>
      <c r="BP1730" s="212"/>
      <c r="BQ1730" s="212"/>
      <c r="BR1730" s="212"/>
      <c r="BS1730" s="212"/>
      <c r="BT1730" s="212"/>
      <c r="BU1730" s="212"/>
      <c r="BV1730" s="212"/>
      <c r="BW1730" s="212"/>
      <c r="BX1730" s="212"/>
      <c r="BY1730" s="212"/>
      <c r="BZ1730" s="212"/>
      <c r="CA1730" s="212"/>
      <c r="CB1730" s="212"/>
      <c r="CC1730" s="211"/>
      <c r="CD1730" s="212"/>
      <c r="CE1730" s="212"/>
      <c r="CF1730" s="212"/>
      <c r="CG1730" s="212"/>
      <c r="CH1730" s="212"/>
      <c r="CI1730" s="212"/>
      <c r="CJ1730" s="212"/>
      <c r="CK1730" s="212"/>
      <c r="CL1730" s="212"/>
      <c r="CM1730" s="212"/>
      <c r="CN1730" s="212"/>
      <c r="CO1730" s="212"/>
      <c r="CP1730" s="212"/>
      <c r="CQ1730" s="212"/>
      <c r="CR1730" s="212"/>
      <c r="CS1730" s="211"/>
      <c r="CT1730" s="212"/>
      <c r="CU1730" s="212"/>
      <c r="CV1730" s="212"/>
      <c r="CW1730" s="212"/>
      <c r="CX1730" s="212"/>
      <c r="CY1730" s="212"/>
      <c r="CZ1730" s="212"/>
      <c r="DA1730" s="212"/>
      <c r="DB1730" s="212"/>
      <c r="DC1730" s="212"/>
      <c r="DD1730" s="212"/>
      <c r="DE1730" s="212"/>
      <c r="DF1730" s="212"/>
      <c r="DG1730" s="212"/>
      <c r="DH1730" s="212"/>
      <c r="DI1730" s="211"/>
      <c r="DJ1730" s="212"/>
      <c r="DK1730" s="212"/>
      <c r="DL1730" s="212"/>
      <c r="DM1730" s="212"/>
      <c r="DN1730" s="212"/>
      <c r="DO1730" s="212"/>
      <c r="DP1730" s="212"/>
      <c r="DQ1730" s="212"/>
      <c r="DR1730" s="212"/>
      <c r="DS1730" s="212"/>
      <c r="DT1730" s="212"/>
      <c r="DU1730" s="212"/>
      <c r="DV1730" s="212"/>
      <c r="DW1730" s="212"/>
      <c r="DX1730" s="212"/>
      <c r="DY1730" s="211"/>
      <c r="DZ1730" s="212"/>
      <c r="EA1730" s="212"/>
      <c r="EB1730" s="212"/>
      <c r="EC1730" s="212"/>
      <c r="ED1730" s="212"/>
      <c r="EE1730" s="212"/>
      <c r="EF1730" s="212"/>
      <c r="EG1730" s="212"/>
      <c r="EH1730" s="212"/>
      <c r="EI1730" s="212"/>
      <c r="EJ1730" s="212"/>
      <c r="EK1730" s="212"/>
      <c r="EL1730" s="212"/>
      <c r="EM1730" s="212"/>
      <c r="EN1730" s="212"/>
      <c r="EO1730" s="211"/>
      <c r="EP1730" s="212"/>
      <c r="EQ1730" s="212"/>
      <c r="ER1730" s="212"/>
      <c r="ES1730" s="212"/>
      <c r="ET1730" s="212"/>
      <c r="EU1730" s="212"/>
      <c r="EV1730" s="212"/>
      <c r="EW1730" s="212"/>
      <c r="EX1730" s="212"/>
      <c r="EY1730" s="212"/>
      <c r="EZ1730" s="212"/>
      <c r="FA1730" s="212"/>
      <c r="FB1730" s="212"/>
      <c r="FC1730" s="212"/>
      <c r="FD1730" s="212"/>
      <c r="FE1730" s="211"/>
      <c r="FF1730" s="212"/>
      <c r="FG1730" s="212"/>
      <c r="FH1730" s="212"/>
      <c r="FI1730" s="212"/>
      <c r="FJ1730" s="212"/>
      <c r="FK1730" s="212"/>
      <c r="FL1730" s="212"/>
      <c r="FM1730" s="212"/>
      <c r="FN1730" s="212"/>
      <c r="FO1730" s="212"/>
      <c r="FP1730" s="212"/>
      <c r="FQ1730" s="212"/>
      <c r="FR1730" s="212"/>
      <c r="FS1730" s="212"/>
      <c r="FT1730" s="212"/>
      <c r="FU1730" s="211"/>
      <c r="FV1730" s="212"/>
      <c r="FW1730" s="212"/>
      <c r="FX1730" s="212"/>
      <c r="FY1730" s="212"/>
      <c r="FZ1730" s="212"/>
      <c r="GA1730" s="212"/>
      <c r="GB1730" s="212"/>
      <c r="GC1730" s="212"/>
      <c r="GD1730" s="212"/>
      <c r="GE1730" s="212"/>
      <c r="GF1730" s="212"/>
      <c r="GG1730" s="212"/>
      <c r="GH1730" s="212"/>
      <c r="GI1730" s="212"/>
      <c r="GJ1730" s="212"/>
      <c r="GK1730" s="211"/>
      <c r="GL1730" s="212"/>
      <c r="GM1730" s="212"/>
      <c r="GN1730" s="212"/>
      <c r="GO1730" s="212"/>
      <c r="GP1730" s="212"/>
      <c r="GQ1730" s="212"/>
      <c r="GR1730" s="212"/>
      <c r="GS1730" s="212"/>
      <c r="GT1730" s="212"/>
      <c r="GU1730" s="212"/>
      <c r="GV1730" s="212"/>
      <c r="GW1730" s="212"/>
      <c r="GX1730" s="212"/>
      <c r="GY1730" s="212"/>
      <c r="GZ1730" s="212"/>
      <c r="HA1730" s="211"/>
      <c r="HB1730" s="212"/>
      <c r="HC1730" s="212"/>
      <c r="HD1730" s="212"/>
      <c r="HE1730" s="212"/>
      <c r="HF1730" s="212"/>
      <c r="HG1730" s="212"/>
      <c r="HH1730" s="212"/>
      <c r="HI1730" s="212"/>
      <c r="HJ1730" s="212"/>
      <c r="HK1730" s="212"/>
      <c r="HL1730" s="212"/>
      <c r="HM1730" s="212"/>
      <c r="HN1730" s="212"/>
      <c r="HO1730" s="212"/>
      <c r="HP1730" s="212"/>
      <c r="HQ1730" s="211"/>
      <c r="HR1730" s="212"/>
      <c r="HS1730" s="212"/>
      <c r="HT1730" s="212"/>
      <c r="HU1730" s="212"/>
      <c r="HV1730" s="212"/>
      <c r="HW1730" s="212"/>
      <c r="HX1730" s="212"/>
      <c r="HY1730" s="212"/>
      <c r="HZ1730" s="212"/>
      <c r="IA1730" s="212"/>
      <c r="IB1730" s="212"/>
      <c r="IC1730" s="212"/>
      <c r="ID1730" s="212"/>
      <c r="IE1730" s="212"/>
      <c r="IF1730" s="212"/>
      <c r="IG1730" s="211"/>
      <c r="IH1730" s="212"/>
      <c r="II1730" s="212"/>
      <c r="IJ1730" s="212"/>
      <c r="IK1730" s="212"/>
      <c r="IL1730" s="212"/>
      <c r="IM1730" s="212"/>
      <c r="IN1730" s="212"/>
      <c r="IO1730" s="212"/>
      <c r="IP1730" s="212"/>
      <c r="IQ1730" s="212"/>
      <c r="IR1730" s="212"/>
      <c r="IS1730" s="212"/>
      <c r="IT1730" s="212"/>
      <c r="IU1730" s="212"/>
      <c r="IV1730" s="212"/>
    </row>
    <row r="1731" spans="1:256" x14ac:dyDescent="0.25">
      <c r="Q1731" s="38"/>
    </row>
    <row r="1732" spans="1:256" x14ac:dyDescent="0.25">
      <c r="A1732" s="238" t="s">
        <v>700</v>
      </c>
      <c r="B1732" s="239"/>
      <c r="C1732" s="212"/>
      <c r="D1732" s="212"/>
      <c r="E1732" s="72"/>
      <c r="F1732" s="238"/>
      <c r="G1732" s="238"/>
      <c r="H1732" s="238"/>
      <c r="I1732" s="238"/>
      <c r="J1732" s="238"/>
      <c r="K1732" s="238"/>
      <c r="L1732" s="238"/>
      <c r="M1732" s="238"/>
      <c r="N1732" s="238"/>
      <c r="O1732" s="238"/>
      <c r="P1732" s="238"/>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24" t="s">
        <v>714</v>
      </c>
      <c r="B1735" s="225"/>
      <c r="C1735" s="225"/>
      <c r="D1735" s="225"/>
      <c r="E1735" s="225"/>
      <c r="F1735" s="225"/>
      <c r="G1735" s="225"/>
      <c r="H1735" s="225"/>
      <c r="I1735" s="225"/>
      <c r="J1735" s="226"/>
      <c r="K1735" s="27"/>
      <c r="L1735" s="70" t="s">
        <v>707</v>
      </c>
      <c r="M1735" s="186" t="s">
        <v>61</v>
      </c>
      <c r="N1735" s="242">
        <f>N1713</f>
        <v>0</v>
      </c>
      <c r="O1735" s="243"/>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21" t="s">
        <v>701</v>
      </c>
      <c r="B1738" s="222"/>
      <c r="C1738" s="222"/>
      <c r="D1738" s="222"/>
      <c r="E1738" s="222"/>
      <c r="F1738" s="222"/>
      <c r="G1738" s="222"/>
      <c r="H1738" s="222"/>
      <c r="I1738" s="222"/>
      <c r="J1738" s="223"/>
      <c r="K1738" s="40"/>
      <c r="L1738" s="70" t="s">
        <v>708</v>
      </c>
      <c r="M1738" s="107" t="s">
        <v>61</v>
      </c>
      <c r="N1738" s="240">
        <f>ROUND([1]CorporationTax!$I$16,D2)</f>
        <v>0</v>
      </c>
      <c r="O1738" s="241"/>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24" t="s">
        <v>702</v>
      </c>
      <c r="B1741" s="225"/>
      <c r="C1741" s="225"/>
      <c r="D1741" s="225"/>
      <c r="E1741" s="225"/>
      <c r="F1741" s="225"/>
      <c r="G1741" s="225"/>
      <c r="H1741" s="225"/>
      <c r="I1741" s="225"/>
      <c r="J1741" s="226"/>
      <c r="K1741" s="27"/>
      <c r="L1741" s="70" t="s">
        <v>709</v>
      </c>
      <c r="M1741" s="186" t="s">
        <v>61</v>
      </c>
      <c r="N1741" s="242">
        <f>SUM(N1735,N1738)</f>
        <v>0</v>
      </c>
      <c r="O1741" s="243"/>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38" t="s">
        <v>703</v>
      </c>
      <c r="B1744" s="239"/>
      <c r="C1744" s="212"/>
      <c r="D1744" s="212"/>
      <c r="E1744" s="72"/>
      <c r="F1744" s="238"/>
      <c r="G1744" s="238"/>
      <c r="H1744" s="238"/>
      <c r="I1744" s="238"/>
      <c r="J1744" s="238"/>
      <c r="K1744" s="238"/>
      <c r="L1744" s="238"/>
      <c r="M1744" s="238"/>
      <c r="N1744" s="238"/>
      <c r="O1744" s="238"/>
      <c r="P1744" s="238"/>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24" t="s">
        <v>714</v>
      </c>
      <c r="B1747" s="225"/>
      <c r="C1747" s="225"/>
      <c r="D1747" s="225"/>
      <c r="E1747" s="225"/>
      <c r="F1747" s="225"/>
      <c r="G1747" s="225"/>
      <c r="H1747" s="225"/>
      <c r="I1747" s="225"/>
      <c r="J1747" s="226"/>
      <c r="K1747" s="27"/>
      <c r="L1747" s="70" t="s">
        <v>710</v>
      </c>
      <c r="M1747" s="186" t="s">
        <v>61</v>
      </c>
      <c r="N1747" s="242">
        <f>N1716</f>
        <v>0</v>
      </c>
      <c r="O1747" s="243"/>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250" t="s">
        <v>909</v>
      </c>
      <c r="B1750" s="251"/>
      <c r="C1750" s="251"/>
      <c r="D1750" s="251"/>
      <c r="E1750" s="251"/>
      <c r="F1750" s="251"/>
      <c r="G1750" s="251"/>
      <c r="H1750" s="251"/>
      <c r="I1750" s="251"/>
      <c r="J1750" s="251"/>
      <c r="K1750" s="251"/>
      <c r="L1750" s="251"/>
      <c r="M1750" s="251"/>
      <c r="N1750" s="251"/>
      <c r="O1750" s="251"/>
      <c r="P1750" s="281"/>
      <c r="Q1750" s="2"/>
    </row>
    <row r="1751" spans="1:17" x14ac:dyDescent="0.25">
      <c r="A1751" s="221" t="s">
        <v>701</v>
      </c>
      <c r="B1751" s="222"/>
      <c r="C1751" s="222"/>
      <c r="D1751" s="222"/>
      <c r="E1751" s="222"/>
      <c r="F1751" s="222"/>
      <c r="G1751" s="222"/>
      <c r="H1751" s="222"/>
      <c r="I1751" s="222"/>
      <c r="J1751" s="223"/>
      <c r="K1751" s="40"/>
      <c r="L1751" s="70" t="s">
        <v>711</v>
      </c>
      <c r="M1751" s="107" t="s">
        <v>61</v>
      </c>
      <c r="N1751" s="240">
        <f>IF([1]CorporationTax!$K$102&gt;0,ROUND([1]CorporationTax!$K$102,D2),0)</f>
        <v>0</v>
      </c>
      <c r="O1751" s="241"/>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24" t="s">
        <v>704</v>
      </c>
      <c r="B1754" s="225"/>
      <c r="C1754" s="225"/>
      <c r="D1754" s="225"/>
      <c r="E1754" s="225"/>
      <c r="F1754" s="225"/>
      <c r="G1754" s="225"/>
      <c r="H1754" s="225"/>
      <c r="I1754" s="225"/>
      <c r="J1754" s="226"/>
      <c r="K1754" s="27"/>
      <c r="L1754" s="70" t="s">
        <v>712</v>
      </c>
      <c r="M1754" s="186" t="s">
        <v>61</v>
      </c>
      <c r="N1754" s="242">
        <f>SUM(N1747,N1751)</f>
        <v>0</v>
      </c>
      <c r="O1754" s="243"/>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38" t="s">
        <v>705</v>
      </c>
      <c r="B1757" s="239"/>
      <c r="C1757" s="212"/>
      <c r="D1757" s="212"/>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24" t="s">
        <v>706</v>
      </c>
      <c r="B1760" s="225"/>
      <c r="C1760" s="225"/>
      <c r="D1760" s="225"/>
      <c r="E1760" s="225"/>
      <c r="F1760" s="225"/>
      <c r="G1760" s="225"/>
      <c r="H1760" s="225"/>
      <c r="I1760" s="225"/>
      <c r="J1760" s="226"/>
      <c r="K1760" s="27"/>
      <c r="L1760" s="70" t="s">
        <v>713</v>
      </c>
      <c r="M1760" s="186" t="s">
        <v>61</v>
      </c>
      <c r="N1760" s="242">
        <f>N1741-N1754</f>
        <v>0</v>
      </c>
      <c r="O1760" s="243"/>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31" t="s">
        <v>651</v>
      </c>
      <c r="B1764" s="232"/>
      <c r="C1764" s="232"/>
      <c r="D1764" s="232"/>
      <c r="F1764" s="233"/>
      <c r="G1764" s="233"/>
      <c r="H1764" s="233"/>
      <c r="I1764" s="233"/>
      <c r="J1764" s="233"/>
      <c r="K1764" s="233"/>
      <c r="L1764" s="233"/>
      <c r="M1764" s="233"/>
      <c r="N1764" s="233"/>
      <c r="O1764" s="233"/>
      <c r="P1764" s="233"/>
      <c r="Q1764" s="233"/>
    </row>
    <row r="1765" spans="1:17" ht="5.0999999999999996" customHeight="1" x14ac:dyDescent="0.25"/>
    <row r="1766" spans="1:17" x14ac:dyDescent="0.25">
      <c r="A1766" s="234" t="s">
        <v>617</v>
      </c>
      <c r="B1766" s="235"/>
      <c r="C1766" s="235"/>
      <c r="D1766" s="235"/>
      <c r="E1766" s="236"/>
      <c r="F1766" s="236"/>
      <c r="G1766" s="236"/>
      <c r="H1766" s="236"/>
      <c r="I1766" s="236"/>
      <c r="J1766" s="236"/>
      <c r="K1766" s="236"/>
      <c r="L1766" s="236"/>
      <c r="M1766" s="236"/>
      <c r="N1766" s="236"/>
      <c r="O1766" s="236"/>
      <c r="P1766" s="236"/>
      <c r="Q1766" s="237"/>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1" t="s">
        <v>715</v>
      </c>
      <c r="B1768" s="212"/>
      <c r="C1768" s="212"/>
      <c r="D1768" s="212"/>
      <c r="E1768" s="212"/>
      <c r="F1768" s="212"/>
      <c r="G1768" s="212"/>
      <c r="H1768" s="212"/>
      <c r="I1768" s="212"/>
      <c r="J1768" s="212"/>
      <c r="K1768" s="212"/>
      <c r="L1768" s="212"/>
      <c r="M1768" s="212"/>
      <c r="N1768" s="212"/>
      <c r="O1768" s="212"/>
      <c r="P1768" s="212"/>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38" t="s">
        <v>619</v>
      </c>
      <c r="B1770" s="239"/>
      <c r="C1770" s="212"/>
      <c r="D1770" s="212"/>
      <c r="E1770" s="72"/>
      <c r="F1770" s="238"/>
      <c r="G1770" s="238"/>
      <c r="H1770" s="238"/>
      <c r="I1770" s="238"/>
      <c r="J1770" s="238"/>
      <c r="K1770" s="238"/>
      <c r="L1770" s="238"/>
      <c r="M1770" s="238"/>
      <c r="N1770" s="238"/>
      <c r="O1770" s="238"/>
      <c r="P1770" s="238"/>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79" t="s">
        <v>620</v>
      </c>
      <c r="B1773" s="280"/>
      <c r="C1773" s="280"/>
      <c r="D1773" s="280"/>
      <c r="E1773" s="280"/>
      <c r="F1773" s="280"/>
      <c r="G1773" s="280"/>
      <c r="H1773" s="280"/>
      <c r="I1773" s="280"/>
      <c r="J1773" s="26"/>
      <c r="K1773" s="27"/>
      <c r="L1773" s="70" t="s">
        <v>716</v>
      </c>
      <c r="M1773" s="186" t="s">
        <v>61</v>
      </c>
      <c r="N1773" s="242">
        <f>N1441</f>
        <v>0</v>
      </c>
      <c r="O1773" s="243"/>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1"/>
      <c r="B1775" s="212"/>
      <c r="C1775" s="212"/>
      <c r="D1775" s="212"/>
      <c r="E1775" s="212"/>
      <c r="F1775" s="212"/>
      <c r="G1775" s="212"/>
      <c r="H1775" s="212"/>
      <c r="I1775" s="212"/>
      <c r="J1775" s="212"/>
      <c r="K1775" s="212"/>
      <c r="L1775" s="212"/>
      <c r="M1775" s="212"/>
      <c r="N1775" s="212"/>
      <c r="O1775" s="212"/>
      <c r="P1775" s="212"/>
      <c r="Q1775" s="38"/>
    </row>
    <row r="1776" spans="1:17" x14ac:dyDescent="0.25">
      <c r="A1776" s="238" t="s">
        <v>622</v>
      </c>
      <c r="B1776" s="239"/>
      <c r="C1776" s="212"/>
      <c r="D1776" s="212"/>
      <c r="E1776" s="72"/>
      <c r="F1776" s="238"/>
      <c r="G1776" s="238"/>
      <c r="H1776" s="238"/>
      <c r="I1776" s="238"/>
      <c r="J1776" s="238"/>
      <c r="K1776" s="238"/>
      <c r="L1776" s="238"/>
      <c r="M1776" s="238"/>
      <c r="N1776" s="238"/>
      <c r="O1776" s="238"/>
      <c r="P1776" s="238"/>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1" t="s">
        <v>717</v>
      </c>
      <c r="B1778" s="212"/>
      <c r="C1778" s="212"/>
      <c r="D1778" s="212"/>
      <c r="E1778" s="212"/>
      <c r="F1778" s="212"/>
      <c r="G1778" s="212"/>
      <c r="H1778" s="212"/>
      <c r="I1778" s="212"/>
      <c r="J1778" s="212"/>
      <c r="K1778" s="212"/>
      <c r="L1778" s="212"/>
      <c r="M1778" s="212"/>
      <c r="N1778" s="212"/>
      <c r="O1778" s="212"/>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24" t="s">
        <v>596</v>
      </c>
      <c r="B1781" s="225"/>
      <c r="C1781" s="225"/>
      <c r="D1781" s="225"/>
      <c r="E1781" s="225"/>
      <c r="F1781" s="225"/>
      <c r="G1781" s="225"/>
      <c r="H1781" s="225"/>
      <c r="I1781" s="225"/>
      <c r="J1781" s="226"/>
      <c r="K1781" s="27"/>
      <c r="L1781" s="70" t="s">
        <v>719</v>
      </c>
      <c r="M1781" s="186" t="s">
        <v>61</v>
      </c>
      <c r="N1781" s="242">
        <f>N1449</f>
        <v>0</v>
      </c>
      <c r="O1781" s="243"/>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21" t="s">
        <v>640</v>
      </c>
      <c r="B1784" s="222"/>
      <c r="C1784" s="222"/>
      <c r="D1784" s="222"/>
      <c r="E1784" s="222"/>
      <c r="F1784" s="222"/>
      <c r="G1784" s="222"/>
      <c r="H1784" s="222"/>
      <c r="I1784" s="222"/>
      <c r="J1784" s="223"/>
      <c r="K1784" s="40"/>
      <c r="L1784" s="70" t="s">
        <v>720</v>
      </c>
      <c r="M1784" s="107" t="s">
        <v>61</v>
      </c>
      <c r="N1784" s="240">
        <f>N1453</f>
        <v>0</v>
      </c>
      <c r="O1784" s="241"/>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24" t="s">
        <v>597</v>
      </c>
      <c r="B1787" s="225"/>
      <c r="C1787" s="225"/>
      <c r="D1787" s="225"/>
      <c r="E1787" s="225"/>
      <c r="F1787" s="225"/>
      <c r="G1787" s="225"/>
      <c r="H1787" s="225"/>
      <c r="I1787" s="225"/>
      <c r="J1787" s="226"/>
      <c r="K1787" s="27"/>
      <c r="L1787" s="70" t="s">
        <v>721</v>
      </c>
      <c r="M1787" s="186" t="s">
        <v>61</v>
      </c>
      <c r="N1787" s="242">
        <f>N1457</f>
        <v>0</v>
      </c>
      <c r="O1787" s="243"/>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21" t="s">
        <v>641</v>
      </c>
      <c r="B1790" s="222"/>
      <c r="C1790" s="222"/>
      <c r="D1790" s="222"/>
      <c r="E1790" s="222"/>
      <c r="F1790" s="222"/>
      <c r="G1790" s="222"/>
      <c r="H1790" s="222"/>
      <c r="I1790" s="222"/>
      <c r="J1790" s="223"/>
      <c r="K1790" s="40"/>
      <c r="L1790" s="70" t="s">
        <v>722</v>
      </c>
      <c r="M1790" s="107" t="s">
        <v>61</v>
      </c>
      <c r="N1790" s="240">
        <f>N1461</f>
        <v>0</v>
      </c>
      <c r="O1790" s="241"/>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24" t="s">
        <v>642</v>
      </c>
      <c r="B1793" s="225"/>
      <c r="C1793" s="225"/>
      <c r="D1793" s="225"/>
      <c r="E1793" s="225"/>
      <c r="F1793" s="225"/>
      <c r="G1793" s="225"/>
      <c r="H1793" s="225"/>
      <c r="I1793" s="225"/>
      <c r="J1793" s="226"/>
      <c r="K1793" s="27"/>
      <c r="L1793" s="70" t="s">
        <v>726</v>
      </c>
      <c r="M1793" s="186" t="s">
        <v>61</v>
      </c>
      <c r="N1793" s="242">
        <f>N1464</f>
        <v>0</v>
      </c>
      <c r="O1793" s="243"/>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21" t="s">
        <v>643</v>
      </c>
      <c r="B1796" s="222"/>
      <c r="C1796" s="222"/>
      <c r="D1796" s="222"/>
      <c r="E1796" s="222"/>
      <c r="F1796" s="222"/>
      <c r="G1796" s="222"/>
      <c r="H1796" s="222"/>
      <c r="I1796" s="222"/>
      <c r="J1796" s="223"/>
      <c r="K1796" s="40"/>
      <c r="L1796" s="70" t="s">
        <v>723</v>
      </c>
      <c r="M1796" s="107" t="s">
        <v>61</v>
      </c>
      <c r="N1796" s="240">
        <f>N1468</f>
        <v>0</v>
      </c>
      <c r="O1796" s="241"/>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24" t="s">
        <v>644</v>
      </c>
      <c r="B1799" s="225"/>
      <c r="C1799" s="225"/>
      <c r="D1799" s="225"/>
      <c r="E1799" s="225"/>
      <c r="F1799" s="225"/>
      <c r="G1799" s="225"/>
      <c r="H1799" s="225"/>
      <c r="I1799" s="225"/>
      <c r="J1799" s="226"/>
      <c r="K1799" s="27"/>
      <c r="L1799" s="70" t="s">
        <v>724</v>
      </c>
      <c r="M1799" s="186" t="s">
        <v>61</v>
      </c>
      <c r="N1799" s="242">
        <f>N1472</f>
        <v>0</v>
      </c>
      <c r="O1799" s="243"/>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19"/>
      <c r="M1801" s="219"/>
      <c r="N1801" s="219"/>
      <c r="O1801" s="219"/>
      <c r="P1801" s="30"/>
      <c r="Q1801" s="2"/>
    </row>
    <row r="1802" spans="1:17" x14ac:dyDescent="0.25">
      <c r="A1802" s="221" t="s">
        <v>718</v>
      </c>
      <c r="B1802" s="222"/>
      <c r="C1802" s="222"/>
      <c r="D1802" s="222"/>
      <c r="E1802" s="222"/>
      <c r="F1802" s="222"/>
      <c r="G1802" s="222"/>
      <c r="H1802" s="222"/>
      <c r="I1802" s="222"/>
      <c r="J1802" s="223"/>
      <c r="K1802" s="40"/>
      <c r="L1802" s="70" t="s">
        <v>725</v>
      </c>
      <c r="M1802" s="107" t="s">
        <v>61</v>
      </c>
      <c r="N1802" s="240">
        <f>N1754</f>
        <v>0</v>
      </c>
      <c r="O1802" s="241"/>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79" t="s">
        <v>625</v>
      </c>
      <c r="B1805" s="280"/>
      <c r="C1805" s="280"/>
      <c r="D1805" s="280"/>
      <c r="E1805" s="280"/>
      <c r="F1805" s="280"/>
      <c r="G1805" s="280"/>
      <c r="H1805" s="280"/>
      <c r="I1805" s="280"/>
      <c r="J1805" s="26"/>
      <c r="K1805" s="27"/>
      <c r="L1805" s="70" t="s">
        <v>727</v>
      </c>
      <c r="M1805" s="186" t="s">
        <v>61</v>
      </c>
      <c r="N1805" s="242">
        <f>SUM(N1781,N1784,N1787,N1790,N1793,N1796,N1799,N1802)</f>
        <v>0</v>
      </c>
      <c r="O1805" s="243"/>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38" t="s">
        <v>626</v>
      </c>
      <c r="B1808" s="239"/>
      <c r="C1808" s="212"/>
      <c r="D1808" s="212"/>
      <c r="E1808" s="72"/>
      <c r="F1808" s="238"/>
      <c r="G1808" s="238"/>
      <c r="H1808" s="238"/>
      <c r="I1808" s="238"/>
      <c r="J1808" s="238"/>
      <c r="K1808" s="238"/>
      <c r="L1808" s="238"/>
      <c r="M1808" s="238"/>
      <c r="N1808" s="238"/>
      <c r="O1808" s="238"/>
      <c r="P1808" s="238"/>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1" t="s">
        <v>739</v>
      </c>
      <c r="B1810" s="212"/>
      <c r="C1810" s="212"/>
      <c r="D1810" s="212"/>
      <c r="E1810" s="212"/>
      <c r="F1810" s="212"/>
      <c r="G1810" s="212"/>
      <c r="H1810" s="212"/>
      <c r="I1810" s="212"/>
      <c r="J1810" s="212"/>
      <c r="K1810" s="212"/>
      <c r="L1810" s="212"/>
      <c r="M1810" s="212"/>
      <c r="N1810" s="212"/>
      <c r="O1810" s="212"/>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24" t="s">
        <v>645</v>
      </c>
      <c r="B1813" s="225"/>
      <c r="C1813" s="225"/>
      <c r="D1813" s="225"/>
      <c r="E1813" s="225"/>
      <c r="F1813" s="225"/>
      <c r="G1813" s="225"/>
      <c r="H1813" s="225"/>
      <c r="I1813" s="225"/>
      <c r="J1813" s="226"/>
      <c r="K1813" s="27"/>
      <c r="L1813" s="70" t="s">
        <v>729</v>
      </c>
      <c r="M1813" s="186" t="s">
        <v>61</v>
      </c>
      <c r="N1813" s="242">
        <f>N1484</f>
        <v>0</v>
      </c>
      <c r="O1813" s="243"/>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21" t="s">
        <v>646</v>
      </c>
      <c r="B1816" s="222"/>
      <c r="C1816" s="222"/>
      <c r="D1816" s="222"/>
      <c r="E1816" s="222"/>
      <c r="F1816" s="222"/>
      <c r="G1816" s="222"/>
      <c r="H1816" s="222"/>
      <c r="I1816" s="222"/>
      <c r="J1816" s="223"/>
      <c r="K1816" s="40"/>
      <c r="L1816" s="70" t="s">
        <v>731</v>
      </c>
      <c r="M1816" s="107" t="s">
        <v>61</v>
      </c>
      <c r="N1816" s="240">
        <f>N1488</f>
        <v>0</v>
      </c>
      <c r="O1816" s="241"/>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24" t="s">
        <v>647</v>
      </c>
      <c r="B1819" s="225"/>
      <c r="C1819" s="225"/>
      <c r="D1819" s="225"/>
      <c r="E1819" s="225"/>
      <c r="F1819" s="225"/>
      <c r="G1819" s="225"/>
      <c r="H1819" s="225"/>
      <c r="I1819" s="225"/>
      <c r="J1819" s="226"/>
      <c r="K1819" s="27"/>
      <c r="L1819" s="70" t="s">
        <v>730</v>
      </c>
      <c r="M1819" s="186" t="s">
        <v>61</v>
      </c>
      <c r="N1819" s="242">
        <f>N1491</f>
        <v>0</v>
      </c>
      <c r="O1819" s="243"/>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21" t="s">
        <v>728</v>
      </c>
      <c r="B1822" s="222"/>
      <c r="C1822" s="222"/>
      <c r="D1822" s="222"/>
      <c r="E1822" s="222"/>
      <c r="F1822" s="222"/>
      <c r="G1822" s="222"/>
      <c r="H1822" s="222"/>
      <c r="I1822" s="222"/>
      <c r="J1822" s="223"/>
      <c r="K1822" s="40"/>
      <c r="L1822" s="70" t="s">
        <v>732</v>
      </c>
      <c r="M1822" s="107" t="s">
        <v>61</v>
      </c>
      <c r="N1822" s="240">
        <f>N1741</f>
        <v>0</v>
      </c>
      <c r="O1822" s="241"/>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79" t="s">
        <v>625</v>
      </c>
      <c r="B1825" s="280"/>
      <c r="C1825" s="280"/>
      <c r="D1825" s="280"/>
      <c r="E1825" s="280"/>
      <c r="F1825" s="280"/>
      <c r="G1825" s="280"/>
      <c r="H1825" s="280"/>
      <c r="I1825" s="280"/>
      <c r="J1825" s="26"/>
      <c r="K1825" s="27"/>
      <c r="L1825" s="70" t="s">
        <v>733</v>
      </c>
      <c r="M1825" s="186" t="s">
        <v>61</v>
      </c>
      <c r="N1825" s="242">
        <f>SUM(N1813,N1816,N1819,N1822)</f>
        <v>0</v>
      </c>
      <c r="O1825" s="243"/>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38" t="s">
        <v>738</v>
      </c>
      <c r="B1828" s="239"/>
      <c r="C1828" s="212"/>
      <c r="D1828" s="212"/>
      <c r="E1828" s="72"/>
      <c r="F1828" s="238"/>
      <c r="G1828" s="238"/>
      <c r="H1828" s="238"/>
      <c r="I1828" s="238"/>
      <c r="J1828" s="238"/>
      <c r="K1828" s="238"/>
      <c r="L1828" s="238"/>
      <c r="M1828" s="238"/>
      <c r="N1828" s="238"/>
      <c r="O1828" s="238"/>
      <c r="P1828" s="238"/>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79" t="s">
        <v>734</v>
      </c>
      <c r="B1831" s="280"/>
      <c r="C1831" s="280"/>
      <c r="D1831" s="280"/>
      <c r="E1831" s="280"/>
      <c r="F1831" s="280"/>
      <c r="G1831" s="280"/>
      <c r="H1831" s="280"/>
      <c r="I1831" s="280"/>
      <c r="J1831" s="26"/>
      <c r="K1831" s="27"/>
      <c r="L1831" s="70" t="s">
        <v>737</v>
      </c>
      <c r="M1831" s="186" t="s">
        <v>61</v>
      </c>
      <c r="N1831" s="242">
        <f>IF(N1773+N1805-N1825&gt;=0,N1773+N1805-N1825,0)</f>
        <v>0</v>
      </c>
      <c r="O1831" s="243"/>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79" t="s">
        <v>735</v>
      </c>
      <c r="B1834" s="280"/>
      <c r="C1834" s="280"/>
      <c r="D1834" s="280"/>
      <c r="E1834" s="280"/>
      <c r="F1834" s="280"/>
      <c r="G1834" s="280"/>
      <c r="H1834" s="280"/>
      <c r="I1834" s="280"/>
      <c r="J1834" s="26"/>
      <c r="K1834" s="27"/>
      <c r="L1834" s="70" t="s">
        <v>736</v>
      </c>
      <c r="M1834" s="186" t="s">
        <v>61</v>
      </c>
      <c r="N1834" s="242">
        <f>-IF(N1773+N1805-N1825&lt;0,N1773+N1805-N1825,0)</f>
        <v>0</v>
      </c>
      <c r="O1834" s="243"/>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31" t="s">
        <v>740</v>
      </c>
      <c r="B1838" s="232"/>
      <c r="C1838" s="232"/>
      <c r="D1838" s="232"/>
      <c r="F1838" s="233" t="s">
        <v>12</v>
      </c>
      <c r="G1838" s="233"/>
      <c r="H1838" s="233"/>
      <c r="I1838" s="233"/>
      <c r="J1838" s="233"/>
      <c r="K1838" s="233"/>
      <c r="L1838" s="233"/>
      <c r="M1838" s="233"/>
      <c r="N1838" s="233"/>
      <c r="O1838" s="233"/>
      <c r="P1838" s="233"/>
      <c r="Q1838" s="233"/>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72"/>
      <c r="B1840" s="273"/>
      <c r="C1840" s="273"/>
      <c r="D1840" s="273"/>
      <c r="E1840" s="273"/>
      <c r="F1840" s="273"/>
      <c r="G1840" s="273"/>
      <c r="H1840" s="273"/>
      <c r="I1840" s="273"/>
      <c r="J1840" s="273"/>
      <c r="K1840" s="273"/>
      <c r="L1840" s="273"/>
      <c r="M1840" s="273"/>
      <c r="N1840" s="273"/>
      <c r="O1840" s="273"/>
      <c r="P1840" s="273"/>
      <c r="Q1840" s="274"/>
    </row>
    <row r="1841" spans="1:17" ht="15" customHeight="1" x14ac:dyDescent="0.35">
      <c r="A1841" s="252" t="s">
        <v>742</v>
      </c>
      <c r="B1841" s="253"/>
      <c r="C1841" s="253"/>
      <c r="D1841" s="253"/>
      <c r="E1841" s="253"/>
      <c r="F1841" s="253"/>
      <c r="G1841" s="253"/>
      <c r="H1841" s="253"/>
      <c r="I1841" s="253"/>
      <c r="J1841" s="253"/>
      <c r="K1841" s="253"/>
      <c r="L1841" s="253"/>
      <c r="M1841" s="253"/>
      <c r="N1841" s="253"/>
      <c r="O1841" s="253"/>
      <c r="P1841" s="253"/>
      <c r="Q1841" s="2"/>
    </row>
    <row r="1842" spans="1:17" ht="27.75" customHeight="1" x14ac:dyDescent="0.25">
      <c r="A1842" s="266" t="s">
        <v>741</v>
      </c>
      <c r="B1842" s="266"/>
      <c r="C1842" s="266"/>
      <c r="D1842" s="266"/>
      <c r="E1842" s="266"/>
      <c r="F1842" s="266"/>
      <c r="G1842" s="266"/>
      <c r="H1842" s="266"/>
      <c r="I1842" s="266"/>
      <c r="J1842" s="58" t="s">
        <v>31</v>
      </c>
      <c r="K1842" s="59"/>
      <c r="L1842" s="263" t="s">
        <v>29</v>
      </c>
      <c r="M1842" s="264"/>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24" t="s">
        <v>751</v>
      </c>
      <c r="B1845" s="225"/>
      <c r="C1845" s="225"/>
      <c r="D1845" s="225"/>
      <c r="E1845" s="225"/>
      <c r="F1845" s="225"/>
      <c r="G1845" s="225"/>
      <c r="H1845" s="225"/>
      <c r="I1845" s="225"/>
      <c r="J1845" s="226"/>
      <c r="K1845" s="27"/>
      <c r="L1845" s="70" t="s">
        <v>743</v>
      </c>
      <c r="M1845" s="67" t="s">
        <v>61</v>
      </c>
      <c r="N1845" s="213">
        <f>ROUND([1]OpenAccounts!$Q$5,D2)</f>
        <v>0</v>
      </c>
      <c r="O1845" s="214"/>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21" t="s">
        <v>734</v>
      </c>
      <c r="B1848" s="222"/>
      <c r="C1848" s="222"/>
      <c r="D1848" s="222"/>
      <c r="E1848" s="222"/>
      <c r="F1848" s="222"/>
      <c r="G1848" s="222"/>
      <c r="H1848" s="222"/>
      <c r="I1848" s="222"/>
      <c r="J1848" s="223"/>
      <c r="K1848" s="40"/>
      <c r="L1848" s="70" t="s">
        <v>744</v>
      </c>
      <c r="M1848" s="107" t="s">
        <v>61</v>
      </c>
      <c r="N1848" s="240">
        <f>N1831</f>
        <v>0</v>
      </c>
      <c r="O1848" s="241"/>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24" t="s">
        <v>752</v>
      </c>
      <c r="B1851" s="225"/>
      <c r="C1851" s="225"/>
      <c r="D1851" s="225"/>
      <c r="E1851" s="225"/>
      <c r="F1851" s="225"/>
      <c r="G1851" s="225"/>
      <c r="H1851" s="225"/>
      <c r="I1851" s="225"/>
      <c r="J1851" s="226"/>
      <c r="K1851" s="27"/>
      <c r="L1851" s="70" t="s">
        <v>745</v>
      </c>
      <c r="M1851" s="186" t="s">
        <v>61</v>
      </c>
      <c r="N1851" s="242">
        <f>MIN(N1845,N1848)</f>
        <v>0</v>
      </c>
      <c r="O1851" s="243"/>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21" t="s">
        <v>753</v>
      </c>
      <c r="B1854" s="222"/>
      <c r="C1854" s="222"/>
      <c r="D1854" s="222"/>
      <c r="E1854" s="222"/>
      <c r="F1854" s="222"/>
      <c r="G1854" s="222"/>
      <c r="H1854" s="222"/>
      <c r="I1854" s="222"/>
      <c r="J1854" s="223"/>
      <c r="K1854" s="40"/>
      <c r="L1854" s="70" t="s">
        <v>746</v>
      </c>
      <c r="M1854" s="107" t="s">
        <v>61</v>
      </c>
      <c r="N1854" s="240">
        <f>MAX(N1848-N1851,0)</f>
        <v>0</v>
      </c>
      <c r="O1854" s="241"/>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52" t="s">
        <v>754</v>
      </c>
      <c r="B1857" s="253"/>
      <c r="C1857" s="253"/>
      <c r="D1857" s="253"/>
      <c r="E1857" s="253"/>
      <c r="F1857" s="253"/>
      <c r="G1857" s="253"/>
      <c r="H1857" s="253"/>
      <c r="I1857" s="253"/>
      <c r="J1857" s="253"/>
      <c r="K1857" s="253"/>
      <c r="L1857" s="253"/>
      <c r="M1857" s="253"/>
      <c r="N1857" s="253"/>
      <c r="O1857" s="253"/>
      <c r="P1857" s="253"/>
      <c r="Q1857" s="2"/>
    </row>
    <row r="1858" spans="1:17" ht="27.75" customHeight="1" x14ac:dyDescent="0.25">
      <c r="A1858" s="266" t="s">
        <v>750</v>
      </c>
      <c r="B1858" s="266"/>
      <c r="C1858" s="266"/>
      <c r="D1858" s="266"/>
      <c r="E1858" s="266"/>
      <c r="F1858" s="266"/>
      <c r="G1858" s="266"/>
      <c r="H1858" s="266"/>
      <c r="I1858" s="266"/>
      <c r="J1858" s="58" t="s">
        <v>31</v>
      </c>
      <c r="K1858" s="59"/>
      <c r="L1858" s="263" t="s">
        <v>29</v>
      </c>
      <c r="M1858" s="264"/>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24" t="s">
        <v>762</v>
      </c>
      <c r="B1861" s="225"/>
      <c r="C1861" s="225"/>
      <c r="D1861" s="225"/>
      <c r="E1861" s="225"/>
      <c r="F1861" s="225"/>
      <c r="G1861" s="225"/>
      <c r="H1861" s="225"/>
      <c r="I1861" s="225"/>
      <c r="J1861" s="226"/>
      <c r="K1861" s="27"/>
      <c r="L1861" s="70" t="s">
        <v>764</v>
      </c>
      <c r="M1861" s="67"/>
      <c r="N1861" s="275"/>
      <c r="O1861" s="276"/>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21" t="s">
        <v>763</v>
      </c>
      <c r="B1864" s="222"/>
      <c r="C1864" s="222"/>
      <c r="D1864" s="222"/>
      <c r="E1864" s="222"/>
      <c r="F1864" s="222"/>
      <c r="G1864" s="222"/>
      <c r="H1864" s="222"/>
      <c r="I1864" s="222"/>
      <c r="J1864" s="223"/>
      <c r="K1864" s="40"/>
      <c r="L1864" s="70" t="s">
        <v>765</v>
      </c>
      <c r="M1864" s="67" t="s">
        <v>61</v>
      </c>
      <c r="N1864" s="213"/>
      <c r="O1864" s="214"/>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277" t="s">
        <v>748</v>
      </c>
      <c r="B1867" s="278"/>
      <c r="C1867" s="278"/>
      <c r="D1867" s="278"/>
      <c r="E1867" s="278"/>
      <c r="F1867" s="278"/>
      <c r="G1867" s="278"/>
      <c r="H1867" s="278"/>
      <c r="I1867" s="278"/>
      <c r="J1867" s="278"/>
      <c r="K1867" s="27"/>
      <c r="L1867" s="166"/>
      <c r="M1867" s="197"/>
      <c r="N1867" s="242"/>
      <c r="O1867" s="243"/>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24" t="s">
        <v>749</v>
      </c>
      <c r="B1870" s="225"/>
      <c r="C1870" s="225"/>
      <c r="D1870" s="225"/>
      <c r="E1870" s="225"/>
      <c r="F1870" s="225"/>
      <c r="G1870" s="225"/>
      <c r="H1870" s="225"/>
      <c r="I1870" s="225"/>
      <c r="J1870" s="226"/>
      <c r="K1870" s="27"/>
      <c r="L1870" s="70" t="s">
        <v>747</v>
      </c>
      <c r="M1870" s="186" t="s">
        <v>61</v>
      </c>
      <c r="N1870" s="242">
        <f>N1845-N1851</f>
        <v>0</v>
      </c>
      <c r="O1870" s="243"/>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31" t="s">
        <v>755</v>
      </c>
      <c r="B1874" s="232"/>
      <c r="C1874" s="232"/>
      <c r="D1874" s="232"/>
      <c r="F1874" s="233" t="s">
        <v>12</v>
      </c>
      <c r="G1874" s="233"/>
      <c r="H1874" s="233"/>
      <c r="I1874" s="233"/>
      <c r="J1874" s="233"/>
      <c r="K1874" s="233"/>
      <c r="L1874" s="233"/>
      <c r="M1874" s="233"/>
      <c r="N1874" s="233"/>
      <c r="O1874" s="233"/>
      <c r="P1874" s="233"/>
      <c r="Q1874" s="233"/>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72"/>
      <c r="B1876" s="273"/>
      <c r="C1876" s="273"/>
      <c r="D1876" s="273"/>
      <c r="E1876" s="273"/>
      <c r="F1876" s="273"/>
      <c r="G1876" s="273"/>
      <c r="H1876" s="273"/>
      <c r="I1876" s="273"/>
      <c r="J1876" s="273"/>
      <c r="K1876" s="273"/>
      <c r="L1876" s="273"/>
      <c r="M1876" s="273"/>
      <c r="N1876" s="273"/>
      <c r="O1876" s="273"/>
      <c r="P1876" s="273"/>
      <c r="Q1876" s="274"/>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24" t="s">
        <v>759</v>
      </c>
      <c r="B1879" s="225"/>
      <c r="C1879" s="225"/>
      <c r="D1879" s="225"/>
      <c r="E1879" s="225"/>
      <c r="F1879" s="225"/>
      <c r="G1879" s="225"/>
      <c r="H1879" s="225"/>
      <c r="I1879" s="225"/>
      <c r="J1879" s="226"/>
      <c r="K1879" s="27"/>
      <c r="L1879" s="70" t="s">
        <v>756</v>
      </c>
      <c r="M1879" s="186" t="s">
        <v>61</v>
      </c>
      <c r="N1879" s="242">
        <f>N1831</f>
        <v>0</v>
      </c>
      <c r="O1879" s="243"/>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21" t="s">
        <v>752</v>
      </c>
      <c r="B1882" s="222"/>
      <c r="C1882" s="222"/>
      <c r="D1882" s="222"/>
      <c r="E1882" s="222"/>
      <c r="F1882" s="222"/>
      <c r="G1882" s="222"/>
      <c r="H1882" s="222"/>
      <c r="I1882" s="222"/>
      <c r="J1882" s="223"/>
      <c r="K1882" s="40"/>
      <c r="L1882" s="70" t="s">
        <v>912</v>
      </c>
      <c r="M1882" s="130" t="s">
        <v>61</v>
      </c>
      <c r="N1882" s="240">
        <f>N1851</f>
        <v>0</v>
      </c>
      <c r="O1882" s="241"/>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24" t="s">
        <v>753</v>
      </c>
      <c r="B1885" s="225"/>
      <c r="C1885" s="225"/>
      <c r="D1885" s="225"/>
      <c r="E1885" s="225"/>
      <c r="F1885" s="225"/>
      <c r="G1885" s="225"/>
      <c r="H1885" s="225"/>
      <c r="I1885" s="225"/>
      <c r="J1885" s="226"/>
      <c r="K1885" s="27"/>
      <c r="L1885" s="70" t="s">
        <v>913</v>
      </c>
      <c r="M1885" s="186" t="s">
        <v>61</v>
      </c>
      <c r="N1885" s="242">
        <f>N1879-N1882</f>
        <v>0</v>
      </c>
      <c r="O1885" s="243"/>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21" t="s">
        <v>612</v>
      </c>
      <c r="B1888" s="222"/>
      <c r="C1888" s="222"/>
      <c r="D1888" s="222"/>
      <c r="E1888" s="222"/>
      <c r="F1888" s="222"/>
      <c r="G1888" s="222"/>
      <c r="H1888" s="222"/>
      <c r="I1888" s="222"/>
      <c r="J1888" s="223"/>
      <c r="K1888" s="40"/>
      <c r="L1888" s="70" t="s">
        <v>757</v>
      </c>
      <c r="M1888" s="107" t="s">
        <v>61</v>
      </c>
      <c r="N1888" s="240">
        <f>N1819</f>
        <v>0</v>
      </c>
      <c r="O1888" s="241"/>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44" t="s">
        <v>760</v>
      </c>
      <c r="B1891" s="245"/>
      <c r="C1891" s="245"/>
      <c r="D1891" s="245"/>
      <c r="E1891" s="245"/>
      <c r="F1891" s="245"/>
      <c r="G1891" s="245"/>
      <c r="H1891" s="245"/>
      <c r="I1891" s="245"/>
      <c r="J1891" s="246"/>
      <c r="K1891" s="27"/>
      <c r="L1891" s="70" t="s">
        <v>758</v>
      </c>
      <c r="M1891" s="186" t="s">
        <v>61</v>
      </c>
      <c r="N1891" s="242">
        <f>SUM(N1885,N1888)</f>
        <v>0</v>
      </c>
      <c r="O1891" s="243"/>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21" t="s">
        <v>910</v>
      </c>
      <c r="B1894" s="222"/>
      <c r="C1894" s="222"/>
      <c r="D1894" s="222"/>
      <c r="E1894" s="222"/>
      <c r="F1894" s="222"/>
      <c r="G1894" s="222"/>
      <c r="H1894" s="222"/>
      <c r="I1894" s="222"/>
      <c r="J1894" s="223"/>
      <c r="K1894" s="40"/>
      <c r="L1894" s="70" t="s">
        <v>911</v>
      </c>
      <c r="M1894" s="107" t="s">
        <v>61</v>
      </c>
      <c r="N1894" s="240">
        <f>SUM(N1834,N1864)</f>
        <v>0</v>
      </c>
      <c r="O1894" s="241"/>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44" t="s">
        <v>760</v>
      </c>
      <c r="B1899" s="245"/>
      <c r="C1899" s="245"/>
      <c r="D1899" s="245"/>
      <c r="E1899" s="245"/>
      <c r="F1899" s="245"/>
      <c r="G1899" s="245"/>
      <c r="H1899" s="245"/>
      <c r="I1899" s="245"/>
      <c r="J1899" s="246"/>
      <c r="K1899" s="27"/>
      <c r="L1899" s="70" t="s">
        <v>761</v>
      </c>
      <c r="M1899" s="186" t="s">
        <v>61</v>
      </c>
      <c r="N1899" s="242">
        <f>MAX(N1891-N1894,0)</f>
        <v>0</v>
      </c>
      <c r="O1899" s="243"/>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31" t="s">
        <v>766</v>
      </c>
      <c r="B1903" s="232"/>
      <c r="C1903" s="232"/>
      <c r="D1903" s="232"/>
      <c r="F1903" s="233"/>
      <c r="G1903" s="233"/>
      <c r="H1903" s="233"/>
      <c r="I1903" s="233"/>
      <c r="J1903" s="233"/>
      <c r="K1903" s="233"/>
      <c r="L1903" s="233"/>
      <c r="M1903" s="233"/>
      <c r="N1903" s="233"/>
      <c r="O1903" s="233"/>
      <c r="P1903" s="233"/>
      <c r="Q1903" s="233"/>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1" t="s">
        <v>767</v>
      </c>
      <c r="B1906" s="212"/>
      <c r="C1906" s="212"/>
      <c r="D1906" s="212"/>
      <c r="E1906" s="212"/>
      <c r="F1906" s="212"/>
      <c r="G1906" s="212"/>
      <c r="H1906" s="212"/>
      <c r="I1906" s="212"/>
      <c r="J1906" s="212"/>
      <c r="K1906" s="212"/>
      <c r="L1906" s="212"/>
      <c r="M1906" s="212"/>
      <c r="N1906" s="212"/>
      <c r="O1906" s="212"/>
      <c r="P1906" s="37"/>
      <c r="Q1906" s="38"/>
    </row>
    <row r="1907" spans="1:17" x14ac:dyDescent="0.25">
      <c r="Q1907" s="38"/>
    </row>
    <row r="1908" spans="1:17" ht="15" customHeight="1" x14ac:dyDescent="0.25">
      <c r="A1908" s="211" t="s">
        <v>768</v>
      </c>
      <c r="B1908" s="212"/>
      <c r="C1908" s="212"/>
      <c r="D1908" s="212"/>
      <c r="E1908" s="212"/>
      <c r="F1908" s="212"/>
      <c r="G1908" s="212"/>
      <c r="H1908" s="212"/>
      <c r="I1908" s="212"/>
      <c r="J1908" s="212"/>
      <c r="K1908" s="212"/>
      <c r="L1908" s="212"/>
      <c r="M1908" s="212"/>
      <c r="N1908" s="212"/>
      <c r="O1908" s="212"/>
      <c r="P1908" s="37"/>
      <c r="Q1908" s="38"/>
    </row>
    <row r="1909" spans="1:17" x14ac:dyDescent="0.25">
      <c r="Q1909" s="38"/>
    </row>
    <row r="1911" spans="1:17" ht="15.75" x14ac:dyDescent="0.25">
      <c r="A1911" s="231" t="s">
        <v>766</v>
      </c>
      <c r="B1911" s="232"/>
      <c r="C1911" s="232"/>
      <c r="D1911" s="232"/>
      <c r="F1911" s="233"/>
      <c r="G1911" s="233"/>
      <c r="H1911" s="233"/>
      <c r="I1911" s="233"/>
      <c r="J1911" s="233"/>
      <c r="K1911" s="233"/>
      <c r="L1911" s="233"/>
      <c r="M1911" s="233"/>
      <c r="N1911" s="233"/>
      <c r="O1911" s="233"/>
      <c r="P1911" s="233"/>
      <c r="Q1911" s="233"/>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34" t="s">
        <v>920</v>
      </c>
      <c r="B1913" s="235"/>
      <c r="C1913" s="235"/>
      <c r="D1913" s="235"/>
      <c r="E1913" s="236"/>
      <c r="F1913" s="236"/>
      <c r="G1913" s="236"/>
      <c r="H1913" s="236"/>
      <c r="I1913" s="236"/>
      <c r="J1913" s="236"/>
      <c r="K1913" s="236"/>
      <c r="L1913" s="236"/>
      <c r="M1913" s="236"/>
      <c r="N1913" s="236"/>
      <c r="O1913" s="236"/>
      <c r="P1913" s="236"/>
      <c r="Q1913" s="237"/>
    </row>
    <row r="1914" spans="1:17" x14ac:dyDescent="0.25">
      <c r="Q1914" s="38"/>
    </row>
    <row r="1915" spans="1:17" ht="26.25" customHeight="1" x14ac:dyDescent="0.25">
      <c r="A1915" s="211" t="s">
        <v>921</v>
      </c>
      <c r="B1915" s="212"/>
      <c r="C1915" s="212"/>
      <c r="D1915" s="212"/>
      <c r="E1915" s="212"/>
      <c r="F1915" s="212"/>
      <c r="G1915" s="212"/>
      <c r="H1915" s="212"/>
      <c r="I1915" s="212"/>
      <c r="J1915" s="212"/>
      <c r="K1915" s="212"/>
      <c r="L1915" s="212"/>
      <c r="M1915" s="212"/>
      <c r="N1915" s="212"/>
      <c r="O1915" s="212"/>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24" t="s">
        <v>751</v>
      </c>
      <c r="B1918" s="225"/>
      <c r="C1918" s="225"/>
      <c r="D1918" s="225"/>
      <c r="E1918" s="225"/>
      <c r="F1918" s="225"/>
      <c r="G1918" s="225"/>
      <c r="H1918" s="225"/>
      <c r="I1918" s="225"/>
      <c r="J1918" s="226"/>
      <c r="K1918" s="27"/>
      <c r="L1918" s="70" t="s">
        <v>922</v>
      </c>
      <c r="M1918" s="186" t="s">
        <v>61</v>
      </c>
      <c r="N1918" s="242">
        <f>N1845</f>
        <v>0</v>
      </c>
      <c r="O1918" s="243"/>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21" t="s">
        <v>929</v>
      </c>
      <c r="B1921" s="222"/>
      <c r="C1921" s="222"/>
      <c r="D1921" s="222"/>
      <c r="E1921" s="222"/>
      <c r="F1921" s="222"/>
      <c r="G1921" s="222"/>
      <c r="H1921" s="222"/>
      <c r="I1921" s="222"/>
      <c r="J1921" s="223"/>
      <c r="K1921" s="40"/>
      <c r="L1921" s="70" t="s">
        <v>923</v>
      </c>
      <c r="M1921" s="107" t="s">
        <v>61</v>
      </c>
      <c r="N1921" s="240">
        <f>N1834</f>
        <v>0</v>
      </c>
      <c r="O1921" s="241"/>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24" t="s">
        <v>930</v>
      </c>
      <c r="B1924" s="225"/>
      <c r="C1924" s="225"/>
      <c r="D1924" s="225"/>
      <c r="E1924" s="225"/>
      <c r="F1924" s="225"/>
      <c r="G1924" s="225"/>
      <c r="H1924" s="225"/>
      <c r="I1924" s="225"/>
      <c r="J1924" s="226"/>
      <c r="K1924" s="27"/>
      <c r="L1924" s="70" t="s">
        <v>924</v>
      </c>
      <c r="M1924" s="186" t="s">
        <v>61</v>
      </c>
      <c r="N1924" s="242">
        <f>N1864</f>
        <v>0</v>
      </c>
      <c r="O1924" s="243"/>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52" t="s">
        <v>449</v>
      </c>
      <c r="L1927" s="253"/>
      <c r="M1927" s="253"/>
      <c r="N1927" s="253"/>
      <c r="O1927" s="253"/>
      <c r="P1927" s="254"/>
      <c r="Q1927" s="2"/>
    </row>
    <row r="1928" spans="1:17" x14ac:dyDescent="0.25">
      <c r="A1928" s="221" t="s">
        <v>932</v>
      </c>
      <c r="B1928" s="222"/>
      <c r="C1928" s="222"/>
      <c r="D1928" s="222"/>
      <c r="E1928" s="222"/>
      <c r="F1928" s="222"/>
      <c r="G1928" s="222"/>
      <c r="H1928" s="222"/>
      <c r="I1928" s="222"/>
      <c r="J1928" s="223"/>
      <c r="K1928" s="40"/>
      <c r="L1928" s="70" t="s">
        <v>925</v>
      </c>
      <c r="M1928" s="107" t="s">
        <v>61</v>
      </c>
      <c r="N1928" s="240"/>
      <c r="O1928" s="241"/>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24" t="s">
        <v>987</v>
      </c>
      <c r="B1931" s="225"/>
      <c r="C1931" s="225"/>
      <c r="D1931" s="225"/>
      <c r="E1931" s="225"/>
      <c r="F1931" s="225"/>
      <c r="G1931" s="225"/>
      <c r="H1931" s="225"/>
      <c r="I1931" s="225"/>
      <c r="J1931" s="226"/>
      <c r="K1931" s="27"/>
      <c r="L1931" s="70" t="s">
        <v>926</v>
      </c>
      <c r="M1931" s="186" t="s">
        <v>61</v>
      </c>
      <c r="N1931" s="242">
        <f>N1882</f>
        <v>0</v>
      </c>
      <c r="O1931" s="243"/>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21" t="s">
        <v>931</v>
      </c>
      <c r="B1934" s="222"/>
      <c r="C1934" s="222"/>
      <c r="D1934" s="222"/>
      <c r="E1934" s="222"/>
      <c r="F1934" s="222"/>
      <c r="G1934" s="222"/>
      <c r="H1934" s="222"/>
      <c r="I1934" s="222"/>
      <c r="J1934" s="223"/>
      <c r="K1934" s="40"/>
      <c r="L1934" s="70" t="s">
        <v>927</v>
      </c>
      <c r="M1934" s="107" t="s">
        <v>61</v>
      </c>
      <c r="N1934" s="240">
        <f>N1894</f>
        <v>0</v>
      </c>
      <c r="O1934" s="241"/>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24" t="s">
        <v>749</v>
      </c>
      <c r="B1937" s="225"/>
      <c r="C1937" s="225"/>
      <c r="D1937" s="225"/>
      <c r="E1937" s="225"/>
      <c r="F1937" s="225"/>
      <c r="G1937" s="225"/>
      <c r="H1937" s="225"/>
      <c r="I1937" s="225"/>
      <c r="J1937" s="226"/>
      <c r="K1937" s="27"/>
      <c r="L1937" s="70" t="s">
        <v>928</v>
      </c>
      <c r="M1937" s="186" t="s">
        <v>61</v>
      </c>
      <c r="N1937" s="242">
        <f>N1870</f>
        <v>0</v>
      </c>
      <c r="O1937" s="243"/>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31" t="s">
        <v>766</v>
      </c>
      <c r="B1941" s="232"/>
      <c r="C1941" s="232"/>
      <c r="D1941" s="232"/>
      <c r="F1941" s="233"/>
      <c r="G1941" s="233"/>
      <c r="H1941" s="233"/>
      <c r="I1941" s="233"/>
      <c r="J1941" s="233"/>
      <c r="K1941" s="233"/>
      <c r="L1941" s="233"/>
      <c r="M1941" s="233"/>
      <c r="N1941" s="233"/>
      <c r="O1941" s="233"/>
      <c r="P1941" s="233"/>
      <c r="Q1941" s="233"/>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34" t="s">
        <v>651</v>
      </c>
      <c r="B1943" s="235"/>
      <c r="C1943" s="235"/>
      <c r="D1943" s="235"/>
      <c r="E1943" s="236"/>
      <c r="F1943" s="236"/>
      <c r="G1943" s="236"/>
      <c r="H1943" s="236"/>
      <c r="I1943" s="236"/>
      <c r="J1943" s="236"/>
      <c r="K1943" s="236"/>
      <c r="L1943" s="236"/>
      <c r="M1943" s="236"/>
      <c r="N1943" s="236"/>
      <c r="O1943" s="236"/>
      <c r="P1943" s="236"/>
      <c r="Q1943" s="237"/>
    </row>
    <row r="1944" spans="1:17" x14ac:dyDescent="0.25">
      <c r="Q1944" s="38"/>
    </row>
    <row r="1945" spans="1:17" ht="26.25" customHeight="1" x14ac:dyDescent="0.25">
      <c r="A1945" s="211" t="s">
        <v>769</v>
      </c>
      <c r="B1945" s="212"/>
      <c r="C1945" s="212"/>
      <c r="D1945" s="212"/>
      <c r="E1945" s="212"/>
      <c r="F1945" s="212"/>
      <c r="G1945" s="212"/>
      <c r="H1945" s="212"/>
      <c r="I1945" s="212"/>
      <c r="J1945" s="212"/>
      <c r="K1945" s="212"/>
      <c r="L1945" s="212"/>
      <c r="M1945" s="212"/>
      <c r="N1945" s="212"/>
      <c r="O1945" s="212"/>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34" t="s">
        <v>770</v>
      </c>
      <c r="B1948" s="235"/>
      <c r="C1948" s="235"/>
      <c r="D1948" s="235"/>
      <c r="E1948" s="236"/>
      <c r="F1948" s="236"/>
      <c r="G1948" s="236"/>
      <c r="H1948" s="236"/>
      <c r="I1948" s="236"/>
      <c r="J1948" s="236"/>
      <c r="K1948" s="236"/>
      <c r="L1948" s="236"/>
      <c r="M1948" s="236"/>
      <c r="N1948" s="236"/>
      <c r="O1948" s="236"/>
      <c r="P1948" s="236"/>
      <c r="Q1948" s="237"/>
    </row>
    <row r="1949" spans="1:17" x14ac:dyDescent="0.25">
      <c r="Q1949" s="38"/>
    </row>
    <row r="1950" spans="1:17" x14ac:dyDescent="0.25">
      <c r="Q1950" s="38"/>
    </row>
    <row r="1951" spans="1:17" x14ac:dyDescent="0.25">
      <c r="A1951" s="238" t="s">
        <v>655</v>
      </c>
      <c r="B1951" s="239"/>
      <c r="C1951" s="212"/>
      <c r="D1951" s="212"/>
      <c r="E1951" s="72"/>
      <c r="F1951" s="238"/>
      <c r="G1951" s="238"/>
      <c r="H1951" s="238"/>
      <c r="I1951" s="238"/>
      <c r="J1951" s="238"/>
      <c r="K1951" s="238"/>
      <c r="L1951" s="238"/>
      <c r="M1951" s="238"/>
      <c r="N1951" s="238"/>
      <c r="O1951" s="238"/>
      <c r="P1951" s="238"/>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24" t="s">
        <v>772</v>
      </c>
      <c r="B1954" s="225"/>
      <c r="C1954" s="225"/>
      <c r="D1954" s="225"/>
      <c r="E1954" s="225"/>
      <c r="F1954" s="225"/>
      <c r="G1954" s="225"/>
      <c r="H1954" s="225"/>
      <c r="I1954" s="225"/>
      <c r="J1954" s="226"/>
      <c r="K1954" s="27"/>
      <c r="L1954" s="70" t="s">
        <v>775</v>
      </c>
      <c r="M1954" s="186" t="s">
        <v>61</v>
      </c>
      <c r="N1954" s="242">
        <f>N1751</f>
        <v>0</v>
      </c>
      <c r="O1954" s="243"/>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21" t="s">
        <v>773</v>
      </c>
      <c r="B1957" s="222"/>
      <c r="C1957" s="222"/>
      <c r="D1957" s="222"/>
      <c r="E1957" s="222"/>
      <c r="F1957" s="222"/>
      <c r="G1957" s="222"/>
      <c r="H1957" s="222"/>
      <c r="I1957" s="222"/>
      <c r="J1957" s="223"/>
      <c r="K1957" s="40"/>
      <c r="L1957" s="70" t="s">
        <v>776</v>
      </c>
      <c r="M1957" s="107" t="s">
        <v>61</v>
      </c>
      <c r="N1957" s="240">
        <f>N1738</f>
        <v>0</v>
      </c>
      <c r="O1957" s="241"/>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24" t="s">
        <v>774</v>
      </c>
      <c r="B1960" s="225"/>
      <c r="C1960" s="225"/>
      <c r="D1960" s="225"/>
      <c r="E1960" s="225"/>
      <c r="F1960" s="225"/>
      <c r="G1960" s="225"/>
      <c r="H1960" s="225"/>
      <c r="I1960" s="225"/>
      <c r="J1960" s="226"/>
      <c r="K1960" s="27"/>
      <c r="L1960" s="70" t="s">
        <v>777</v>
      </c>
      <c r="M1960" s="186" t="s">
        <v>61</v>
      </c>
      <c r="N1960" s="242">
        <f>N1954</f>
        <v>0</v>
      </c>
      <c r="O1960" s="243"/>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21" t="s">
        <v>702</v>
      </c>
      <c r="B1963" s="222"/>
      <c r="C1963" s="222"/>
      <c r="D1963" s="222"/>
      <c r="E1963" s="222"/>
      <c r="F1963" s="222"/>
      <c r="G1963" s="222"/>
      <c r="H1963" s="222"/>
      <c r="I1963" s="222"/>
      <c r="J1963" s="223"/>
      <c r="K1963" s="40"/>
      <c r="L1963" s="70" t="s">
        <v>778</v>
      </c>
      <c r="M1963" s="107" t="s">
        <v>61</v>
      </c>
      <c r="N1963" s="240">
        <f>N1957</f>
        <v>0</v>
      </c>
      <c r="O1963" s="241"/>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38" t="s">
        <v>771</v>
      </c>
      <c r="B1966" s="239"/>
      <c r="C1966" s="212"/>
      <c r="D1966" s="212"/>
      <c r="E1966" s="72"/>
      <c r="F1966" s="238"/>
      <c r="G1966" s="238"/>
      <c r="H1966" s="238"/>
      <c r="I1966" s="238"/>
      <c r="J1966" s="238"/>
      <c r="K1966" s="238"/>
      <c r="L1966" s="238"/>
      <c r="M1966" s="238"/>
      <c r="N1966" s="238"/>
      <c r="O1966" s="238"/>
      <c r="P1966" s="238"/>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24" t="s">
        <v>772</v>
      </c>
      <c r="B1969" s="225"/>
      <c r="C1969" s="225"/>
      <c r="D1969" s="225"/>
      <c r="E1969" s="225"/>
      <c r="F1969" s="225"/>
      <c r="G1969" s="225"/>
      <c r="H1969" s="225"/>
      <c r="I1969" s="225"/>
      <c r="J1969" s="226"/>
      <c r="K1969" s="27"/>
      <c r="L1969" s="70" t="s">
        <v>779</v>
      </c>
      <c r="M1969" s="186" t="s">
        <v>61</v>
      </c>
      <c r="N1969" s="242">
        <f>N1747</f>
        <v>0</v>
      </c>
      <c r="O1969" s="243"/>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21" t="s">
        <v>773</v>
      </c>
      <c r="B1972" s="222"/>
      <c r="C1972" s="222"/>
      <c r="D1972" s="222"/>
      <c r="E1972" s="222"/>
      <c r="F1972" s="222"/>
      <c r="G1972" s="222"/>
      <c r="H1972" s="222"/>
      <c r="I1972" s="222"/>
      <c r="J1972" s="223"/>
      <c r="K1972" s="40"/>
      <c r="L1972" s="70" t="s">
        <v>780</v>
      </c>
      <c r="M1972" s="107" t="s">
        <v>61</v>
      </c>
      <c r="N1972" s="240">
        <f>N1735</f>
        <v>0</v>
      </c>
      <c r="O1972" s="241"/>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24" t="s">
        <v>774</v>
      </c>
      <c r="B1975" s="225"/>
      <c r="C1975" s="225"/>
      <c r="D1975" s="225"/>
      <c r="E1975" s="225"/>
      <c r="F1975" s="225"/>
      <c r="G1975" s="225"/>
      <c r="H1975" s="225"/>
      <c r="I1975" s="225"/>
      <c r="J1975" s="226"/>
      <c r="K1975" s="27"/>
      <c r="L1975" s="70" t="s">
        <v>781</v>
      </c>
      <c r="M1975" s="186" t="s">
        <v>61</v>
      </c>
      <c r="N1975" s="242">
        <f>N1969</f>
        <v>0</v>
      </c>
      <c r="O1975" s="243"/>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21" t="s">
        <v>702</v>
      </c>
      <c r="B1978" s="222"/>
      <c r="C1978" s="222"/>
      <c r="D1978" s="222"/>
      <c r="E1978" s="222"/>
      <c r="F1978" s="222"/>
      <c r="G1978" s="222"/>
      <c r="H1978" s="222"/>
      <c r="I1978" s="222"/>
      <c r="J1978" s="223"/>
      <c r="K1978" s="40"/>
      <c r="L1978" s="70" t="s">
        <v>782</v>
      </c>
      <c r="M1978" s="107" t="s">
        <v>61</v>
      </c>
      <c r="N1978" s="240">
        <f>N1972</f>
        <v>0</v>
      </c>
      <c r="O1978" s="241"/>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34" t="s">
        <v>770</v>
      </c>
      <c r="B1982" s="235"/>
      <c r="C1982" s="235"/>
      <c r="D1982" s="235"/>
      <c r="E1982" s="236"/>
      <c r="F1982" s="236"/>
      <c r="G1982" s="236"/>
      <c r="H1982" s="236"/>
      <c r="I1982" s="236"/>
      <c r="J1982" s="236"/>
      <c r="K1982" s="236"/>
      <c r="L1982" s="236"/>
      <c r="M1982" s="236"/>
      <c r="N1982" s="236"/>
      <c r="O1982" s="236"/>
      <c r="P1982" s="236"/>
      <c r="Q1982" s="237"/>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24" t="s">
        <v>783</v>
      </c>
      <c r="B1985" s="225"/>
      <c r="C1985" s="225"/>
      <c r="D1985" s="225"/>
      <c r="E1985" s="225"/>
      <c r="F1985" s="225"/>
      <c r="G1985" s="225"/>
      <c r="H1985" s="225"/>
      <c r="I1985" s="225"/>
      <c r="J1985" s="226"/>
      <c r="K1985" s="27"/>
      <c r="L1985" s="70" t="s">
        <v>936</v>
      </c>
      <c r="M1985" s="67" t="s">
        <v>61</v>
      </c>
      <c r="N1985" s="213">
        <f>N1701</f>
        <v>0</v>
      </c>
      <c r="O1985" s="214"/>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21" t="s">
        <v>784</v>
      </c>
      <c r="B1988" s="222"/>
      <c r="C1988" s="222"/>
      <c r="D1988" s="222"/>
      <c r="E1988" s="222"/>
      <c r="F1988" s="222"/>
      <c r="G1988" s="222"/>
      <c r="H1988" s="222"/>
      <c r="I1988" s="222"/>
      <c r="J1988" s="223"/>
      <c r="K1988" s="40"/>
      <c r="L1988" s="70" t="s">
        <v>937</v>
      </c>
      <c r="M1988" s="67" t="s">
        <v>61</v>
      </c>
      <c r="N1988" s="213">
        <f>N1663</f>
        <v>0</v>
      </c>
      <c r="O1988" s="214"/>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24" t="s">
        <v>785</v>
      </c>
      <c r="B1991" s="225"/>
      <c r="C1991" s="225"/>
      <c r="D1991" s="225"/>
      <c r="E1991" s="225"/>
      <c r="F1991" s="225"/>
      <c r="G1991" s="225"/>
      <c r="H1991" s="225"/>
      <c r="I1991" s="225"/>
      <c r="J1991" s="226"/>
      <c r="K1991" s="27"/>
      <c r="L1991" s="70" t="s">
        <v>938</v>
      </c>
      <c r="M1991" s="67" t="s">
        <v>61</v>
      </c>
      <c r="N1991" s="213">
        <f>SUM(N1623,N1674)+N1671-N1701</f>
        <v>0</v>
      </c>
      <c r="O1991" s="214"/>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34" t="s">
        <v>786</v>
      </c>
      <c r="B1995" s="235"/>
      <c r="C1995" s="235"/>
      <c r="D1995" s="235"/>
      <c r="E1995" s="236"/>
      <c r="F1995" s="236"/>
      <c r="G1995" s="236"/>
      <c r="H1995" s="236"/>
      <c r="I1995" s="236"/>
      <c r="J1995" s="236"/>
      <c r="K1995" s="236"/>
      <c r="L1995" s="236"/>
      <c r="M1995" s="236"/>
      <c r="N1995" s="236"/>
      <c r="O1995" s="236"/>
      <c r="P1995" s="236"/>
      <c r="Q1995" s="237"/>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24" t="s">
        <v>787</v>
      </c>
      <c r="B1998" s="225"/>
      <c r="C1998" s="225"/>
      <c r="D1998" s="225"/>
      <c r="E1998" s="225"/>
      <c r="F1998" s="225"/>
      <c r="G1998" s="225"/>
      <c r="H1998" s="225"/>
      <c r="I1998" s="225"/>
      <c r="J1998" s="226"/>
      <c r="K1998" s="27"/>
      <c r="L1998" s="70" t="s">
        <v>788</v>
      </c>
      <c r="M1998" s="186" t="s">
        <v>61</v>
      </c>
      <c r="N1998" s="242">
        <f>N1704</f>
        <v>0</v>
      </c>
      <c r="O1998" s="243"/>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31" t="s">
        <v>789</v>
      </c>
      <c r="B2002" s="232"/>
      <c r="C2002" s="232"/>
      <c r="D2002" s="232"/>
      <c r="F2002" s="233"/>
      <c r="G2002" s="233"/>
      <c r="H2002" s="233"/>
      <c r="I2002" s="233"/>
      <c r="J2002" s="233"/>
      <c r="K2002" s="233"/>
      <c r="L2002" s="233"/>
      <c r="M2002" s="233"/>
      <c r="N2002" s="233"/>
      <c r="O2002" s="233"/>
      <c r="P2002" s="233"/>
      <c r="Q2002" s="233"/>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1" t="s">
        <v>790</v>
      </c>
      <c r="B2005" s="212"/>
      <c r="C2005" s="212"/>
      <c r="D2005" s="212"/>
      <c r="E2005" s="212"/>
      <c r="F2005" s="212"/>
      <c r="G2005" s="212"/>
      <c r="H2005" s="212"/>
      <c r="I2005" s="212"/>
      <c r="J2005" s="212"/>
      <c r="K2005" s="212"/>
      <c r="L2005" s="212"/>
      <c r="M2005" s="212"/>
      <c r="N2005" s="212"/>
      <c r="O2005" s="212"/>
      <c r="P2005" s="37"/>
      <c r="Q2005" s="38"/>
    </row>
    <row r="2006" spans="1:17" x14ac:dyDescent="0.25">
      <c r="Q2006" s="38"/>
    </row>
    <row r="2007" spans="1:17" ht="36" customHeight="1" x14ac:dyDescent="0.25">
      <c r="A2007" s="211" t="s">
        <v>988</v>
      </c>
      <c r="B2007" s="212"/>
      <c r="C2007" s="212"/>
      <c r="D2007" s="212"/>
      <c r="E2007" s="212"/>
      <c r="F2007" s="212"/>
      <c r="G2007" s="212"/>
      <c r="H2007" s="212"/>
      <c r="I2007" s="212"/>
      <c r="J2007" s="212"/>
      <c r="K2007" s="212"/>
      <c r="L2007" s="212"/>
      <c r="M2007" s="212"/>
      <c r="N2007" s="212"/>
      <c r="O2007" s="212"/>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24" t="s">
        <v>796</v>
      </c>
      <c r="B2010" s="225"/>
      <c r="C2010" s="225"/>
      <c r="D2010" s="225"/>
      <c r="E2010" s="225"/>
      <c r="F2010" s="225"/>
      <c r="G2010" s="225"/>
      <c r="H2010" s="225"/>
      <c r="I2010" s="225"/>
      <c r="J2010" s="226"/>
      <c r="K2010" s="27"/>
      <c r="L2010" s="70" t="s">
        <v>791</v>
      </c>
      <c r="M2010" s="186" t="s">
        <v>61</v>
      </c>
      <c r="N2010" s="242">
        <f>N1831</f>
        <v>0</v>
      </c>
      <c r="O2010" s="243"/>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21" t="s">
        <v>989</v>
      </c>
      <c r="B2013" s="222"/>
      <c r="C2013" s="222"/>
      <c r="D2013" s="222"/>
      <c r="E2013" s="222"/>
      <c r="F2013" s="222"/>
      <c r="G2013" s="222"/>
      <c r="H2013" s="222"/>
      <c r="I2013" s="222"/>
      <c r="J2013" s="223"/>
      <c r="K2013" s="40"/>
      <c r="L2013" s="70" t="s">
        <v>933</v>
      </c>
      <c r="M2013" s="122" t="s">
        <v>61</v>
      </c>
      <c r="N2013" s="240">
        <f>N1931</f>
        <v>0</v>
      </c>
      <c r="O2013" s="241"/>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24" t="s">
        <v>797</v>
      </c>
      <c r="B2016" s="225"/>
      <c r="C2016" s="225"/>
      <c r="D2016" s="225"/>
      <c r="E2016" s="225"/>
      <c r="F2016" s="225"/>
      <c r="G2016" s="225"/>
      <c r="H2016" s="225"/>
      <c r="I2016" s="225"/>
      <c r="J2016" s="226"/>
      <c r="K2016" s="27"/>
      <c r="L2016" s="70" t="s">
        <v>792</v>
      </c>
      <c r="M2016" s="186" t="s">
        <v>61</v>
      </c>
      <c r="N2016" s="242">
        <f>N2010-N2013</f>
        <v>0</v>
      </c>
      <c r="O2016" s="243"/>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21" t="s">
        <v>798</v>
      </c>
      <c r="B2019" s="222"/>
      <c r="C2019" s="222"/>
      <c r="D2019" s="222"/>
      <c r="E2019" s="222"/>
      <c r="F2019" s="222"/>
      <c r="G2019" s="222"/>
      <c r="H2019" s="222"/>
      <c r="I2019" s="222"/>
      <c r="J2019" s="223"/>
      <c r="K2019" s="40"/>
      <c r="L2019" s="70" t="s">
        <v>793</v>
      </c>
      <c r="M2019" s="122" t="s">
        <v>61</v>
      </c>
      <c r="N2019" s="240">
        <f>N1422</f>
        <v>0</v>
      </c>
      <c r="O2019" s="241"/>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24" t="s">
        <v>799</v>
      </c>
      <c r="B2022" s="225"/>
      <c r="C2022" s="225"/>
      <c r="D2022" s="225"/>
      <c r="E2022" s="225"/>
      <c r="F2022" s="225"/>
      <c r="G2022" s="225"/>
      <c r="H2022" s="225"/>
      <c r="I2022" s="225"/>
      <c r="J2022" s="226"/>
      <c r="K2022" s="27"/>
      <c r="L2022" s="70" t="s">
        <v>794</v>
      </c>
      <c r="M2022" s="186" t="s">
        <v>61</v>
      </c>
      <c r="N2022" s="242">
        <f>N2016+N2019</f>
        <v>0</v>
      </c>
      <c r="O2022" s="243"/>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21" t="s">
        <v>934</v>
      </c>
      <c r="B2025" s="222"/>
      <c r="C2025" s="222"/>
      <c r="D2025" s="222"/>
      <c r="E2025" s="222"/>
      <c r="F2025" s="222"/>
      <c r="G2025" s="222"/>
      <c r="H2025" s="222"/>
      <c r="I2025" s="222"/>
      <c r="J2025" s="223"/>
      <c r="K2025" s="40"/>
      <c r="L2025" s="70" t="s">
        <v>935</v>
      </c>
      <c r="M2025" s="122" t="s">
        <v>61</v>
      </c>
      <c r="N2025" s="240">
        <f>N1934</f>
        <v>0</v>
      </c>
      <c r="O2025" s="241"/>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44" t="s">
        <v>800</v>
      </c>
      <c r="B2028" s="245"/>
      <c r="C2028" s="245"/>
      <c r="D2028" s="245"/>
      <c r="E2028" s="245"/>
      <c r="F2028" s="245"/>
      <c r="G2028" s="245"/>
      <c r="H2028" s="245"/>
      <c r="I2028" s="245"/>
      <c r="J2028" s="246"/>
      <c r="K2028" s="27"/>
      <c r="L2028" s="70" t="s">
        <v>795</v>
      </c>
      <c r="M2028" s="186" t="s">
        <v>61</v>
      </c>
      <c r="N2028" s="242">
        <f>MAX(N2022-N2025,0)</f>
        <v>0</v>
      </c>
      <c r="O2028" s="269"/>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21" t="s">
        <v>917</v>
      </c>
      <c r="B2031" s="222"/>
      <c r="C2031" s="222"/>
      <c r="D2031" s="222"/>
      <c r="E2031" s="222"/>
      <c r="F2031" s="222"/>
      <c r="G2031" s="222"/>
      <c r="H2031" s="222"/>
      <c r="I2031" s="222"/>
      <c r="J2031" s="223"/>
      <c r="K2031" s="40"/>
      <c r="L2031" s="70" t="s">
        <v>914</v>
      </c>
      <c r="M2031" s="122" t="s">
        <v>61</v>
      </c>
      <c r="N2031" s="240">
        <f>N1978</f>
        <v>0</v>
      </c>
      <c r="O2031" s="241"/>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24" t="s">
        <v>918</v>
      </c>
      <c r="B2034" s="225"/>
      <c r="C2034" s="225"/>
      <c r="D2034" s="225"/>
      <c r="E2034" s="225"/>
      <c r="F2034" s="225"/>
      <c r="G2034" s="225"/>
      <c r="H2034" s="225"/>
      <c r="I2034" s="225"/>
      <c r="J2034" s="226"/>
      <c r="K2034" s="27"/>
      <c r="L2034" s="70" t="s">
        <v>915</v>
      </c>
      <c r="M2034" s="186" t="s">
        <v>61</v>
      </c>
      <c r="N2034" s="242">
        <f>N1991</f>
        <v>0</v>
      </c>
      <c r="O2034" s="243"/>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21" t="s">
        <v>919</v>
      </c>
      <c r="B2037" s="222"/>
      <c r="C2037" s="222"/>
      <c r="D2037" s="222"/>
      <c r="E2037" s="222"/>
      <c r="F2037" s="222"/>
      <c r="G2037" s="222"/>
      <c r="H2037" s="222"/>
      <c r="I2037" s="222"/>
      <c r="J2037" s="223"/>
      <c r="K2037" s="40"/>
      <c r="L2037" s="70" t="s">
        <v>916</v>
      </c>
      <c r="M2037" s="122" t="s">
        <v>61</v>
      </c>
      <c r="N2037" s="240">
        <f>N1998</f>
        <v>0</v>
      </c>
      <c r="O2037" s="241"/>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31" t="s">
        <v>939</v>
      </c>
      <c r="B2041" s="232"/>
      <c r="C2041" s="232"/>
      <c r="D2041" s="232"/>
      <c r="F2041" s="233"/>
      <c r="G2041" s="233"/>
      <c r="H2041" s="233"/>
      <c r="I2041" s="233"/>
      <c r="J2041" s="233"/>
      <c r="K2041" s="233"/>
      <c r="L2041" s="233"/>
      <c r="M2041" s="233"/>
      <c r="N2041" s="233"/>
      <c r="O2041" s="233"/>
      <c r="P2041" s="233"/>
      <c r="Q2041" s="233"/>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1" t="s">
        <v>940</v>
      </c>
      <c r="B2045" s="212"/>
      <c r="C2045" s="212"/>
      <c r="D2045" s="212"/>
      <c r="E2045" s="212"/>
      <c r="F2045" s="212"/>
      <c r="G2045" s="212"/>
      <c r="H2045" s="212"/>
      <c r="I2045" s="212"/>
      <c r="J2045" s="212"/>
      <c r="K2045" s="212"/>
      <c r="L2045" s="212"/>
      <c r="M2045" s="212"/>
      <c r="N2045" s="212"/>
      <c r="O2045" s="212"/>
      <c r="P2045" s="95"/>
      <c r="Q2045" s="38"/>
    </row>
    <row r="2046" spans="1:17" ht="15" customHeight="1" x14ac:dyDescent="0.25">
      <c r="Q2046" s="38"/>
    </row>
    <row r="2047" spans="1:17" x14ac:dyDescent="0.25">
      <c r="Q2047" s="37"/>
    </row>
    <row r="2048" spans="1:17" ht="15.75" x14ac:dyDescent="0.25">
      <c r="A2048" s="231" t="s">
        <v>801</v>
      </c>
      <c r="B2048" s="232"/>
      <c r="C2048" s="232"/>
      <c r="D2048" s="232"/>
      <c r="F2048" s="233"/>
      <c r="G2048" s="233"/>
      <c r="H2048" s="233"/>
      <c r="I2048" s="233"/>
      <c r="J2048" s="233"/>
      <c r="K2048" s="233"/>
      <c r="L2048" s="233"/>
      <c r="M2048" s="233"/>
      <c r="N2048" s="233"/>
      <c r="O2048" s="233"/>
      <c r="P2048" s="233"/>
      <c r="Q2048" s="233"/>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34" t="s">
        <v>150</v>
      </c>
      <c r="B2050" s="235"/>
      <c r="C2050" s="235"/>
      <c r="D2050" s="235"/>
      <c r="E2050" s="236"/>
      <c r="F2050" s="236"/>
      <c r="G2050" s="236"/>
      <c r="H2050" s="236"/>
      <c r="I2050" s="236"/>
      <c r="J2050" s="236"/>
      <c r="K2050" s="236"/>
      <c r="L2050" s="236"/>
      <c r="M2050" s="236"/>
      <c r="N2050" s="236"/>
      <c r="O2050" s="236"/>
      <c r="P2050" s="236"/>
      <c r="Q2050" s="237"/>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24" t="s">
        <v>802</v>
      </c>
      <c r="B2053" s="225"/>
      <c r="C2053" s="225"/>
      <c r="D2053" s="225"/>
      <c r="E2053" s="225"/>
      <c r="F2053" s="225"/>
      <c r="G2053" s="225"/>
      <c r="H2053" s="225"/>
      <c r="I2053" s="225"/>
      <c r="J2053" s="226"/>
      <c r="K2053" s="27"/>
      <c r="L2053" s="70">
        <v>1</v>
      </c>
      <c r="M2053" s="67" t="s">
        <v>61</v>
      </c>
      <c r="N2053" s="213">
        <f>N1265</f>
        <v>0</v>
      </c>
      <c r="O2053" s="214"/>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34" t="s">
        <v>832</v>
      </c>
      <c r="B2057" s="235"/>
      <c r="C2057" s="235"/>
      <c r="D2057" s="235"/>
      <c r="E2057" s="236"/>
      <c r="F2057" s="236"/>
      <c r="G2057" s="236"/>
      <c r="H2057" s="236"/>
      <c r="I2057" s="236"/>
      <c r="J2057" s="236"/>
      <c r="K2057" s="236"/>
      <c r="L2057" s="236"/>
      <c r="M2057" s="236"/>
      <c r="N2057" s="236"/>
      <c r="O2057" s="236"/>
      <c r="P2057" s="236"/>
      <c r="Q2057" s="237"/>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24" t="s">
        <v>803</v>
      </c>
      <c r="B2060" s="225"/>
      <c r="C2060" s="225"/>
      <c r="D2060" s="225"/>
      <c r="E2060" s="225"/>
      <c r="F2060" s="225"/>
      <c r="G2060" s="225"/>
      <c r="H2060" s="225"/>
      <c r="I2060" s="225"/>
      <c r="J2060" s="226"/>
      <c r="K2060" s="27"/>
      <c r="L2060" s="70">
        <v>3</v>
      </c>
      <c r="M2060" s="186" t="s">
        <v>61</v>
      </c>
      <c r="N2060" s="242">
        <f>N2010</f>
        <v>0</v>
      </c>
      <c r="O2060" s="243"/>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21" t="s">
        <v>804</v>
      </c>
      <c r="B2063" s="222"/>
      <c r="C2063" s="222"/>
      <c r="D2063" s="222"/>
      <c r="E2063" s="222"/>
      <c r="F2063" s="222"/>
      <c r="G2063" s="222"/>
      <c r="H2063" s="222"/>
      <c r="I2063" s="222"/>
      <c r="J2063" s="223"/>
      <c r="K2063" s="40"/>
      <c r="L2063" s="70">
        <v>4</v>
      </c>
      <c r="M2063" s="107" t="s">
        <v>61</v>
      </c>
      <c r="N2063" s="240">
        <f>N2013</f>
        <v>0</v>
      </c>
      <c r="O2063" s="241"/>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24" t="s">
        <v>805</v>
      </c>
      <c r="B2066" s="225"/>
      <c r="C2066" s="225"/>
      <c r="D2066" s="225"/>
      <c r="E2066" s="225"/>
      <c r="F2066" s="225"/>
      <c r="G2066" s="225"/>
      <c r="H2066" s="225"/>
      <c r="I2066" s="225"/>
      <c r="J2066" s="226"/>
      <c r="K2066" s="27"/>
      <c r="L2066" s="70">
        <v>5</v>
      </c>
      <c r="M2066" s="186" t="s">
        <v>61</v>
      </c>
      <c r="N2066" s="242">
        <f>N2060-N2063</f>
        <v>0</v>
      </c>
      <c r="O2066" s="243"/>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65" t="s">
        <v>806</v>
      </c>
      <c r="B2069" s="222"/>
      <c r="C2069" s="222"/>
      <c r="D2069" s="222"/>
      <c r="E2069" s="222"/>
      <c r="F2069" s="222"/>
      <c r="G2069" s="222"/>
      <c r="H2069" s="222"/>
      <c r="I2069" s="222"/>
      <c r="J2069" s="223"/>
      <c r="K2069" s="40"/>
      <c r="L2069" s="70">
        <v>6</v>
      </c>
      <c r="M2069" s="107" t="s">
        <v>61</v>
      </c>
      <c r="N2069" s="240">
        <f>N2019</f>
        <v>0</v>
      </c>
      <c r="O2069" s="241"/>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60" t="s">
        <v>449</v>
      </c>
      <c r="L2072" s="261"/>
      <c r="M2072" s="261"/>
      <c r="N2072" s="261"/>
      <c r="O2072" s="261"/>
      <c r="P2072" s="262"/>
      <c r="Q2072" s="38"/>
    </row>
    <row r="2073" spans="1:17" x14ac:dyDescent="0.25">
      <c r="A2073" s="224" t="s">
        <v>807</v>
      </c>
      <c r="B2073" s="225"/>
      <c r="C2073" s="225"/>
      <c r="D2073" s="225"/>
      <c r="E2073" s="225"/>
      <c r="F2073" s="225"/>
      <c r="G2073" s="225"/>
      <c r="H2073" s="225"/>
      <c r="I2073" s="225"/>
      <c r="J2073" s="226"/>
      <c r="K2073" s="27"/>
      <c r="L2073" s="70">
        <v>11</v>
      </c>
      <c r="M2073" s="67" t="s">
        <v>61</v>
      </c>
      <c r="N2073" s="213"/>
      <c r="O2073" s="214"/>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52" t="s">
        <v>449</v>
      </c>
      <c r="L2076" s="253"/>
      <c r="M2076" s="253"/>
      <c r="N2076" s="253"/>
      <c r="O2076" s="253"/>
      <c r="P2076" s="254"/>
      <c r="Q2076" s="2"/>
    </row>
    <row r="2077" spans="1:17" x14ac:dyDescent="0.25">
      <c r="A2077" s="221" t="s">
        <v>808</v>
      </c>
      <c r="B2077" s="222"/>
      <c r="C2077" s="222"/>
      <c r="D2077" s="222"/>
      <c r="E2077" s="222"/>
      <c r="F2077" s="222"/>
      <c r="G2077" s="222"/>
      <c r="H2077" s="222"/>
      <c r="I2077" s="222"/>
      <c r="J2077" s="223"/>
      <c r="K2077" s="40"/>
      <c r="L2077" s="70">
        <v>14</v>
      </c>
      <c r="M2077" s="67" t="s">
        <v>61</v>
      </c>
      <c r="N2077" s="213"/>
      <c r="O2077" s="214"/>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31" t="s">
        <v>809</v>
      </c>
      <c r="B2081" s="232"/>
      <c r="C2081" s="232"/>
      <c r="D2081" s="232"/>
      <c r="F2081" s="233"/>
      <c r="G2081" s="233"/>
      <c r="H2081" s="233"/>
      <c r="I2081" s="233"/>
      <c r="J2081" s="233"/>
      <c r="K2081" s="233"/>
      <c r="L2081" s="233"/>
      <c r="M2081" s="233"/>
      <c r="N2081" s="233"/>
      <c r="O2081" s="233"/>
      <c r="P2081" s="233"/>
      <c r="Q2081" s="233"/>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24" t="s">
        <v>810</v>
      </c>
      <c r="B2085" s="225"/>
      <c r="C2085" s="225"/>
      <c r="D2085" s="225"/>
      <c r="E2085" s="225"/>
      <c r="F2085" s="225"/>
      <c r="G2085" s="225"/>
      <c r="H2085" s="225"/>
      <c r="I2085" s="225"/>
      <c r="J2085" s="226"/>
      <c r="K2085" s="27"/>
      <c r="L2085" s="70">
        <v>21</v>
      </c>
      <c r="M2085" s="186" t="s">
        <v>61</v>
      </c>
      <c r="N2085" s="242">
        <f>SUM(N2066,N2069,N2073,N2077)</f>
        <v>0</v>
      </c>
      <c r="O2085" s="243"/>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1" t="s">
        <v>811</v>
      </c>
      <c r="B2088" s="212"/>
      <c r="C2088" s="212"/>
      <c r="D2088" s="212"/>
      <c r="E2088" s="212"/>
      <c r="F2088" s="212"/>
      <c r="G2088" s="212"/>
      <c r="H2088" s="212"/>
      <c r="I2088" s="212"/>
      <c r="J2088" s="212"/>
      <c r="K2088" s="212"/>
      <c r="L2088" s="212"/>
      <c r="M2088" s="212"/>
      <c r="N2088" s="212"/>
      <c r="O2088" s="212"/>
      <c r="P2088" s="37"/>
      <c r="Q2088" s="38"/>
    </row>
    <row r="2089" spans="1:17" x14ac:dyDescent="0.25">
      <c r="Q2089" s="38"/>
    </row>
    <row r="2090" spans="1:17" ht="26.25" customHeight="1" x14ac:dyDescent="0.25">
      <c r="A2090" s="211" t="s">
        <v>812</v>
      </c>
      <c r="B2090" s="212"/>
      <c r="C2090" s="212"/>
      <c r="D2090" s="212"/>
      <c r="E2090" s="212"/>
      <c r="F2090" s="212"/>
      <c r="G2090" s="212"/>
      <c r="H2090" s="212"/>
      <c r="I2090" s="212"/>
      <c r="J2090" s="212"/>
      <c r="K2090" s="212"/>
      <c r="L2090" s="212"/>
      <c r="M2090" s="212"/>
      <c r="N2090" s="212"/>
      <c r="O2090" s="212"/>
      <c r="P2090" s="37"/>
      <c r="Q2090" s="38"/>
    </row>
    <row r="2091" spans="1:17" x14ac:dyDescent="0.25">
      <c r="Q2091" s="38"/>
    </row>
    <row r="2092" spans="1:17" ht="15" customHeight="1" x14ac:dyDescent="0.35">
      <c r="A2092" s="252" t="s">
        <v>942</v>
      </c>
      <c r="B2092" s="253"/>
      <c r="C2092" s="253"/>
      <c r="D2092" s="253"/>
      <c r="E2092" s="253"/>
      <c r="F2092" s="253"/>
      <c r="G2092" s="253"/>
      <c r="H2092" s="253"/>
      <c r="I2092" s="253"/>
      <c r="J2092" s="253"/>
      <c r="K2092" s="253"/>
      <c r="L2092" s="253"/>
      <c r="M2092" s="253"/>
      <c r="N2092" s="253"/>
      <c r="O2092" s="253"/>
      <c r="P2092" s="253"/>
      <c r="Q2092" s="2"/>
    </row>
    <row r="2093" spans="1:17" ht="15" customHeight="1" x14ac:dyDescent="0.25">
      <c r="A2093" s="266" t="s">
        <v>813</v>
      </c>
      <c r="B2093" s="266"/>
      <c r="C2093" s="266"/>
      <c r="D2093" s="266"/>
      <c r="E2093" s="266"/>
      <c r="F2093" s="266"/>
      <c r="G2093" s="266"/>
      <c r="H2093" s="266"/>
      <c r="I2093" s="266"/>
      <c r="J2093" s="58" t="s">
        <v>31</v>
      </c>
      <c r="K2093" s="59"/>
      <c r="L2093" s="263" t="s">
        <v>29</v>
      </c>
      <c r="M2093" s="264"/>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60" t="s">
        <v>449</v>
      </c>
      <c r="L2096" s="261"/>
      <c r="M2096" s="261"/>
      <c r="N2096" s="261"/>
      <c r="O2096" s="261"/>
      <c r="P2096" s="262"/>
      <c r="Q2096" s="38"/>
    </row>
    <row r="2097" spans="1:17" ht="27" customHeight="1" x14ac:dyDescent="0.25">
      <c r="A2097" s="255" t="s">
        <v>941</v>
      </c>
      <c r="B2097" s="256"/>
      <c r="C2097" s="256"/>
      <c r="D2097" s="256"/>
      <c r="E2097" s="256"/>
      <c r="F2097" s="256"/>
      <c r="G2097" s="256"/>
      <c r="H2097" s="256"/>
      <c r="I2097" s="256"/>
      <c r="J2097" s="257"/>
      <c r="K2097" s="27"/>
      <c r="L2097" s="70">
        <v>24</v>
      </c>
      <c r="M2097" s="120" t="s">
        <v>61</v>
      </c>
      <c r="N2097" s="258"/>
      <c r="O2097" s="259"/>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21" t="s">
        <v>943</v>
      </c>
      <c r="B2100" s="222"/>
      <c r="C2100" s="222"/>
      <c r="D2100" s="222"/>
      <c r="E2100" s="222"/>
      <c r="F2100" s="222"/>
      <c r="G2100" s="222"/>
      <c r="H2100" s="222"/>
      <c r="I2100" s="222"/>
      <c r="J2100" s="223"/>
      <c r="K2100" s="40"/>
      <c r="L2100" s="70">
        <v>30</v>
      </c>
      <c r="M2100" s="107" t="s">
        <v>61</v>
      </c>
      <c r="N2100" s="240">
        <f>N2025</f>
        <v>0</v>
      </c>
      <c r="O2100" s="241"/>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24" t="s">
        <v>944</v>
      </c>
      <c r="B2103" s="225"/>
      <c r="C2103" s="225"/>
      <c r="D2103" s="225"/>
      <c r="E2103" s="225"/>
      <c r="F2103" s="225"/>
      <c r="G2103" s="225"/>
      <c r="H2103" s="225"/>
      <c r="I2103" s="225"/>
      <c r="J2103" s="226"/>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52" t="s">
        <v>449</v>
      </c>
      <c r="L2106" s="253"/>
      <c r="M2106" s="253"/>
      <c r="N2106" s="253"/>
      <c r="O2106" s="253"/>
      <c r="P2106" s="254"/>
      <c r="Q2106" s="38"/>
    </row>
    <row r="2107" spans="1:17" ht="25.5" customHeight="1" x14ac:dyDescent="0.25">
      <c r="A2107" s="265" t="s">
        <v>945</v>
      </c>
      <c r="B2107" s="222"/>
      <c r="C2107" s="222"/>
      <c r="D2107" s="222"/>
      <c r="E2107" s="222"/>
      <c r="F2107" s="222"/>
      <c r="G2107" s="222"/>
      <c r="H2107" s="222"/>
      <c r="I2107" s="222"/>
      <c r="J2107" s="223"/>
      <c r="K2107" s="40"/>
      <c r="L2107" s="70">
        <v>32</v>
      </c>
      <c r="M2107" s="107" t="s">
        <v>61</v>
      </c>
      <c r="N2107" s="240">
        <f>N2056</f>
        <v>0</v>
      </c>
      <c r="O2107" s="241"/>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60" t="s">
        <v>449</v>
      </c>
      <c r="L2110" s="261"/>
      <c r="M2110" s="261"/>
      <c r="N2110" s="261"/>
      <c r="O2110" s="261"/>
      <c r="P2110" s="262"/>
      <c r="Q2110" s="38"/>
    </row>
    <row r="2111" spans="1:17" x14ac:dyDescent="0.25">
      <c r="A2111" s="224" t="s">
        <v>946</v>
      </c>
      <c r="B2111" s="225"/>
      <c r="C2111" s="225"/>
      <c r="D2111" s="225"/>
      <c r="E2111" s="225"/>
      <c r="F2111" s="225"/>
      <c r="G2111" s="225"/>
      <c r="H2111" s="225"/>
      <c r="I2111" s="225"/>
      <c r="J2111" s="226"/>
      <c r="K2111" s="27"/>
      <c r="L2111" s="70">
        <v>35</v>
      </c>
      <c r="M2111" s="67" t="s">
        <v>61</v>
      </c>
      <c r="N2111" s="213"/>
      <c r="O2111" s="214"/>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31" t="s">
        <v>947</v>
      </c>
      <c r="B2115" s="232"/>
      <c r="C2115" s="232"/>
      <c r="D2115" s="232"/>
      <c r="F2115" s="233"/>
      <c r="G2115" s="233"/>
      <c r="H2115" s="233"/>
      <c r="I2115" s="233"/>
      <c r="J2115" s="233"/>
      <c r="K2115" s="233"/>
      <c r="L2115" s="233"/>
      <c r="M2115" s="233"/>
      <c r="N2115" s="233"/>
      <c r="O2115" s="233"/>
      <c r="P2115" s="233"/>
      <c r="Q2115" s="233"/>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24" t="s">
        <v>814</v>
      </c>
      <c r="B2119" s="225"/>
      <c r="C2119" s="225"/>
      <c r="D2119" s="225"/>
      <c r="E2119" s="225"/>
      <c r="F2119" s="225"/>
      <c r="G2119" s="225"/>
      <c r="H2119" s="225"/>
      <c r="I2119" s="225"/>
      <c r="J2119" s="226"/>
      <c r="K2119" s="27"/>
      <c r="L2119" s="70">
        <v>37</v>
      </c>
      <c r="M2119" s="186" t="s">
        <v>61</v>
      </c>
      <c r="N2119" s="242">
        <f>N2028</f>
        <v>0</v>
      </c>
      <c r="O2119" s="243"/>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1" t="s">
        <v>815</v>
      </c>
      <c r="B2122" s="212"/>
      <c r="C2122" s="212"/>
      <c r="D2122" s="212"/>
      <c r="E2122" s="212"/>
      <c r="F2122" s="212"/>
      <c r="G2122" s="212"/>
      <c r="H2122" s="212"/>
      <c r="I2122" s="212"/>
      <c r="J2122" s="212"/>
      <c r="K2122" s="212"/>
      <c r="L2122" s="212"/>
      <c r="M2122" s="212"/>
      <c r="N2122" s="212"/>
      <c r="O2122" s="212"/>
      <c r="P2122" s="37"/>
      <c r="Q2122" s="38"/>
    </row>
    <row r="2123" spans="1:17" x14ac:dyDescent="0.25">
      <c r="Q2123" s="38"/>
    </row>
    <row r="2124" spans="1:17" ht="15" customHeight="1" x14ac:dyDescent="0.25">
      <c r="A2124" s="266" t="s">
        <v>816</v>
      </c>
      <c r="B2124" s="266"/>
      <c r="C2124" s="266"/>
      <c r="D2124" s="266"/>
      <c r="E2124" s="266"/>
      <c r="F2124" s="266"/>
      <c r="G2124" s="266"/>
      <c r="H2124" s="266"/>
      <c r="I2124" s="266"/>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34" t="s">
        <v>817</v>
      </c>
      <c r="B2127" s="235"/>
      <c r="C2127" s="235"/>
      <c r="D2127" s="235"/>
      <c r="E2127" s="236"/>
      <c r="F2127" s="236"/>
      <c r="G2127" s="236"/>
      <c r="H2127" s="236"/>
      <c r="I2127" s="236"/>
      <c r="J2127" s="236"/>
      <c r="K2127" s="236"/>
      <c r="L2127" s="236"/>
      <c r="M2127" s="236"/>
      <c r="N2127" s="236"/>
      <c r="O2127" s="236"/>
      <c r="P2127" s="236"/>
      <c r="Q2127" s="237"/>
    </row>
    <row r="2128" spans="1:17" x14ac:dyDescent="0.25">
      <c r="Q2128" s="38"/>
    </row>
    <row r="2129" spans="1:17" ht="15" customHeight="1" x14ac:dyDescent="0.25">
      <c r="A2129" s="266" t="s">
        <v>818</v>
      </c>
      <c r="B2129" s="266"/>
      <c r="C2129" s="266"/>
      <c r="D2129" s="266"/>
      <c r="E2129" s="266"/>
      <c r="F2129" s="266"/>
      <c r="G2129" s="266"/>
      <c r="H2129" s="266"/>
      <c r="I2129" s="266"/>
      <c r="J2129" s="58" t="s">
        <v>31</v>
      </c>
      <c r="K2129" s="59"/>
      <c r="L2129" s="263" t="s">
        <v>29</v>
      </c>
      <c r="M2129" s="264"/>
      <c r="N2129" s="60" t="s">
        <v>32</v>
      </c>
      <c r="O2129" s="59" t="s">
        <v>30</v>
      </c>
      <c r="Q2129" s="38"/>
    </row>
    <row r="2130" spans="1:17" x14ac:dyDescent="0.25">
      <c r="Q2130" s="38"/>
    </row>
    <row r="2131" spans="1:17" ht="15" customHeight="1" x14ac:dyDescent="0.25">
      <c r="A2131" s="266" t="s">
        <v>819</v>
      </c>
      <c r="B2131" s="266"/>
      <c r="C2131" s="266"/>
      <c r="D2131" s="266"/>
      <c r="E2131" s="266"/>
      <c r="F2131" s="266"/>
      <c r="G2131" s="266"/>
      <c r="H2131" s="266"/>
      <c r="I2131" s="266"/>
      <c r="J2131" s="58" t="s">
        <v>31</v>
      </c>
      <c r="K2131" s="59"/>
      <c r="L2131" s="263" t="s">
        <v>29</v>
      </c>
      <c r="M2131" s="264"/>
      <c r="N2131" s="60" t="s">
        <v>32</v>
      </c>
      <c r="O2131" s="59" t="s">
        <v>30</v>
      </c>
      <c r="Q2131" s="38"/>
    </row>
    <row r="2132" spans="1:17" x14ac:dyDescent="0.25">
      <c r="Q2132" s="38"/>
    </row>
    <row r="2133" spans="1:17" ht="5.0999999999999996" customHeight="1" x14ac:dyDescent="0.25"/>
    <row r="2134" spans="1:17" x14ac:dyDescent="0.25">
      <c r="A2134" s="234" t="s">
        <v>817</v>
      </c>
      <c r="B2134" s="235"/>
      <c r="C2134" s="235"/>
      <c r="D2134" s="235"/>
      <c r="E2134" s="236"/>
      <c r="F2134" s="236"/>
      <c r="G2134" s="236"/>
      <c r="H2134" s="236"/>
      <c r="I2134" s="236"/>
      <c r="J2134" s="236"/>
      <c r="K2134" s="236"/>
      <c r="L2134" s="236"/>
      <c r="M2134" s="236"/>
      <c r="N2134" s="236"/>
      <c r="O2134" s="236"/>
      <c r="P2134" s="236"/>
      <c r="Q2134" s="237"/>
    </row>
    <row r="2135" spans="1:17" ht="5.0999999999999996" customHeight="1" x14ac:dyDescent="0.25">
      <c r="Q2135" s="38"/>
    </row>
    <row r="2136" spans="1:17" ht="15" customHeight="1" x14ac:dyDescent="0.25">
      <c r="A2136" s="211" t="s">
        <v>820</v>
      </c>
      <c r="B2136" s="212"/>
      <c r="C2136" s="212"/>
      <c r="D2136" s="212"/>
      <c r="E2136" s="212"/>
      <c r="F2136" s="212"/>
      <c r="G2136" s="212"/>
      <c r="H2136" s="212"/>
      <c r="I2136" s="212"/>
      <c r="J2136" s="212"/>
      <c r="K2136" s="212"/>
      <c r="L2136" s="212"/>
      <c r="M2136" s="212"/>
      <c r="N2136" s="212"/>
      <c r="O2136" s="212"/>
      <c r="P2136" s="37"/>
      <c r="Q2136" s="38"/>
    </row>
    <row r="2137" spans="1:17" x14ac:dyDescent="0.25">
      <c r="Q2137" s="38"/>
    </row>
    <row r="2138" spans="1:17" x14ac:dyDescent="0.25">
      <c r="A2138" s="238" t="str">
        <f>"Financial year " &amp; [1]CorporationTax!$E$33</f>
        <v>Financial year 2022</v>
      </c>
      <c r="B2138" s="239"/>
      <c r="C2138" s="212"/>
      <c r="D2138" s="212"/>
      <c r="E2138" s="72"/>
      <c r="F2138" s="238"/>
      <c r="G2138" s="238"/>
      <c r="H2138" s="238"/>
      <c r="I2138" s="238"/>
      <c r="J2138" s="238"/>
      <c r="K2138" s="238"/>
      <c r="L2138" s="238"/>
      <c r="M2138" s="238"/>
      <c r="N2138" s="238"/>
      <c r="O2138" s="238"/>
      <c r="P2138" s="238"/>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24" t="s">
        <v>821</v>
      </c>
      <c r="B2141" s="225"/>
      <c r="C2141" s="225"/>
      <c r="D2141" s="225"/>
      <c r="E2141" s="225"/>
      <c r="F2141" s="225"/>
      <c r="G2141" s="225"/>
      <c r="H2141" s="225"/>
      <c r="I2141" s="225"/>
      <c r="J2141" s="226"/>
      <c r="K2141" s="27"/>
      <c r="L2141" s="70">
        <v>45</v>
      </c>
      <c r="M2141" s="267">
        <f>[1]CorporationTax!$G$33/100</f>
        <v>0.19</v>
      </c>
      <c r="N2141" s="268"/>
      <c r="O2141" s="268"/>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21" t="s">
        <v>822</v>
      </c>
      <c r="B2144" s="222"/>
      <c r="C2144" s="222"/>
      <c r="D2144" s="222"/>
      <c r="E2144" s="222"/>
      <c r="F2144" s="222"/>
      <c r="G2144" s="222"/>
      <c r="H2144" s="222"/>
      <c r="I2144" s="222"/>
      <c r="J2144" s="223"/>
      <c r="K2144" s="40"/>
      <c r="L2144" s="70">
        <v>44</v>
      </c>
      <c r="M2144" s="107" t="s">
        <v>61</v>
      </c>
      <c r="N2144" s="240">
        <f>ROUND(N2119*([1]CorporationTax!$A$33/[1]CorporationTax!$A$35),D2)</f>
        <v>0</v>
      </c>
      <c r="O2144" s="241"/>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24" t="s">
        <v>823</v>
      </c>
      <c r="B2147" s="225"/>
      <c r="C2147" s="225"/>
      <c r="D2147" s="225"/>
      <c r="E2147" s="225"/>
      <c r="F2147" s="225"/>
      <c r="G2147" s="225"/>
      <c r="H2147" s="225"/>
      <c r="I2147" s="225"/>
      <c r="J2147" s="226"/>
      <c r="K2147" s="27"/>
      <c r="L2147" s="70">
        <v>46</v>
      </c>
      <c r="M2147" s="186" t="s">
        <v>61</v>
      </c>
      <c r="N2147" s="242">
        <f>N2144*M2141</f>
        <v>0</v>
      </c>
      <c r="O2147" s="243"/>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38" t="str">
        <f>"Financial year " &amp; [1]CorporationTax!$E$34</f>
        <v>Financial year 2023</v>
      </c>
      <c r="B2150" s="239"/>
      <c r="C2150" s="212"/>
      <c r="D2150" s="212"/>
      <c r="E2150" s="72"/>
      <c r="F2150" s="238"/>
      <c r="G2150" s="238"/>
      <c r="H2150" s="238"/>
      <c r="I2150" s="238"/>
      <c r="J2150" s="238"/>
      <c r="K2150" s="238"/>
      <c r="L2150" s="238"/>
      <c r="M2150" s="238"/>
      <c r="N2150" s="238"/>
      <c r="O2150" s="238"/>
      <c r="P2150" s="238"/>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24" t="s">
        <v>821</v>
      </c>
      <c r="B2153" s="225"/>
      <c r="C2153" s="225"/>
      <c r="D2153" s="225"/>
      <c r="E2153" s="225"/>
      <c r="F2153" s="225"/>
      <c r="G2153" s="225"/>
      <c r="H2153" s="225"/>
      <c r="I2153" s="225"/>
      <c r="J2153" s="226"/>
      <c r="K2153" s="27"/>
      <c r="L2153" s="70">
        <v>55</v>
      </c>
      <c r="M2153" s="267">
        <f>[1]CorporationTax!$G$34/100</f>
        <v>0.19</v>
      </c>
      <c r="N2153" s="268"/>
      <c r="O2153" s="268"/>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21" t="s">
        <v>822</v>
      </c>
      <c r="B2156" s="222"/>
      <c r="C2156" s="222"/>
      <c r="D2156" s="222"/>
      <c r="E2156" s="222"/>
      <c r="F2156" s="222"/>
      <c r="G2156" s="222"/>
      <c r="H2156" s="222"/>
      <c r="I2156" s="222"/>
      <c r="J2156" s="223"/>
      <c r="K2156" s="40"/>
      <c r="L2156" s="70">
        <v>54</v>
      </c>
      <c r="M2156" s="107" t="s">
        <v>61</v>
      </c>
      <c r="N2156" s="240">
        <f>ROUND(N2119*([1]CorporationTax!$A$34/[1]CorporationTax!$A$35),D2)</f>
        <v>0</v>
      </c>
      <c r="O2156" s="241"/>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24" t="s">
        <v>823</v>
      </c>
      <c r="B2159" s="225"/>
      <c r="C2159" s="225"/>
      <c r="D2159" s="225"/>
      <c r="E2159" s="225"/>
      <c r="F2159" s="225"/>
      <c r="G2159" s="225"/>
      <c r="H2159" s="225"/>
      <c r="I2159" s="225"/>
      <c r="J2159" s="226"/>
      <c r="K2159" s="27"/>
      <c r="L2159" s="70">
        <v>56</v>
      </c>
      <c r="M2159" s="186" t="s">
        <v>61</v>
      </c>
      <c r="N2159" s="242">
        <f>N2156*M2153</f>
        <v>0</v>
      </c>
      <c r="O2159" s="243"/>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38" t="s">
        <v>824</v>
      </c>
      <c r="B2162" s="239"/>
      <c r="C2162" s="212"/>
      <c r="D2162" s="212"/>
      <c r="E2162" s="72"/>
      <c r="F2162" s="238"/>
      <c r="G2162" s="238"/>
      <c r="H2162" s="238"/>
      <c r="I2162" s="238"/>
      <c r="J2162" s="238"/>
      <c r="K2162" s="238"/>
      <c r="L2162" s="238"/>
      <c r="M2162" s="238"/>
      <c r="N2162" s="238"/>
      <c r="O2162" s="238"/>
      <c r="P2162" s="238"/>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44" t="s">
        <v>825</v>
      </c>
      <c r="B2165" s="245"/>
      <c r="C2165" s="245"/>
      <c r="D2165" s="245"/>
      <c r="E2165" s="245"/>
      <c r="F2165" s="245"/>
      <c r="G2165" s="245"/>
      <c r="H2165" s="245"/>
      <c r="I2165" s="245"/>
      <c r="J2165" s="246"/>
      <c r="K2165" s="27"/>
      <c r="L2165" s="70">
        <v>70</v>
      </c>
      <c r="M2165" s="200" t="s">
        <v>61</v>
      </c>
      <c r="N2165" s="242">
        <f>N2147+N2159</f>
        <v>0</v>
      </c>
      <c r="O2165" s="269"/>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270" t="s">
        <v>826</v>
      </c>
      <c r="B2169" s="271"/>
      <c r="C2169" s="271"/>
      <c r="D2169" s="271"/>
      <c r="F2169" s="233"/>
      <c r="G2169" s="233"/>
      <c r="H2169" s="233"/>
      <c r="I2169" s="233"/>
      <c r="J2169" s="233"/>
      <c r="K2169" s="233"/>
      <c r="L2169" s="233"/>
      <c r="M2169" s="233"/>
      <c r="N2169" s="233"/>
      <c r="O2169" s="233"/>
      <c r="P2169" s="233"/>
      <c r="Q2169" s="233"/>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1" t="s">
        <v>827</v>
      </c>
      <c r="B2172" s="212"/>
      <c r="C2172" s="212"/>
      <c r="D2172" s="212"/>
      <c r="E2172" s="212"/>
      <c r="F2172" s="212"/>
      <c r="G2172" s="212"/>
      <c r="H2172" s="212"/>
      <c r="I2172" s="212"/>
      <c r="J2172" s="212"/>
      <c r="K2172" s="212"/>
      <c r="L2172" s="212"/>
      <c r="M2172" s="212"/>
      <c r="N2172" s="212"/>
      <c r="O2172" s="212"/>
      <c r="P2172" s="37"/>
      <c r="Q2172" s="38"/>
    </row>
    <row r="2173" spans="1:17" x14ac:dyDescent="0.25">
      <c r="Q2173" s="38"/>
    </row>
    <row r="2174" spans="1:17" ht="15" customHeight="1" x14ac:dyDescent="0.35">
      <c r="A2174" s="252" t="s">
        <v>990</v>
      </c>
      <c r="B2174" s="253"/>
      <c r="C2174" s="253"/>
      <c r="D2174" s="253"/>
      <c r="E2174" s="253"/>
      <c r="F2174" s="253"/>
      <c r="G2174" s="253"/>
      <c r="H2174" s="253"/>
      <c r="I2174" s="253"/>
      <c r="J2174" s="253"/>
      <c r="K2174" s="253"/>
      <c r="L2174" s="253"/>
      <c r="M2174" s="253"/>
      <c r="N2174" s="253"/>
      <c r="O2174" s="253"/>
      <c r="P2174" s="253"/>
      <c r="Q2174" s="2"/>
    </row>
    <row r="2175" spans="1:17" ht="15" customHeight="1" x14ac:dyDescent="0.25">
      <c r="A2175" s="266" t="s">
        <v>828</v>
      </c>
      <c r="B2175" s="266"/>
      <c r="C2175" s="266"/>
      <c r="D2175" s="266"/>
      <c r="E2175" s="266"/>
      <c r="F2175" s="266"/>
      <c r="G2175" s="266"/>
      <c r="H2175" s="266"/>
      <c r="I2175" s="266"/>
      <c r="J2175" s="58" t="s">
        <v>31</v>
      </c>
      <c r="K2175" s="59"/>
      <c r="L2175" s="263" t="s">
        <v>29</v>
      </c>
      <c r="M2175" s="264"/>
      <c r="N2175" s="60" t="s">
        <v>32</v>
      </c>
      <c r="O2175" s="59" t="s">
        <v>30</v>
      </c>
      <c r="Q2175" s="38"/>
    </row>
    <row r="2176" spans="1:17" x14ac:dyDescent="0.25">
      <c r="Q2176" s="38"/>
    </row>
    <row r="2178" spans="1:17" ht="15.75" x14ac:dyDescent="0.25">
      <c r="A2178" s="231" t="s">
        <v>826</v>
      </c>
      <c r="B2178" s="232"/>
      <c r="C2178" s="232"/>
      <c r="D2178" s="232"/>
      <c r="F2178" s="233"/>
      <c r="G2178" s="233"/>
      <c r="H2178" s="233"/>
      <c r="I2178" s="233"/>
      <c r="J2178" s="233"/>
      <c r="K2178" s="233"/>
      <c r="L2178" s="233"/>
      <c r="M2178" s="233"/>
      <c r="N2178" s="233"/>
      <c r="O2178" s="233"/>
      <c r="P2178" s="233"/>
      <c r="Q2178" s="233"/>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1" t="s">
        <v>830</v>
      </c>
      <c r="B2181" s="212"/>
      <c r="C2181" s="212"/>
      <c r="D2181" s="212"/>
      <c r="E2181" s="212"/>
      <c r="F2181" s="212"/>
      <c r="G2181" s="212"/>
      <c r="H2181" s="212"/>
      <c r="I2181" s="212"/>
      <c r="J2181" s="212"/>
      <c r="K2181" s="212"/>
      <c r="L2181" s="212"/>
      <c r="M2181" s="212"/>
      <c r="N2181" s="212"/>
      <c r="O2181" s="212"/>
      <c r="P2181" s="37"/>
      <c r="Q2181" s="38"/>
    </row>
    <row r="2182" spans="1:17" x14ac:dyDescent="0.25">
      <c r="Q2182" s="38"/>
    </row>
    <row r="2183" spans="1:17" ht="15" customHeight="1" x14ac:dyDescent="0.35">
      <c r="A2183" s="252" t="s">
        <v>831</v>
      </c>
      <c r="B2183" s="253"/>
      <c r="C2183" s="253"/>
      <c r="D2183" s="253"/>
      <c r="E2183" s="253"/>
      <c r="F2183" s="253"/>
      <c r="G2183" s="253"/>
      <c r="H2183" s="253"/>
      <c r="I2183" s="253"/>
      <c r="J2183" s="253"/>
      <c r="K2183" s="253"/>
      <c r="L2183" s="253"/>
      <c r="M2183" s="253"/>
      <c r="N2183" s="253"/>
      <c r="O2183" s="253"/>
      <c r="P2183" s="253"/>
      <c r="Q2183" s="2"/>
    </row>
    <row r="2184" spans="1:17" ht="15" customHeight="1" x14ac:dyDescent="0.25">
      <c r="A2184" s="266" t="s">
        <v>829</v>
      </c>
      <c r="B2184" s="266"/>
      <c r="C2184" s="266"/>
      <c r="D2184" s="266"/>
      <c r="E2184" s="266"/>
      <c r="F2184" s="266"/>
      <c r="G2184" s="266"/>
      <c r="H2184" s="266"/>
      <c r="I2184" s="266"/>
      <c r="J2184" s="58" t="s">
        <v>31</v>
      </c>
      <c r="K2184" s="59"/>
      <c r="L2184" s="263" t="s">
        <v>29</v>
      </c>
      <c r="M2184" s="264"/>
      <c r="N2184" s="60" t="s">
        <v>32</v>
      </c>
      <c r="O2184" s="59" t="s">
        <v>30</v>
      </c>
      <c r="Q2184" s="38"/>
    </row>
    <row r="2185" spans="1:17" x14ac:dyDescent="0.25">
      <c r="Q2185" s="38"/>
    </row>
    <row r="2187" spans="1:17" ht="15.75" x14ac:dyDescent="0.25">
      <c r="A2187" s="231" t="s">
        <v>833</v>
      </c>
      <c r="B2187" s="232"/>
      <c r="C2187" s="232"/>
      <c r="D2187" s="232"/>
      <c r="F2187" s="233"/>
      <c r="G2187" s="233"/>
      <c r="H2187" s="233"/>
      <c r="I2187" s="233"/>
      <c r="J2187" s="233"/>
      <c r="K2187" s="233"/>
      <c r="L2187" s="233"/>
      <c r="M2187" s="233"/>
      <c r="N2187" s="233"/>
      <c r="O2187" s="233"/>
      <c r="P2187" s="233"/>
      <c r="Q2187" s="233"/>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1" t="s">
        <v>834</v>
      </c>
      <c r="B2190" s="212"/>
      <c r="C2190" s="212"/>
      <c r="D2190" s="212"/>
      <c r="E2190" s="212"/>
      <c r="F2190" s="212"/>
      <c r="G2190" s="212"/>
      <c r="H2190" s="212"/>
      <c r="I2190" s="212"/>
      <c r="J2190" s="212"/>
      <c r="K2190" s="212"/>
      <c r="L2190" s="212"/>
      <c r="M2190" s="212"/>
      <c r="N2190" s="212"/>
      <c r="O2190" s="212"/>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1" t="s">
        <v>835</v>
      </c>
      <c r="B2192" s="212"/>
      <c r="C2192" s="212"/>
      <c r="D2192" s="212"/>
      <c r="E2192" s="212"/>
      <c r="F2192" s="212"/>
      <c r="G2192" s="212"/>
      <c r="H2192" s="212"/>
      <c r="I2192" s="212"/>
      <c r="J2192" s="212"/>
      <c r="K2192" s="212"/>
      <c r="L2192" s="212"/>
      <c r="M2192" s="212"/>
      <c r="N2192" s="212"/>
      <c r="O2192" s="212"/>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52" t="s">
        <v>837</v>
      </c>
      <c r="B2195" s="253"/>
      <c r="C2195" s="253"/>
      <c r="D2195" s="253"/>
      <c r="E2195" s="253"/>
      <c r="F2195" s="253"/>
      <c r="G2195" s="253"/>
      <c r="H2195" s="253"/>
      <c r="I2195" s="253"/>
      <c r="J2195" s="253"/>
      <c r="K2195" s="253"/>
      <c r="L2195" s="253"/>
      <c r="M2195" s="253"/>
      <c r="N2195" s="253"/>
      <c r="O2195" s="253"/>
      <c r="P2195" s="253"/>
      <c r="Q2195" s="2"/>
    </row>
    <row r="2196" spans="1:17" ht="15" customHeight="1" x14ac:dyDescent="0.25">
      <c r="A2196" s="266" t="s">
        <v>836</v>
      </c>
      <c r="B2196" s="266"/>
      <c r="C2196" s="266"/>
      <c r="D2196" s="266"/>
      <c r="E2196" s="266"/>
      <c r="F2196" s="266"/>
      <c r="G2196" s="266"/>
      <c r="H2196" s="266"/>
      <c r="I2196" s="266"/>
      <c r="J2196" s="58" t="s">
        <v>31</v>
      </c>
      <c r="K2196" s="59"/>
      <c r="L2196" s="263" t="s">
        <v>29</v>
      </c>
      <c r="M2196" s="264"/>
      <c r="N2196" s="60" t="s">
        <v>32</v>
      </c>
      <c r="O2196" s="59" t="s">
        <v>30</v>
      </c>
      <c r="Q2196" s="38"/>
    </row>
    <row r="2197" spans="1:17" x14ac:dyDescent="0.25">
      <c r="Q2197" s="38"/>
    </row>
    <row r="2198" spans="1:17" x14ac:dyDescent="0.25">
      <c r="Q2198" s="37"/>
    </row>
    <row r="2199" spans="1:17" ht="15.75" x14ac:dyDescent="0.25">
      <c r="A2199" s="231" t="s">
        <v>700</v>
      </c>
      <c r="B2199" s="232"/>
      <c r="C2199" s="232"/>
      <c r="D2199" s="232"/>
      <c r="F2199" s="233"/>
      <c r="G2199" s="233"/>
      <c r="H2199" s="233"/>
      <c r="I2199" s="233"/>
      <c r="J2199" s="233"/>
      <c r="K2199" s="233"/>
      <c r="L2199" s="233"/>
      <c r="M2199" s="233"/>
      <c r="N2199" s="233"/>
      <c r="O2199" s="233"/>
      <c r="P2199" s="233"/>
      <c r="Q2199" s="233"/>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1" t="s">
        <v>838</v>
      </c>
      <c r="B2202" s="212"/>
      <c r="C2202" s="212"/>
      <c r="D2202" s="212"/>
      <c r="E2202" s="212"/>
      <c r="F2202" s="212"/>
      <c r="G2202" s="212"/>
      <c r="H2202" s="212"/>
      <c r="I2202" s="212"/>
      <c r="J2202" s="212"/>
      <c r="K2202" s="212"/>
      <c r="L2202" s="212"/>
      <c r="M2202" s="212"/>
      <c r="N2202" s="212"/>
      <c r="O2202" s="212"/>
      <c r="P2202" s="37"/>
      <c r="Q2202" s="38"/>
    </row>
    <row r="2203" spans="1:17" x14ac:dyDescent="0.25">
      <c r="Q2203" s="38"/>
    </row>
    <row r="2204" spans="1:17" ht="15" customHeight="1" x14ac:dyDescent="0.25">
      <c r="A2204" s="211" t="s">
        <v>839</v>
      </c>
      <c r="B2204" s="212"/>
      <c r="C2204" s="212"/>
      <c r="D2204" s="212"/>
      <c r="E2204" s="212"/>
      <c r="F2204" s="212"/>
      <c r="G2204" s="212"/>
      <c r="H2204" s="212"/>
      <c r="I2204" s="212"/>
      <c r="J2204" s="212"/>
      <c r="K2204" s="212"/>
      <c r="L2204" s="212"/>
      <c r="M2204" s="212"/>
      <c r="N2204" s="212"/>
      <c r="O2204" s="212"/>
      <c r="P2204" s="37"/>
      <c r="Q2204" s="38"/>
    </row>
    <row r="2205" spans="1:17" x14ac:dyDescent="0.25">
      <c r="Q2205" s="38"/>
    </row>
    <row r="2206" spans="1:17" ht="15" customHeight="1" x14ac:dyDescent="0.25">
      <c r="A2206" s="266" t="s">
        <v>840</v>
      </c>
      <c r="B2206" s="266"/>
      <c r="C2206" s="266"/>
      <c r="D2206" s="266"/>
      <c r="E2206" s="266"/>
      <c r="F2206" s="266"/>
      <c r="G2206" s="266"/>
      <c r="H2206" s="266"/>
      <c r="I2206" s="266"/>
      <c r="J2206" s="58" t="s">
        <v>31</v>
      </c>
      <c r="K2206" s="59"/>
      <c r="L2206" s="60" t="s">
        <v>32</v>
      </c>
      <c r="M2206" s="59" t="s">
        <v>29</v>
      </c>
      <c r="N2206" s="59"/>
      <c r="O2206" s="59" t="s">
        <v>30</v>
      </c>
      <c r="Q2206" s="38"/>
    </row>
    <row r="2207" spans="1:17" x14ac:dyDescent="0.25">
      <c r="Q2207" s="38"/>
    </row>
    <row r="2208" spans="1:17" ht="15" customHeight="1" x14ac:dyDescent="0.25">
      <c r="A2208" s="266" t="s">
        <v>841</v>
      </c>
      <c r="B2208" s="266"/>
      <c r="C2208" s="266"/>
      <c r="D2208" s="266"/>
      <c r="E2208" s="266"/>
      <c r="F2208" s="266"/>
      <c r="G2208" s="266"/>
      <c r="H2208" s="266"/>
      <c r="I2208" s="266"/>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34" t="s">
        <v>817</v>
      </c>
      <c r="B2211" s="235"/>
      <c r="C2211" s="235"/>
      <c r="D2211" s="235"/>
      <c r="E2211" s="236"/>
      <c r="F2211" s="236"/>
      <c r="G2211" s="236"/>
      <c r="H2211" s="236"/>
      <c r="I2211" s="236"/>
      <c r="J2211" s="236"/>
      <c r="K2211" s="236"/>
      <c r="L2211" s="236"/>
      <c r="M2211" s="236"/>
      <c r="N2211" s="236"/>
      <c r="O2211" s="236"/>
      <c r="P2211" s="236"/>
      <c r="Q2211" s="237"/>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38" t="s">
        <v>700</v>
      </c>
      <c r="B2213" s="239"/>
      <c r="C2213" s="212"/>
      <c r="D2213" s="212"/>
      <c r="E2213" s="72"/>
      <c r="F2213" s="238"/>
      <c r="G2213" s="238"/>
      <c r="H2213" s="238"/>
      <c r="I2213" s="238"/>
      <c r="J2213" s="238"/>
      <c r="K2213" s="238"/>
      <c r="L2213" s="238"/>
      <c r="M2213" s="238"/>
      <c r="N2213" s="238"/>
      <c r="O2213" s="238"/>
      <c r="P2213" s="238"/>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24" t="s">
        <v>842</v>
      </c>
      <c r="B2216" s="225"/>
      <c r="C2216" s="225"/>
      <c r="D2216" s="225"/>
      <c r="E2216" s="225"/>
      <c r="F2216" s="225"/>
      <c r="G2216" s="225"/>
      <c r="H2216" s="225"/>
      <c r="I2216" s="225"/>
      <c r="J2216" s="226"/>
      <c r="K2216" s="27"/>
      <c r="L2216" s="70">
        <v>172</v>
      </c>
      <c r="M2216" s="186" t="s">
        <v>61</v>
      </c>
      <c r="N2216" s="242">
        <f>N1972</f>
        <v>0</v>
      </c>
      <c r="O2216" s="243"/>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52" t="s">
        <v>449</v>
      </c>
      <c r="L2219" s="253"/>
      <c r="M2219" s="253"/>
      <c r="N2219" s="253"/>
      <c r="O2219" s="253"/>
      <c r="P2219" s="254"/>
      <c r="Q2219" s="38"/>
    </row>
    <row r="2220" spans="1:17" x14ac:dyDescent="0.25">
      <c r="A2220" s="221" t="s">
        <v>843</v>
      </c>
      <c r="B2220" s="222"/>
      <c r="C2220" s="222"/>
      <c r="D2220" s="222"/>
      <c r="E2220" s="222"/>
      <c r="F2220" s="222"/>
      <c r="G2220" s="222"/>
      <c r="H2220" s="222"/>
      <c r="I2220" s="222"/>
      <c r="J2220" s="223"/>
      <c r="K2220" s="40"/>
      <c r="L2220" s="70">
        <v>105</v>
      </c>
      <c r="M2220" s="67" t="s">
        <v>61</v>
      </c>
      <c r="N2220" s="213"/>
      <c r="O2220" s="214"/>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24" t="s">
        <v>844</v>
      </c>
      <c r="B2223" s="225"/>
      <c r="C2223" s="225"/>
      <c r="D2223" s="225"/>
      <c r="E2223" s="225"/>
      <c r="F2223" s="225"/>
      <c r="G2223" s="225"/>
      <c r="H2223" s="225"/>
      <c r="I2223" s="225"/>
      <c r="J2223" s="226"/>
      <c r="K2223" s="27"/>
      <c r="L2223" s="70">
        <v>107</v>
      </c>
      <c r="M2223" s="186" t="s">
        <v>61</v>
      </c>
      <c r="N2223" s="242">
        <f>N2216</f>
        <v>0</v>
      </c>
      <c r="O2223" s="243"/>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52" t="s">
        <v>449</v>
      </c>
      <c r="L2226" s="253"/>
      <c r="M2226" s="253"/>
      <c r="N2226" s="253"/>
      <c r="O2226" s="253"/>
      <c r="P2226" s="254"/>
      <c r="Q2226" s="38"/>
    </row>
    <row r="2227" spans="1:17" x14ac:dyDescent="0.25">
      <c r="A2227" s="221" t="s">
        <v>701</v>
      </c>
      <c r="B2227" s="222"/>
      <c r="C2227" s="222"/>
      <c r="D2227" s="222"/>
      <c r="E2227" s="222"/>
      <c r="F2227" s="222"/>
      <c r="G2227" s="222"/>
      <c r="H2227" s="222"/>
      <c r="I2227" s="222"/>
      <c r="J2227" s="223"/>
      <c r="K2227" s="40"/>
      <c r="L2227" s="70">
        <v>109</v>
      </c>
      <c r="M2227" s="107" t="s">
        <v>61</v>
      </c>
      <c r="N2227" s="240"/>
      <c r="O2227" s="241"/>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60" t="s">
        <v>449</v>
      </c>
      <c r="L2230" s="261"/>
      <c r="M2230" s="261"/>
      <c r="N2230" s="261"/>
      <c r="O2230" s="261"/>
      <c r="P2230" s="262"/>
      <c r="Q2230" s="38"/>
    </row>
    <row r="2231" spans="1:17" x14ac:dyDescent="0.25">
      <c r="A2231" s="224" t="s">
        <v>845</v>
      </c>
      <c r="B2231" s="225"/>
      <c r="C2231" s="225"/>
      <c r="D2231" s="225"/>
      <c r="E2231" s="225"/>
      <c r="F2231" s="225"/>
      <c r="G2231" s="225"/>
      <c r="H2231" s="225"/>
      <c r="I2231" s="225"/>
      <c r="J2231" s="226"/>
      <c r="K2231" s="27"/>
      <c r="L2231" s="70">
        <v>111</v>
      </c>
      <c r="M2231" s="67" t="s">
        <v>61</v>
      </c>
      <c r="N2231" s="213"/>
      <c r="O2231" s="214"/>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52" t="s">
        <v>449</v>
      </c>
      <c r="L2234" s="253"/>
      <c r="M2234" s="253"/>
      <c r="N2234" s="253"/>
      <c r="O2234" s="253"/>
      <c r="P2234" s="254"/>
      <c r="Q2234" s="38"/>
    </row>
    <row r="2235" spans="1:17" x14ac:dyDescent="0.25">
      <c r="A2235" s="221" t="s">
        <v>846</v>
      </c>
      <c r="B2235" s="222"/>
      <c r="C2235" s="222"/>
      <c r="D2235" s="222"/>
      <c r="E2235" s="222"/>
      <c r="F2235" s="222"/>
      <c r="G2235" s="222"/>
      <c r="H2235" s="222"/>
      <c r="I2235" s="222"/>
      <c r="J2235" s="223"/>
      <c r="K2235" s="40"/>
      <c r="L2235" s="70">
        <v>113</v>
      </c>
      <c r="M2235" s="67" t="s">
        <v>61</v>
      </c>
      <c r="N2235" s="213"/>
      <c r="O2235" s="214"/>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38" t="s">
        <v>703</v>
      </c>
      <c r="B2238" s="239"/>
      <c r="C2238" s="212"/>
      <c r="D2238" s="212"/>
      <c r="E2238" s="72"/>
      <c r="F2238" s="238"/>
      <c r="G2238" s="238"/>
      <c r="H2238" s="238"/>
      <c r="I2238" s="238"/>
      <c r="J2238" s="238"/>
      <c r="K2238" s="238"/>
      <c r="L2238" s="238"/>
      <c r="M2238" s="238"/>
      <c r="N2238" s="238"/>
      <c r="O2238" s="238"/>
      <c r="P2238" s="238"/>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60" t="s">
        <v>449</v>
      </c>
      <c r="L2241" s="261"/>
      <c r="M2241" s="261"/>
      <c r="N2241" s="261"/>
      <c r="O2241" s="261"/>
      <c r="P2241" s="262"/>
      <c r="Q2241" s="38"/>
    </row>
    <row r="2242" spans="1:17" x14ac:dyDescent="0.25">
      <c r="A2242" s="224" t="s">
        <v>843</v>
      </c>
      <c r="B2242" s="225"/>
      <c r="C2242" s="225"/>
      <c r="D2242" s="225"/>
      <c r="E2242" s="225"/>
      <c r="F2242" s="225"/>
      <c r="G2242" s="225"/>
      <c r="H2242" s="225"/>
      <c r="I2242" s="225"/>
      <c r="J2242" s="226"/>
      <c r="K2242" s="27"/>
      <c r="L2242" s="70">
        <v>106</v>
      </c>
      <c r="M2242" s="67" t="s">
        <v>61</v>
      </c>
      <c r="N2242" s="213"/>
      <c r="O2242" s="214"/>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52" t="s">
        <v>449</v>
      </c>
      <c r="L2245" s="253"/>
      <c r="M2245" s="253"/>
      <c r="N2245" s="253"/>
      <c r="O2245" s="253"/>
      <c r="P2245" s="254"/>
      <c r="Q2245" s="38"/>
    </row>
    <row r="2246" spans="1:17" x14ac:dyDescent="0.25">
      <c r="A2246" s="221" t="s">
        <v>844</v>
      </c>
      <c r="B2246" s="222"/>
      <c r="C2246" s="222"/>
      <c r="D2246" s="222"/>
      <c r="E2246" s="222"/>
      <c r="F2246" s="222"/>
      <c r="G2246" s="222"/>
      <c r="H2246" s="222"/>
      <c r="I2246" s="222"/>
      <c r="J2246" s="223"/>
      <c r="K2246" s="40"/>
      <c r="L2246" s="70">
        <v>108</v>
      </c>
      <c r="M2246" s="107" t="s">
        <v>61</v>
      </c>
      <c r="N2246" s="240">
        <f>N1975</f>
        <v>0</v>
      </c>
      <c r="O2246" s="241"/>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60" t="s">
        <v>449</v>
      </c>
      <c r="L2249" s="261"/>
      <c r="M2249" s="261"/>
      <c r="N2249" s="261"/>
      <c r="O2249" s="261"/>
      <c r="P2249" s="262"/>
      <c r="Q2249" s="38"/>
    </row>
    <row r="2250" spans="1:17" x14ac:dyDescent="0.25">
      <c r="A2250" s="224" t="s">
        <v>701</v>
      </c>
      <c r="B2250" s="225"/>
      <c r="C2250" s="225"/>
      <c r="D2250" s="225"/>
      <c r="E2250" s="225"/>
      <c r="F2250" s="225"/>
      <c r="G2250" s="225"/>
      <c r="H2250" s="225"/>
      <c r="I2250" s="225"/>
      <c r="J2250" s="226"/>
      <c r="K2250" s="27"/>
      <c r="L2250" s="70">
        <v>110</v>
      </c>
      <c r="M2250" s="186" t="s">
        <v>61</v>
      </c>
      <c r="N2250" s="242"/>
      <c r="O2250" s="243"/>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52" t="s">
        <v>449</v>
      </c>
      <c r="L2253" s="253"/>
      <c r="M2253" s="253"/>
      <c r="N2253" s="253"/>
      <c r="O2253" s="253"/>
      <c r="P2253" s="254"/>
      <c r="Q2253" s="38"/>
    </row>
    <row r="2254" spans="1:17" x14ac:dyDescent="0.25">
      <c r="A2254" s="221" t="s">
        <v>845</v>
      </c>
      <c r="B2254" s="222"/>
      <c r="C2254" s="222"/>
      <c r="D2254" s="222"/>
      <c r="E2254" s="222"/>
      <c r="F2254" s="222"/>
      <c r="G2254" s="222"/>
      <c r="H2254" s="222"/>
      <c r="I2254" s="222"/>
      <c r="J2254" s="223"/>
      <c r="K2254" s="40"/>
      <c r="L2254" s="70">
        <v>112</v>
      </c>
      <c r="M2254" s="67" t="s">
        <v>61</v>
      </c>
      <c r="N2254" s="213"/>
      <c r="O2254" s="214"/>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60" t="s">
        <v>449</v>
      </c>
      <c r="L2257" s="261"/>
      <c r="M2257" s="261"/>
      <c r="N2257" s="261"/>
      <c r="O2257" s="261"/>
      <c r="P2257" s="262"/>
      <c r="Q2257" s="38"/>
    </row>
    <row r="2258" spans="1:17" x14ac:dyDescent="0.25">
      <c r="A2258" s="224" t="s">
        <v>846</v>
      </c>
      <c r="B2258" s="225"/>
      <c r="C2258" s="225"/>
      <c r="D2258" s="225"/>
      <c r="E2258" s="225"/>
      <c r="F2258" s="225"/>
      <c r="G2258" s="225"/>
      <c r="H2258" s="225"/>
      <c r="I2258" s="225"/>
      <c r="J2258" s="226"/>
      <c r="K2258" s="27"/>
      <c r="L2258" s="70">
        <v>106</v>
      </c>
      <c r="M2258" s="67" t="s">
        <v>61</v>
      </c>
      <c r="N2258" s="213"/>
      <c r="O2258" s="214"/>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34" t="s">
        <v>991</v>
      </c>
      <c r="B2262" s="235"/>
      <c r="C2262" s="235"/>
      <c r="D2262" s="235"/>
      <c r="E2262" s="236"/>
      <c r="F2262" s="236"/>
      <c r="G2262" s="236"/>
      <c r="H2262" s="236"/>
      <c r="I2262" s="236"/>
      <c r="J2262" s="236"/>
      <c r="K2262" s="236"/>
      <c r="L2262" s="236"/>
      <c r="M2262" s="236"/>
      <c r="N2262" s="236"/>
      <c r="O2262" s="236"/>
      <c r="P2262" s="236"/>
      <c r="Q2262" s="237"/>
    </row>
    <row r="2263" spans="1:17" x14ac:dyDescent="0.25">
      <c r="Q2263" s="38"/>
    </row>
    <row r="2264" spans="1:17" x14ac:dyDescent="0.25">
      <c r="A2264" s="238" t="s">
        <v>700</v>
      </c>
      <c r="B2264" s="239"/>
      <c r="C2264" s="212"/>
      <c r="D2264" s="212"/>
      <c r="E2264" s="72"/>
      <c r="F2264" s="238"/>
      <c r="G2264" s="238"/>
      <c r="H2264" s="238"/>
      <c r="I2264" s="238"/>
      <c r="J2264" s="238"/>
      <c r="K2264" s="238"/>
      <c r="L2264" s="238"/>
      <c r="M2264" s="238"/>
      <c r="N2264" s="238"/>
      <c r="O2264" s="238"/>
      <c r="P2264" s="238"/>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60" t="s">
        <v>449</v>
      </c>
      <c r="L2267" s="261"/>
      <c r="M2267" s="261"/>
      <c r="N2267" s="261"/>
      <c r="O2267" s="261"/>
      <c r="P2267" s="262"/>
      <c r="Q2267" s="38"/>
    </row>
    <row r="2268" spans="1:17" x14ac:dyDescent="0.25">
      <c r="A2268" s="224" t="s">
        <v>842</v>
      </c>
      <c r="B2268" s="225"/>
      <c r="C2268" s="225"/>
      <c r="D2268" s="225"/>
      <c r="E2268" s="225"/>
      <c r="F2268" s="225"/>
      <c r="G2268" s="225"/>
      <c r="H2268" s="225"/>
      <c r="I2268" s="225"/>
      <c r="J2268" s="226"/>
      <c r="K2268" s="27"/>
      <c r="L2268" s="70">
        <v>173</v>
      </c>
      <c r="M2268" s="67" t="s">
        <v>61</v>
      </c>
      <c r="N2268" s="213"/>
      <c r="O2268" s="214"/>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52" t="s">
        <v>449</v>
      </c>
      <c r="L2271" s="253"/>
      <c r="M2271" s="253"/>
      <c r="N2271" s="253"/>
      <c r="O2271" s="253"/>
      <c r="P2271" s="254"/>
      <c r="Q2271" s="38"/>
    </row>
    <row r="2272" spans="1:17" x14ac:dyDescent="0.25">
      <c r="A2272" s="221" t="s">
        <v>847</v>
      </c>
      <c r="B2272" s="222"/>
      <c r="C2272" s="222"/>
      <c r="D2272" s="222"/>
      <c r="E2272" s="222"/>
      <c r="F2272" s="222"/>
      <c r="G2272" s="222"/>
      <c r="H2272" s="222"/>
      <c r="I2272" s="222"/>
      <c r="J2272" s="223"/>
      <c r="K2272" s="40"/>
      <c r="L2272" s="70">
        <v>115</v>
      </c>
      <c r="M2272" s="107" t="s">
        <v>61</v>
      </c>
      <c r="N2272" s="240"/>
      <c r="O2272" s="241"/>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60" t="s">
        <v>449</v>
      </c>
      <c r="L2275" s="261"/>
      <c r="M2275" s="261"/>
      <c r="N2275" s="261"/>
      <c r="O2275" s="261"/>
      <c r="P2275" s="262"/>
      <c r="Q2275" s="38"/>
    </row>
    <row r="2276" spans="1:17" x14ac:dyDescent="0.25">
      <c r="A2276" s="224" t="s">
        <v>848</v>
      </c>
      <c r="B2276" s="225"/>
      <c r="C2276" s="225"/>
      <c r="D2276" s="225"/>
      <c r="E2276" s="225"/>
      <c r="F2276" s="225"/>
      <c r="G2276" s="225"/>
      <c r="H2276" s="225"/>
      <c r="I2276" s="225"/>
      <c r="J2276" s="226"/>
      <c r="K2276" s="27"/>
      <c r="L2276" s="227" t="s">
        <v>29</v>
      </c>
      <c r="M2276" s="228"/>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38" t="s">
        <v>703</v>
      </c>
      <c r="B2279" s="239"/>
      <c r="C2279" s="212"/>
      <c r="D2279" s="212"/>
      <c r="E2279" s="72"/>
      <c r="F2279" s="238"/>
      <c r="G2279" s="238"/>
      <c r="H2279" s="238"/>
      <c r="I2279" s="238"/>
      <c r="J2279" s="238"/>
      <c r="K2279" s="238"/>
      <c r="L2279" s="238"/>
      <c r="M2279" s="238"/>
      <c r="N2279" s="238"/>
      <c r="O2279" s="238"/>
      <c r="P2279" s="238"/>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60" t="s">
        <v>449</v>
      </c>
      <c r="L2282" s="261"/>
      <c r="M2282" s="261"/>
      <c r="N2282" s="261"/>
      <c r="O2282" s="261"/>
      <c r="P2282" s="262"/>
      <c r="Q2282" s="38"/>
    </row>
    <row r="2283" spans="1:17" x14ac:dyDescent="0.25">
      <c r="A2283" s="224" t="s">
        <v>847</v>
      </c>
      <c r="B2283" s="225"/>
      <c r="C2283" s="225"/>
      <c r="D2283" s="225"/>
      <c r="E2283" s="225"/>
      <c r="F2283" s="225"/>
      <c r="G2283" s="225"/>
      <c r="H2283" s="225"/>
      <c r="I2283" s="225"/>
      <c r="J2283" s="226"/>
      <c r="K2283" s="27"/>
      <c r="L2283" s="70">
        <v>116</v>
      </c>
      <c r="M2283" s="67" t="s">
        <v>61</v>
      </c>
      <c r="N2283" s="213"/>
      <c r="O2283" s="214"/>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34" t="s">
        <v>849</v>
      </c>
      <c r="B2286" s="235"/>
      <c r="C2286" s="235"/>
      <c r="D2286" s="235"/>
      <c r="E2286" s="236"/>
      <c r="F2286" s="236"/>
      <c r="G2286" s="236"/>
      <c r="H2286" s="236"/>
      <c r="I2286" s="236"/>
      <c r="J2286" s="236"/>
      <c r="K2286" s="236"/>
      <c r="L2286" s="236"/>
      <c r="M2286" s="236"/>
      <c r="N2286" s="236"/>
      <c r="O2286" s="236"/>
      <c r="P2286" s="236"/>
      <c r="Q2286" s="237"/>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24" t="s">
        <v>850</v>
      </c>
      <c r="B2289" s="225"/>
      <c r="C2289" s="225"/>
      <c r="D2289" s="225"/>
      <c r="E2289" s="225"/>
      <c r="F2289" s="225"/>
      <c r="G2289" s="225"/>
      <c r="H2289" s="225"/>
      <c r="I2289" s="225"/>
      <c r="J2289" s="226"/>
      <c r="K2289" s="27"/>
      <c r="L2289" s="70">
        <v>118</v>
      </c>
      <c r="M2289" s="186" t="s">
        <v>61</v>
      </c>
      <c r="N2289" s="242">
        <f>N1985</f>
        <v>0</v>
      </c>
      <c r="O2289" s="243"/>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21" t="s">
        <v>851</v>
      </c>
      <c r="B2292" s="222"/>
      <c r="C2292" s="222"/>
      <c r="D2292" s="222"/>
      <c r="E2292" s="222"/>
      <c r="F2292" s="222"/>
      <c r="G2292" s="222"/>
      <c r="H2292" s="222"/>
      <c r="I2292" s="222"/>
      <c r="J2292" s="223"/>
      <c r="K2292" s="40"/>
      <c r="L2292" s="70">
        <v>174</v>
      </c>
      <c r="M2292" s="107" t="s">
        <v>61</v>
      </c>
      <c r="N2292" s="240">
        <f>N1988</f>
        <v>0</v>
      </c>
      <c r="O2292" s="241"/>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24" t="s">
        <v>852</v>
      </c>
      <c r="B2295" s="225"/>
      <c r="C2295" s="225"/>
      <c r="D2295" s="225"/>
      <c r="E2295" s="225"/>
      <c r="F2295" s="225"/>
      <c r="G2295" s="225"/>
      <c r="H2295" s="225"/>
      <c r="I2295" s="225"/>
      <c r="J2295" s="226"/>
      <c r="K2295" s="27"/>
      <c r="L2295" s="70">
        <v>120</v>
      </c>
      <c r="M2295" s="67" t="s">
        <v>61</v>
      </c>
      <c r="N2295" s="213"/>
      <c r="O2295" s="214"/>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21" t="s">
        <v>853</v>
      </c>
      <c r="B2298" s="222"/>
      <c r="C2298" s="222"/>
      <c r="D2298" s="222"/>
      <c r="E2298" s="222"/>
      <c r="F2298" s="222"/>
      <c r="G2298" s="222"/>
      <c r="H2298" s="222"/>
      <c r="I2298" s="222"/>
      <c r="J2298" s="223"/>
      <c r="K2298" s="40"/>
      <c r="L2298" s="70">
        <v>121</v>
      </c>
      <c r="M2298" s="107" t="s">
        <v>61</v>
      </c>
      <c r="N2298" s="240">
        <f>N2034</f>
        <v>0</v>
      </c>
      <c r="O2298" s="241"/>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31" t="s">
        <v>854</v>
      </c>
      <c r="B2302" s="232"/>
      <c r="C2302" s="232"/>
      <c r="D2302" s="232"/>
      <c r="F2302" s="233"/>
      <c r="G2302" s="233"/>
      <c r="H2302" s="233"/>
      <c r="I2302" s="233"/>
      <c r="J2302" s="233"/>
      <c r="K2302" s="233"/>
      <c r="L2302" s="233"/>
      <c r="M2302" s="233"/>
      <c r="N2302" s="233"/>
      <c r="O2302" s="233"/>
      <c r="P2302" s="233"/>
      <c r="Q2302" s="233"/>
    </row>
    <row r="2303" spans="1:17" ht="5.0999999999999996" customHeight="1" x14ac:dyDescent="0.25"/>
    <row r="2304" spans="1:17" x14ac:dyDescent="0.25">
      <c r="A2304" s="234" t="s">
        <v>855</v>
      </c>
      <c r="B2304" s="235"/>
      <c r="C2304" s="235"/>
      <c r="D2304" s="235"/>
      <c r="E2304" s="236"/>
      <c r="F2304" s="236"/>
      <c r="G2304" s="236"/>
      <c r="H2304" s="236"/>
      <c r="I2304" s="236"/>
      <c r="J2304" s="236"/>
      <c r="K2304" s="236"/>
      <c r="L2304" s="236"/>
      <c r="M2304" s="236"/>
      <c r="N2304" s="236"/>
      <c r="O2304" s="236"/>
      <c r="P2304" s="236"/>
      <c r="Q2304" s="237"/>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52"/>
      <c r="L2307" s="253"/>
      <c r="M2307" s="253"/>
      <c r="N2307" s="253"/>
      <c r="O2307" s="253"/>
      <c r="P2307" s="254"/>
      <c r="Q2307" s="38"/>
    </row>
    <row r="2308" spans="1:17" x14ac:dyDescent="0.25">
      <c r="A2308" s="221" t="s">
        <v>856</v>
      </c>
      <c r="B2308" s="222"/>
      <c r="C2308" s="222"/>
      <c r="D2308" s="222"/>
      <c r="E2308" s="222"/>
      <c r="F2308" s="222"/>
      <c r="G2308" s="222"/>
      <c r="H2308" s="222"/>
      <c r="I2308" s="222"/>
      <c r="J2308" s="223"/>
      <c r="K2308" s="40"/>
      <c r="L2308" s="70">
        <v>84</v>
      </c>
      <c r="M2308" s="67" t="s">
        <v>61</v>
      </c>
      <c r="N2308" s="213">
        <f>IF([1]TrialBalance!EH35&gt;0,[1]TrialBalance!EH35,0)</f>
        <v>0</v>
      </c>
      <c r="O2308" s="214"/>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60" t="s">
        <v>449</v>
      </c>
      <c r="L2311" s="261"/>
      <c r="M2311" s="261"/>
      <c r="N2311" s="261"/>
      <c r="O2311" s="261"/>
      <c r="P2311" s="262"/>
      <c r="Q2311" s="38"/>
    </row>
    <row r="2312" spans="1:17" x14ac:dyDescent="0.25">
      <c r="A2312" s="224" t="s">
        <v>857</v>
      </c>
      <c r="B2312" s="225"/>
      <c r="C2312" s="225"/>
      <c r="D2312" s="225"/>
      <c r="E2312" s="225"/>
      <c r="F2312" s="225"/>
      <c r="G2312" s="225"/>
      <c r="H2312" s="225"/>
      <c r="I2312" s="225"/>
      <c r="J2312" s="226"/>
      <c r="K2312" s="27"/>
      <c r="L2312" s="70">
        <v>85</v>
      </c>
      <c r="M2312" s="186" t="s">
        <v>61</v>
      </c>
      <c r="N2312" s="242" t="str">
        <f>IF(N2308-N2165&gt;0,N2308-N2165,"")</f>
        <v/>
      </c>
      <c r="O2312" s="243"/>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47" t="s">
        <v>858</v>
      </c>
      <c r="B2315" s="248"/>
      <c r="C2315" s="248"/>
      <c r="D2315" s="248"/>
      <c r="E2315" s="248"/>
      <c r="F2315" s="248"/>
      <c r="G2315" s="248"/>
      <c r="H2315" s="248"/>
      <c r="I2315" s="248"/>
      <c r="J2315" s="249"/>
      <c r="K2315" s="40"/>
      <c r="L2315" s="70">
        <v>86</v>
      </c>
      <c r="M2315" s="107" t="s">
        <v>61</v>
      </c>
      <c r="N2315" s="240">
        <f>IF(N2308-N2165&lt;0,-(N2308-N2165),0)</f>
        <v>0</v>
      </c>
      <c r="O2315" s="241"/>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34" t="s">
        <v>859</v>
      </c>
      <c r="B2319" s="235"/>
      <c r="C2319" s="235"/>
      <c r="D2319" s="235"/>
      <c r="E2319" s="236"/>
      <c r="F2319" s="236"/>
      <c r="G2319" s="236"/>
      <c r="H2319" s="236"/>
      <c r="I2319" s="236"/>
      <c r="J2319" s="236"/>
      <c r="K2319" s="236"/>
      <c r="L2319" s="236"/>
      <c r="M2319" s="236"/>
      <c r="N2319" s="236"/>
      <c r="O2319" s="236"/>
      <c r="P2319" s="236"/>
      <c r="Q2319" s="237"/>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450" t="s">
        <v>948</v>
      </c>
      <c r="B2322" s="451"/>
      <c r="C2322" s="451"/>
      <c r="D2322" s="451"/>
      <c r="E2322" s="451"/>
      <c r="F2322" s="451"/>
      <c r="G2322" s="451"/>
      <c r="H2322" s="451"/>
      <c r="I2322" s="451"/>
      <c r="J2322" s="451"/>
      <c r="K2322" s="451"/>
      <c r="L2322" s="451"/>
      <c r="M2322" s="451"/>
      <c r="N2322" s="451"/>
      <c r="O2322" s="451"/>
      <c r="P2322" s="452"/>
      <c r="Q2322" s="208"/>
    </row>
    <row r="2323" spans="1:17" x14ac:dyDescent="0.25">
      <c r="A2323" s="224" t="s">
        <v>860</v>
      </c>
      <c r="B2323" s="225"/>
      <c r="C2323" s="225"/>
      <c r="D2323" s="225"/>
      <c r="E2323" s="225"/>
      <c r="F2323" s="225"/>
      <c r="G2323" s="225"/>
      <c r="H2323" s="225"/>
      <c r="I2323" s="225"/>
      <c r="J2323" s="226"/>
      <c r="K2323" s="27"/>
      <c r="L2323" s="70">
        <v>91</v>
      </c>
      <c r="M2323" s="67" t="s">
        <v>61</v>
      </c>
      <c r="N2323" s="213">
        <v>0</v>
      </c>
      <c r="O2323" s="214"/>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47" t="s">
        <v>861</v>
      </c>
      <c r="B2326" s="248"/>
      <c r="C2326" s="248"/>
      <c r="D2326" s="248"/>
      <c r="E2326" s="248"/>
      <c r="F2326" s="248"/>
      <c r="G2326" s="248"/>
      <c r="H2326" s="248"/>
      <c r="I2326" s="248"/>
      <c r="J2326" s="249"/>
      <c r="K2326" s="40"/>
      <c r="L2326" s="70">
        <v>92</v>
      </c>
      <c r="M2326" s="107" t="s">
        <v>61</v>
      </c>
      <c r="N2326" s="240">
        <f>IF(N2315-N2323&gt;0,N2315-N2323,0)</f>
        <v>0</v>
      </c>
      <c r="O2326" s="241"/>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31" t="s">
        <v>862</v>
      </c>
      <c r="B2329" s="232"/>
      <c r="C2329" s="232"/>
      <c r="D2329" s="232"/>
      <c r="F2329" s="233"/>
      <c r="G2329" s="233"/>
      <c r="H2329" s="233"/>
      <c r="I2329" s="233"/>
      <c r="J2329" s="233"/>
      <c r="K2329" s="233"/>
      <c r="L2329" s="233"/>
      <c r="M2329" s="233"/>
      <c r="N2329" s="233"/>
      <c r="O2329" s="233"/>
      <c r="P2329" s="233"/>
      <c r="Q2329" s="233"/>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1" t="s">
        <v>871</v>
      </c>
      <c r="B2332" s="212"/>
      <c r="C2332" s="212"/>
      <c r="D2332" s="212"/>
      <c r="E2332" s="212"/>
      <c r="F2332" s="212"/>
      <c r="G2332" s="212"/>
      <c r="H2332" s="212"/>
      <c r="I2332" s="212"/>
      <c r="J2332" s="212"/>
      <c r="K2332" s="212"/>
      <c r="L2332" s="212"/>
      <c r="M2332" s="212"/>
      <c r="N2332" s="212"/>
      <c r="O2332" s="212"/>
      <c r="P2332" s="37"/>
      <c r="Q2332" s="38"/>
    </row>
    <row r="2333" spans="1:17" x14ac:dyDescent="0.25">
      <c r="Q2333" s="38"/>
    </row>
    <row r="2334" spans="1:17" ht="46.5" customHeight="1" x14ac:dyDescent="0.35">
      <c r="A2334" s="250" t="s">
        <v>992</v>
      </c>
      <c r="B2334" s="251"/>
      <c r="C2334" s="251"/>
      <c r="D2334" s="251"/>
      <c r="E2334" s="251"/>
      <c r="F2334" s="251"/>
      <c r="G2334" s="251"/>
      <c r="H2334" s="251"/>
      <c r="I2334" s="251"/>
      <c r="J2334" s="251"/>
      <c r="K2334" s="251"/>
      <c r="L2334" s="251"/>
      <c r="M2334" s="251"/>
      <c r="N2334" s="251"/>
      <c r="O2334" s="251"/>
      <c r="P2334" s="251"/>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24" t="s">
        <v>863</v>
      </c>
      <c r="B2337" s="225"/>
      <c r="C2337" s="225"/>
      <c r="D2337" s="225"/>
      <c r="E2337" s="225"/>
      <c r="F2337" s="225"/>
      <c r="G2337" s="225"/>
      <c r="H2337" s="225"/>
      <c r="I2337" s="225"/>
      <c r="J2337" s="226"/>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47" t="s">
        <v>864</v>
      </c>
      <c r="B2340" s="248"/>
      <c r="C2340" s="248"/>
      <c r="D2340" s="248"/>
      <c r="E2340" s="248"/>
      <c r="F2340" s="248"/>
      <c r="G2340" s="248"/>
      <c r="H2340" s="248"/>
      <c r="I2340" s="248"/>
      <c r="J2340" s="249"/>
      <c r="K2340" s="40"/>
      <c r="L2340" s="229" t="s">
        <v>29</v>
      </c>
      <c r="M2340" s="229"/>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24" t="s">
        <v>865</v>
      </c>
      <c r="B2343" s="225"/>
      <c r="C2343" s="225"/>
      <c r="D2343" s="225"/>
      <c r="E2343" s="225"/>
      <c r="F2343" s="225"/>
      <c r="G2343" s="225"/>
      <c r="H2343" s="225"/>
      <c r="I2343" s="225"/>
      <c r="J2343" s="226"/>
      <c r="K2343" s="27"/>
      <c r="L2343" s="227" t="s">
        <v>29</v>
      </c>
      <c r="M2343" s="228"/>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21" t="s">
        <v>866</v>
      </c>
      <c r="B2346" s="222"/>
      <c r="C2346" s="222"/>
      <c r="D2346" s="222"/>
      <c r="E2346" s="222"/>
      <c r="F2346" s="222"/>
      <c r="G2346" s="222"/>
      <c r="H2346" s="222"/>
      <c r="I2346" s="222"/>
      <c r="J2346" s="223"/>
      <c r="K2346" s="40"/>
      <c r="L2346" s="229" t="s">
        <v>29</v>
      </c>
      <c r="M2346" s="230"/>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24" t="s">
        <v>867</v>
      </c>
      <c r="B2349" s="225"/>
      <c r="C2349" s="225"/>
      <c r="D2349" s="225"/>
      <c r="E2349" s="225"/>
      <c r="F2349" s="225"/>
      <c r="G2349" s="225"/>
      <c r="H2349" s="225"/>
      <c r="I2349" s="225"/>
      <c r="J2349" s="226"/>
      <c r="K2349" s="27"/>
      <c r="L2349" s="227" t="s">
        <v>29</v>
      </c>
      <c r="M2349" s="228"/>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21" t="s">
        <v>868</v>
      </c>
      <c r="B2352" s="222"/>
      <c r="C2352" s="222"/>
      <c r="D2352" s="222"/>
      <c r="E2352" s="222"/>
      <c r="F2352" s="222"/>
      <c r="G2352" s="222"/>
      <c r="H2352" s="222"/>
      <c r="I2352" s="222"/>
      <c r="J2352" s="223"/>
      <c r="K2352" s="40"/>
      <c r="L2352" s="229" t="s">
        <v>29</v>
      </c>
      <c r="M2352" s="230"/>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24" t="s">
        <v>869</v>
      </c>
      <c r="B2355" s="225"/>
      <c r="C2355" s="225"/>
      <c r="D2355" s="225"/>
      <c r="E2355" s="225"/>
      <c r="F2355" s="225"/>
      <c r="G2355" s="225"/>
      <c r="H2355" s="225"/>
      <c r="I2355" s="225"/>
      <c r="J2355" s="226"/>
      <c r="K2355" s="27"/>
      <c r="L2355" s="227" t="s">
        <v>29</v>
      </c>
      <c r="M2355" s="228"/>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21" t="s">
        <v>870</v>
      </c>
      <c r="B2358" s="222"/>
      <c r="C2358" s="222"/>
      <c r="D2358" s="222"/>
      <c r="E2358" s="222"/>
      <c r="F2358" s="222"/>
      <c r="G2358" s="222"/>
      <c r="H2358" s="222"/>
      <c r="I2358" s="222"/>
      <c r="J2358" s="223"/>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2022-12-14T21:44:02Z</dcterms:modified>
</cp:coreProperties>
</file>