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2-23/GB Accounts Self Employed 2023-04-05 (Apr23) Excel 2007/"/>
    </mc:Choice>
  </mc:AlternateContent>
  <xr:revisionPtr revIDLastSave="0" documentId="13_ncr:1_{86AE05A5-B4B5-6343-992A-1BD97A826931}" xr6:coauthVersionLast="47" xr6:coauthVersionMax="47" xr10:uidLastSave="{00000000-0000-0000-0000-000000000000}"/>
  <bookViews>
    <workbookView xWindow="0" yWindow="500" windowWidth="20740" windowHeight="11160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6" l="1"/>
  <c r="M28" i="6"/>
  <c r="M27" i="6"/>
  <c r="M26" i="6"/>
  <c r="M25" i="6"/>
  <c r="M24" i="6"/>
  <c r="M23" i="6"/>
  <c r="M22" i="6"/>
  <c r="M16" i="6"/>
  <c r="M15" i="6"/>
  <c r="I15" i="12"/>
  <c r="I14" i="12"/>
  <c r="I13" i="12"/>
  <c r="I12" i="12"/>
  <c r="I11" i="12"/>
  <c r="I10" i="12"/>
  <c r="I9" i="12"/>
  <c r="I8" i="12"/>
  <c r="I7" i="12"/>
  <c r="I6" i="12"/>
  <c r="I5" i="12"/>
  <c r="I4" i="12"/>
  <c r="H15" i="12"/>
  <c r="H14" i="12"/>
  <c r="H13" i="12"/>
  <c r="H12" i="12"/>
  <c r="H11" i="12"/>
  <c r="H10" i="12"/>
  <c r="H9" i="12"/>
  <c r="H8" i="12"/>
  <c r="H7" i="12"/>
  <c r="H6" i="12"/>
  <c r="H5" i="12"/>
  <c r="H4" i="12"/>
  <c r="F15" i="12"/>
  <c r="F14" i="12"/>
  <c r="F13" i="12"/>
  <c r="F12" i="12"/>
  <c r="F11" i="12"/>
  <c r="F10" i="12"/>
  <c r="F9" i="12"/>
  <c r="F8" i="12"/>
  <c r="F7" i="12"/>
  <c r="F6" i="12"/>
  <c r="F5" i="12"/>
  <c r="F4" i="12"/>
  <c r="E15" i="12"/>
  <c r="E14" i="12"/>
  <c r="E13" i="12"/>
  <c r="E12" i="12"/>
  <c r="E11" i="12"/>
  <c r="E10" i="12"/>
  <c r="E9" i="12"/>
  <c r="E8" i="12"/>
  <c r="E7" i="12"/>
  <c r="E6" i="12"/>
  <c r="E5" i="12"/>
  <c r="E4" i="12"/>
  <c r="D15" i="12"/>
  <c r="D14" i="12"/>
  <c r="D13" i="12"/>
  <c r="D12" i="12"/>
  <c r="D11" i="12"/>
  <c r="D10" i="12"/>
  <c r="D9" i="12"/>
  <c r="D8" i="12"/>
  <c r="D7" i="12"/>
  <c r="D6" i="12"/>
  <c r="D5" i="12"/>
  <c r="D4" i="12"/>
  <c r="C15" i="12"/>
  <c r="C14" i="12"/>
  <c r="M21" i="6" s="1"/>
  <c r="C13" i="12"/>
  <c r="C12" i="12"/>
  <c r="C11" i="12"/>
  <c r="C10" i="12"/>
  <c r="C9" i="12"/>
  <c r="C8" i="12"/>
  <c r="C7" i="12"/>
  <c r="C6" i="12"/>
  <c r="C5" i="12"/>
  <c r="C4" i="12"/>
  <c r="F30" i="13" l="1"/>
  <c r="N32" i="6"/>
  <c r="N28" i="6"/>
  <c r="N27" i="6"/>
  <c r="N26" i="6"/>
  <c r="N25" i="6"/>
  <c r="N24" i="6"/>
  <c r="N23" i="6"/>
  <c r="N22" i="6"/>
  <c r="N16" i="6"/>
  <c r="N15" i="6"/>
  <c r="F28" i="13"/>
  <c r="F26" i="13"/>
  <c r="L32" i="6"/>
  <c r="L28" i="6"/>
  <c r="L27" i="6"/>
  <c r="L26" i="6"/>
  <c r="L25" i="6"/>
  <c r="L24" i="6"/>
  <c r="L23" i="6"/>
  <c r="L22" i="6"/>
  <c r="L21" i="6"/>
  <c r="L16" i="6"/>
  <c r="L15" i="6"/>
  <c r="F24" i="13"/>
  <c r="K32" i="6"/>
  <c r="K28" i="6"/>
  <c r="K27" i="6"/>
  <c r="K26" i="6"/>
  <c r="K25" i="6"/>
  <c r="K24" i="6"/>
  <c r="K23" i="6"/>
  <c r="K22" i="6"/>
  <c r="K21" i="6"/>
  <c r="K16" i="6"/>
  <c r="K15" i="6"/>
  <c r="F22" i="13"/>
  <c r="J32" i="6"/>
  <c r="J28" i="6"/>
  <c r="J27" i="6"/>
  <c r="J26" i="6"/>
  <c r="J25" i="6"/>
  <c r="J24" i="6"/>
  <c r="J23" i="6"/>
  <c r="J22" i="6"/>
  <c r="J16" i="6"/>
  <c r="J15" i="6"/>
  <c r="F20" i="13"/>
  <c r="I32" i="6"/>
  <c r="I28" i="6"/>
  <c r="I27" i="6"/>
  <c r="I26" i="6"/>
  <c r="I25" i="6"/>
  <c r="I24" i="6"/>
  <c r="I23" i="6"/>
  <c r="I22" i="6"/>
  <c r="I21" i="6"/>
  <c r="I16" i="6"/>
  <c r="I15" i="6"/>
  <c r="F18" i="13"/>
  <c r="H32" i="6"/>
  <c r="H28" i="6"/>
  <c r="H27" i="6"/>
  <c r="H26" i="6"/>
  <c r="H25" i="6"/>
  <c r="H24" i="6"/>
  <c r="H23" i="6"/>
  <c r="H22" i="6"/>
  <c r="H21" i="6"/>
  <c r="H16" i="6"/>
  <c r="H15" i="6"/>
  <c r="F16" i="13"/>
  <c r="G32" i="6"/>
  <c r="G28" i="6"/>
  <c r="G27" i="6"/>
  <c r="G26" i="6"/>
  <c r="G25" i="6"/>
  <c r="G24" i="6"/>
  <c r="G23" i="6"/>
  <c r="G22" i="6"/>
  <c r="G21" i="6"/>
  <c r="G16" i="6"/>
  <c r="G15" i="6"/>
  <c r="F14" i="13"/>
  <c r="F32" i="6"/>
  <c r="F28" i="6"/>
  <c r="F27" i="6"/>
  <c r="F26" i="6"/>
  <c r="F25" i="6"/>
  <c r="F24" i="6"/>
  <c r="F23" i="6"/>
  <c r="F22" i="6"/>
  <c r="F16" i="6"/>
  <c r="F15" i="6"/>
  <c r="F12" i="13"/>
  <c r="E32" i="6"/>
  <c r="E28" i="6"/>
  <c r="E27" i="6"/>
  <c r="E26" i="6"/>
  <c r="E25" i="6"/>
  <c r="E24" i="6"/>
  <c r="E23" i="6"/>
  <c r="E22" i="6"/>
  <c r="E21" i="6"/>
  <c r="E16" i="6"/>
  <c r="E15" i="6"/>
  <c r="F10" i="13"/>
  <c r="D32" i="6"/>
  <c r="D28" i="6"/>
  <c r="D27" i="6"/>
  <c r="D26" i="6"/>
  <c r="D25" i="6"/>
  <c r="D24" i="6"/>
  <c r="D23" i="6"/>
  <c r="D22" i="6"/>
  <c r="D21" i="6"/>
  <c r="D16" i="6"/>
  <c r="D15" i="6"/>
  <c r="F8" i="13"/>
  <c r="C32" i="6"/>
  <c r="C28" i="6"/>
  <c r="C27" i="6"/>
  <c r="C26" i="6"/>
  <c r="C25" i="6"/>
  <c r="C24" i="6"/>
  <c r="C23" i="6"/>
  <c r="C22" i="6"/>
  <c r="C21" i="6"/>
  <c r="C16" i="6"/>
  <c r="C15" i="6"/>
  <c r="V28" i="13"/>
  <c r="P28" i="13"/>
  <c r="J28" i="13"/>
  <c r="M43" i="6"/>
  <c r="M29" i="6"/>
  <c r="M11" i="6"/>
  <c r="M8" i="6"/>
  <c r="M7" i="6"/>
  <c r="M6" i="6"/>
  <c r="M5" i="6"/>
  <c r="V26" i="13"/>
  <c r="P26" i="13"/>
  <c r="J26" i="13"/>
  <c r="L43" i="6"/>
  <c r="L29" i="6"/>
  <c r="L11" i="6"/>
  <c r="L8" i="6"/>
  <c r="L7" i="6"/>
  <c r="L6" i="6"/>
  <c r="L5" i="6"/>
  <c r="V24" i="13"/>
  <c r="P24" i="13"/>
  <c r="J24" i="13"/>
  <c r="K43" i="6"/>
  <c r="K29" i="6"/>
  <c r="K11" i="6"/>
  <c r="K8" i="6"/>
  <c r="K7" i="6"/>
  <c r="K6" i="6"/>
  <c r="K5" i="6"/>
  <c r="V22" i="13"/>
  <c r="P22" i="13"/>
  <c r="J22" i="13"/>
  <c r="J43" i="6"/>
  <c r="J29" i="6"/>
  <c r="J11" i="6"/>
  <c r="J8" i="6"/>
  <c r="J7" i="6"/>
  <c r="J6" i="6"/>
  <c r="J5" i="6"/>
  <c r="V20" i="13"/>
  <c r="P20" i="13"/>
  <c r="J20" i="13"/>
  <c r="I43" i="6"/>
  <c r="I29" i="6"/>
  <c r="I11" i="6"/>
  <c r="I8" i="6"/>
  <c r="I7" i="6"/>
  <c r="I6" i="6"/>
  <c r="I5" i="6"/>
  <c r="V18" i="13"/>
  <c r="P18" i="13"/>
  <c r="J18" i="13"/>
  <c r="H43" i="6"/>
  <c r="H29" i="6"/>
  <c r="H11" i="6"/>
  <c r="H8" i="6"/>
  <c r="H7" i="6"/>
  <c r="H6" i="6"/>
  <c r="H5" i="6"/>
  <c r="V16" i="13"/>
  <c r="P16" i="13"/>
  <c r="J16" i="13"/>
  <c r="G43" i="6"/>
  <c r="G29" i="6"/>
  <c r="G11" i="6"/>
  <c r="G8" i="6"/>
  <c r="G7" i="6"/>
  <c r="G6" i="6"/>
  <c r="G5" i="6"/>
  <c r="V14" i="13"/>
  <c r="P14" i="13"/>
  <c r="J14" i="13"/>
  <c r="F43" i="6"/>
  <c r="F29" i="6"/>
  <c r="F11" i="6"/>
  <c r="F8" i="6"/>
  <c r="F7" i="6"/>
  <c r="F6" i="6"/>
  <c r="F5" i="6"/>
  <c r="V12" i="13"/>
  <c r="P12" i="13"/>
  <c r="J12" i="13"/>
  <c r="E43" i="6"/>
  <c r="E29" i="6"/>
  <c r="E11" i="6"/>
  <c r="E8" i="6"/>
  <c r="E7" i="6"/>
  <c r="E6" i="6"/>
  <c r="E5" i="6"/>
  <c r="V10" i="13"/>
  <c r="P10" i="13"/>
  <c r="J10" i="13"/>
  <c r="D43" i="6"/>
  <c r="D29" i="6"/>
  <c r="D11" i="6"/>
  <c r="D8" i="6"/>
  <c r="D7" i="6"/>
  <c r="D6" i="6"/>
  <c r="D5" i="6"/>
  <c r="V8" i="13"/>
  <c r="P8" i="13"/>
  <c r="J8" i="13"/>
  <c r="C43" i="6"/>
  <c r="C29" i="6"/>
  <c r="C11" i="6"/>
  <c r="C8" i="6"/>
  <c r="C7" i="6"/>
  <c r="C6" i="6"/>
  <c r="C5" i="6"/>
  <c r="V30" i="13"/>
  <c r="P30" i="13"/>
  <c r="J30" i="13"/>
  <c r="E11" i="8"/>
  <c r="N43" i="6"/>
  <c r="N29" i="6"/>
  <c r="N11" i="6"/>
  <c r="N8" i="6"/>
  <c r="N7" i="6"/>
  <c r="N6" i="6"/>
  <c r="N5" i="6"/>
  <c r="D231" i="16"/>
  <c r="O124" i="18"/>
  <c r="C38" i="14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O160" i="16"/>
  <c r="D152" i="16"/>
  <c r="D144" i="16" s="1"/>
  <c r="O144" i="16"/>
  <c r="O139" i="16"/>
  <c r="D139" i="16"/>
  <c r="O85" i="18"/>
  <c r="D85" i="18"/>
  <c r="O80" i="18"/>
  <c r="D80" i="18"/>
  <c r="N46" i="6"/>
  <c r="N42" i="6"/>
  <c r="N31" i="6"/>
  <c r="M46" i="6"/>
  <c r="M42" i="6"/>
  <c r="M31" i="6"/>
  <c r="L46" i="6"/>
  <c r="L42" i="6"/>
  <c r="L31" i="6"/>
  <c r="K46" i="6"/>
  <c r="K42" i="6"/>
  <c r="K31" i="6"/>
  <c r="J46" i="6"/>
  <c r="J42" i="6"/>
  <c r="J31" i="6"/>
  <c r="I46" i="6"/>
  <c r="I42" i="6"/>
  <c r="I31" i="6"/>
  <c r="H46" i="6"/>
  <c r="H42" i="6"/>
  <c r="H31" i="6"/>
  <c r="G46" i="6"/>
  <c r="G42" i="6"/>
  <c r="G31" i="6"/>
  <c r="F46" i="6"/>
  <c r="F42" i="6"/>
  <c r="F31" i="6"/>
  <c r="E46" i="6"/>
  <c r="E42" i="6"/>
  <c r="E31" i="6"/>
  <c r="D46" i="6"/>
  <c r="D42" i="6"/>
  <c r="D31" i="6"/>
  <c r="C46" i="6"/>
  <c r="C42" i="6"/>
  <c r="C31" i="6"/>
  <c r="N38" i="6"/>
  <c r="N30" i="6"/>
  <c r="M38" i="6"/>
  <c r="M30" i="6"/>
  <c r="L38" i="6"/>
  <c r="L30" i="6"/>
  <c r="K38" i="6"/>
  <c r="K30" i="6"/>
  <c r="J38" i="6"/>
  <c r="J30" i="6"/>
  <c r="I38" i="6"/>
  <c r="I30" i="6"/>
  <c r="H38" i="6"/>
  <c r="H30" i="6"/>
  <c r="G38" i="6"/>
  <c r="G30" i="6"/>
  <c r="F38" i="6"/>
  <c r="F30" i="6"/>
  <c r="E38" i="6"/>
  <c r="E30" i="6"/>
  <c r="D38" i="6"/>
  <c r="D30" i="6"/>
  <c r="C38" i="6"/>
  <c r="C30" i="6"/>
  <c r="N21" i="6"/>
  <c r="J21" i="6"/>
  <c r="F21" i="6"/>
  <c r="C8" i="8" l="1"/>
  <c r="S21" i="17" l="1"/>
  <c r="S16" i="17"/>
  <c r="F7" i="14" l="1"/>
  <c r="F24" i="14" s="1"/>
  <c r="J7" i="14"/>
  <c r="J24" i="14" s="1"/>
  <c r="O7" i="14"/>
  <c r="O24" i="14" s="1"/>
  <c r="D16" i="14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E7" i="14"/>
  <c r="E24" i="14" s="1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N7" i="14"/>
  <c r="N24" i="14" s="1"/>
  <c r="L7" i="14"/>
  <c r="L24" i="14" s="1"/>
  <c r="G7" i="14"/>
  <c r="G24" i="14" s="1"/>
  <c r="L10" i="13"/>
  <c r="D9" i="6"/>
  <c r="M7" i="14"/>
  <c r="M24" i="14" s="1"/>
  <c r="H7" i="14"/>
  <c r="H24" i="14" s="1"/>
  <c r="K7" i="14"/>
  <c r="K24" i="14" s="1"/>
  <c r="I7" i="14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X14" i="13"/>
  <c r="R14" i="13"/>
  <c r="B8" i="6"/>
  <c r="X12" i="13"/>
  <c r="X18" i="13"/>
  <c r="G9" i="6"/>
  <c r="B29" i="6"/>
  <c r="D106" i="16" s="1"/>
  <c r="X20" i="13"/>
  <c r="R12" i="13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R8" i="13"/>
  <c r="B6" i="6"/>
  <c r="H9" i="6"/>
  <c r="I9" i="6"/>
  <c r="B7" i="6"/>
  <c r="X8" i="13"/>
  <c r="F9" i="6"/>
  <c r="G44" i="6"/>
  <c r="H5" i="14"/>
  <c r="H21" i="14" s="1"/>
  <c r="D7" i="14"/>
  <c r="B11" i="6"/>
  <c r="L8" i="13"/>
  <c r="K9" i="6"/>
  <c r="T24" i="13"/>
  <c r="X22" i="13"/>
  <c r="N20" i="13"/>
  <c r="R18" i="13"/>
  <c r="E21" i="14"/>
  <c r="H18" i="13"/>
  <c r="L16" i="13"/>
  <c r="F5" i="14" l="1"/>
  <c r="F21" i="14" s="1"/>
  <c r="M5" i="14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14" i="6" l="1"/>
  <c r="C44" i="6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D14" i="6" s="1"/>
  <c r="T28" i="13"/>
  <c r="X26" i="13"/>
  <c r="L20" i="13"/>
  <c r="H22" i="13"/>
  <c r="N24" i="13"/>
  <c r="R22" i="13"/>
  <c r="C5" i="14" l="1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E14" i="6" l="1"/>
  <c r="AB14" i="13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F14" i="6" l="1"/>
  <c r="M28" i="14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G14" i="6" l="1"/>
  <c r="AB18" i="13"/>
  <c r="Z16" i="13"/>
  <c r="D18" i="13" s="1"/>
  <c r="C28" i="14"/>
  <c r="D32" i="14"/>
  <c r="H30" i="13"/>
  <c r="L30" i="13" s="1"/>
  <c r="L28" i="13"/>
  <c r="H14" i="6" l="1"/>
  <c r="D34" i="14"/>
  <c r="C34" i="14" s="1"/>
  <c r="C32" i="14"/>
  <c r="AB20" i="13"/>
  <c r="Z18" i="13"/>
  <c r="D20" i="13" s="1"/>
  <c r="I14" i="6" l="1"/>
  <c r="Z20" i="13"/>
  <c r="D22" i="13" s="1"/>
  <c r="AB22" i="13"/>
  <c r="J14" i="6" l="1"/>
  <c r="AB24" i="13"/>
  <c r="Z22" i="13"/>
  <c r="D24" i="13" s="1"/>
  <c r="K14" i="6" l="1"/>
  <c r="AB26" i="13"/>
  <c r="Z24" i="13"/>
  <c r="D26" i="13" s="1"/>
  <c r="L14" i="6" l="1"/>
  <c r="Z26" i="13"/>
  <c r="D28" i="13" s="1"/>
  <c r="AB28" i="13"/>
  <c r="M14" i="6" s="1"/>
  <c r="Z28" i="13" l="1"/>
  <c r="D30" i="13" s="1"/>
  <c r="AB30" i="13"/>
  <c r="N14" i="6" s="1"/>
  <c r="Z30" i="13" l="1"/>
  <c r="G13" i="12" l="1"/>
  <c r="G12" i="12"/>
  <c r="G8" i="12"/>
  <c r="G6" i="12"/>
  <c r="G9" i="12"/>
  <c r="G5" i="12"/>
  <c r="G7" i="12"/>
  <c r="G15" i="12"/>
  <c r="G10" i="12"/>
  <c r="G14" i="12"/>
  <c r="G11" i="12"/>
  <c r="G4" i="12"/>
  <c r="G17" i="6" l="1"/>
  <c r="G19" i="6" s="1"/>
  <c r="M17" i="6"/>
  <c r="N9" i="14" s="1"/>
  <c r="N11" i="14" s="1"/>
  <c r="J17" i="6"/>
  <c r="J19" i="6" s="1"/>
  <c r="N17" i="6"/>
  <c r="L17" i="6"/>
  <c r="I17" i="6"/>
  <c r="K17" i="6"/>
  <c r="H17" i="6"/>
  <c r="F17" i="6"/>
  <c r="B26" i="6"/>
  <c r="H9" i="14" l="1"/>
  <c r="H11" i="14" s="1"/>
  <c r="K9" i="14"/>
  <c r="K11" i="14" s="1"/>
  <c r="M19" i="6"/>
  <c r="B32" i="6"/>
  <c r="D118" i="16" s="1"/>
  <c r="B27" i="6"/>
  <c r="D94" i="16" s="1"/>
  <c r="B28" i="6"/>
  <c r="D110" i="16" s="1"/>
  <c r="B14" i="6"/>
  <c r="C17" i="6"/>
  <c r="B22" i="6"/>
  <c r="D82" i="16" s="1"/>
  <c r="B21" i="6"/>
  <c r="D74" i="16" s="1"/>
  <c r="K19" i="6"/>
  <c r="L9" i="14"/>
  <c r="L11" i="14" s="1"/>
  <c r="J9" i="14"/>
  <c r="J11" i="14" s="1"/>
  <c r="I19" i="6"/>
  <c r="D17" i="6"/>
  <c r="E17" i="6"/>
  <c r="H19" i="6"/>
  <c r="I9" i="14"/>
  <c r="I11" i="14" s="1"/>
  <c r="B16" i="6"/>
  <c r="B24" i="6"/>
  <c r="D90" i="16" s="1"/>
  <c r="F19" i="6"/>
  <c r="G9" i="14"/>
  <c r="G11" i="14" s="1"/>
  <c r="M9" i="14"/>
  <c r="M11" i="14" s="1"/>
  <c r="L19" i="6"/>
  <c r="B23" i="6"/>
  <c r="D86" i="16" s="1"/>
  <c r="B15" i="6"/>
  <c r="D70" i="16" s="1"/>
  <c r="N19" i="6"/>
  <c r="O9" i="14"/>
  <c r="O11" i="14" s="1"/>
  <c r="E19" i="6" l="1"/>
  <c r="F9" i="14"/>
  <c r="F11" i="14" s="1"/>
  <c r="C19" i="6"/>
  <c r="D9" i="14"/>
  <c r="D19" i="6"/>
  <c r="E9" i="14"/>
  <c r="E11" i="14" s="1"/>
  <c r="B17" i="6"/>
  <c r="B19" i="6" s="1"/>
  <c r="D66" i="16"/>
  <c r="D11" i="14" l="1"/>
  <c r="C11" i="14" s="1"/>
  <c r="C9" i="14"/>
  <c r="O149" i="16" l="1"/>
  <c r="O169" i="16" s="1"/>
  <c r="B34" i="6" l="1"/>
  <c r="B33" i="6"/>
  <c r="D114" i="16" l="1"/>
  <c r="C37" i="14"/>
  <c r="C39" i="14" s="1"/>
  <c r="C41" i="14" s="1"/>
  <c r="O114" i="16"/>
  <c r="O122" i="16"/>
  <c r="D174" i="16" s="1"/>
  <c r="C43" i="14" l="1"/>
  <c r="C44" i="14"/>
  <c r="C42" i="14"/>
  <c r="C46" i="14" l="1"/>
  <c r="D35" i="6"/>
  <c r="E13" i="14" l="1"/>
  <c r="E15" i="14" s="1"/>
  <c r="E17" i="14" s="1"/>
  <c r="D37" i="6"/>
  <c r="D39" i="6" s="1"/>
  <c r="D45" i="6" s="1"/>
  <c r="C35" i="6"/>
  <c r="E35" i="6"/>
  <c r="F13" i="14" l="1"/>
  <c r="F15" i="14" s="1"/>
  <c r="F17" i="14" s="1"/>
  <c r="E37" i="6"/>
  <c r="E39" i="6" s="1"/>
  <c r="E45" i="6" s="1"/>
  <c r="D13" i="14"/>
  <c r="C37" i="6"/>
  <c r="C39" i="6" s="1"/>
  <c r="C45" i="6" s="1"/>
  <c r="F35" i="6"/>
  <c r="D15" i="14" l="1"/>
  <c r="F37" i="6"/>
  <c r="F39" i="6" s="1"/>
  <c r="F45" i="6" s="1"/>
  <c r="G13" i="14"/>
  <c r="G15" i="14" s="1"/>
  <c r="G17" i="14" s="1"/>
  <c r="G35" i="6"/>
  <c r="H13" i="14" l="1"/>
  <c r="H15" i="14" s="1"/>
  <c r="H17" i="14" s="1"/>
  <c r="G37" i="6"/>
  <c r="G39" i="6" s="1"/>
  <c r="G45" i="6" s="1"/>
  <c r="D17" i="14"/>
  <c r="H35" i="6"/>
  <c r="H37" i="6" l="1"/>
  <c r="H39" i="6" s="1"/>
  <c r="H45" i="6" s="1"/>
  <c r="I13" i="14"/>
  <c r="I15" i="14" s="1"/>
  <c r="I35" i="6"/>
  <c r="J13" i="14" l="1"/>
  <c r="J15" i="14" s="1"/>
  <c r="J17" i="14" s="1"/>
  <c r="I37" i="6"/>
  <c r="I39" i="6" s="1"/>
  <c r="I45" i="6" s="1"/>
  <c r="I17" i="14"/>
  <c r="J35" i="6"/>
  <c r="K13" i="14" l="1"/>
  <c r="K15" i="14" s="1"/>
  <c r="K17" i="14" s="1"/>
  <c r="J37" i="6"/>
  <c r="J39" i="6" s="1"/>
  <c r="J45" i="6" s="1"/>
  <c r="K35" i="6"/>
  <c r="L13" i="14" l="1"/>
  <c r="L15" i="14" s="1"/>
  <c r="K37" i="6"/>
  <c r="K39" i="6" s="1"/>
  <c r="K45" i="6" s="1"/>
  <c r="L35" i="6"/>
  <c r="M13" i="14" l="1"/>
  <c r="M15" i="14" s="1"/>
  <c r="M17" i="14" s="1"/>
  <c r="L37" i="6"/>
  <c r="L39" i="6" s="1"/>
  <c r="L45" i="6" s="1"/>
  <c r="L17" i="14"/>
  <c r="M35" i="6"/>
  <c r="N35" i="6" l="1"/>
  <c r="B25" i="6"/>
  <c r="M37" i="6"/>
  <c r="M39" i="6" s="1"/>
  <c r="M45" i="6" s="1"/>
  <c r="N13" i="14"/>
  <c r="N15" i="14" s="1"/>
  <c r="N17" i="14" l="1"/>
  <c r="D78" i="16"/>
  <c r="B35" i="6"/>
  <c r="N37" i="6"/>
  <c r="N39" i="6" s="1"/>
  <c r="N45" i="6" s="1"/>
  <c r="B45" i="6" s="1"/>
  <c r="O13" i="14"/>
  <c r="B37" i="6" l="1"/>
  <c r="B39" i="6" s="1"/>
  <c r="O64" i="18"/>
  <c r="D122" i="16"/>
  <c r="O15" i="14"/>
  <c r="C13" i="14"/>
  <c r="O17" i="14" l="1"/>
  <c r="C17" i="14" s="1"/>
  <c r="C15" i="14"/>
  <c r="D129" i="16"/>
  <c r="O129" i="16"/>
  <c r="O71" i="18"/>
  <c r="D71" i="18"/>
  <c r="D99" i="18" l="1"/>
  <c r="O174" i="16"/>
  <c r="O106" i="18"/>
  <c r="O94" i="18" s="1"/>
  <c r="D55" i="17" s="1"/>
  <c r="O55" i="17" s="1"/>
  <c r="D124" i="18" s="1"/>
  <c r="D106" i="18" l="1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l="1"/>
  <c r="E18" i="8" s="1"/>
  <c r="E25" i="8" s="1"/>
  <c r="E26" i="8" s="1"/>
  <c r="E27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Powell</author>
  </authors>
  <commentList>
    <comment ref="E15" authorId="0" shapeId="0" xr:uid="{2FB1EFBF-686D-4B45-8C4B-CB2AA0F20624}">
      <text>
        <r>
          <rPr>
            <b/>
            <sz val="9"/>
            <color indexed="81"/>
            <rFont val="Tahoma"/>
            <family val="2"/>
          </rPr>
          <t>DIY Accounting:</t>
        </r>
        <r>
          <rPr>
            <sz val="9"/>
            <color indexed="81"/>
            <rFont val="Tahoma"/>
            <family val="2"/>
          </rPr>
          <t xml:space="preserve">
Please note there are 2 rated values for 22/23 as per government announcement.
£9880 from 05/04/22 until 05/07/22 then £12570 from 06/07/22 onwards. 
The estimate on this page uses the value of £9880 effective from 05/04/22. This can be amended if required in box N20 of your admin sheet. </t>
        </r>
      </text>
    </comment>
  </commentList>
</comments>
</file>

<file path=xl/sharedStrings.xml><?xml version="1.0" encoding="utf-8"?>
<sst xmlns="http://schemas.openxmlformats.org/spreadsheetml/2006/main" count="760" uniqueCount="409">
  <si>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</si>
  <si>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</si>
  <si>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</si>
  <si>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</si>
  <si>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</si>
  <si>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</si>
  <si>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</si>
  <si>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</si>
  <si>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</si>
  <si>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</si>
  <si>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</si>
  <si>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</si>
  <si>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</si>
  <si>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</si>
  <si>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</si>
  <si>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</si>
  <si>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</si>
  <si>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</si>
  <si>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</si>
  <si>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</si>
  <si>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</si>
  <si>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</si>
  <si>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</si>
  <si>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</si>
  <si>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</si>
  <si>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</si>
  <si>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</si>
  <si>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</si>
  <si>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</si>
  <si>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</si>
  <si>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</si>
  <si>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</si>
  <si>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</si>
  <si>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</si>
  <si>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</si>
  <si>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</si>
  <si>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</si>
  <si>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</si>
  <si>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</si>
  <si>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</si>
  <si>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</si>
  <si>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</si>
  <si>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</si>
  <si>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</si>
  <si>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</si>
  <si>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</si>
  <si>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</si>
  <si>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</si>
  <si>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</si>
  <si>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</si>
  <si>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</si>
  <si>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</si>
  <si>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</si>
  <si>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</si>
  <si>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</si>
  <si>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</si>
  <si>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</si>
  <si>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</si>
  <si>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</si>
  <si>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</si>
  <si>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</si>
  <si>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</si>
  <si>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</si>
  <si>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</si>
  <si>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</si>
  <si>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</si>
  <si>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</si>
  <si>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</si>
  <si>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</si>
  <si>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</si>
  <si>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</si>
  <si>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</si>
  <si>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</si>
  <si>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</si>
  <si>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</si>
  <si>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</si>
  <si>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</si>
  <si>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</si>
  <si>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</si>
  <si>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</si>
  <si>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</si>
  <si>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</si>
  <si>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</si>
  <si>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</si>
  <si>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</si>
  <si>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</si>
  <si>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</si>
  <si>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</si>
  <si>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</si>
  <si>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</si>
  <si>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</si>
  <si>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</si>
  <si>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</si>
  <si>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</si>
  <si>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</si>
  <si>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</si>
  <si>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</si>
  <si>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</si>
  <si>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</si>
  <si>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</si>
  <si>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</si>
  <si>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</si>
  <si>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</si>
  <si>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</si>
  <si>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</si>
  <si>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</si>
  <si>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</si>
  <si>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</si>
  <si>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</si>
  <si>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</si>
  <si>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</si>
  <si>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</si>
  <si>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</si>
  <si>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</si>
  <si>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</si>
  <si>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</si>
  <si>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</si>
  <si>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</si>
  <si>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</si>
  <si>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</si>
  <si>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</si>
  <si>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</si>
  <si>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</si>
  <si>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</si>
  <si>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</si>
  <si>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</si>
  <si>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</si>
  <si>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</si>
  <si>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</si>
  <si>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</si>
  <si>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</si>
  <si>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</si>
  <si>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</si>
  <si>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</si>
  <si>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</si>
  <si>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</si>
  <si>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</si>
  <si>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</si>
  <si>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</si>
  <si>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</si>
  <si>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</si>
  <si>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</si>
  <si>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</si>
  <si>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</si>
  <si>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</si>
  <si>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</si>
  <si>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</si>
  <si>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</si>
  <si>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</si>
  <si>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</si>
  <si>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</si>
  <si>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</si>
  <si>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</si>
  <si>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</si>
  <si>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</si>
  <si>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</si>
  <si>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</si>
  <si>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</si>
  <si>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</si>
  <si>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</si>
  <si>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</si>
  <si>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</si>
  <si>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</si>
  <si>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</si>
  <si>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</si>
  <si>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</si>
  <si>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</si>
  <si>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</si>
  <si>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</si>
  <si>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</si>
  <si>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</si>
  <si>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</si>
  <si>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</si>
  <si>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</si>
  <si>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</si>
  <si>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</si>
  <si>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</si>
  <si>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</si>
  <si>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</si>
  <si>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</si>
  <si>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</si>
  <si>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</si>
  <si>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</si>
  <si>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</si>
  <si>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</si>
  <si>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</si>
  <si>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</si>
  <si>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</si>
  <si>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</si>
  <si>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</si>
  <si>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</si>
  <si>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</si>
  <si>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</si>
  <si>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</si>
  <si>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</si>
  <si>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</si>
  <si>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</si>
  <si>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</si>
  <si>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</si>
  <si>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</si>
  <si>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</si>
  <si>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</si>
  <si>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</si>
  <si>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</si>
  <si>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</si>
  <si>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</si>
  <si>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</si>
  <si>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</si>
  <si>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</si>
  <si>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</si>
  <si>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</si>
  <si>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</si>
  <si>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</si>
  <si>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</si>
  <si>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</si>
  <si>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</si>
  <si>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</si>
  <si>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</si>
  <si>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</si>
  <si>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</si>
  <si>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</si>
  <si>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</si>
  <si>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</si>
  <si>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</si>
  <si>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</si>
  <si>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</si>
  <si>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</si>
  <si>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</si>
  <si>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</si>
  <si>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</si>
  <si>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</si>
  <si>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</si>
  <si>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</si>
  <si>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</si>
  <si>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</si>
  <si>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</si>
  <si>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</si>
  <si>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</si>
  <si>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</si>
  <si>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</si>
  <si>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</si>
  <si>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</si>
  <si>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</si>
  <si>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</si>
  <si>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</si>
  <si>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</si>
  <si>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</si>
  <si>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</si>
  <si>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</si>
  <si>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</si>
  <si>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</si>
  <si>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</si>
  <si>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</si>
  <si>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</si>
  <si>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</si>
  <si>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</si>
  <si>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</si>
  <si>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</si>
  <si>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</si>
  <si>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</si>
  <si>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</si>
  <si>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</si>
  <si>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</si>
  <si>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</si>
  <si>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</si>
  <si>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</si>
  <si>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</si>
  <si>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</si>
  <si>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</si>
  <si>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</si>
  <si>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</si>
  <si>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</si>
  <si>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</si>
  <si>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</si>
  <si>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</si>
  <si>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</si>
  <si>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</si>
  <si>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</si>
  <si>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</si>
  <si>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</si>
  <si>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</si>
  <si>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</si>
  <si>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</si>
  <si>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</si>
  <si>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</si>
  <si>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</si>
  <si>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</si>
  <si>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</si>
  <si>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</si>
  <si>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</si>
  <si>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</si>
  <si>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</si>
  <si>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</si>
  <si>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</si>
  <si>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</si>
  <si>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</si>
  <si>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</si>
  <si>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</si>
  <si>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</si>
  <si>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</si>
  <si>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</si>
  <si>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</si>
  <si>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</si>
  <si>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</si>
  <si>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</si>
  <si>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</si>
  <si>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</si>
  <si>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</si>
  <si>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</si>
  <si>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</si>
  <si>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</si>
  <si>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</si>
  <si>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</si>
  <si>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</si>
  <si>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</si>
  <si>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</si>
  <si>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</si>
  <si>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</si>
  <si>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</si>
  <si>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</si>
  <si>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</si>
  <si>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</si>
  <si>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</si>
  <si>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</si>
  <si>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</si>
  <si>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</si>
  <si>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</si>
  <si>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</si>
  <si>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</si>
  <si>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</si>
  <si>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</si>
  <si>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</si>
  <si>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</si>
  <si>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</si>
  <si>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</si>
  <si>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</si>
  <si>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</si>
  <si>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</si>
  <si>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</si>
  <si>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</si>
  <si>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</si>
  <si>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</si>
  <si>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</si>
  <si>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</si>
  <si>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</si>
  <si>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</si>
  <si>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</si>
  <si>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</si>
  <si>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</si>
  <si>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</si>
  <si>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</si>
  <si>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</si>
  <si>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</si>
  <si>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</si>
  <si>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</si>
  <si>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</si>
  <si>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</si>
  <si>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</si>
  <si>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</si>
  <si>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</si>
  <si>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</si>
  <si>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</si>
  <si>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</si>
  <si>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</si>
  <si>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</si>
  <si>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</si>
  <si>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</si>
  <si>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</si>
  <si>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</si>
  <si>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</si>
  <si>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</si>
  <si>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</si>
  <si>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</si>
  <si>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</si>
  <si>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</si>
  <si>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</si>
  <si>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</si>
  <si>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</si>
  <si>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</si>
  <si>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</si>
  <si>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</si>
  <si>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</si>
  <si>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</si>
  <si>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</si>
  <si>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</si>
  <si>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</si>
  <si>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</si>
  <si>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</si>
  <si>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</si>
  <si>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</si>
  <si>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</si>
  <si>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</si>
  <si>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</si>
  <si>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</si>
  <si>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</si>
  <si>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</si>
  <si>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</si>
  <si>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</si>
  <si>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</si>
  <si>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</si>
  <si>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</si>
  <si>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</si>
  <si>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</si>
  <si>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</si>
  <si>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</si>
  <si>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</si>
  <si>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2022-23</t>
  </si>
  <si>
    <t>2023-24</t>
  </si>
  <si>
    <t>COPY DETAILS TO HMRC FORM          Submit HMRC RETURN ONLINE                   by 31st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</si>
</sst>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  <family val="2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  <family val="2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5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15" xfId="0" applyNumberFormat="1" applyFont="1" applyBorder="1" applyAlignment="1" applyProtection="1">
      <alignment horizontal="center"/>
      <protection hidden="1"/>
    </xf>
    <xf numFmtId="15" fontId="23" fillId="0" borderId="21" xfId="0" applyNumberFormat="1" applyFont="1" applyBorder="1" applyAlignment="1" applyProtection="1">
      <alignment horizontal="center"/>
      <protection hidden="1"/>
    </xf>
    <xf numFmtId="10" fontId="14" fillId="0" borderId="5" xfId="0" applyNumberFormat="1" applyFont="1" applyBorder="1" applyAlignment="1" applyProtection="1">
      <alignment horizontal="center"/>
      <protection hidden="1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Protection="1"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ingDeb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Debtors"/>
      <sheetName val="Mar22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ingCredi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Mar22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F2" sqref="F2"/>
    </sheetView>
  </sheetViews>
  <sheetFormatPr baseColWidth="10" defaultColWidth="9.1640625" defaultRowHeight="12" x14ac:dyDescent="0.15"/>
  <cols>
    <col min="1" max="1" width="3.6640625" style="176" customWidth="1"/>
    <col min="2" max="2" width="0.83203125" style="176" customWidth="1"/>
    <col min="3" max="3" width="3.6640625" style="176" customWidth="1"/>
    <col min="4" max="4" width="4.6640625" style="176" customWidth="1"/>
    <col min="5" max="5" width="1.6640625" style="176" customWidth="1"/>
    <col min="6" max="6" width="10.6640625" style="176" customWidth="1"/>
    <col min="7" max="7" width="1.6640625" style="176" customWidth="1"/>
    <col min="8" max="9" width="2.5" style="176" customWidth="1"/>
    <col min="10" max="11" width="6.6640625" style="176" customWidth="1"/>
    <col min="12" max="12" width="3.6640625" style="176" customWidth="1"/>
    <col min="13" max="13" width="0.83203125" style="176" customWidth="1"/>
    <col min="14" max="15" width="3.6640625" style="176" customWidth="1"/>
    <col min="16" max="17" width="6.6640625" style="176" customWidth="1"/>
    <col min="18" max="18" width="1.6640625" style="176" customWidth="1"/>
    <col min="19" max="20" width="2.5" style="176" customWidth="1"/>
    <col min="21" max="21" width="2.6640625" style="176" customWidth="1"/>
    <col min="22" max="22" width="7.6640625" style="176" customWidth="1"/>
    <col min="23" max="23" width="4.6640625" style="176" customWidth="1"/>
    <col min="24" max="16384" width="9.1640625" style="176"/>
  </cols>
  <sheetData>
    <row r="1" spans="1:23" ht="15.75" customHeight="1" x14ac:dyDescent="0.15">
      <c r="A1" s="319" t="s">
        <v>146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1"/>
    </row>
    <row r="2" spans="1:23" ht="6" customHeight="1" x14ac:dyDescent="0.15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15">
      <c r="A3" s="180"/>
      <c r="B3" s="181"/>
      <c r="C3" s="182" t="s">
        <v>147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148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" customHeight="1" x14ac:dyDescent="0.15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15">
      <c r="A5" s="180"/>
      <c r="B5" s="181"/>
      <c r="C5" s="311"/>
      <c r="D5" s="312"/>
      <c r="E5" s="312"/>
      <c r="F5" s="312"/>
      <c r="G5" s="312"/>
      <c r="H5" s="312"/>
      <c r="I5" s="312"/>
      <c r="J5" s="313"/>
      <c r="K5" s="181"/>
      <c r="L5" s="181"/>
      <c r="M5" s="181"/>
      <c r="N5" s="181"/>
      <c r="O5" s="311"/>
      <c r="P5" s="313"/>
      <c r="Q5" s="181"/>
      <c r="R5" s="311"/>
      <c r="S5" s="312"/>
      <c r="T5" s="312"/>
      <c r="U5" s="313"/>
      <c r="V5" s="181"/>
      <c r="W5" s="184"/>
    </row>
    <row r="6" spans="1:23" ht="10" customHeight="1" x14ac:dyDescent="0.15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15">
      <c r="A7" s="185"/>
      <c r="B7" s="181"/>
      <c r="C7" s="311"/>
      <c r="D7" s="312"/>
      <c r="E7" s="312"/>
      <c r="F7" s="312"/>
      <c r="G7" s="312"/>
      <c r="H7" s="312"/>
      <c r="I7" s="312"/>
      <c r="J7" s="313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15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5" customHeight="1" x14ac:dyDescent="0.15">
      <c r="A9" s="317" t="s">
        <v>18</v>
      </c>
      <c r="B9" s="317"/>
      <c r="C9" s="317"/>
      <c r="D9" s="317"/>
      <c r="E9" s="317"/>
      <c r="F9" s="317"/>
      <c r="G9" s="317"/>
      <c r="H9" s="317"/>
      <c r="I9" s="317"/>
      <c r="J9" s="317"/>
      <c r="K9" s="317"/>
      <c r="L9" s="317"/>
      <c r="M9" s="317"/>
      <c r="N9" s="317"/>
      <c r="O9" s="317"/>
      <c r="P9" s="317"/>
      <c r="Q9" s="317"/>
      <c r="R9" s="317"/>
      <c r="S9" s="317"/>
      <c r="T9" s="317"/>
      <c r="U9" s="317"/>
      <c r="V9" s="317"/>
      <c r="W9" s="318"/>
    </row>
    <row r="10" spans="1:23" ht="8" customHeight="1" x14ac:dyDescent="0.15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15">
      <c r="A11" s="194">
        <v>1</v>
      </c>
      <c r="B11" s="181"/>
      <c r="C11" s="182" t="s">
        <v>149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150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15">
      <c r="A12" s="185"/>
      <c r="B12" s="181"/>
      <c r="C12" s="311"/>
      <c r="D12" s="312"/>
      <c r="E12" s="312"/>
      <c r="F12" s="312"/>
      <c r="G12" s="312"/>
      <c r="H12" s="312"/>
      <c r="I12" s="312"/>
      <c r="J12" s="313"/>
      <c r="K12" s="181"/>
      <c r="L12" s="181"/>
      <c r="M12" s="181"/>
      <c r="N12" s="195" t="s">
        <v>151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10" customHeight="1" x14ac:dyDescent="0.15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152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">
      <c r="A14" s="185"/>
      <c r="B14" s="181"/>
      <c r="C14" s="311"/>
      <c r="D14" s="312"/>
      <c r="E14" s="312"/>
      <c r="F14" s="312"/>
      <c r="G14" s="312"/>
      <c r="H14" s="312"/>
      <c r="I14" s="312"/>
      <c r="J14" s="313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" customHeight="1" x14ac:dyDescent="0.15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3" x14ac:dyDescent="0.15">
      <c r="A16" s="194">
        <v>2</v>
      </c>
      <c r="B16" s="181"/>
      <c r="C16" s="182" t="s">
        <v>153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154</v>
      </c>
      <c r="O16" s="182"/>
      <c r="P16" s="182"/>
      <c r="Q16" s="182"/>
      <c r="R16" s="181"/>
      <c r="S16" s="314">
        <f>Admin!B4</f>
        <v>44657</v>
      </c>
      <c r="T16" s="315"/>
      <c r="U16" s="315"/>
      <c r="V16" s="315"/>
      <c r="W16" s="187"/>
    </row>
    <row r="17" spans="1:23" ht="15" customHeight="1" x14ac:dyDescent="0.15">
      <c r="A17" s="185"/>
      <c r="B17" s="181"/>
      <c r="C17" s="311"/>
      <c r="D17" s="312"/>
      <c r="E17" s="312"/>
      <c r="F17" s="312"/>
      <c r="G17" s="312"/>
      <c r="H17" s="312"/>
      <c r="I17" s="312"/>
      <c r="J17" s="313"/>
      <c r="K17" s="181"/>
      <c r="L17" s="181"/>
      <c r="M17" s="181"/>
      <c r="N17" s="182" t="s">
        <v>155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" customHeight="1" x14ac:dyDescent="0.15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4" x14ac:dyDescent="0.15">
      <c r="A19" s="185"/>
      <c r="B19" s="181"/>
      <c r="C19" s="311"/>
      <c r="D19" s="312"/>
      <c r="E19" s="312"/>
      <c r="F19" s="312"/>
      <c r="G19" s="312"/>
      <c r="H19" s="312"/>
      <c r="I19" s="312"/>
      <c r="J19" s="313"/>
      <c r="K19" s="181"/>
      <c r="L19" s="181"/>
      <c r="M19" s="181"/>
      <c r="N19" s="302"/>
      <c r="O19" s="303"/>
      <c r="P19" s="303"/>
      <c r="Q19" s="304"/>
      <c r="R19" s="181"/>
      <c r="S19" s="181"/>
      <c r="T19" s="181"/>
      <c r="U19" s="181"/>
      <c r="V19" s="181"/>
      <c r="W19" s="197"/>
    </row>
    <row r="20" spans="1:23" ht="8" customHeight="1" x14ac:dyDescent="0.15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4" x14ac:dyDescent="0.15">
      <c r="A21" s="185"/>
      <c r="B21" s="181"/>
      <c r="C21" s="311"/>
      <c r="D21" s="312"/>
      <c r="E21" s="312"/>
      <c r="F21" s="312"/>
      <c r="G21" s="312"/>
      <c r="H21" s="312"/>
      <c r="I21" s="312"/>
      <c r="J21" s="313"/>
      <c r="K21" s="181"/>
      <c r="L21" s="194">
        <v>7</v>
      </c>
      <c r="M21" s="181"/>
      <c r="N21" s="182" t="s">
        <v>156</v>
      </c>
      <c r="O21" s="182"/>
      <c r="P21" s="182"/>
      <c r="Q21" s="182"/>
      <c r="R21" s="181"/>
      <c r="S21" s="314">
        <f>Admin!B17</f>
        <v>45021</v>
      </c>
      <c r="T21" s="315"/>
      <c r="U21" s="315"/>
      <c r="V21" s="315"/>
      <c r="W21" s="187"/>
    </row>
    <row r="22" spans="1:23" ht="8" customHeight="1" x14ac:dyDescent="0.15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16" t="s">
        <v>157</v>
      </c>
      <c r="O22" s="316"/>
      <c r="P22" s="316"/>
      <c r="Q22" s="316"/>
      <c r="R22" s="316"/>
      <c r="S22" s="316"/>
      <c r="T22" s="316"/>
      <c r="U22" s="316"/>
      <c r="V22" s="316"/>
      <c r="W22" s="199"/>
    </row>
    <row r="23" spans="1:23" x14ac:dyDescent="0.15">
      <c r="A23" s="194">
        <v>3</v>
      </c>
      <c r="B23" s="181"/>
      <c r="C23" s="182" t="s">
        <v>158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16"/>
      <c r="O23" s="316"/>
      <c r="P23" s="316"/>
      <c r="Q23" s="316"/>
      <c r="R23" s="316"/>
      <c r="S23" s="316"/>
      <c r="T23" s="316"/>
      <c r="U23" s="316"/>
      <c r="V23" s="316"/>
      <c r="W23" s="199"/>
    </row>
    <row r="24" spans="1:23" ht="14" x14ac:dyDescent="0.15">
      <c r="A24" s="185"/>
      <c r="B24" s="181"/>
      <c r="C24" s="200" t="s">
        <v>159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2"/>
      <c r="O24" s="303"/>
      <c r="P24" s="303"/>
      <c r="Q24" s="304"/>
      <c r="R24" s="181"/>
      <c r="S24" s="181"/>
      <c r="T24" s="181"/>
      <c r="U24" s="181"/>
      <c r="V24" s="181"/>
      <c r="W24" s="197"/>
    </row>
    <row r="25" spans="1:23" ht="14" x14ac:dyDescent="0.15">
      <c r="A25" s="185"/>
      <c r="B25" s="181"/>
      <c r="C25" s="311"/>
      <c r="D25" s="312"/>
      <c r="E25" s="312"/>
      <c r="F25" s="312"/>
      <c r="G25" s="312"/>
      <c r="H25" s="312"/>
      <c r="I25" s="312"/>
      <c r="J25" s="313"/>
      <c r="K25" s="181"/>
      <c r="L25" s="194">
        <v>8</v>
      </c>
      <c r="M25" s="181"/>
      <c r="N25" s="182" t="s">
        <v>160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15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161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4" x14ac:dyDescent="0.15">
      <c r="A27" s="185"/>
      <c r="B27" s="181"/>
      <c r="C27" s="311"/>
      <c r="D27" s="312"/>
      <c r="E27" s="312"/>
      <c r="F27" s="312"/>
      <c r="G27" s="312"/>
      <c r="H27" s="312"/>
      <c r="I27" s="312"/>
      <c r="J27" s="313"/>
      <c r="K27" s="181"/>
      <c r="L27" s="181"/>
      <c r="M27" s="181"/>
      <c r="N27" s="302"/>
      <c r="O27" s="303"/>
      <c r="P27" s="303"/>
      <c r="Q27" s="304"/>
      <c r="R27" s="181"/>
      <c r="S27" s="181"/>
      <c r="T27" s="181"/>
      <c r="U27" s="181"/>
      <c r="V27" s="181"/>
      <c r="W27" s="197"/>
    </row>
    <row r="28" spans="1:23" ht="8" customHeight="1" x14ac:dyDescent="0.15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15">
      <c r="A29" s="194">
        <v>4</v>
      </c>
      <c r="B29" s="181"/>
      <c r="C29" s="195" t="s">
        <v>162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163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" x14ac:dyDescent="0.15">
      <c r="A30" s="185"/>
      <c r="B30" s="181"/>
      <c r="C30" s="297"/>
      <c r="D30" s="298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164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15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165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15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2">
        <f>Admin!B17</f>
        <v>45021</v>
      </c>
      <c r="O32" s="303"/>
      <c r="P32" s="303"/>
      <c r="Q32" s="304"/>
      <c r="R32" s="181"/>
      <c r="S32" s="181"/>
      <c r="T32" s="181"/>
      <c r="U32" s="181"/>
      <c r="V32" s="181"/>
      <c r="W32" s="197"/>
    </row>
    <row r="33" spans="1:23" ht="8" customHeight="1" x14ac:dyDescent="0.15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5" customHeight="1" x14ac:dyDescent="0.15">
      <c r="A34" s="305" t="s">
        <v>166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</row>
    <row r="35" spans="1:23" ht="6" customHeight="1" x14ac:dyDescent="0.15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15">
      <c r="A36" s="194">
        <v>10</v>
      </c>
      <c r="B36" s="181"/>
      <c r="C36" s="182" t="s">
        <v>167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168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15">
      <c r="A37" s="185"/>
      <c r="B37" s="181"/>
      <c r="C37" s="182" t="s">
        <v>169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170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" customHeight="1" x14ac:dyDescent="0.15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" customHeight="1" x14ac:dyDescent="0.15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15">
      <c r="A41" s="194">
        <v>11</v>
      </c>
      <c r="B41" s="181"/>
      <c r="C41" s="182" t="s">
        <v>171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2022-23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15">
      <c r="A42" s="185"/>
      <c r="B42" s="181"/>
      <c r="C42" s="182" t="s">
        <v>173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174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15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170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" customHeight="1" x14ac:dyDescent="0.15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" customHeight="1" x14ac:dyDescent="0.15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15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15">
      <c r="A48" s="194">
        <v>26</v>
      </c>
      <c r="B48" s="181"/>
      <c r="C48" s="208" t="s">
        <v>175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176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15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177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15">
      <c r="A50" s="181"/>
      <c r="B50" s="181"/>
      <c r="C50" s="209" t="s">
        <v>51</v>
      </c>
      <c r="D50" s="306">
        <v>0</v>
      </c>
      <c r="E50" s="307"/>
      <c r="F50" s="308"/>
      <c r="G50" s="210" t="s">
        <v>178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06"/>
      <c r="P50" s="309"/>
      <c r="Q50" s="310"/>
      <c r="R50" s="210" t="s">
        <v>178</v>
      </c>
      <c r="S50" s="211">
        <v>0</v>
      </c>
      <c r="T50" s="211">
        <v>0</v>
      </c>
      <c r="U50" s="182"/>
      <c r="V50" s="182"/>
      <c r="W50" s="197"/>
    </row>
    <row r="51" spans="1:23" ht="8" customHeight="1" x14ac:dyDescent="0.15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15">
      <c r="A52" s="198"/>
      <c r="B52" s="198"/>
      <c r="C52" s="195" t="s">
        <v>179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180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15">
      <c r="A53" s="198"/>
      <c r="B53" s="198"/>
      <c r="C53" s="216" t="s">
        <v>181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181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4" customHeight="1" x14ac:dyDescent="0.15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15">
      <c r="A55" s="181"/>
      <c r="B55" s="181"/>
      <c r="C55" s="209" t="s">
        <v>51</v>
      </c>
      <c r="D55" s="299">
        <f>'SE Short'!O94</f>
        <v>0</v>
      </c>
      <c r="E55" s="300"/>
      <c r="F55" s="301"/>
      <c r="G55" s="210" t="s">
        <v>178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299">
        <f>D50-D55+'SE Short'!O106</f>
        <v>0</v>
      </c>
      <c r="P55" s="300"/>
      <c r="Q55" s="301"/>
      <c r="R55" s="210" t="s">
        <v>178</v>
      </c>
      <c r="S55" s="211">
        <v>0</v>
      </c>
      <c r="T55" s="211">
        <v>0</v>
      </c>
      <c r="U55" s="181"/>
      <c r="V55" s="181"/>
      <c r="W55" s="197"/>
    </row>
    <row r="56" spans="1:23" ht="8" customHeight="1" x14ac:dyDescent="0.15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zoomScaleNormal="100" workbookViewId="0">
      <selection activeCell="A3" sqref="A3:W3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6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1" width="6.6640625" style="221" customWidth="1"/>
    <col min="12" max="12" width="3.6640625" style="221" customWidth="1"/>
    <col min="13" max="13" width="0.83203125" style="221" customWidth="1"/>
    <col min="14" max="15" width="3.664062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0.83203125" style="221" customWidth="1"/>
    <col min="21" max="21" width="2.6640625" style="221" customWidth="1"/>
    <col min="22" max="22" width="7.6640625" style="221" customWidth="1"/>
    <col min="23" max="23" width="19.1640625" style="221" customWidth="1"/>
    <col min="24" max="16384" width="9.1640625" style="221"/>
  </cols>
  <sheetData>
    <row r="1" spans="1:23" ht="30" customHeight="1" x14ac:dyDescent="0.15">
      <c r="A1" s="352" t="s">
        <v>306</v>
      </c>
      <c r="B1" s="353"/>
      <c r="C1" s="353"/>
      <c r="D1" s="353"/>
      <c r="E1" s="353"/>
      <c r="F1" s="353"/>
      <c r="G1" s="354" t="s">
        <v>408</v>
      </c>
      <c r="H1" s="355"/>
      <c r="I1" s="355"/>
      <c r="J1" s="355"/>
      <c r="K1" s="355"/>
      <c r="L1" s="355"/>
      <c r="M1" s="355"/>
      <c r="N1" s="356"/>
      <c r="O1" s="357" t="s">
        <v>307</v>
      </c>
      <c r="P1" s="357"/>
      <c r="Q1" s="357"/>
      <c r="R1" s="357"/>
      <c r="S1" s="357"/>
      <c r="T1" s="357"/>
      <c r="U1" s="357"/>
      <c r="V1" s="357"/>
      <c r="W1" s="357"/>
    </row>
    <row r="2" spans="1:23" ht="30" customHeight="1" x14ac:dyDescent="0.15">
      <c r="A2" s="353"/>
      <c r="B2" s="353"/>
      <c r="C2" s="353"/>
      <c r="D2" s="353"/>
      <c r="E2" s="353"/>
      <c r="F2" s="353"/>
      <c r="G2" s="355"/>
      <c r="H2" s="355"/>
      <c r="I2" s="355"/>
      <c r="J2" s="355"/>
      <c r="K2" s="355"/>
      <c r="L2" s="355"/>
      <c r="M2" s="355"/>
      <c r="N2" s="356"/>
      <c r="O2" s="358" t="s">
        <v>184</v>
      </c>
      <c r="P2" s="358"/>
      <c r="Q2" s="359">
        <f>Admin!B4</f>
        <v>44657</v>
      </c>
      <c r="R2" s="360"/>
      <c r="S2" s="360"/>
      <c r="T2" s="360"/>
      <c r="U2" s="222" t="s">
        <v>185</v>
      </c>
      <c r="V2" s="359">
        <f>Admin!B17</f>
        <v>45021</v>
      </c>
      <c r="W2" s="359"/>
    </row>
    <row r="3" spans="1:23" ht="8.25" customHeight="1" x14ac:dyDescent="0.15">
      <c r="A3" s="342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</row>
    <row r="4" spans="1:23" ht="10" customHeight="1" x14ac:dyDescent="0.15">
      <c r="A4" s="344"/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5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46" t="str">
        <f>IF('Business Details'!C5&gt;0,'Business Details'!C5:J5," ")</f>
        <v xml:space="preserve"> </v>
      </c>
      <c r="D8" s="347"/>
      <c r="E8" s="347"/>
      <c r="F8" s="347"/>
      <c r="G8" s="347"/>
      <c r="H8" s="347"/>
      <c r="I8" s="347"/>
      <c r="J8" s="348"/>
      <c r="K8" s="220"/>
      <c r="L8" s="220"/>
      <c r="M8" s="220"/>
      <c r="N8" s="220"/>
      <c r="O8" s="311" t="str">
        <f>IF('Business Details'!O5&gt;0,'Business Details'!O5," ")</f>
        <v xml:space="preserve"> </v>
      </c>
      <c r="P8" s="313"/>
      <c r="Q8" s="181"/>
      <c r="R8" s="311" t="str">
        <f>IF('Business Details'!R5&gt;0,'Business Details'!R5," ")</f>
        <v xml:space="preserve"> </v>
      </c>
      <c r="S8" s="312"/>
      <c r="T8" s="312"/>
      <c r="U8" s="313"/>
      <c r="V8" s="220"/>
      <c r="W8" s="229"/>
    </row>
    <row r="9" spans="1:23" ht="6" customHeight="1" x14ac:dyDescent="0.15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5" customHeight="1" x14ac:dyDescent="0.15">
      <c r="A10" s="349" t="s">
        <v>18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</row>
    <row r="11" spans="1:23" ht="8" customHeight="1" x14ac:dyDescent="0.15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3" x14ac:dyDescent="0.15">
      <c r="A12" s="236">
        <v>1</v>
      </c>
      <c r="B12" s="220"/>
      <c r="C12" s="227" t="s">
        <v>153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308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15">
      <c r="A13" s="240"/>
      <c r="B13" s="220"/>
      <c r="C13" s="346" t="str">
        <f>IF('Business Details'!C17&gt;0,'Business Details'!C17," ")</f>
        <v xml:space="preserve"> </v>
      </c>
      <c r="D13" s="347"/>
      <c r="E13" s="347"/>
      <c r="F13" s="347"/>
      <c r="G13" s="347"/>
      <c r="H13" s="347"/>
      <c r="I13" s="347"/>
      <c r="J13" s="348"/>
      <c r="K13" s="220"/>
      <c r="L13" s="220"/>
      <c r="M13" s="220"/>
      <c r="N13" s="241" t="s">
        <v>309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" customHeight="1" x14ac:dyDescent="0.15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15">
      <c r="A15" s="240"/>
      <c r="B15" s="220"/>
      <c r="C15" s="346" t="str">
        <f>IF('Business Details'!C19&gt;0,'Business Details'!C19," ")</f>
        <v xml:space="preserve"> </v>
      </c>
      <c r="D15" s="347"/>
      <c r="E15" s="347"/>
      <c r="F15" s="347"/>
      <c r="G15" s="347"/>
      <c r="H15" s="347"/>
      <c r="I15" s="347"/>
      <c r="J15" s="348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" customHeight="1" x14ac:dyDescent="0.15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15">
      <c r="A17" s="240"/>
      <c r="B17" s="220"/>
      <c r="C17" s="346" t="str">
        <f>IF('Business Details'!C21&gt;0,'Business Details'!C21," ")</f>
        <v xml:space="preserve"> </v>
      </c>
      <c r="D17" s="347"/>
      <c r="E17" s="347"/>
      <c r="F17" s="347"/>
      <c r="G17" s="347"/>
      <c r="H17" s="347"/>
      <c r="I17" s="347"/>
      <c r="J17" s="348"/>
      <c r="K17" s="220"/>
      <c r="L17" s="236">
        <v>5</v>
      </c>
      <c r="M17" s="220"/>
      <c r="N17" s="227" t="s">
        <v>351</v>
      </c>
      <c r="O17" s="227"/>
      <c r="P17" s="227"/>
      <c r="Q17" s="227"/>
      <c r="R17" s="237"/>
      <c r="S17" s="335">
        <f>Q2</f>
        <v>44657</v>
      </c>
      <c r="T17" s="350"/>
      <c r="U17" s="350"/>
      <c r="V17" s="350"/>
      <c r="W17" s="239"/>
    </row>
    <row r="18" spans="1:23" ht="12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51" t="s">
        <v>310</v>
      </c>
      <c r="O18" s="351"/>
      <c r="P18" s="351"/>
      <c r="Q18" s="351"/>
      <c r="R18" s="351"/>
      <c r="S18" s="351"/>
      <c r="T18" s="351"/>
      <c r="U18" s="351"/>
      <c r="V18" s="351"/>
      <c r="W18" s="245"/>
    </row>
    <row r="19" spans="1:23" ht="8" customHeight="1" x14ac:dyDescent="0.15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4" x14ac:dyDescent="0.15">
      <c r="A20" s="236">
        <v>2</v>
      </c>
      <c r="B20" s="220"/>
      <c r="C20" s="227" t="s">
        <v>162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37" t="str">
        <f>IF('Business Details'!N19&gt;0,'Business Details'!N19," ")</f>
        <v xml:space="preserve"> </v>
      </c>
      <c r="O20" s="338"/>
      <c r="P20" s="338"/>
      <c r="Q20" s="341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15">
      <c r="A22" s="240"/>
      <c r="B22" s="220"/>
      <c r="C22" s="333" t="str">
        <f>IF('Business Details'!C30&gt;0,'Business Details'!C30," ")</f>
        <v xml:space="preserve"> </v>
      </c>
      <c r="D22" s="334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3" x14ac:dyDescent="0.15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311</v>
      </c>
      <c r="O23" s="246"/>
      <c r="P23" s="227"/>
      <c r="Q23" s="227"/>
      <c r="R23" s="227"/>
      <c r="S23" s="335">
        <f>V2</f>
        <v>45021</v>
      </c>
      <c r="T23" s="327"/>
      <c r="U23" s="336"/>
      <c r="V23" s="336"/>
      <c r="W23" s="239"/>
    </row>
    <row r="24" spans="1:23" x14ac:dyDescent="0.15">
      <c r="A24" s="236">
        <v>3</v>
      </c>
      <c r="B24" s="220"/>
      <c r="C24" s="227" t="s">
        <v>312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157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15">
      <c r="A25" s="240"/>
      <c r="B25" s="220"/>
      <c r="C25" s="227" t="s">
        <v>313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4" x14ac:dyDescent="0.15">
      <c r="A26" s="240"/>
      <c r="B26" s="220"/>
      <c r="C26" s="241" t="s">
        <v>314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37" t="str">
        <f>IF('Business Details'!N24&gt;0,'Business Details'!N24," ")</f>
        <v xml:space="preserve"> </v>
      </c>
      <c r="O26" s="338"/>
      <c r="P26" s="338"/>
      <c r="Q26" s="339"/>
      <c r="R26" s="220"/>
      <c r="S26" s="220"/>
      <c r="T26" s="220"/>
      <c r="U26" s="220"/>
      <c r="V26" s="220"/>
      <c r="W26" s="243"/>
    </row>
    <row r="27" spans="1:23" x14ac:dyDescent="0.15">
      <c r="A27" s="240"/>
      <c r="B27" s="220"/>
      <c r="C27" s="241" t="s">
        <v>315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15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316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317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" customHeight="1" x14ac:dyDescent="0.15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4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37">
        <f>Admin!B17</f>
        <v>45021</v>
      </c>
      <c r="O31" s="338"/>
      <c r="P31" s="338"/>
      <c r="Q31" s="339"/>
      <c r="R31" s="220"/>
      <c r="S31" s="220"/>
      <c r="T31" s="220"/>
      <c r="U31" s="220"/>
      <c r="V31" s="220"/>
      <c r="W31" s="243"/>
    </row>
    <row r="32" spans="1:23" ht="8" customHeight="1" x14ac:dyDescent="0.15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5" customHeight="1" x14ac:dyDescent="0.15">
      <c r="A33" s="340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</row>
    <row r="34" spans="1:23" ht="8" customHeight="1" x14ac:dyDescent="0.15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15">
      <c r="A35" s="236">
        <v>8</v>
      </c>
      <c r="B35" s="220"/>
      <c r="C35" s="227" t="s">
        <v>187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318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15">
      <c r="A36" s="240"/>
      <c r="B36" s="220"/>
      <c r="C36" s="246" t="s">
        <v>189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190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15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6" x14ac:dyDescent="0.15">
      <c r="A38" s="240"/>
      <c r="B38" s="220"/>
      <c r="C38" s="217" t="s">
        <v>51</v>
      </c>
      <c r="D38" s="322">
        <f>'Profit &amp; Loss Account'!B9</f>
        <v>0</v>
      </c>
      <c r="E38" s="323"/>
      <c r="F38" s="324"/>
      <c r="G38" s="218" t="s">
        <v>178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22">
        <f>'Profit &amp; Loss Account'!B38</f>
        <v>0</v>
      </c>
      <c r="P38" s="323"/>
      <c r="Q38" s="324"/>
      <c r="R38" s="218" t="s">
        <v>178</v>
      </c>
      <c r="S38" s="219">
        <v>0</v>
      </c>
      <c r="T38" s="219">
        <v>0</v>
      </c>
      <c r="U38" s="252"/>
      <c r="V38" s="253"/>
      <c r="W38" s="243"/>
    </row>
    <row r="39" spans="1:23" ht="8" customHeight="1" x14ac:dyDescent="0.15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5" customHeight="1" x14ac:dyDescent="0.15">
      <c r="A40" s="331" t="s">
        <v>319</v>
      </c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  <c r="Q40" s="331"/>
      <c r="R40" s="331"/>
      <c r="S40" s="331"/>
      <c r="T40" s="331"/>
      <c r="U40" s="331"/>
      <c r="V40" s="331"/>
      <c r="W40" s="331"/>
    </row>
    <row r="41" spans="1:23" s="254" customFormat="1" ht="14" customHeight="1" x14ac:dyDescent="0.15">
      <c r="A41" s="325" t="s">
        <v>320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</row>
    <row r="42" spans="1:23" s="254" customFormat="1" ht="14" customHeight="1" x14ac:dyDescent="0.15">
      <c r="A42" s="325" t="s">
        <v>321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</row>
    <row r="43" spans="1:23" ht="8" customHeight="1" x14ac:dyDescent="0.15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15">
      <c r="A44" s="236">
        <v>10</v>
      </c>
      <c r="B44" s="220"/>
      <c r="C44" s="227" t="s">
        <v>197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208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15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6" x14ac:dyDescent="0.15">
      <c r="A46" s="240"/>
      <c r="B46" s="220"/>
      <c r="C46" s="217" t="s">
        <v>51</v>
      </c>
      <c r="D46" s="322" t="str">
        <f>IF('Profit &amp; Loss Account'!B9&gt;30000,'Profit &amp; Loss Account'!B17," ")</f>
        <v xml:space="preserve"> </v>
      </c>
      <c r="E46" s="323"/>
      <c r="F46" s="324"/>
      <c r="G46" s="218" t="s">
        <v>178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22" t="str">
        <f>IF('Profit &amp; Loss Account'!B9&gt;30000,'Profit &amp; Loss Account'!B28," ")</f>
        <v xml:space="preserve"> </v>
      </c>
      <c r="P46" s="323"/>
      <c r="Q46" s="324"/>
      <c r="R46" s="218" t="s">
        <v>178</v>
      </c>
      <c r="S46" s="219">
        <v>0</v>
      </c>
      <c r="T46" s="219">
        <v>0</v>
      </c>
      <c r="U46" s="220"/>
      <c r="V46" s="220"/>
      <c r="W46" s="243"/>
    </row>
    <row r="47" spans="1:23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15">
      <c r="A48" s="236">
        <v>11</v>
      </c>
      <c r="B48" s="220"/>
      <c r="C48" s="227" t="s">
        <v>322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323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15">
      <c r="A49" s="240"/>
      <c r="B49" s="220"/>
      <c r="C49" s="246" t="s">
        <v>324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15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6" x14ac:dyDescent="0.15">
      <c r="A51" s="240"/>
      <c r="B51" s="220"/>
      <c r="C51" s="217" t="s">
        <v>51</v>
      </c>
      <c r="D51" s="322" t="str">
        <f>IF('Profit &amp; Loss Account'!B9&gt;30000,'Profit &amp; Loss Account'!B25+'Profit &amp; Loss Account'!B26," ")</f>
        <v xml:space="preserve"> </v>
      </c>
      <c r="E51" s="323"/>
      <c r="F51" s="324"/>
      <c r="G51" s="218" t="s">
        <v>178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22" t="str">
        <f>IF('Profit &amp; Loss Account'!B9&gt;30000,'Profit &amp; Loss Account'!B30+'Profit &amp; Loss Account'!B31," ")</f>
        <v xml:space="preserve"> </v>
      </c>
      <c r="P51" s="323"/>
      <c r="Q51" s="324"/>
      <c r="R51" s="218" t="s">
        <v>178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15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15">
      <c r="A53" s="236">
        <v>12</v>
      </c>
      <c r="B53" s="220"/>
      <c r="C53" s="227" t="s">
        <v>199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203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22" t="str">
        <f>IF('Profit &amp; Loss Account'!B9&gt;30000,'Profit &amp; Loss Account'!B21," ")</f>
        <v xml:space="preserve"> </v>
      </c>
      <c r="E55" s="323"/>
      <c r="F55" s="324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22" t="str">
        <f>IF('Profit &amp; Loss Account'!B9&gt;30000,'Profit &amp; Loss Account'!B24," ")</f>
        <v xml:space="preserve"> </v>
      </c>
      <c r="P55" s="323"/>
      <c r="Q55" s="324"/>
      <c r="R55" s="218" t="s">
        <v>178</v>
      </c>
      <c r="S55" s="219">
        <v>0</v>
      </c>
      <c r="T55" s="219">
        <v>0</v>
      </c>
      <c r="U55" s="220"/>
      <c r="V55" s="220"/>
      <c r="W55" s="243"/>
    </row>
    <row r="56" spans="1:23" x14ac:dyDescent="0.15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15">
      <c r="A57" s="236">
        <v>13</v>
      </c>
      <c r="B57" s="220"/>
      <c r="C57" s="227" t="s">
        <v>201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325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15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326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15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6" x14ac:dyDescent="0.15">
      <c r="A60" s="240"/>
      <c r="B60" s="220"/>
      <c r="C60" s="217" t="s">
        <v>51</v>
      </c>
      <c r="D60" s="322" t="str">
        <f>IF('Profit &amp; Loss Account'!B9&gt;30000,'Profit &amp; Loss Account'!B22," ")</f>
        <v xml:space="preserve"> </v>
      </c>
      <c r="E60" s="323"/>
      <c r="F60" s="324"/>
      <c r="G60" s="218" t="s">
        <v>178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22" t="str">
        <f>IF('Profit &amp; Loss Account'!B9&gt;30000,'Profit &amp; Loss Account'!B27+'Profit &amp; Loss Account'!B29+'Profit &amp; Loss Account'!B32+'Profit &amp; Loss Account'!B33," ")</f>
        <v xml:space="preserve"> </v>
      </c>
      <c r="P60" s="323"/>
      <c r="Q60" s="324"/>
      <c r="R60" s="218" t="s">
        <v>178</v>
      </c>
      <c r="S60" s="219">
        <v>0</v>
      </c>
      <c r="T60" s="219">
        <v>0</v>
      </c>
      <c r="U60" s="220"/>
      <c r="V60" s="220"/>
      <c r="W60" s="243"/>
    </row>
    <row r="61" spans="1:23" x14ac:dyDescent="0.15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15">
      <c r="A62" s="236">
        <v>14</v>
      </c>
      <c r="B62" s="220"/>
      <c r="C62" s="227" t="s">
        <v>327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328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15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6" x14ac:dyDescent="0.15">
      <c r="A64" s="240"/>
      <c r="B64" s="220"/>
      <c r="C64" s="217" t="s">
        <v>51</v>
      </c>
      <c r="D64" s="322" t="str">
        <f>IF('Profit &amp; Loss Account'!B9&gt;30000,'Profit &amp; Loss Account'!B23," ")</f>
        <v xml:space="preserve"> </v>
      </c>
      <c r="E64" s="323"/>
      <c r="F64" s="324"/>
      <c r="G64" s="218" t="s">
        <v>178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22">
        <f>'Profit &amp; Loss Account'!B17+'Profit &amp; Loss Account'!B35-'Profit &amp; Loss Account'!B34</f>
        <v>0</v>
      </c>
      <c r="P64" s="323"/>
      <c r="Q64" s="324"/>
      <c r="R64" s="218" t="s">
        <v>178</v>
      </c>
      <c r="S64" s="219">
        <v>0</v>
      </c>
      <c r="T64" s="219">
        <v>0</v>
      </c>
      <c r="U64" s="220"/>
      <c r="V64" s="220"/>
      <c r="W64" s="243"/>
    </row>
    <row r="65" spans="1:26" ht="8" customHeight="1" x14ac:dyDescent="0.15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5" customHeight="1" x14ac:dyDescent="0.15">
      <c r="A66" s="332" t="s">
        <v>213</v>
      </c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2"/>
      <c r="V66" s="332"/>
      <c r="W66" s="332"/>
    </row>
    <row r="67" spans="1:26" ht="8" customHeight="1" x14ac:dyDescent="0.15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15">
      <c r="A68" s="236">
        <v>20</v>
      </c>
      <c r="B68" s="220"/>
      <c r="C68" s="227" t="s">
        <v>214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215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15">
      <c r="A69" s="240"/>
      <c r="B69" s="220"/>
      <c r="C69" s="246" t="s">
        <v>329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330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15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6" x14ac:dyDescent="0.15">
      <c r="A71" s="240"/>
      <c r="B71" s="220"/>
      <c r="C71" s="217" t="s">
        <v>51</v>
      </c>
      <c r="D71" s="322">
        <f>IF((D38+O38-O64)&gt;=0,D38+O38-O64,0)</f>
        <v>0</v>
      </c>
      <c r="E71" s="323"/>
      <c r="F71" s="324"/>
      <c r="G71" s="218" t="s">
        <v>178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22">
        <f>IF((D38+O38-O64)&lt;0,O64-D38-O38,0)</f>
        <v>0</v>
      </c>
      <c r="P71" s="323"/>
      <c r="Q71" s="324"/>
      <c r="R71" s="218" t="s">
        <v>178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" customHeight="1" x14ac:dyDescent="0.15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5" customHeight="1" x14ac:dyDescent="0.15">
      <c r="A73" s="331" t="s">
        <v>218</v>
      </c>
      <c r="B73" s="331"/>
      <c r="C73" s="331"/>
      <c r="D73" s="331"/>
      <c r="E73" s="331"/>
      <c r="F73" s="331"/>
      <c r="G73" s="331"/>
      <c r="H73" s="331"/>
      <c r="I73" s="331"/>
      <c r="J73" s="331"/>
      <c r="K73" s="331"/>
      <c r="L73" s="331"/>
      <c r="M73" s="331"/>
      <c r="N73" s="331"/>
      <c r="O73" s="331"/>
      <c r="P73" s="331"/>
      <c r="Q73" s="331"/>
      <c r="R73" s="331"/>
      <c r="S73" s="331"/>
      <c r="T73" s="331"/>
      <c r="U73" s="331"/>
      <c r="V73" s="331"/>
      <c r="W73" s="331"/>
      <c r="Y73" s="257"/>
      <c r="Z73" s="257"/>
    </row>
    <row r="74" spans="1:26" ht="14" customHeight="1" x14ac:dyDescent="0.15">
      <c r="A74" s="325" t="s">
        <v>331</v>
      </c>
      <c r="B74" s="325"/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5"/>
      <c r="W74" s="325"/>
    </row>
    <row r="75" spans="1:26" ht="14" customHeight="1" x14ac:dyDescent="0.15">
      <c r="A75" s="325" t="s">
        <v>332</v>
      </c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5"/>
      <c r="W75" s="325"/>
      <c r="Y75" s="257"/>
      <c r="Z75" s="257"/>
    </row>
    <row r="76" spans="1:26" ht="13.5" customHeight="1" x14ac:dyDescent="0.15">
      <c r="A76" s="325" t="s">
        <v>333</v>
      </c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5"/>
      <c r="W76" s="325"/>
    </row>
    <row r="77" spans="1:26" ht="8" customHeight="1" x14ac:dyDescent="0.15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15">
      <c r="A78" s="236">
        <v>22</v>
      </c>
      <c r="B78" s="220"/>
      <c r="C78" s="227" t="s">
        <v>350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386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15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15">
      <c r="A80" s="255"/>
      <c r="B80" s="220"/>
      <c r="C80" s="217" t="s">
        <v>51</v>
      </c>
      <c r="D80" s="322">
        <f>IF(([1]Schedule!$Q$1)&gt;0,[1]Schedule!$Q$1,0)</f>
        <v>0</v>
      </c>
      <c r="E80" s="323"/>
      <c r="F80" s="324"/>
      <c r="G80" s="218" t="s">
        <v>178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22">
        <f>IF(([1]Schedule!$R$1+[1]Schedule!$Y$1)&gt;0,[1]Schedule!$R$1+[1]Schedule!$Y$1,0)</f>
        <v>0</v>
      </c>
      <c r="P80" s="323"/>
      <c r="Q80" s="324"/>
      <c r="R80" s="218" t="s">
        <v>178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15">
      <c r="A82" s="236">
        <v>23</v>
      </c>
      <c r="B82" s="220"/>
      <c r="C82" s="227" t="s">
        <v>387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334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15">
      <c r="A83" s="240"/>
      <c r="B83" s="220"/>
      <c r="C83" s="227" t="s">
        <v>388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389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15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6" x14ac:dyDescent="0.15">
      <c r="A85" s="255"/>
      <c r="B85" s="220"/>
      <c r="C85" s="217" t="s">
        <v>51</v>
      </c>
      <c r="D85" s="322">
        <f>IF(([1]Schedule!$R$1+[1]Schedule!$S$1)&lt;1000,[1]Schedule!$S$1,0)</f>
        <v>0</v>
      </c>
      <c r="E85" s="323"/>
      <c r="F85" s="324"/>
      <c r="G85" s="218" t="s">
        <v>178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22">
        <f>IF([1]Schedule!$Z$1&gt;0,[1]Schedule!$Z$1,0)</f>
        <v>0</v>
      </c>
      <c r="P85" s="323"/>
      <c r="Q85" s="324"/>
      <c r="R85" s="218" t="s">
        <v>178</v>
      </c>
      <c r="S85" s="219">
        <v>0</v>
      </c>
      <c r="T85" s="219">
        <v>0</v>
      </c>
      <c r="U85" s="220"/>
      <c r="V85" s="220"/>
      <c r="W85" s="243"/>
    </row>
    <row r="86" spans="1:23" ht="8" customHeight="1" x14ac:dyDescent="0.15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5" customHeight="1" x14ac:dyDescent="0.15">
      <c r="A87" s="330" t="s">
        <v>335</v>
      </c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</row>
    <row r="88" spans="1:23" ht="16" customHeight="1" x14ac:dyDescent="0.15">
      <c r="A88" s="325" t="s">
        <v>336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</row>
    <row r="89" spans="1:23" ht="15.75" customHeight="1" x14ac:dyDescent="0.15">
      <c r="A89" s="325" t="s">
        <v>337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</row>
    <row r="90" spans="1:23" ht="8" customHeight="1" x14ac:dyDescent="0.15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15">
      <c r="A91" s="236">
        <v>26</v>
      </c>
      <c r="B91" s="220"/>
      <c r="C91" s="227" t="s">
        <v>338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257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27"/>
      <c r="B92" s="220"/>
      <c r="C92" s="246" t="s">
        <v>390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391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15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20"/>
      <c r="B94" s="220"/>
      <c r="C94" s="217" t="s">
        <v>51</v>
      </c>
      <c r="D94" s="322">
        <f>'Business Details'!O50</f>
        <v>0</v>
      </c>
      <c r="E94" s="323"/>
      <c r="F94" s="324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22">
        <f>IF(O106&gt;0,0,IF('Business Details'!D50=0,0,IF(D99&gt;'Business Details'!D50,'Business Details'!D50,D99)))</f>
        <v>0</v>
      </c>
      <c r="P94" s="323"/>
      <c r="Q94" s="324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x14ac:dyDescent="0.15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27</v>
      </c>
      <c r="B96" s="220"/>
      <c r="C96" s="227" t="s">
        <v>392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339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15">
      <c r="A97" s="255"/>
      <c r="B97" s="220"/>
      <c r="C97" s="227" t="s">
        <v>393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340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15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6" x14ac:dyDescent="0.15">
      <c r="A99" s="240"/>
      <c r="B99" s="220"/>
      <c r="C99" s="217" t="s">
        <v>51</v>
      </c>
      <c r="D99" s="322">
        <f>IF((D71+O85+D94-O71-D80-D85-O80)&gt;0,D71+O85+D94-O71-D80-D85-O80,0)</f>
        <v>0</v>
      </c>
      <c r="E99" s="323"/>
      <c r="F99" s="324"/>
      <c r="G99" s="218" t="s">
        <v>178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22">
        <f>'Profit &amp; Loss Account'!B11</f>
        <v>0</v>
      </c>
      <c r="P99" s="323"/>
      <c r="Q99" s="324"/>
      <c r="R99" s="218" t="s">
        <v>178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15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5" customHeight="1" x14ac:dyDescent="0.15">
      <c r="A101" s="331" t="s">
        <v>341</v>
      </c>
      <c r="B101" s="331"/>
      <c r="C101" s="331"/>
      <c r="D101" s="331"/>
      <c r="E101" s="331"/>
      <c r="F101" s="331"/>
      <c r="G101" s="331"/>
      <c r="H101" s="331"/>
      <c r="I101" s="331"/>
      <c r="J101" s="331"/>
      <c r="K101" s="331"/>
      <c r="L101" s="331"/>
      <c r="M101" s="331"/>
      <c r="N101" s="331"/>
      <c r="O101" s="331"/>
      <c r="P101" s="331"/>
      <c r="Q101" s="331"/>
      <c r="R101" s="331"/>
      <c r="S101" s="331"/>
      <c r="T101" s="331"/>
      <c r="U101" s="331"/>
      <c r="V101" s="331"/>
      <c r="W101" s="331"/>
    </row>
    <row r="102" spans="1:26" ht="8" customHeight="1" x14ac:dyDescent="0.15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15">
      <c r="A103" s="236">
        <v>30</v>
      </c>
      <c r="B103" s="220"/>
      <c r="C103" s="227" t="s">
        <v>394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395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15">
      <c r="A104" s="240"/>
      <c r="B104" s="220"/>
      <c r="C104" s="241" t="s">
        <v>396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397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6" x14ac:dyDescent="0.15">
      <c r="A106" s="255"/>
      <c r="B106" s="220"/>
      <c r="C106" s="217" t="s">
        <v>51</v>
      </c>
      <c r="D106" s="322">
        <f>IF((D99+O99-O94)&gt;0,D99+O99-O94,0)</f>
        <v>0</v>
      </c>
      <c r="E106" s="323"/>
      <c r="F106" s="324"/>
      <c r="G106" s="218" t="s">
        <v>178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22">
        <f>IF((O71+D80+D85+O80-D71-O85-D94)&gt;=0,O71+D80+D85+O80-D71-O85-D94,0)</f>
        <v>0</v>
      </c>
      <c r="P106" s="323"/>
      <c r="Q106" s="324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15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5" customHeight="1" x14ac:dyDescent="0.15">
      <c r="A108" s="330" t="s">
        <v>342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</row>
    <row r="109" spans="1:26" ht="16" customHeight="1" x14ac:dyDescent="0.15">
      <c r="A109" s="325" t="s">
        <v>343</v>
      </c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5"/>
      <c r="W109" s="325"/>
    </row>
    <row r="110" spans="1:26" ht="8" customHeight="1" x14ac:dyDescent="0.15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15">
      <c r="A111" s="236">
        <v>32</v>
      </c>
      <c r="B111" s="220"/>
      <c r="C111" s="227" t="s">
        <v>344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345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15">
      <c r="A112" s="255"/>
      <c r="B112" s="220"/>
      <c r="C112" s="227" t="s">
        <v>268</v>
      </c>
      <c r="D112" s="326" t="str">
        <f>Admin!G2</f>
        <v>2022-23</v>
      </c>
      <c r="E112" s="327"/>
      <c r="F112" s="327"/>
      <c r="G112" s="227"/>
      <c r="H112" s="227"/>
      <c r="I112" s="227"/>
      <c r="J112" s="227"/>
      <c r="K112" s="227"/>
      <c r="L112" s="227"/>
      <c r="M112" s="220"/>
      <c r="N112" s="227" t="s">
        <v>398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22"/>
      <c r="E114" s="323"/>
      <c r="F114" s="324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33</v>
      </c>
      <c r="B116" s="220"/>
      <c r="C116" s="227" t="s">
        <v>346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301</v>
      </c>
      <c r="O116" s="220"/>
      <c r="P116" s="220"/>
      <c r="Q116" s="220"/>
      <c r="R116" s="328" t="str">
        <f>Admin!G2</f>
        <v>2022-23</v>
      </c>
      <c r="S116" s="329"/>
      <c r="T116" s="329"/>
      <c r="U116" s="227" t="s">
        <v>347</v>
      </c>
      <c r="V116" s="220"/>
      <c r="W116" s="243"/>
    </row>
    <row r="117" spans="1:23" ht="12" customHeight="1" x14ac:dyDescent="0.15">
      <c r="A117" s="255"/>
      <c r="B117" s="220"/>
      <c r="C117" s="227" t="s">
        <v>265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399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15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236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6" x14ac:dyDescent="0.15">
      <c r="A119" s="240"/>
      <c r="B119" s="220"/>
      <c r="C119" s="217" t="s">
        <v>51</v>
      </c>
      <c r="D119" s="322"/>
      <c r="E119" s="323"/>
      <c r="F119" s="324"/>
      <c r="G119" s="218" t="s">
        <v>178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15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15">
      <c r="A121" s="236">
        <v>34</v>
      </c>
      <c r="B121" s="220"/>
      <c r="C121" s="227" t="s">
        <v>267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271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15">
      <c r="A122" s="255"/>
      <c r="B122" s="220"/>
      <c r="C122" s="246" t="s">
        <v>269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348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15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6" x14ac:dyDescent="0.15">
      <c r="A124" s="240"/>
      <c r="B124" s="220"/>
      <c r="C124" s="217" t="s">
        <v>51</v>
      </c>
      <c r="D124" s="322">
        <f>'Business Details'!O55</f>
        <v>0</v>
      </c>
      <c r="E124" s="323"/>
      <c r="F124" s="324"/>
      <c r="G124" s="218" t="s">
        <v>178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22">
        <f>[2]Mar23!$X$1</f>
        <v>0</v>
      </c>
      <c r="P124" s="323"/>
      <c r="Q124" s="324"/>
      <c r="R124" s="218" t="s">
        <v>178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15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zoomScaleNormal="100" workbookViewId="0">
      <selection activeCell="A3" sqref="A3:W3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1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0" width="6.6640625" style="221" customWidth="1"/>
    <col min="11" max="11" width="9.6640625" style="221" customWidth="1"/>
    <col min="12" max="12" width="3.6640625" style="221" customWidth="1"/>
    <col min="13" max="13" width="0.83203125" style="221" customWidth="1"/>
    <col min="14" max="14" width="3.6640625" style="221" customWidth="1"/>
    <col min="15" max="15" width="3.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1.6640625" style="221" customWidth="1"/>
    <col min="21" max="21" width="2.6640625" style="221" customWidth="1"/>
    <col min="22" max="22" width="5.5" style="221" customWidth="1"/>
    <col min="23" max="23" width="20.6640625" style="221" customWidth="1"/>
    <col min="24" max="16384" width="9.1640625" style="221"/>
  </cols>
  <sheetData>
    <row r="1" spans="1:23" ht="30" customHeight="1" x14ac:dyDescent="0.15">
      <c r="A1" s="352" t="s">
        <v>182</v>
      </c>
      <c r="B1" s="353"/>
      <c r="C1" s="353"/>
      <c r="D1" s="353"/>
      <c r="E1" s="353"/>
      <c r="F1" s="353"/>
      <c r="G1" s="354" t="s">
        <v>408</v>
      </c>
      <c r="H1" s="355"/>
      <c r="I1" s="355"/>
      <c r="J1" s="355"/>
      <c r="K1" s="355"/>
      <c r="L1" s="355"/>
      <c r="M1" s="355"/>
      <c r="N1" s="387" t="s">
        <v>183</v>
      </c>
      <c r="O1" s="387"/>
      <c r="P1" s="387"/>
      <c r="Q1" s="387"/>
      <c r="R1" s="387"/>
      <c r="S1" s="387"/>
      <c r="T1" s="387"/>
      <c r="U1" s="387"/>
      <c r="V1" s="387"/>
      <c r="W1" s="387"/>
    </row>
    <row r="2" spans="1:23" ht="30" customHeight="1" x14ac:dyDescent="0.15">
      <c r="A2" s="353"/>
      <c r="B2" s="353"/>
      <c r="C2" s="353"/>
      <c r="D2" s="353"/>
      <c r="E2" s="353"/>
      <c r="F2" s="353"/>
      <c r="G2" s="355"/>
      <c r="H2" s="355"/>
      <c r="I2" s="355"/>
      <c r="J2" s="355"/>
      <c r="K2" s="355"/>
      <c r="L2" s="355"/>
      <c r="M2" s="355"/>
      <c r="N2" s="358" t="s">
        <v>184</v>
      </c>
      <c r="O2" s="358"/>
      <c r="P2" s="358"/>
      <c r="Q2" s="359">
        <f>Admin!B4</f>
        <v>44657</v>
      </c>
      <c r="R2" s="360"/>
      <c r="S2" s="360"/>
      <c r="T2" s="360"/>
      <c r="U2" s="222" t="s">
        <v>185</v>
      </c>
      <c r="V2" s="359">
        <f>Admin!B17</f>
        <v>45021</v>
      </c>
      <c r="W2" s="359"/>
    </row>
    <row r="3" spans="1:23" ht="8.25" customHeight="1" x14ac:dyDescent="0.15">
      <c r="A3" s="342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</row>
    <row r="4" spans="1:23" ht="10" customHeight="1" x14ac:dyDescent="0.15">
      <c r="A4" s="344"/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5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85" t="str">
        <f>IF('Business Details'!C5&gt;0,'Business Details'!C5," ")</f>
        <v xml:space="preserve"> </v>
      </c>
      <c r="D8" s="377"/>
      <c r="E8" s="377"/>
      <c r="F8" s="377"/>
      <c r="G8" s="377"/>
      <c r="H8" s="377"/>
      <c r="I8" s="377"/>
      <c r="J8" s="386"/>
      <c r="K8" s="220"/>
      <c r="L8" s="220"/>
      <c r="M8" s="220"/>
      <c r="N8" s="220"/>
      <c r="O8" s="385" t="str">
        <f>IF('Business Details'!O5&gt;0,'Business Details'!O5," ")</f>
        <v xml:space="preserve"> </v>
      </c>
      <c r="P8" s="386"/>
      <c r="Q8" s="220"/>
      <c r="R8" s="385" t="str">
        <f>IF('Business Details'!R5&gt;0,'Business Details'!R5," ")</f>
        <v xml:space="preserve"> </v>
      </c>
      <c r="S8" s="377"/>
      <c r="T8" s="377"/>
      <c r="U8" s="386"/>
      <c r="V8" s="220"/>
      <c r="W8" s="229"/>
    </row>
    <row r="9" spans="1:23" ht="10" customHeight="1" x14ac:dyDescent="0.1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15">
      <c r="A10" s="240"/>
      <c r="B10" s="220"/>
      <c r="C10" s="385" t="str">
        <f>IF('Business Details'!C7&gt;0,'Business Details'!C7," ")</f>
        <v xml:space="preserve"> </v>
      </c>
      <c r="D10" s="377"/>
      <c r="E10" s="377"/>
      <c r="F10" s="377"/>
      <c r="G10" s="377"/>
      <c r="H10" s="377"/>
      <c r="I10" s="377"/>
      <c r="J10" s="386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15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5" customHeight="1" x14ac:dyDescent="0.15">
      <c r="A12" s="388" t="s">
        <v>18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388"/>
      <c r="O12" s="388"/>
      <c r="P12" s="388"/>
      <c r="Q12" s="388"/>
      <c r="R12" s="388"/>
      <c r="S12" s="388"/>
      <c r="T12" s="388"/>
      <c r="U12" s="388"/>
      <c r="V12" s="388"/>
      <c r="W12" s="349"/>
    </row>
    <row r="13" spans="1:23" ht="8" customHeight="1" x14ac:dyDescent="0.15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15">
      <c r="A14" s="236">
        <v>1</v>
      </c>
      <c r="B14" s="220"/>
      <c r="C14" s="227" t="s">
        <v>149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150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15">
      <c r="A15" s="240"/>
      <c r="B15" s="220"/>
      <c r="C15" s="385" t="str">
        <f>IF('Business Details'!C12&gt;0,'Business Details'!C12," ")</f>
        <v xml:space="preserve"> </v>
      </c>
      <c r="D15" s="377"/>
      <c r="E15" s="377"/>
      <c r="F15" s="377"/>
      <c r="G15" s="377"/>
      <c r="H15" s="377"/>
      <c r="I15" s="377"/>
      <c r="J15" s="386"/>
      <c r="K15" s="220"/>
      <c r="L15" s="220"/>
      <c r="M15" s="220"/>
      <c r="N15" s="241" t="s">
        <v>151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10" customHeight="1" x14ac:dyDescent="0.1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152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15">
      <c r="A17" s="240"/>
      <c r="B17" s="220"/>
      <c r="C17" s="385" t="str">
        <f>IF('Business Details'!C14&gt;0,'Business Details'!C14," ")</f>
        <v xml:space="preserve"> </v>
      </c>
      <c r="D17" s="377"/>
      <c r="E17" s="377"/>
      <c r="F17" s="377"/>
      <c r="G17" s="377"/>
      <c r="H17" s="377"/>
      <c r="I17" s="377"/>
      <c r="J17" s="386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3" x14ac:dyDescent="0.15">
      <c r="A19" s="236">
        <v>2</v>
      </c>
      <c r="B19" s="220"/>
      <c r="C19" s="227" t="s">
        <v>153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154</v>
      </c>
      <c r="O19" s="227"/>
      <c r="P19" s="227"/>
      <c r="Q19" s="227"/>
      <c r="R19" s="220"/>
      <c r="S19" s="335">
        <f>Admin!B4</f>
        <v>44657</v>
      </c>
      <c r="T19" s="336"/>
      <c r="U19" s="336"/>
      <c r="V19" s="336"/>
      <c r="W19" s="239"/>
    </row>
    <row r="20" spans="1:23" ht="15" customHeight="1" x14ac:dyDescent="0.15">
      <c r="A20" s="240"/>
      <c r="B20" s="220"/>
      <c r="C20" s="385" t="str">
        <f>IF('Business Details'!C17&gt;0,'Business Details'!C17," ")</f>
        <v xml:space="preserve"> </v>
      </c>
      <c r="D20" s="377"/>
      <c r="E20" s="377"/>
      <c r="F20" s="377"/>
      <c r="G20" s="377"/>
      <c r="H20" s="377"/>
      <c r="I20" s="377"/>
      <c r="J20" s="386"/>
      <c r="K20" s="220"/>
      <c r="L20" s="220"/>
      <c r="M20" s="220"/>
      <c r="N20" s="227" t="s">
        <v>155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4" x14ac:dyDescent="0.15">
      <c r="A22" s="240"/>
      <c r="B22" s="220"/>
      <c r="C22" s="385" t="str">
        <f>IF('Business Details'!C19&gt;0,'Business Details'!C19," ")</f>
        <v xml:space="preserve"> </v>
      </c>
      <c r="D22" s="377"/>
      <c r="E22" s="377"/>
      <c r="F22" s="377"/>
      <c r="G22" s="377"/>
      <c r="H22" s="377"/>
      <c r="I22" s="377"/>
      <c r="J22" s="386"/>
      <c r="K22" s="220"/>
      <c r="L22" s="220"/>
      <c r="M22" s="220"/>
      <c r="N22" s="337" t="str">
        <f>IF('Business Details'!N10&gt;0,'Business Details'!N19," ")</f>
        <v xml:space="preserve"> </v>
      </c>
      <c r="O22" s="338"/>
      <c r="P22" s="338"/>
      <c r="Q22" s="341"/>
      <c r="R22" s="220"/>
      <c r="S22" s="220"/>
      <c r="T22" s="220"/>
      <c r="U22" s="220"/>
      <c r="V22" s="220"/>
      <c r="W22" s="243"/>
    </row>
    <row r="23" spans="1:23" ht="8" customHeight="1" x14ac:dyDescent="0.1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4" x14ac:dyDescent="0.15">
      <c r="A24" s="240"/>
      <c r="B24" s="220"/>
      <c r="C24" s="385" t="str">
        <f>IF('Business Details'!C21&gt;0,'Business Details'!C21," ")</f>
        <v xml:space="preserve"> </v>
      </c>
      <c r="D24" s="377"/>
      <c r="E24" s="377"/>
      <c r="F24" s="377"/>
      <c r="G24" s="377"/>
      <c r="H24" s="377"/>
      <c r="I24" s="377"/>
      <c r="J24" s="386"/>
      <c r="K24" s="220"/>
      <c r="L24" s="236">
        <v>7</v>
      </c>
      <c r="M24" s="220"/>
      <c r="N24" s="227" t="s">
        <v>156</v>
      </c>
      <c r="O24" s="227"/>
      <c r="P24" s="227"/>
      <c r="Q24" s="227"/>
      <c r="R24" s="220"/>
      <c r="S24" s="335">
        <f>Admin!B17</f>
        <v>45021</v>
      </c>
      <c r="T24" s="336"/>
      <c r="U24" s="336"/>
      <c r="V24" s="336"/>
      <c r="W24" s="239"/>
    </row>
    <row r="25" spans="1:23" ht="8" customHeight="1" x14ac:dyDescent="0.15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51" t="s">
        <v>157</v>
      </c>
      <c r="O25" s="351"/>
      <c r="P25" s="351"/>
      <c r="Q25" s="351"/>
      <c r="R25" s="351"/>
      <c r="S25" s="351"/>
      <c r="T25" s="351"/>
      <c r="U25" s="351"/>
      <c r="V25" s="351"/>
      <c r="W25" s="245"/>
    </row>
    <row r="26" spans="1:23" x14ac:dyDescent="0.15">
      <c r="A26" s="236">
        <v>3</v>
      </c>
      <c r="B26" s="220"/>
      <c r="C26" s="227" t="s">
        <v>158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51"/>
      <c r="O26" s="351"/>
      <c r="P26" s="351"/>
      <c r="Q26" s="351"/>
      <c r="R26" s="351"/>
      <c r="S26" s="351"/>
      <c r="T26" s="351"/>
      <c r="U26" s="351"/>
      <c r="V26" s="351"/>
      <c r="W26" s="245"/>
    </row>
    <row r="27" spans="1:23" ht="15" customHeight="1" x14ac:dyDescent="0.15">
      <c r="A27" s="240"/>
      <c r="B27" s="220"/>
      <c r="C27" s="248" t="s">
        <v>159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37" t="str">
        <f>IF('Business Details'!N24&gt;0,'Business Details'!N24," ")</f>
        <v xml:space="preserve"> </v>
      </c>
      <c r="O27" s="338"/>
      <c r="P27" s="338"/>
      <c r="Q27" s="341"/>
      <c r="R27" s="220"/>
      <c r="S27" s="220"/>
      <c r="T27" s="220"/>
      <c r="U27" s="220"/>
      <c r="V27" s="220"/>
      <c r="W27" s="243"/>
    </row>
    <row r="28" spans="1:23" ht="14" x14ac:dyDescent="0.15">
      <c r="A28" s="240"/>
      <c r="B28" s="220"/>
      <c r="C28" s="385" t="str">
        <f>IF('Business Details'!C25&gt;0,'Business Details'!C25," ")</f>
        <v xml:space="preserve"> </v>
      </c>
      <c r="D28" s="377"/>
      <c r="E28" s="377"/>
      <c r="F28" s="377"/>
      <c r="G28" s="377"/>
      <c r="H28" s="377"/>
      <c r="I28" s="377"/>
      <c r="J28" s="386"/>
      <c r="K28" s="220"/>
      <c r="L28" s="236">
        <v>8</v>
      </c>
      <c r="M28" s="220"/>
      <c r="N28" s="227" t="s">
        <v>160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15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161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4" x14ac:dyDescent="0.15">
      <c r="A30" s="240"/>
      <c r="B30" s="220"/>
      <c r="C30" s="385" t="str">
        <f>IF('Business Details'!C27&gt;0,'Business Details'!C27," ")</f>
        <v xml:space="preserve"> </v>
      </c>
      <c r="D30" s="377"/>
      <c r="E30" s="377"/>
      <c r="F30" s="377"/>
      <c r="G30" s="377"/>
      <c r="H30" s="377"/>
      <c r="I30" s="377"/>
      <c r="J30" s="386"/>
      <c r="K30" s="220"/>
      <c r="L30" s="220"/>
      <c r="M30" s="220"/>
      <c r="N30" s="337" t="str">
        <f>IF('Business Details'!N27&gt;0,'Business Details'!N27," ")</f>
        <v xml:space="preserve"> </v>
      </c>
      <c r="O30" s="338"/>
      <c r="P30" s="338"/>
      <c r="Q30" s="341"/>
      <c r="R30" s="220"/>
      <c r="S30" s="220"/>
      <c r="T30" s="220"/>
      <c r="U30" s="220"/>
      <c r="V30" s="220"/>
      <c r="W30" s="243"/>
    </row>
    <row r="31" spans="1:23" ht="8" customHeight="1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15">
      <c r="A32" s="236">
        <v>4</v>
      </c>
      <c r="B32" s="220"/>
      <c r="C32" s="241" t="s">
        <v>162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163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4" x14ac:dyDescent="0.15">
      <c r="A33" s="240"/>
      <c r="B33" s="220"/>
      <c r="C33" s="383" t="str">
        <f>IF('Business Details'!C30&gt;0,'Business Details'!C30," ")</f>
        <v xml:space="preserve"> </v>
      </c>
      <c r="D33" s="384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164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15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165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15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37">
        <f>Admin!B17</f>
        <v>45021</v>
      </c>
      <c r="O35" s="338"/>
      <c r="P35" s="338"/>
      <c r="Q35" s="341"/>
      <c r="R35" s="220"/>
      <c r="S35" s="220"/>
      <c r="T35" s="220"/>
      <c r="U35" s="220"/>
      <c r="V35" s="220"/>
      <c r="W35" s="243"/>
    </row>
    <row r="36" spans="1:23" ht="8" customHeight="1" x14ac:dyDescent="0.15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5" customHeight="1" x14ac:dyDescent="0.15">
      <c r="A37" s="330" t="s">
        <v>166</v>
      </c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</row>
    <row r="38" spans="1:23" ht="6" customHeight="1" x14ac:dyDescent="0.15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15">
      <c r="A39" s="236">
        <v>10</v>
      </c>
      <c r="B39" s="220"/>
      <c r="C39" s="227" t="s">
        <v>167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168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15">
      <c r="A40" s="240"/>
      <c r="B40" s="220"/>
      <c r="C40" s="227" t="s">
        <v>169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170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" customHeight="1" x14ac:dyDescent="0.15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4" x14ac:dyDescent="0.1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" customHeight="1" x14ac:dyDescent="0.15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15">
      <c r="A44" s="236">
        <v>11</v>
      </c>
      <c r="B44" s="220"/>
      <c r="C44" s="227" t="s">
        <v>171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172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15">
      <c r="A45" s="240"/>
      <c r="B45" s="220"/>
      <c r="C45" s="227" t="s">
        <v>173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174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15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170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" customHeight="1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4" x14ac:dyDescent="0.1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" customHeight="1" x14ac:dyDescent="0.15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5" customHeight="1" x14ac:dyDescent="0.15">
      <c r="A50" s="331" t="s">
        <v>186</v>
      </c>
      <c r="B50" s="331"/>
      <c r="C50" s="331"/>
      <c r="D50" s="331"/>
      <c r="E50" s="331"/>
      <c r="F50" s="331"/>
      <c r="G50" s="331"/>
      <c r="H50" s="331"/>
      <c r="I50" s="331"/>
      <c r="J50" s="331"/>
      <c r="K50" s="331"/>
      <c r="L50" s="331"/>
      <c r="M50" s="331"/>
      <c r="N50" s="331"/>
      <c r="O50" s="331"/>
      <c r="P50" s="331"/>
      <c r="Q50" s="331"/>
      <c r="R50" s="331"/>
      <c r="S50" s="331"/>
      <c r="T50" s="331"/>
      <c r="U50" s="331"/>
      <c r="V50" s="331"/>
      <c r="W50" s="331"/>
    </row>
    <row r="51" spans="1:23" ht="8" customHeight="1" x14ac:dyDescent="0.1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15">
      <c r="A52" s="236">
        <v>14</v>
      </c>
      <c r="B52" s="220"/>
      <c r="C52" s="227" t="s">
        <v>187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188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15">
      <c r="A53" s="240"/>
      <c r="B53" s="220"/>
      <c r="C53" s="227" t="s">
        <v>189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190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22">
        <f>'Profit &amp; Loss Account'!B9</f>
        <v>0</v>
      </c>
      <c r="E55" s="323"/>
      <c r="F55" s="324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22">
        <f>'Profit &amp; Loss Account'!B38</f>
        <v>0</v>
      </c>
      <c r="P55" s="323"/>
      <c r="Q55" s="324"/>
      <c r="R55" s="218" t="s">
        <v>178</v>
      </c>
      <c r="S55" s="219">
        <v>0</v>
      </c>
      <c r="T55" s="219">
        <v>0</v>
      </c>
      <c r="U55" s="252"/>
      <c r="V55" s="253"/>
      <c r="W55" s="243"/>
    </row>
    <row r="56" spans="1:23" ht="8" customHeight="1" x14ac:dyDescent="0.15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5" customHeight="1" x14ac:dyDescent="0.15">
      <c r="A57" s="331" t="s">
        <v>191</v>
      </c>
      <c r="B57" s="331"/>
      <c r="C57" s="331"/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</row>
    <row r="58" spans="1:23" s="254" customFormat="1" ht="16" customHeight="1" x14ac:dyDescent="0.15">
      <c r="A58" s="325" t="s">
        <v>192</v>
      </c>
      <c r="B58" s="325"/>
      <c r="C58" s="325"/>
      <c r="D58" s="325"/>
      <c r="E58" s="325"/>
      <c r="F58" s="325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5"/>
      <c r="W58" s="325"/>
    </row>
    <row r="59" spans="1:23" ht="6" customHeight="1" x14ac:dyDescent="0.15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4" x14ac:dyDescent="0.1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15">
      <c r="A61" s="240"/>
      <c r="B61" s="220"/>
      <c r="C61" s="227" t="s">
        <v>193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194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15">
      <c r="A62" s="240"/>
      <c r="B62" s="220"/>
      <c r="C62" s="227" t="s">
        <v>195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196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15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15">
      <c r="A64" s="236">
        <v>16</v>
      </c>
      <c r="B64" s="220"/>
      <c r="C64" s="227" t="s">
        <v>197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15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6" x14ac:dyDescent="0.15">
      <c r="A66" s="240"/>
      <c r="B66" s="220"/>
      <c r="C66" s="217" t="s">
        <v>51</v>
      </c>
      <c r="D66" s="322">
        <f>'Profit &amp; Loss Account'!B14+'Profit &amp; Loss Account'!B16</f>
        <v>0</v>
      </c>
      <c r="E66" s="323"/>
      <c r="F66" s="324"/>
      <c r="G66" s="218" t="s">
        <v>178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22"/>
      <c r="P66" s="323"/>
      <c r="Q66" s="324"/>
      <c r="R66" s="218" t="s">
        <v>178</v>
      </c>
      <c r="S66" s="219">
        <v>0</v>
      </c>
      <c r="T66" s="219">
        <v>0</v>
      </c>
      <c r="U66" s="220"/>
      <c r="V66" s="220"/>
      <c r="W66" s="243"/>
    </row>
    <row r="67" spans="1:23" ht="10" customHeight="1" x14ac:dyDescent="0.15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15">
      <c r="A68" s="236">
        <v>17</v>
      </c>
      <c r="B68" s="220"/>
      <c r="C68" s="227" t="s">
        <v>198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15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6" x14ac:dyDescent="0.15">
      <c r="A70" s="240"/>
      <c r="B70" s="220"/>
      <c r="C70" s="217" t="s">
        <v>51</v>
      </c>
      <c r="D70" s="322">
        <f>'Profit &amp; Loss Account'!B15</f>
        <v>0</v>
      </c>
      <c r="E70" s="323"/>
      <c r="F70" s="324"/>
      <c r="G70" s="218" t="s">
        <v>178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22"/>
      <c r="P70" s="323"/>
      <c r="Q70" s="324"/>
      <c r="R70" s="218" t="s">
        <v>178</v>
      </c>
      <c r="S70" s="219">
        <v>0</v>
      </c>
      <c r="T70" s="219">
        <v>0</v>
      </c>
      <c r="U70" s="220"/>
      <c r="V70" s="220"/>
      <c r="W70" s="243"/>
    </row>
    <row r="71" spans="1:23" ht="10" customHeight="1" x14ac:dyDescent="0.15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15">
      <c r="A72" s="236">
        <v>18</v>
      </c>
      <c r="B72" s="220"/>
      <c r="C72" s="227" t="s">
        <v>199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15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6" x14ac:dyDescent="0.15">
      <c r="A74" s="240"/>
      <c r="B74" s="220"/>
      <c r="C74" s="217" t="s">
        <v>51</v>
      </c>
      <c r="D74" s="322">
        <f>'Profit &amp; Loss Account'!B21</f>
        <v>0</v>
      </c>
      <c r="E74" s="323"/>
      <c r="F74" s="324"/>
      <c r="G74" s="218" t="s">
        <v>178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22"/>
      <c r="P74" s="323"/>
      <c r="Q74" s="324"/>
      <c r="R74" s="218" t="s">
        <v>178</v>
      </c>
      <c r="S74" s="219">
        <v>0</v>
      </c>
      <c r="T74" s="219">
        <v>0</v>
      </c>
      <c r="U74" s="220"/>
      <c r="V74" s="220"/>
      <c r="W74" s="243"/>
    </row>
    <row r="75" spans="1:23" ht="10" customHeight="1" x14ac:dyDescent="0.15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15">
      <c r="A76" s="236">
        <v>19</v>
      </c>
      <c r="B76" s="220"/>
      <c r="C76" s="227" t="s">
        <v>200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15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6" x14ac:dyDescent="0.15">
      <c r="A78" s="240"/>
      <c r="B78" s="220"/>
      <c r="C78" s="217" t="s">
        <v>51</v>
      </c>
      <c r="D78" s="322">
        <f>'Profit &amp; Loss Account'!B25+'Profit &amp; Loss Account'!B26</f>
        <v>0</v>
      </c>
      <c r="E78" s="323"/>
      <c r="F78" s="324"/>
      <c r="G78" s="218" t="s">
        <v>178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22"/>
      <c r="P78" s="323"/>
      <c r="Q78" s="324"/>
      <c r="R78" s="218" t="s">
        <v>178</v>
      </c>
      <c r="S78" s="219">
        <v>0</v>
      </c>
      <c r="T78" s="219">
        <v>0</v>
      </c>
      <c r="U78" s="220"/>
      <c r="V78" s="220"/>
      <c r="W78" s="243"/>
    </row>
    <row r="79" spans="1:23" ht="10" customHeight="1" x14ac:dyDescent="0.15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15">
      <c r="A80" s="236">
        <v>20</v>
      </c>
      <c r="B80" s="220"/>
      <c r="C80" s="227" t="s">
        <v>201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6" x14ac:dyDescent="0.15">
      <c r="A82" s="240"/>
      <c r="B82" s="220"/>
      <c r="C82" s="217" t="s">
        <v>51</v>
      </c>
      <c r="D82" s="322">
        <f>'Profit &amp; Loss Account'!B22</f>
        <v>0</v>
      </c>
      <c r="E82" s="323"/>
      <c r="F82" s="324"/>
      <c r="G82" s="218" t="s">
        <v>178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22"/>
      <c r="P82" s="323"/>
      <c r="Q82" s="324"/>
      <c r="R82" s="218" t="s">
        <v>178</v>
      </c>
      <c r="S82" s="219">
        <v>0</v>
      </c>
      <c r="T82" s="219">
        <v>0</v>
      </c>
      <c r="U82" s="220"/>
      <c r="V82" s="220"/>
      <c r="W82" s="243"/>
    </row>
    <row r="83" spans="1:23" ht="10" customHeight="1" x14ac:dyDescent="0.15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15">
      <c r="A84" s="236">
        <v>21</v>
      </c>
      <c r="B84" s="220"/>
      <c r="C84" s="227" t="s">
        <v>202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15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6" x14ac:dyDescent="0.15">
      <c r="A86" s="240"/>
      <c r="B86" s="220"/>
      <c r="C86" s="217" t="s">
        <v>51</v>
      </c>
      <c r="D86" s="322">
        <f>'Profit &amp; Loss Account'!B23</f>
        <v>0</v>
      </c>
      <c r="E86" s="323"/>
      <c r="F86" s="324"/>
      <c r="G86" s="218" t="s">
        <v>178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22"/>
      <c r="P86" s="323"/>
      <c r="Q86" s="324"/>
      <c r="R86" s="218" t="s">
        <v>178</v>
      </c>
      <c r="S86" s="219">
        <v>0</v>
      </c>
      <c r="T86" s="219">
        <v>0</v>
      </c>
      <c r="U86" s="220"/>
      <c r="V86" s="220"/>
      <c r="W86" s="243"/>
    </row>
    <row r="87" spans="1:23" ht="10" customHeight="1" x14ac:dyDescent="0.15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15">
      <c r="A88" s="236">
        <v>22</v>
      </c>
      <c r="B88" s="220"/>
      <c r="C88" s="227" t="s">
        <v>203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15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6" x14ac:dyDescent="0.15">
      <c r="A90" s="240"/>
      <c r="B90" s="220"/>
      <c r="C90" s="217" t="s">
        <v>51</v>
      </c>
      <c r="D90" s="322">
        <f>'Profit &amp; Loss Account'!B24</f>
        <v>0</v>
      </c>
      <c r="E90" s="323"/>
      <c r="F90" s="324"/>
      <c r="G90" s="218" t="s">
        <v>178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22"/>
      <c r="P90" s="323"/>
      <c r="Q90" s="324"/>
      <c r="R90" s="218" t="s">
        <v>178</v>
      </c>
      <c r="S90" s="219">
        <v>0</v>
      </c>
      <c r="T90" s="219">
        <v>0</v>
      </c>
      <c r="U90" s="220"/>
      <c r="V90" s="220"/>
      <c r="W90" s="243"/>
    </row>
    <row r="91" spans="1:23" ht="10" customHeight="1" x14ac:dyDescent="0.15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36">
        <v>23</v>
      </c>
      <c r="B92" s="220"/>
      <c r="C92" s="227" t="s">
        <v>204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15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40"/>
      <c r="B94" s="220"/>
      <c r="C94" s="217" t="s">
        <v>51</v>
      </c>
      <c r="D94" s="322">
        <f>'Profit &amp; Loss Account'!B27</f>
        <v>0</v>
      </c>
      <c r="E94" s="323"/>
      <c r="F94" s="324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22"/>
      <c r="P94" s="323"/>
      <c r="Q94" s="324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ht="10" customHeight="1" x14ac:dyDescent="0.15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24</v>
      </c>
      <c r="B96" s="220"/>
      <c r="C96" s="227" t="s">
        <v>205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15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6" x14ac:dyDescent="0.15">
      <c r="A98" s="240"/>
      <c r="B98" s="220"/>
      <c r="C98" s="217" t="s">
        <v>51</v>
      </c>
      <c r="D98" s="322">
        <f>'Profit &amp; Loss Account'!B30</f>
        <v>0</v>
      </c>
      <c r="E98" s="323"/>
      <c r="F98" s="324"/>
      <c r="G98" s="218" t="s">
        <v>178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22"/>
      <c r="P98" s="323"/>
      <c r="Q98" s="324"/>
      <c r="R98" s="218" t="s">
        <v>178</v>
      </c>
      <c r="S98" s="219">
        <v>0</v>
      </c>
      <c r="T98" s="219">
        <v>0</v>
      </c>
      <c r="U98" s="220"/>
      <c r="V98" s="220"/>
      <c r="W98" s="243"/>
    </row>
    <row r="99" spans="1:23" ht="10" customHeight="1" x14ac:dyDescent="0.15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15">
      <c r="A100" s="236">
        <v>25</v>
      </c>
      <c r="B100" s="220"/>
      <c r="C100" s="227" t="s">
        <v>206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15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6" x14ac:dyDescent="0.15">
      <c r="A102" s="240"/>
      <c r="B102" s="220"/>
      <c r="C102" s="217" t="s">
        <v>51</v>
      </c>
      <c r="D102" s="322">
        <f>'Profit &amp; Loss Account'!B31</f>
        <v>0</v>
      </c>
      <c r="E102" s="323"/>
      <c r="F102" s="324"/>
      <c r="G102" s="218" t="s">
        <v>178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22"/>
      <c r="P102" s="323"/>
      <c r="Q102" s="324"/>
      <c r="R102" s="218" t="s">
        <v>178</v>
      </c>
      <c r="S102" s="219">
        <v>0</v>
      </c>
      <c r="T102" s="219">
        <v>0</v>
      </c>
      <c r="U102" s="220"/>
      <c r="V102" s="220"/>
      <c r="W102" s="243"/>
    </row>
    <row r="103" spans="1:23" ht="10" customHeight="1" x14ac:dyDescent="0.15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15">
      <c r="A104" s="236">
        <v>26</v>
      </c>
      <c r="B104" s="220"/>
      <c r="C104" s="227" t="s">
        <v>207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6" x14ac:dyDescent="0.15">
      <c r="A106" s="240"/>
      <c r="B106" s="220"/>
      <c r="C106" s="217" t="s">
        <v>51</v>
      </c>
      <c r="D106" s="322">
        <f>'Profit &amp; Loss Account'!B29</f>
        <v>0</v>
      </c>
      <c r="E106" s="323"/>
      <c r="F106" s="324"/>
      <c r="G106" s="218" t="s">
        <v>178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22"/>
      <c r="P106" s="323"/>
      <c r="Q106" s="324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3" ht="10" customHeight="1" x14ac:dyDescent="0.15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15">
      <c r="A108" s="236">
        <v>27</v>
      </c>
      <c r="B108" s="220"/>
      <c r="C108" s="227" t="s">
        <v>208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15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6" x14ac:dyDescent="0.15">
      <c r="A110" s="240"/>
      <c r="B110" s="220"/>
      <c r="C110" s="217" t="s">
        <v>51</v>
      </c>
      <c r="D110" s="322">
        <f>'Profit &amp; Loss Account'!B28</f>
        <v>0</v>
      </c>
      <c r="E110" s="323"/>
      <c r="F110" s="324"/>
      <c r="G110" s="218" t="s">
        <v>178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22"/>
      <c r="P110" s="323"/>
      <c r="Q110" s="324"/>
      <c r="R110" s="218" t="s">
        <v>178</v>
      </c>
      <c r="S110" s="219">
        <v>0</v>
      </c>
      <c r="T110" s="219">
        <v>0</v>
      </c>
      <c r="U110" s="220"/>
      <c r="V110" s="220"/>
      <c r="W110" s="243"/>
    </row>
    <row r="111" spans="1:23" ht="10" customHeight="1" x14ac:dyDescent="0.15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15">
      <c r="A112" s="236">
        <v>28</v>
      </c>
      <c r="B112" s="220"/>
      <c r="C112" s="227" t="s">
        <v>209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22">
        <f>'Profit &amp; Loss Account'!B33+'Profit &amp; Loss Account'!B34</f>
        <v>0</v>
      </c>
      <c r="E114" s="323"/>
      <c r="F114" s="324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22">
        <f>'Profit &amp; Loss Account'!B34</f>
        <v>0</v>
      </c>
      <c r="P114" s="323"/>
      <c r="Q114" s="324"/>
      <c r="R114" s="218" t="s">
        <v>178</v>
      </c>
      <c r="S114" s="219">
        <v>0</v>
      </c>
      <c r="T114" s="219">
        <v>0</v>
      </c>
      <c r="U114" s="220"/>
      <c r="V114" s="220"/>
      <c r="W114" s="243"/>
    </row>
    <row r="115" spans="1:23" ht="10" customHeight="1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29</v>
      </c>
      <c r="B116" s="220"/>
      <c r="C116" s="227" t="s">
        <v>210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15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6" x14ac:dyDescent="0.15">
      <c r="A118" s="240"/>
      <c r="B118" s="220"/>
      <c r="C118" s="217" t="s">
        <v>51</v>
      </c>
      <c r="D118" s="322">
        <f>'Profit &amp; Loss Account'!B32</f>
        <v>0</v>
      </c>
      <c r="E118" s="323"/>
      <c r="F118" s="324"/>
      <c r="G118" s="218" t="s">
        <v>178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22"/>
      <c r="P118" s="323"/>
      <c r="Q118" s="324"/>
      <c r="R118" s="218" t="s">
        <v>178</v>
      </c>
      <c r="S118" s="219">
        <v>0</v>
      </c>
      <c r="T118" s="219">
        <v>0</v>
      </c>
      <c r="U118" s="220"/>
      <c r="V118" s="220"/>
      <c r="W118" s="243"/>
    </row>
    <row r="119" spans="1:23" ht="10" customHeight="1" x14ac:dyDescent="0.15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15">
      <c r="A120" s="236">
        <v>30</v>
      </c>
      <c r="B120" s="220"/>
      <c r="C120" s="227" t="s">
        <v>211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212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15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6" x14ac:dyDescent="0.15">
      <c r="A122" s="240"/>
      <c r="B122" s="220"/>
      <c r="C122" s="217" t="s">
        <v>51</v>
      </c>
      <c r="D122" s="322">
        <f>'Profit &amp; Loss Account'!B17+'Profit &amp; Loss Account'!B35</f>
        <v>0</v>
      </c>
      <c r="E122" s="323"/>
      <c r="F122" s="324"/>
      <c r="G122" s="218" t="s">
        <v>178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22">
        <f>'Profit &amp; Loss Account'!B34</f>
        <v>0</v>
      </c>
      <c r="P122" s="323"/>
      <c r="Q122" s="324"/>
      <c r="R122" s="218" t="s">
        <v>178</v>
      </c>
      <c r="S122" s="219">
        <v>0</v>
      </c>
      <c r="T122" s="219">
        <v>0</v>
      </c>
      <c r="U122" s="220"/>
      <c r="V122" s="220"/>
      <c r="W122" s="243"/>
    </row>
    <row r="123" spans="1:23" ht="8" customHeight="1" x14ac:dyDescent="0.15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5" customHeight="1" x14ac:dyDescent="0.15">
      <c r="A124" s="332" t="s">
        <v>213</v>
      </c>
      <c r="B124" s="332"/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32"/>
      <c r="Q124" s="332"/>
      <c r="R124" s="332"/>
      <c r="S124" s="332"/>
      <c r="T124" s="332"/>
      <c r="U124" s="332"/>
      <c r="V124" s="332"/>
      <c r="W124" s="332"/>
    </row>
    <row r="125" spans="1:23" ht="8" customHeight="1" x14ac:dyDescent="0.15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15">
      <c r="A126" s="236">
        <v>46</v>
      </c>
      <c r="B126" s="220"/>
      <c r="C126" s="227" t="s">
        <v>214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215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15">
      <c r="A127" s="240"/>
      <c r="B127" s="220"/>
      <c r="C127" s="246" t="s">
        <v>216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217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15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6" x14ac:dyDescent="0.15">
      <c r="A129" s="240"/>
      <c r="B129" s="220"/>
      <c r="C129" s="217" t="s">
        <v>51</v>
      </c>
      <c r="D129" s="322">
        <f>IF((D55+O55-D122)&gt;=0,D55+O55-D122,0)</f>
        <v>0</v>
      </c>
      <c r="E129" s="323"/>
      <c r="F129" s="324"/>
      <c r="G129" s="218" t="s">
        <v>178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22">
        <f>IF((D55+O55-D122)&lt;0,D122-D55-O55,0)</f>
        <v>0</v>
      </c>
      <c r="P129" s="323"/>
      <c r="Q129" s="324"/>
      <c r="R129" s="218" t="s">
        <v>178</v>
      </c>
      <c r="S129" s="219">
        <v>0</v>
      </c>
      <c r="T129" s="219">
        <v>0</v>
      </c>
      <c r="U129" s="220"/>
      <c r="V129" s="220"/>
      <c r="W129" s="243"/>
    </row>
    <row r="130" spans="1:23" ht="8" customHeight="1" x14ac:dyDescent="0.15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5" customHeight="1" x14ac:dyDescent="0.15">
      <c r="A131" s="331" t="s">
        <v>218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</row>
    <row r="132" spans="1:23" ht="16" customHeight="1" x14ac:dyDescent="0.15">
      <c r="A132" s="325" t="s">
        <v>219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</row>
    <row r="133" spans="1:23" ht="16" customHeight="1" x14ac:dyDescent="0.15">
      <c r="A133" s="325" t="s">
        <v>352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</row>
    <row r="134" spans="1:23" ht="16" customHeight="1" x14ac:dyDescent="0.15">
      <c r="A134" s="325" t="s">
        <v>220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</row>
    <row r="135" spans="1:23" ht="8" customHeight="1" x14ac:dyDescent="0.15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3" x14ac:dyDescent="0.15">
      <c r="A136" s="236">
        <v>48</v>
      </c>
      <c r="B136" s="220"/>
      <c r="C136" s="288" t="s">
        <v>349</v>
      </c>
      <c r="D136" s="227"/>
      <c r="E136" s="227"/>
      <c r="F136" s="227"/>
      <c r="G136" s="227"/>
      <c r="H136" s="380">
        <f>Admin!G4</f>
        <v>1</v>
      </c>
      <c r="I136" s="382"/>
      <c r="J136" s="227"/>
      <c r="K136" s="227"/>
      <c r="L136" s="236">
        <v>54</v>
      </c>
      <c r="M136" s="220"/>
      <c r="N136" s="227" t="s">
        <v>223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15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353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15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6" x14ac:dyDescent="0.15">
      <c r="A139" s="240"/>
      <c r="B139" s="220"/>
      <c r="C139" s="217" t="s">
        <v>51</v>
      </c>
      <c r="D139" s="322">
        <f>IF([1]Schedule!$Q$1&gt;0,[1]Schedule!$Q$1,0)</f>
        <v>0</v>
      </c>
      <c r="E139" s="323"/>
      <c r="F139" s="324"/>
      <c r="G139" s="218" t="s">
        <v>178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22">
        <f>IF(([1]Schedule!$R$1+[1]Schedule!$S$1)&lt;1000,[1]Schedule!$S$1,0)</f>
        <v>0</v>
      </c>
      <c r="P139" s="323"/>
      <c r="Q139" s="324"/>
      <c r="R139" s="218" t="s">
        <v>178</v>
      </c>
      <c r="S139" s="219">
        <v>0</v>
      </c>
      <c r="T139" s="219">
        <v>0</v>
      </c>
      <c r="U139" s="220"/>
      <c r="V139" s="220"/>
      <c r="W139" s="243"/>
    </row>
    <row r="140" spans="1:23" x14ac:dyDescent="0.15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15">
      <c r="A141" s="236">
        <v>49</v>
      </c>
      <c r="B141" s="220"/>
      <c r="C141" s="227" t="s">
        <v>221</v>
      </c>
      <c r="D141" s="227"/>
      <c r="E141" s="227"/>
      <c r="F141" s="227"/>
      <c r="G141" s="380">
        <f>Admin!G5</f>
        <v>0.18</v>
      </c>
      <c r="H141" s="381"/>
      <c r="I141" s="227" t="s">
        <v>222</v>
      </c>
      <c r="J141" s="227"/>
      <c r="K141" s="227"/>
      <c r="L141" s="236">
        <v>55</v>
      </c>
      <c r="M141" s="220"/>
      <c r="N141" s="227" t="s">
        <v>225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15">
      <c r="A142" s="255"/>
      <c r="B142" s="220"/>
      <c r="C142" s="227" t="s">
        <v>224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226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15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6" x14ac:dyDescent="0.15">
      <c r="A144" s="240"/>
      <c r="B144" s="220"/>
      <c r="C144" s="217" t="s">
        <v>51</v>
      </c>
      <c r="D144" s="322">
        <f>[1]Schedule!$R$1-D152</f>
        <v>0</v>
      </c>
      <c r="E144" s="323"/>
      <c r="F144" s="324"/>
      <c r="G144" s="218" t="s">
        <v>178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22">
        <f>[1]Schedule!$Y$1</f>
        <v>0</v>
      </c>
      <c r="P144" s="323"/>
      <c r="Q144" s="324"/>
      <c r="R144" s="218" t="s">
        <v>178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15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3" x14ac:dyDescent="0.15">
      <c r="A146" s="236">
        <v>50</v>
      </c>
      <c r="B146" s="220"/>
      <c r="C146" s="288" t="s">
        <v>354</v>
      </c>
      <c r="D146" s="227"/>
      <c r="E146" s="227"/>
      <c r="F146" s="227"/>
      <c r="G146" s="227"/>
      <c r="H146" s="380">
        <v>0.1</v>
      </c>
      <c r="I146" s="382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6" x14ac:dyDescent="0.15">
      <c r="A147" s="240"/>
      <c r="B147" s="220"/>
      <c r="C147" s="217" t="s">
        <v>51</v>
      </c>
      <c r="D147" s="322"/>
      <c r="E147" s="323"/>
      <c r="F147" s="324"/>
      <c r="G147" s="218" t="s">
        <v>178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355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15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6" x14ac:dyDescent="0.15">
      <c r="A149" s="236">
        <v>51</v>
      </c>
      <c r="B149" s="220"/>
      <c r="C149" s="227" t="s">
        <v>227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22">
        <f>D139+D144+D147+D152+D156+D160+O139+O144</f>
        <v>0</v>
      </c>
      <c r="P149" s="323"/>
      <c r="Q149" s="324"/>
      <c r="R149" s="218" t="s">
        <v>178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15">
      <c r="A150" s="240"/>
      <c r="B150" s="220"/>
      <c r="C150" s="227" t="s">
        <v>228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15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230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6" x14ac:dyDescent="0.15">
      <c r="A152" s="240"/>
      <c r="B152" s="220"/>
      <c r="C152" s="217" t="s">
        <v>51</v>
      </c>
      <c r="D152" s="322">
        <f>SUM([1]Schedule!$R$38:$R$42)+SUM([1]Schedule!$R$91:$R$95)</f>
        <v>0</v>
      </c>
      <c r="E152" s="309"/>
      <c r="F152" s="310"/>
      <c r="G152" s="218" t="s">
        <v>178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231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15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6" x14ac:dyDescent="0.15">
      <c r="A154" s="236">
        <v>52</v>
      </c>
      <c r="B154" s="220"/>
      <c r="C154" s="227" t="s">
        <v>229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22"/>
      <c r="P154" s="323"/>
      <c r="Q154" s="324"/>
      <c r="R154" s="218" t="s">
        <v>178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15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6" x14ac:dyDescent="0.15">
      <c r="A156" s="240"/>
      <c r="B156" s="220"/>
      <c r="C156" s="217" t="s">
        <v>51</v>
      </c>
      <c r="D156" s="322"/>
      <c r="E156" s="309"/>
      <c r="F156" s="310"/>
      <c r="G156" s="218" t="s">
        <v>178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356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15">
      <c r="A157" s="236">
        <v>53</v>
      </c>
      <c r="B157" s="220"/>
      <c r="C157" s="227" t="s">
        <v>232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357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15">
      <c r="A158" s="240"/>
      <c r="B158" s="220"/>
      <c r="C158" s="227" t="s">
        <v>358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359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15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6" x14ac:dyDescent="0.15">
      <c r="A160" s="240"/>
      <c r="B160" s="220"/>
      <c r="C160" s="217" t="s">
        <v>51</v>
      </c>
      <c r="D160" s="322"/>
      <c r="E160" s="323"/>
      <c r="F160" s="324"/>
      <c r="G160" s="218" t="s">
        <v>178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22">
        <f>[1]Schedule!$Z$1</f>
        <v>0</v>
      </c>
      <c r="P160" s="323"/>
      <c r="Q160" s="324"/>
      <c r="R160" s="218" t="s">
        <v>178</v>
      </c>
      <c r="S160" s="219">
        <v>0</v>
      </c>
      <c r="T160" s="219">
        <v>0</v>
      </c>
      <c r="U160" s="220"/>
      <c r="V160" s="220"/>
      <c r="W160" s="243"/>
    </row>
    <row r="161" spans="1:23" ht="8" customHeight="1" x14ac:dyDescent="0.15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5" customHeight="1" x14ac:dyDescent="0.15">
      <c r="A162" s="331" t="s">
        <v>233</v>
      </c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</row>
    <row r="163" spans="1:23" ht="16" customHeight="1" x14ac:dyDescent="0.15">
      <c r="A163" s="325" t="s">
        <v>234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</row>
    <row r="164" spans="1:23" ht="16" customHeight="1" x14ac:dyDescent="0.15">
      <c r="A164" s="325" t="s">
        <v>360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</row>
    <row r="165" spans="1:23" ht="8" customHeight="1" x14ac:dyDescent="0.15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15">
      <c r="A166" s="236">
        <v>59</v>
      </c>
      <c r="B166" s="220"/>
      <c r="C166" s="227" t="s">
        <v>361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235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15">
      <c r="A167" s="255"/>
      <c r="B167" s="220"/>
      <c r="C167" s="227" t="s">
        <v>236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362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15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6" x14ac:dyDescent="0.15">
      <c r="A169" s="240"/>
      <c r="B169" s="220"/>
      <c r="C169" s="217" t="s">
        <v>51</v>
      </c>
      <c r="D169" s="322">
        <f>'Business Details'!O50</f>
        <v>0</v>
      </c>
      <c r="E169" s="323"/>
      <c r="F169" s="324"/>
      <c r="G169" s="218" t="s">
        <v>178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22">
        <f>O149+D179</f>
        <v>0</v>
      </c>
      <c r="P169" s="323"/>
      <c r="Q169" s="324"/>
      <c r="R169" s="218" t="s">
        <v>178</v>
      </c>
      <c r="S169" s="219">
        <v>0</v>
      </c>
      <c r="T169" s="219">
        <v>0</v>
      </c>
      <c r="U169" s="220"/>
      <c r="V169" s="220"/>
      <c r="W169" s="243"/>
    </row>
    <row r="170" spans="1:23" x14ac:dyDescent="0.15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15">
      <c r="A171" s="236">
        <v>60</v>
      </c>
      <c r="B171" s="220"/>
      <c r="C171" s="227" t="s">
        <v>237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363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15">
      <c r="A172" s="255"/>
      <c r="B172" s="220"/>
      <c r="C172" s="227" t="s">
        <v>364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365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15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6" x14ac:dyDescent="0.15">
      <c r="A174" s="240"/>
      <c r="B174" s="220"/>
      <c r="C174" s="217" t="s">
        <v>51</v>
      </c>
      <c r="D174" s="322">
        <f>O122+O154+O160+D169</f>
        <v>0</v>
      </c>
      <c r="E174" s="323"/>
      <c r="F174" s="324"/>
      <c r="G174" s="218" t="s">
        <v>178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22">
        <f>IF((D129+D174-O169)&gt;0,(D129+D174-O169),IF((-O129+D174-O169)&gt;0,(-O129+D174-O169),0))</f>
        <v>0</v>
      </c>
      <c r="P174" s="323"/>
      <c r="Q174" s="324"/>
      <c r="R174" s="218" t="s">
        <v>178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15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15">
      <c r="A176" s="236">
        <v>61</v>
      </c>
      <c r="B176" s="220"/>
      <c r="C176" s="227" t="s">
        <v>238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366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15">
      <c r="A177" s="240"/>
      <c r="B177" s="220"/>
      <c r="C177" s="227" t="s">
        <v>239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367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15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6" x14ac:dyDescent="0.15">
      <c r="A179" s="240"/>
      <c r="B179" s="220"/>
      <c r="C179" s="217" t="s">
        <v>51</v>
      </c>
      <c r="D179" s="322"/>
      <c r="E179" s="323"/>
      <c r="F179" s="324"/>
      <c r="G179" s="218" t="s">
        <v>178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22">
        <f>IF(O174&gt;0,0,IF((D129+D174-O169)&lt;0,-(D129+D174-O169),IF((-O129+D174-O169)&lt;0,-(-O129+D174-O169),0)))</f>
        <v>0</v>
      </c>
      <c r="P179" s="323"/>
      <c r="Q179" s="324"/>
      <c r="R179" s="218" t="s">
        <v>178</v>
      </c>
      <c r="S179" s="219">
        <v>0</v>
      </c>
      <c r="T179" s="219">
        <v>0</v>
      </c>
      <c r="U179" s="220"/>
      <c r="V179" s="220"/>
      <c r="W179" s="243"/>
    </row>
    <row r="180" spans="1:23" ht="8" customHeight="1" x14ac:dyDescent="0.15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5" customHeight="1" x14ac:dyDescent="0.15">
      <c r="A181" s="331" t="s">
        <v>240</v>
      </c>
      <c r="B181" s="331"/>
      <c r="C181" s="331"/>
      <c r="D181" s="331"/>
      <c r="E181" s="331"/>
      <c r="F181" s="331"/>
      <c r="G181" s="331"/>
      <c r="H181" s="331"/>
      <c r="I181" s="331"/>
      <c r="J181" s="331"/>
      <c r="K181" s="331"/>
      <c r="L181" s="331"/>
      <c r="M181" s="331"/>
      <c r="N181" s="331"/>
      <c r="O181" s="331"/>
      <c r="P181" s="331"/>
      <c r="Q181" s="331"/>
      <c r="R181" s="331"/>
      <c r="S181" s="331"/>
      <c r="T181" s="331"/>
      <c r="U181" s="331"/>
      <c r="V181" s="331"/>
      <c r="W181" s="331"/>
    </row>
    <row r="182" spans="1:23" ht="16" customHeight="1" x14ac:dyDescent="0.15">
      <c r="A182" s="325" t="s">
        <v>241</v>
      </c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25"/>
      <c r="P182" s="325"/>
      <c r="Q182" s="325"/>
      <c r="R182" s="325"/>
      <c r="S182" s="325"/>
      <c r="T182" s="325"/>
      <c r="U182" s="325"/>
      <c r="V182" s="325"/>
      <c r="W182" s="325"/>
    </row>
    <row r="183" spans="1:23" ht="16" customHeight="1" x14ac:dyDescent="0.15">
      <c r="A183" s="325" t="s">
        <v>242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</row>
    <row r="184" spans="1:23" ht="15.75" customHeight="1" x14ac:dyDescent="0.15">
      <c r="A184" s="379" t="s">
        <v>243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</row>
    <row r="185" spans="1:23" ht="8" customHeight="1" x14ac:dyDescent="0.15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15">
      <c r="A186" s="236">
        <v>65</v>
      </c>
      <c r="B186" s="220"/>
      <c r="C186" s="227" t="s">
        <v>244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245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4" x14ac:dyDescent="0.15">
      <c r="A187" s="255"/>
      <c r="B187" s="220"/>
      <c r="C187" s="373"/>
      <c r="D187" s="374"/>
      <c r="E187" s="374"/>
      <c r="F187" s="375"/>
      <c r="G187" s="227"/>
      <c r="H187" s="227"/>
      <c r="I187" s="227"/>
      <c r="J187" s="227"/>
      <c r="K187" s="227"/>
      <c r="L187" s="227"/>
      <c r="M187" s="220"/>
      <c r="N187" s="241" t="s">
        <v>246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15">
      <c r="A188" s="240"/>
      <c r="B188" s="220"/>
      <c r="C188" s="261"/>
      <c r="D188" s="376"/>
      <c r="E188" s="376"/>
      <c r="F188" s="376"/>
      <c r="G188" s="218"/>
      <c r="H188" s="253"/>
      <c r="I188" s="253"/>
      <c r="J188" s="220"/>
      <c r="K188" s="220"/>
      <c r="L188" s="227"/>
      <c r="M188" s="220"/>
      <c r="N188" s="248" t="s">
        <v>247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15">
      <c r="A189" s="236">
        <v>66</v>
      </c>
      <c r="B189" s="220"/>
      <c r="C189" s="227" t="s">
        <v>248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249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6" x14ac:dyDescent="0.15">
      <c r="A190" s="255"/>
      <c r="B190" s="220"/>
      <c r="C190" s="373"/>
      <c r="D190" s="374"/>
      <c r="E190" s="374"/>
      <c r="F190" s="375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250</v>
      </c>
      <c r="P190" s="377"/>
      <c r="Q190" s="378"/>
      <c r="R190" s="218" t="s">
        <v>178</v>
      </c>
      <c r="S190" s="219">
        <v>0</v>
      </c>
      <c r="T190" s="219">
        <v>0</v>
      </c>
      <c r="U190" s="220"/>
      <c r="V190" s="220"/>
      <c r="W190" s="243"/>
    </row>
    <row r="191" spans="1:23" x14ac:dyDescent="0.15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15">
      <c r="A192" s="236">
        <v>67</v>
      </c>
      <c r="B192" s="220"/>
      <c r="C192" s="227" t="s">
        <v>251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252</v>
      </c>
      <c r="O192" s="220"/>
      <c r="P192" s="220"/>
      <c r="Q192" s="290" t="str">
        <f>Admin!G2</f>
        <v>2022-23</v>
      </c>
      <c r="R192" s="227" t="s">
        <v>368</v>
      </c>
      <c r="S192" s="220"/>
      <c r="T192" s="220"/>
      <c r="U192" s="220"/>
      <c r="V192" s="220"/>
      <c r="W192" s="243"/>
    </row>
    <row r="193" spans="1:23" ht="12" customHeight="1" x14ac:dyDescent="0.15">
      <c r="A193" s="240"/>
      <c r="B193" s="220"/>
      <c r="C193" s="227" t="s">
        <v>253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369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6" x14ac:dyDescent="0.15">
      <c r="A194" s="240"/>
      <c r="B194" s="220"/>
      <c r="C194" s="241" t="s">
        <v>254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22">
        <f>O174</f>
        <v>0</v>
      </c>
      <c r="P194" s="323"/>
      <c r="Q194" s="324"/>
      <c r="R194" s="218" t="s">
        <v>178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15">
      <c r="A195" s="240"/>
      <c r="B195" s="220"/>
      <c r="C195" s="227" t="s">
        <v>255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15">
      <c r="A196" s="255"/>
      <c r="B196" s="220"/>
      <c r="C196" s="227" t="s">
        <v>256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257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6" x14ac:dyDescent="0.15">
      <c r="A197" s="240"/>
      <c r="B197" s="220"/>
      <c r="C197" s="217" t="s">
        <v>51</v>
      </c>
      <c r="D197" s="275" t="s">
        <v>250</v>
      </c>
      <c r="E197" s="377"/>
      <c r="F197" s="378"/>
      <c r="G197" s="218" t="s">
        <v>178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370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10" customHeight="1" x14ac:dyDescent="0.15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371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15">
      <c r="A199" s="236">
        <v>68</v>
      </c>
      <c r="B199" s="220"/>
      <c r="C199" s="227" t="s">
        <v>372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22">
        <f>IF(D179&gt;0,0,IF((O194+O204)&gt;'Business Details'!D50,'Business Details'!D50,(O194+O204)))</f>
        <v>0</v>
      </c>
      <c r="P199" s="323"/>
      <c r="Q199" s="324"/>
      <c r="R199" s="218" t="s">
        <v>178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15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6" x14ac:dyDescent="0.15">
      <c r="A201" s="240"/>
      <c r="B201" s="220"/>
      <c r="C201" s="217" t="s">
        <v>51</v>
      </c>
      <c r="D201" s="322"/>
      <c r="E201" s="323"/>
      <c r="F201" s="324"/>
      <c r="G201" s="218" t="s">
        <v>178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258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15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373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15">
      <c r="A203" s="236">
        <v>69</v>
      </c>
      <c r="B203" s="220"/>
      <c r="C203" s="227" t="s">
        <v>374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15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22">
        <f>'Profit &amp; Loss Account'!B11</f>
        <v>0</v>
      </c>
      <c r="P204" s="323"/>
      <c r="Q204" s="324"/>
      <c r="R204" s="218" t="s">
        <v>178</v>
      </c>
      <c r="S204" s="219">
        <v>0</v>
      </c>
      <c r="T204" s="219">
        <v>0</v>
      </c>
      <c r="U204" s="220"/>
      <c r="V204" s="220"/>
      <c r="W204" s="243"/>
    </row>
    <row r="205" spans="1:23" ht="10" customHeight="1" x14ac:dyDescent="0.15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6" x14ac:dyDescent="0.15">
      <c r="A206" s="240"/>
      <c r="B206" s="220"/>
      <c r="C206" s="217" t="s">
        <v>51</v>
      </c>
      <c r="D206" s="322"/>
      <c r="E206" s="323"/>
      <c r="F206" s="324"/>
      <c r="G206" s="218" t="s">
        <v>178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375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15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376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15">
      <c r="A208" s="236">
        <v>70</v>
      </c>
      <c r="B208" s="220"/>
      <c r="C208" s="227" t="s">
        <v>259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377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15">
      <c r="A209" s="240"/>
      <c r="B209" s="220"/>
      <c r="C209" s="248" t="s">
        <v>378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6" x14ac:dyDescent="0.15">
      <c r="A210" s="240"/>
      <c r="B210" s="220"/>
      <c r="C210" s="217" t="s">
        <v>51</v>
      </c>
      <c r="D210" s="322"/>
      <c r="E210" s="323"/>
      <c r="F210" s="324"/>
      <c r="G210" s="218" t="s">
        <v>178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22">
        <f>O194-O199+O204</f>
        <v>0</v>
      </c>
      <c r="P210" s="323"/>
      <c r="Q210" s="324"/>
      <c r="R210" s="218" t="s">
        <v>178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15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5" customHeight="1" x14ac:dyDescent="0.15">
      <c r="A212" s="330" t="s">
        <v>260</v>
      </c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0"/>
      <c r="P212" s="330"/>
      <c r="Q212" s="330"/>
      <c r="R212" s="330"/>
      <c r="S212" s="330"/>
      <c r="T212" s="330"/>
      <c r="U212" s="330"/>
      <c r="V212" s="330"/>
      <c r="W212" s="330"/>
    </row>
    <row r="213" spans="1:23" ht="16" customHeight="1" x14ac:dyDescent="0.15">
      <c r="A213" s="325" t="s">
        <v>261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</row>
    <row r="214" spans="1:23" ht="16" customHeight="1" x14ac:dyDescent="0.15">
      <c r="A214" s="325" t="s">
        <v>262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</row>
    <row r="215" spans="1:23" ht="8" customHeight="1" x14ac:dyDescent="0.15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15">
      <c r="A216" s="236">
        <v>76</v>
      </c>
      <c r="B216" s="220"/>
      <c r="C216" s="227" t="s">
        <v>263</v>
      </c>
      <c r="D216" s="227"/>
      <c r="E216" s="227"/>
      <c r="F216" s="289" t="str">
        <f>Admin!G2</f>
        <v>2022-23</v>
      </c>
      <c r="G216" s="227" t="s">
        <v>379</v>
      </c>
      <c r="H216" s="227"/>
      <c r="I216" s="227"/>
      <c r="J216" s="220"/>
      <c r="K216" s="227"/>
      <c r="L216" s="236">
        <v>78</v>
      </c>
      <c r="M216" s="220"/>
      <c r="N216" s="227" t="s">
        <v>264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15">
      <c r="A217" s="255"/>
      <c r="B217" s="220"/>
      <c r="C217" s="227" t="s">
        <v>380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265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15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6" x14ac:dyDescent="0.15">
      <c r="A219" s="240"/>
      <c r="B219" s="220"/>
      <c r="C219" s="217" t="s">
        <v>51</v>
      </c>
      <c r="D219" s="322">
        <f>O179+E197-D201+D210+P190</f>
        <v>0</v>
      </c>
      <c r="E219" s="323"/>
      <c r="F219" s="324"/>
      <c r="G219" s="218" t="s">
        <v>178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22"/>
      <c r="P219" s="323"/>
      <c r="Q219" s="324"/>
      <c r="R219" s="218" t="s">
        <v>178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15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15">
      <c r="A221" s="236">
        <v>77</v>
      </c>
      <c r="B221" s="220"/>
      <c r="C221" s="227" t="s">
        <v>266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267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3" x14ac:dyDescent="0.15">
      <c r="A222" s="240"/>
      <c r="B222" s="220"/>
      <c r="C222" s="227" t="s">
        <v>268</v>
      </c>
      <c r="D222" s="326" t="str">
        <f>Admin!G2</f>
        <v>2022-23</v>
      </c>
      <c r="E222" s="327"/>
      <c r="F222" s="336"/>
      <c r="G222" s="220"/>
      <c r="H222" s="220"/>
      <c r="I222" s="220"/>
      <c r="J222" s="220"/>
      <c r="K222" s="220"/>
      <c r="L222" s="220"/>
      <c r="M222" s="220"/>
      <c r="N222" s="246" t="s">
        <v>269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15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6" x14ac:dyDescent="0.15">
      <c r="A224" s="240"/>
      <c r="B224" s="220"/>
      <c r="C224" s="217" t="s">
        <v>51</v>
      </c>
      <c r="D224" s="322"/>
      <c r="E224" s="323"/>
      <c r="F224" s="324"/>
      <c r="G224" s="218" t="s">
        <v>178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22">
        <f>D219</f>
        <v>0</v>
      </c>
      <c r="P224" s="323"/>
      <c r="Q224" s="324"/>
      <c r="R224" s="218" t="s">
        <v>178</v>
      </c>
      <c r="S224" s="219">
        <v>0</v>
      </c>
      <c r="T224" s="219">
        <v>0</v>
      </c>
      <c r="U224" s="220"/>
      <c r="V224" s="220"/>
      <c r="W224" s="243"/>
    </row>
    <row r="225" spans="1:23" ht="8" customHeight="1" x14ac:dyDescent="0.15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5" customHeight="1" x14ac:dyDescent="0.15">
      <c r="A226" s="372" t="s">
        <v>270</v>
      </c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2"/>
      <c r="N226" s="372"/>
      <c r="O226" s="372"/>
      <c r="P226" s="372"/>
      <c r="Q226" s="372"/>
      <c r="R226" s="372"/>
      <c r="S226" s="372"/>
      <c r="T226" s="372"/>
      <c r="U226" s="372"/>
      <c r="V226" s="372"/>
      <c r="W226" s="372"/>
    </row>
    <row r="227" spans="1:23" ht="8" customHeight="1" x14ac:dyDescent="0.15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15">
      <c r="A228" s="236">
        <v>80</v>
      </c>
      <c r="B228" s="220"/>
      <c r="C228" s="227" t="s">
        <v>271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272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15">
      <c r="A229" s="255"/>
      <c r="B229" s="220"/>
      <c r="C229" s="227" t="s">
        <v>273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15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6" x14ac:dyDescent="0.15">
      <c r="A231" s="240"/>
      <c r="B231" s="220"/>
      <c r="C231" s="217" t="s">
        <v>51</v>
      </c>
      <c r="D231" s="322">
        <f>[2]Mar23!$X$1</f>
        <v>0</v>
      </c>
      <c r="E231" s="323"/>
      <c r="F231" s="324"/>
      <c r="G231" s="218" t="s">
        <v>178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22"/>
      <c r="P231" s="323"/>
      <c r="Q231" s="324"/>
      <c r="R231" s="218" t="s">
        <v>178</v>
      </c>
      <c r="S231" s="219">
        <v>0</v>
      </c>
      <c r="T231" s="219">
        <v>0</v>
      </c>
      <c r="U231" s="220"/>
      <c r="V231" s="220"/>
      <c r="W231" s="243"/>
    </row>
    <row r="232" spans="1:23" ht="8" customHeight="1" x14ac:dyDescent="0.15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5" customHeight="1" x14ac:dyDescent="0.15">
      <c r="A233" s="331" t="s">
        <v>381</v>
      </c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31"/>
    </row>
    <row r="234" spans="1:23" ht="16" customHeight="1" x14ac:dyDescent="0.15">
      <c r="A234" s="325" t="s">
        <v>274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</row>
    <row r="235" spans="1:23" ht="16" customHeight="1" x14ac:dyDescent="0.15">
      <c r="A235" s="325" t="s">
        <v>382</v>
      </c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</row>
    <row r="236" spans="1:23" x14ac:dyDescent="0.15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4" x14ac:dyDescent="0.15">
      <c r="A237" s="240"/>
      <c r="B237" s="220"/>
      <c r="C237" s="273" t="s">
        <v>275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276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10" customHeight="1" x14ac:dyDescent="0.15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15">
      <c r="A239" s="236">
        <v>82</v>
      </c>
      <c r="B239" s="220"/>
      <c r="C239" s="227" t="s">
        <v>277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278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15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6" x14ac:dyDescent="0.15">
      <c r="A241" s="240"/>
      <c r="B241" s="220"/>
      <c r="C241" s="217" t="s">
        <v>51</v>
      </c>
      <c r="D241" s="322"/>
      <c r="E241" s="323"/>
      <c r="F241" s="324"/>
      <c r="G241" s="218" t="s">
        <v>178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22"/>
      <c r="P241" s="323"/>
      <c r="Q241" s="324"/>
      <c r="R241" s="218" t="s">
        <v>178</v>
      </c>
      <c r="S241" s="219">
        <v>0</v>
      </c>
      <c r="T241" s="219">
        <v>0</v>
      </c>
      <c r="U241" s="220"/>
      <c r="V241" s="220"/>
      <c r="W241" s="243"/>
    </row>
    <row r="242" spans="1:23" x14ac:dyDescent="0.15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15">
      <c r="A243" s="236">
        <v>83</v>
      </c>
      <c r="B243" s="220"/>
      <c r="C243" s="227" t="s">
        <v>279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280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15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6" x14ac:dyDescent="0.15">
      <c r="A245" s="240"/>
      <c r="B245" s="220"/>
      <c r="C245" s="217" t="s">
        <v>51</v>
      </c>
      <c r="D245" s="322"/>
      <c r="E245" s="323"/>
      <c r="F245" s="324"/>
      <c r="G245" s="218" t="s">
        <v>178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22"/>
      <c r="P245" s="323"/>
      <c r="Q245" s="324"/>
      <c r="R245" s="218" t="s">
        <v>178</v>
      </c>
      <c r="S245" s="219">
        <v>0</v>
      </c>
      <c r="T245" s="219">
        <v>0</v>
      </c>
      <c r="U245" s="220"/>
      <c r="V245" s="220"/>
      <c r="W245" s="243"/>
    </row>
    <row r="246" spans="1:23" x14ac:dyDescent="0.15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15">
      <c r="A247" s="236">
        <v>84</v>
      </c>
      <c r="B247" s="220"/>
      <c r="C247" s="227" t="s">
        <v>281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282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15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6" x14ac:dyDescent="0.15">
      <c r="A249" s="240"/>
      <c r="B249" s="220"/>
      <c r="C249" s="217" t="s">
        <v>51</v>
      </c>
      <c r="D249" s="322"/>
      <c r="E249" s="323"/>
      <c r="F249" s="324"/>
      <c r="G249" s="218" t="s">
        <v>178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22"/>
      <c r="P249" s="323"/>
      <c r="Q249" s="324"/>
      <c r="R249" s="218" t="s">
        <v>178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15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6" x14ac:dyDescent="0.15">
      <c r="A251" s="236">
        <v>85</v>
      </c>
      <c r="B251" s="220"/>
      <c r="C251" s="227" t="s">
        <v>283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284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15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6" x14ac:dyDescent="0.15">
      <c r="A253" s="240"/>
      <c r="B253" s="220"/>
      <c r="C253" s="217" t="s">
        <v>51</v>
      </c>
      <c r="D253" s="322"/>
      <c r="E253" s="323"/>
      <c r="F253" s="324"/>
      <c r="G253" s="218" t="s">
        <v>178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285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15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6" x14ac:dyDescent="0.15">
      <c r="A255" s="236">
        <v>86</v>
      </c>
      <c r="B255" s="220"/>
      <c r="C255" s="227" t="s">
        <v>286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250</v>
      </c>
      <c r="P255" s="322"/>
      <c r="Q255" s="323"/>
      <c r="R255" s="324"/>
      <c r="S255" s="218" t="s">
        <v>178</v>
      </c>
      <c r="T255" s="219">
        <v>0</v>
      </c>
      <c r="U255" s="219">
        <v>0</v>
      </c>
      <c r="V255" s="220"/>
      <c r="W255" s="243"/>
    </row>
    <row r="256" spans="1:23" ht="6" customHeight="1" x14ac:dyDescent="0.15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6" x14ac:dyDescent="0.15">
      <c r="A257" s="240"/>
      <c r="B257" s="220"/>
      <c r="C257" s="217" t="s">
        <v>51</v>
      </c>
      <c r="D257" s="322"/>
      <c r="E257" s="323"/>
      <c r="F257" s="324"/>
      <c r="G257" s="218" t="s">
        <v>178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287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15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15">
      <c r="A259" s="236">
        <v>87</v>
      </c>
      <c r="B259" s="220"/>
      <c r="C259" s="227" t="s">
        <v>288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289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15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6" x14ac:dyDescent="0.15">
      <c r="A261" s="240"/>
      <c r="B261" s="220"/>
      <c r="C261" s="217" t="s">
        <v>51</v>
      </c>
      <c r="D261" s="322"/>
      <c r="E261" s="323"/>
      <c r="F261" s="324"/>
      <c r="G261" s="218" t="s">
        <v>178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250</v>
      </c>
      <c r="P261" s="322"/>
      <c r="Q261" s="323"/>
      <c r="R261" s="324"/>
      <c r="S261" s="218" t="s">
        <v>178</v>
      </c>
      <c r="T261" s="219">
        <v>0</v>
      </c>
      <c r="U261" s="219">
        <v>0</v>
      </c>
      <c r="V261" s="220"/>
      <c r="W261" s="243"/>
    </row>
    <row r="262" spans="1:23" x14ac:dyDescent="0.15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15">
      <c r="A263" s="236">
        <v>88</v>
      </c>
      <c r="B263" s="220"/>
      <c r="C263" s="227" t="s">
        <v>290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291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15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6" x14ac:dyDescent="0.15">
      <c r="A265" s="240"/>
      <c r="B265" s="220"/>
      <c r="C265" s="217" t="s">
        <v>51</v>
      </c>
      <c r="D265" s="322"/>
      <c r="E265" s="323"/>
      <c r="F265" s="324"/>
      <c r="G265" s="218" t="s">
        <v>178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250</v>
      </c>
      <c r="P265" s="322"/>
      <c r="Q265" s="323"/>
      <c r="R265" s="324"/>
      <c r="S265" s="218" t="s">
        <v>178</v>
      </c>
      <c r="T265" s="219">
        <v>0</v>
      </c>
      <c r="U265" s="219">
        <v>0</v>
      </c>
      <c r="V265" s="220"/>
      <c r="W265" s="243"/>
    </row>
    <row r="266" spans="1:23" x14ac:dyDescent="0.15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15">
      <c r="A267" s="236">
        <v>89</v>
      </c>
      <c r="B267" s="220"/>
      <c r="C267" s="227" t="s">
        <v>292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77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15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6" x14ac:dyDescent="0.15">
      <c r="A269" s="240"/>
      <c r="B269" s="220"/>
      <c r="C269" s="217" t="s">
        <v>51</v>
      </c>
      <c r="D269" s="322"/>
      <c r="E269" s="323"/>
      <c r="F269" s="324"/>
      <c r="G269" s="218" t="s">
        <v>178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22"/>
      <c r="P269" s="323"/>
      <c r="Q269" s="324"/>
      <c r="R269" s="218" t="s">
        <v>178</v>
      </c>
      <c r="S269" s="219">
        <v>0</v>
      </c>
      <c r="T269" s="219">
        <v>0</v>
      </c>
      <c r="U269" s="220"/>
      <c r="V269" s="220"/>
      <c r="W269" s="243"/>
    </row>
    <row r="270" spans="1:23" x14ac:dyDescent="0.15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15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293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15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6" x14ac:dyDescent="0.15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22"/>
      <c r="P273" s="323"/>
      <c r="Q273" s="324"/>
      <c r="R273" s="218" t="s">
        <v>178</v>
      </c>
      <c r="S273" s="219">
        <v>0</v>
      </c>
      <c r="T273" s="219">
        <v>0</v>
      </c>
      <c r="U273" s="220"/>
      <c r="V273" s="220"/>
      <c r="W273" s="243"/>
    </row>
    <row r="274" spans="1:23" ht="8" customHeight="1" x14ac:dyDescent="0.15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15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294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15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6" x14ac:dyDescent="0.15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250</v>
      </c>
      <c r="P277" s="322"/>
      <c r="Q277" s="323"/>
      <c r="R277" s="324"/>
      <c r="S277" s="218" t="s">
        <v>178</v>
      </c>
      <c r="T277" s="219">
        <v>0</v>
      </c>
      <c r="U277" s="219">
        <v>0</v>
      </c>
      <c r="V277" s="220"/>
      <c r="W277" s="243"/>
    </row>
    <row r="278" spans="1:23" x14ac:dyDescent="0.15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5" customHeight="1" x14ac:dyDescent="0.15">
      <c r="A279" s="330" t="s">
        <v>295</v>
      </c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0"/>
    </row>
    <row r="280" spans="1:23" ht="16" customHeight="1" x14ac:dyDescent="0.15">
      <c r="A280" s="325" t="s">
        <v>296</v>
      </c>
      <c r="B280" s="371"/>
      <c r="C280" s="371"/>
      <c r="D280" s="371"/>
      <c r="E280" s="371"/>
      <c r="F280" s="371"/>
      <c r="G280" s="371"/>
      <c r="H280" s="371"/>
      <c r="I280" s="371"/>
      <c r="J280" s="285">
        <f>Admin!N4</f>
        <v>12570</v>
      </c>
      <c r="K280" s="325" t="s">
        <v>297</v>
      </c>
      <c r="L280" s="343"/>
      <c r="M280" s="343"/>
      <c r="N280" s="343"/>
      <c r="O280" s="343"/>
      <c r="P280" s="343"/>
      <c r="Q280" s="343"/>
      <c r="R280" s="343"/>
      <c r="S280" s="343"/>
      <c r="T280" s="343"/>
      <c r="U280" s="343"/>
      <c r="V280" s="343"/>
      <c r="W280" s="343"/>
    </row>
    <row r="281" spans="1:23" ht="16" customHeight="1" x14ac:dyDescent="0.15">
      <c r="A281" s="370" t="s">
        <v>383</v>
      </c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370"/>
      <c r="U281" s="370"/>
      <c r="V281" s="370"/>
      <c r="W281" s="370"/>
    </row>
    <row r="282" spans="1:23" ht="8" customHeight="1" x14ac:dyDescent="0.15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15">
      <c r="A283" s="236">
        <v>99</v>
      </c>
      <c r="B283" s="220"/>
      <c r="C283" s="227" t="s">
        <v>298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299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15">
      <c r="A284" s="240"/>
      <c r="B284" s="220"/>
      <c r="C284" s="227" t="s">
        <v>384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300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" customHeight="1" x14ac:dyDescent="0.15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15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22"/>
      <c r="P286" s="323"/>
      <c r="Q286" s="324"/>
      <c r="R286" s="218" t="s">
        <v>178</v>
      </c>
      <c r="S286" s="219">
        <v>0</v>
      </c>
      <c r="T286" s="219">
        <v>0</v>
      </c>
      <c r="U286" s="220"/>
      <c r="V286" s="220"/>
      <c r="W286" s="243"/>
    </row>
    <row r="287" spans="1:23" x14ac:dyDescent="0.15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15">
      <c r="A288" s="236">
        <v>100</v>
      </c>
      <c r="B288" s="220"/>
      <c r="C288" s="227" t="s">
        <v>301</v>
      </c>
      <c r="D288" s="220"/>
      <c r="E288" s="220"/>
      <c r="F288" s="220"/>
      <c r="G288" s="328" t="str">
        <f>Admin!G2</f>
        <v>2022-23</v>
      </c>
      <c r="H288" s="329"/>
      <c r="I288" s="329"/>
      <c r="J288" s="220" t="s">
        <v>302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15">
      <c r="A289" s="240"/>
      <c r="B289" s="220"/>
      <c r="C289" s="227" t="s">
        <v>385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15">
      <c r="A290" s="240"/>
      <c r="B290" s="220"/>
      <c r="C290" s="220" t="s">
        <v>303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15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15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" customHeight="1" x14ac:dyDescent="0.15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5" customHeight="1" x14ac:dyDescent="0.15">
      <c r="A294" s="331" t="s">
        <v>304</v>
      </c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</row>
    <row r="295" spans="1:23" ht="8" customHeight="1" x14ac:dyDescent="0.15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15">
      <c r="A296" s="236">
        <v>102</v>
      </c>
      <c r="B296" s="220"/>
      <c r="C296" s="227" t="s">
        <v>305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" customHeight="1" x14ac:dyDescent="0.15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15">
      <c r="A298" s="240"/>
      <c r="B298" s="220"/>
      <c r="C298" s="361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3"/>
      <c r="W298" s="243"/>
    </row>
    <row r="299" spans="1:23" x14ac:dyDescent="0.15">
      <c r="A299" s="240"/>
      <c r="B299" s="220"/>
      <c r="C299" s="364"/>
      <c r="D299" s="365"/>
      <c r="E299" s="365"/>
      <c r="F299" s="365"/>
      <c r="G299" s="365"/>
      <c r="H299" s="365"/>
      <c r="I299" s="365"/>
      <c r="J299" s="365"/>
      <c r="K299" s="365"/>
      <c r="L299" s="365"/>
      <c r="M299" s="365"/>
      <c r="N299" s="365"/>
      <c r="O299" s="365"/>
      <c r="P299" s="365"/>
      <c r="Q299" s="365"/>
      <c r="R299" s="365"/>
      <c r="S299" s="365"/>
      <c r="T299" s="365"/>
      <c r="U299" s="365"/>
      <c r="V299" s="366"/>
      <c r="W299" s="243"/>
    </row>
    <row r="300" spans="1:23" x14ac:dyDescent="0.15">
      <c r="A300" s="240"/>
      <c r="B300" s="220"/>
      <c r="C300" s="364"/>
      <c r="D300" s="365"/>
      <c r="E300" s="365"/>
      <c r="F300" s="365"/>
      <c r="G300" s="365"/>
      <c r="H300" s="365"/>
      <c r="I300" s="365"/>
      <c r="J300" s="365"/>
      <c r="K300" s="365"/>
      <c r="L300" s="365"/>
      <c r="M300" s="365"/>
      <c r="N300" s="365"/>
      <c r="O300" s="365"/>
      <c r="P300" s="365"/>
      <c r="Q300" s="365"/>
      <c r="R300" s="365"/>
      <c r="S300" s="365"/>
      <c r="T300" s="365"/>
      <c r="U300" s="365"/>
      <c r="V300" s="366"/>
      <c r="W300" s="243"/>
    </row>
    <row r="301" spans="1:23" x14ac:dyDescent="0.15">
      <c r="A301" s="240"/>
      <c r="B301" s="220"/>
      <c r="C301" s="364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6"/>
      <c r="W301" s="243"/>
    </row>
    <row r="302" spans="1:23" x14ac:dyDescent="0.15">
      <c r="A302" s="240"/>
      <c r="B302" s="220"/>
      <c r="C302" s="364"/>
      <c r="D302" s="365"/>
      <c r="E302" s="365"/>
      <c r="F302" s="365"/>
      <c r="G302" s="365"/>
      <c r="H302" s="365"/>
      <c r="I302" s="365"/>
      <c r="J302" s="365"/>
      <c r="K302" s="365"/>
      <c r="L302" s="365"/>
      <c r="M302" s="365"/>
      <c r="N302" s="365"/>
      <c r="O302" s="365"/>
      <c r="P302" s="365"/>
      <c r="Q302" s="365"/>
      <c r="R302" s="365"/>
      <c r="S302" s="365"/>
      <c r="T302" s="365"/>
      <c r="U302" s="365"/>
      <c r="V302" s="366"/>
      <c r="W302" s="243"/>
    </row>
    <row r="303" spans="1:23" x14ac:dyDescent="0.15">
      <c r="A303" s="240"/>
      <c r="B303" s="220"/>
      <c r="C303" s="364"/>
      <c r="D303" s="365"/>
      <c r="E303" s="365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  <c r="T303" s="365"/>
      <c r="U303" s="365"/>
      <c r="V303" s="366"/>
      <c r="W303" s="243"/>
    </row>
    <row r="304" spans="1:23" x14ac:dyDescent="0.15">
      <c r="A304" s="240"/>
      <c r="B304" s="220"/>
      <c r="C304" s="364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6"/>
      <c r="W304" s="243"/>
    </row>
    <row r="305" spans="1:23" x14ac:dyDescent="0.15">
      <c r="A305" s="240"/>
      <c r="B305" s="220"/>
      <c r="C305" s="364"/>
      <c r="D305" s="365"/>
      <c r="E305" s="365"/>
      <c r="F305" s="365"/>
      <c r="G305" s="365"/>
      <c r="H305" s="365"/>
      <c r="I305" s="365"/>
      <c r="J305" s="365"/>
      <c r="K305" s="365"/>
      <c r="L305" s="365"/>
      <c r="M305" s="365"/>
      <c r="N305" s="365"/>
      <c r="O305" s="365"/>
      <c r="P305" s="365"/>
      <c r="Q305" s="365"/>
      <c r="R305" s="365"/>
      <c r="S305" s="365"/>
      <c r="T305" s="365"/>
      <c r="U305" s="365"/>
      <c r="V305" s="366"/>
      <c r="W305" s="243"/>
    </row>
    <row r="306" spans="1:23" x14ac:dyDescent="0.15">
      <c r="A306" s="240"/>
      <c r="B306" s="220"/>
      <c r="C306" s="364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6"/>
      <c r="W306" s="243"/>
    </row>
    <row r="307" spans="1:23" x14ac:dyDescent="0.15">
      <c r="A307" s="240"/>
      <c r="B307" s="220"/>
      <c r="C307" s="364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6"/>
      <c r="W307" s="243"/>
    </row>
    <row r="308" spans="1:23" x14ac:dyDescent="0.15">
      <c r="A308" s="240"/>
      <c r="B308" s="220"/>
      <c r="C308" s="364"/>
      <c r="D308" s="365"/>
      <c r="E308" s="365"/>
      <c r="F308" s="365"/>
      <c r="G308" s="365"/>
      <c r="H308" s="365"/>
      <c r="I308" s="365"/>
      <c r="J308" s="365"/>
      <c r="K308" s="365"/>
      <c r="L308" s="365"/>
      <c r="M308" s="365"/>
      <c r="N308" s="365"/>
      <c r="O308" s="365"/>
      <c r="P308" s="365"/>
      <c r="Q308" s="365"/>
      <c r="R308" s="365"/>
      <c r="S308" s="365"/>
      <c r="T308" s="365"/>
      <c r="U308" s="365"/>
      <c r="V308" s="366"/>
      <c r="W308" s="243"/>
    </row>
    <row r="309" spans="1:23" x14ac:dyDescent="0.15">
      <c r="A309" s="240"/>
      <c r="B309" s="220"/>
      <c r="C309" s="364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6"/>
      <c r="W309" s="243"/>
    </row>
    <row r="310" spans="1:23" x14ac:dyDescent="0.15">
      <c r="A310" s="240"/>
      <c r="B310" s="220"/>
      <c r="C310" s="364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6"/>
      <c r="W310" s="243"/>
    </row>
    <row r="311" spans="1:23" x14ac:dyDescent="0.15">
      <c r="A311" s="240"/>
      <c r="B311" s="220"/>
      <c r="C311" s="364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6"/>
      <c r="W311" s="243"/>
    </row>
    <row r="312" spans="1:23" x14ac:dyDescent="0.15">
      <c r="A312" s="240"/>
      <c r="B312" s="220"/>
      <c r="C312" s="364"/>
      <c r="D312" s="365"/>
      <c r="E312" s="365"/>
      <c r="F312" s="365"/>
      <c r="G312" s="365"/>
      <c r="H312" s="365"/>
      <c r="I312" s="365"/>
      <c r="J312" s="365"/>
      <c r="K312" s="365"/>
      <c r="L312" s="365"/>
      <c r="M312" s="365"/>
      <c r="N312" s="365"/>
      <c r="O312" s="365"/>
      <c r="P312" s="365"/>
      <c r="Q312" s="365"/>
      <c r="R312" s="365"/>
      <c r="S312" s="365"/>
      <c r="T312" s="365"/>
      <c r="U312" s="365"/>
      <c r="V312" s="366"/>
      <c r="W312" s="243"/>
    </row>
    <row r="313" spans="1:23" x14ac:dyDescent="0.15">
      <c r="A313" s="240"/>
      <c r="B313" s="220"/>
      <c r="C313" s="364"/>
      <c r="D313" s="365"/>
      <c r="E313" s="365"/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6"/>
      <c r="W313" s="243"/>
    </row>
    <row r="314" spans="1:23" x14ac:dyDescent="0.15">
      <c r="A314" s="240"/>
      <c r="B314" s="220"/>
      <c r="C314" s="364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6"/>
      <c r="W314" s="243"/>
    </row>
    <row r="315" spans="1:23" x14ac:dyDescent="0.15">
      <c r="A315" s="240"/>
      <c r="B315" s="220"/>
      <c r="C315" s="364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6"/>
      <c r="W315" s="243"/>
    </row>
    <row r="316" spans="1:23" x14ac:dyDescent="0.15">
      <c r="A316" s="240"/>
      <c r="B316" s="220"/>
      <c r="C316" s="364"/>
      <c r="D316" s="365"/>
      <c r="E316" s="365"/>
      <c r="F316" s="365"/>
      <c r="G316" s="365"/>
      <c r="H316" s="365"/>
      <c r="I316" s="365"/>
      <c r="J316" s="365"/>
      <c r="K316" s="365"/>
      <c r="L316" s="365"/>
      <c r="M316" s="365"/>
      <c r="N316" s="365"/>
      <c r="O316" s="365"/>
      <c r="P316" s="365"/>
      <c r="Q316" s="365"/>
      <c r="R316" s="365"/>
      <c r="S316" s="365"/>
      <c r="T316" s="365"/>
      <c r="U316" s="365"/>
      <c r="V316" s="366"/>
      <c r="W316" s="243"/>
    </row>
    <row r="317" spans="1:23" x14ac:dyDescent="0.15">
      <c r="A317" s="240"/>
      <c r="B317" s="220"/>
      <c r="C317" s="364"/>
      <c r="D317" s="365"/>
      <c r="E317" s="365"/>
      <c r="F317" s="365"/>
      <c r="G317" s="365"/>
      <c r="H317" s="365"/>
      <c r="I317" s="365"/>
      <c r="J317" s="365"/>
      <c r="K317" s="365"/>
      <c r="L317" s="365"/>
      <c r="M317" s="365"/>
      <c r="N317" s="365"/>
      <c r="O317" s="365"/>
      <c r="P317" s="365"/>
      <c r="Q317" s="365"/>
      <c r="R317" s="365"/>
      <c r="S317" s="365"/>
      <c r="T317" s="365"/>
      <c r="U317" s="365"/>
      <c r="V317" s="366"/>
      <c r="W317" s="243"/>
    </row>
    <row r="318" spans="1:23" x14ac:dyDescent="0.15">
      <c r="A318" s="240"/>
      <c r="B318" s="220"/>
      <c r="C318" s="364"/>
      <c r="D318" s="365"/>
      <c r="E318" s="365"/>
      <c r="F318" s="365"/>
      <c r="G318" s="365"/>
      <c r="H318" s="365"/>
      <c r="I318" s="365"/>
      <c r="J318" s="365"/>
      <c r="K318" s="365"/>
      <c r="L318" s="365"/>
      <c r="M318" s="365"/>
      <c r="N318" s="365"/>
      <c r="O318" s="365"/>
      <c r="P318" s="365"/>
      <c r="Q318" s="365"/>
      <c r="R318" s="365"/>
      <c r="S318" s="365"/>
      <c r="T318" s="365"/>
      <c r="U318" s="365"/>
      <c r="V318" s="366"/>
      <c r="W318" s="243"/>
    </row>
    <row r="319" spans="1:23" x14ac:dyDescent="0.15">
      <c r="A319" s="240"/>
      <c r="B319" s="220"/>
      <c r="C319" s="364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6"/>
      <c r="W319" s="243"/>
    </row>
    <row r="320" spans="1:23" x14ac:dyDescent="0.15">
      <c r="A320" s="240"/>
      <c r="B320" s="220"/>
      <c r="C320" s="364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6"/>
      <c r="W320" s="243"/>
    </row>
    <row r="321" spans="1:23" x14ac:dyDescent="0.15">
      <c r="A321" s="240"/>
      <c r="B321" s="220"/>
      <c r="C321" s="364"/>
      <c r="D321" s="365"/>
      <c r="E321" s="365"/>
      <c r="F321" s="365"/>
      <c r="G321" s="365"/>
      <c r="H321" s="365"/>
      <c r="I321" s="365"/>
      <c r="J321" s="365"/>
      <c r="K321" s="365"/>
      <c r="L321" s="365"/>
      <c r="M321" s="365"/>
      <c r="N321" s="365"/>
      <c r="O321" s="365"/>
      <c r="P321" s="365"/>
      <c r="Q321" s="365"/>
      <c r="R321" s="365"/>
      <c r="S321" s="365"/>
      <c r="T321" s="365"/>
      <c r="U321" s="365"/>
      <c r="V321" s="366"/>
      <c r="W321" s="243"/>
    </row>
    <row r="322" spans="1:23" x14ac:dyDescent="0.15">
      <c r="A322" s="240"/>
      <c r="B322" s="220"/>
      <c r="C322" s="364"/>
      <c r="D322" s="365"/>
      <c r="E322" s="365"/>
      <c r="F322" s="365"/>
      <c r="G322" s="365"/>
      <c r="H322" s="365"/>
      <c r="I322" s="365"/>
      <c r="J322" s="365"/>
      <c r="K322" s="365"/>
      <c r="L322" s="365"/>
      <c r="M322" s="365"/>
      <c r="N322" s="365"/>
      <c r="O322" s="365"/>
      <c r="P322" s="365"/>
      <c r="Q322" s="365"/>
      <c r="R322" s="365"/>
      <c r="S322" s="365"/>
      <c r="T322" s="365"/>
      <c r="U322" s="365"/>
      <c r="V322" s="366"/>
      <c r="W322" s="243"/>
    </row>
    <row r="323" spans="1:23" x14ac:dyDescent="0.15">
      <c r="A323" s="240"/>
      <c r="B323" s="220"/>
      <c r="C323" s="367"/>
      <c r="D323" s="368"/>
      <c r="E323" s="368"/>
      <c r="F323" s="368"/>
      <c r="G323" s="368"/>
      <c r="H323" s="368"/>
      <c r="I323" s="368"/>
      <c r="J323" s="368"/>
      <c r="K323" s="368"/>
      <c r="L323" s="368"/>
      <c r="M323" s="368"/>
      <c r="N323" s="368"/>
      <c r="O323" s="368"/>
      <c r="P323" s="368"/>
      <c r="Q323" s="368"/>
      <c r="R323" s="368"/>
      <c r="S323" s="368"/>
      <c r="T323" s="368"/>
      <c r="U323" s="368"/>
      <c r="V323" s="369"/>
      <c r="W323" s="243"/>
    </row>
    <row r="324" spans="1:23" ht="8" customHeight="1" x14ac:dyDescent="0.15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7"/>
  <sheetViews>
    <sheetView zoomScaleNormal="100" workbookViewId="0">
      <selection activeCell="M13" sqref="M13"/>
    </sheetView>
  </sheetViews>
  <sheetFormatPr baseColWidth="10" defaultColWidth="9.1640625" defaultRowHeight="12" x14ac:dyDescent="0.15"/>
  <cols>
    <col min="1" max="1" width="25.83203125" style="90" customWidth="1"/>
    <col min="2" max="2" width="9.6640625" style="90" customWidth="1"/>
    <col min="3" max="14" width="8.5" style="11" customWidth="1"/>
    <col min="15" max="15" width="0.83203125" style="11" customWidth="1"/>
    <col min="16" max="16384" width="9.1640625" style="11"/>
  </cols>
  <sheetData>
    <row r="1" spans="1:15" ht="6" customHeight="1" x14ac:dyDescent="0.15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15">
      <c r="A2" s="392" t="s">
        <v>50</v>
      </c>
      <c r="B2" s="157" t="s">
        <v>140</v>
      </c>
      <c r="C2" s="390">
        <f>Admin!B5</f>
        <v>44681</v>
      </c>
      <c r="D2" s="389">
        <f>Admin!B6</f>
        <v>44712</v>
      </c>
      <c r="E2" s="389">
        <f>Admin!B7</f>
        <v>44742</v>
      </c>
      <c r="F2" s="389">
        <f>Admin!B8</f>
        <v>44773</v>
      </c>
      <c r="G2" s="389">
        <f>Admin!B9</f>
        <v>44804</v>
      </c>
      <c r="H2" s="389">
        <f>Admin!B10</f>
        <v>44834</v>
      </c>
      <c r="I2" s="389">
        <f>Admin!B11</f>
        <v>44865</v>
      </c>
      <c r="J2" s="389">
        <f>Admin!B12</f>
        <v>44895</v>
      </c>
      <c r="K2" s="389">
        <f>Admin!B13</f>
        <v>44926</v>
      </c>
      <c r="L2" s="389">
        <f>Admin!B14</f>
        <v>44957</v>
      </c>
      <c r="M2" s="389">
        <f>Admin!B15</f>
        <v>44985</v>
      </c>
      <c r="N2" s="389">
        <f>Admin!B16</f>
        <v>45016</v>
      </c>
      <c r="O2" s="24"/>
    </row>
    <row r="3" spans="1:15" ht="12" customHeight="1" x14ac:dyDescent="0.15">
      <c r="A3" s="393"/>
      <c r="B3" s="158">
        <f>Admin!B$17</f>
        <v>45021</v>
      </c>
      <c r="C3" s="391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24"/>
    </row>
    <row r="4" spans="1:15" x14ac:dyDescent="0.15">
      <c r="A4" s="393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15">
      <c r="A5" s="81" t="s">
        <v>52</v>
      </c>
      <c r="B5" s="62">
        <f>SUM(C5:N5)</f>
        <v>0</v>
      </c>
      <c r="C5" s="75">
        <f>[2]Apr22!$P$1</f>
        <v>0</v>
      </c>
      <c r="D5" s="75">
        <f>[2]May22!$P$1</f>
        <v>0</v>
      </c>
      <c r="E5" s="75">
        <f>[2]Jun22!$P$1</f>
        <v>0</v>
      </c>
      <c r="F5" s="75">
        <f>[2]Jul22!$P$1</f>
        <v>0</v>
      </c>
      <c r="G5" s="75">
        <f>[2]Aug22!$P$1</f>
        <v>0</v>
      </c>
      <c r="H5" s="75">
        <f>[2]Sep22!$P$1</f>
        <v>0</v>
      </c>
      <c r="I5" s="75">
        <f>[2]Oct22!$P$1</f>
        <v>0</v>
      </c>
      <c r="J5" s="75">
        <f>[2]Nov22!$P$1</f>
        <v>0</v>
      </c>
      <c r="K5" s="75">
        <f>[2]Dec22!$P$1</f>
        <v>0</v>
      </c>
      <c r="L5" s="75">
        <f>[2]Jan23!$P$1</f>
        <v>0</v>
      </c>
      <c r="M5" s="75">
        <f>[2]Feb23!$P$1</f>
        <v>0</v>
      </c>
      <c r="N5" s="75">
        <f>[2]Mar23!$P$1</f>
        <v>0</v>
      </c>
      <c r="O5" s="24"/>
    </row>
    <row r="6" spans="1:15" x14ac:dyDescent="0.15">
      <c r="A6" s="81" t="s">
        <v>53</v>
      </c>
      <c r="B6" s="62">
        <f>SUM(C6:N6)</f>
        <v>0</v>
      </c>
      <c r="C6" s="75">
        <f>[2]Apr22!$Q$1</f>
        <v>0</v>
      </c>
      <c r="D6" s="75">
        <f>[2]May22!$Q$1</f>
        <v>0</v>
      </c>
      <c r="E6" s="75">
        <f>[2]Jun22!$Q$1</f>
        <v>0</v>
      </c>
      <c r="F6" s="75">
        <f>[2]Jul22!$Q$1</f>
        <v>0</v>
      </c>
      <c r="G6" s="75">
        <f>[2]Aug22!$Q$1</f>
        <v>0</v>
      </c>
      <c r="H6" s="75">
        <f>[2]Sep22!$Q$1</f>
        <v>0</v>
      </c>
      <c r="I6" s="75">
        <f>[2]Oct22!$Q$1</f>
        <v>0</v>
      </c>
      <c r="J6" s="75">
        <f>[2]Nov22!$Q$1</f>
        <v>0</v>
      </c>
      <c r="K6" s="75">
        <f>[2]Dec22!$Q$1</f>
        <v>0</v>
      </c>
      <c r="L6" s="75">
        <f>[2]Jan23!$Q$1</f>
        <v>0</v>
      </c>
      <c r="M6" s="75">
        <f>[2]Feb23!$Q$1</f>
        <v>0</v>
      </c>
      <c r="N6" s="75">
        <f>[2]Mar23!$Q$1</f>
        <v>0</v>
      </c>
      <c r="O6" s="24"/>
    </row>
    <row r="7" spans="1:15" x14ac:dyDescent="0.15">
      <c r="A7" s="81" t="s">
        <v>54</v>
      </c>
      <c r="B7" s="62">
        <f>SUM(C7:N7)</f>
        <v>0</v>
      </c>
      <c r="C7" s="75">
        <f>[2]Apr22!$R$1</f>
        <v>0</v>
      </c>
      <c r="D7" s="75">
        <f>[2]May22!$R$1</f>
        <v>0</v>
      </c>
      <c r="E7" s="75">
        <f>[2]Jun22!$R$1</f>
        <v>0</v>
      </c>
      <c r="F7" s="75">
        <f>[2]Jul22!$R$1</f>
        <v>0</v>
      </c>
      <c r="G7" s="75">
        <f>[2]Aug22!$R$1</f>
        <v>0</v>
      </c>
      <c r="H7" s="75">
        <f>[2]Sep22!$R$1</f>
        <v>0</v>
      </c>
      <c r="I7" s="75">
        <f>[2]Oct22!$R$1</f>
        <v>0</v>
      </c>
      <c r="J7" s="75">
        <f>[2]Nov22!$R$1</f>
        <v>0</v>
      </c>
      <c r="K7" s="75">
        <f>[2]Dec22!$R$1</f>
        <v>0</v>
      </c>
      <c r="L7" s="75">
        <f>[2]Jan23!$R$1</f>
        <v>0</v>
      </c>
      <c r="M7" s="75">
        <f>[2]Feb23!$R$1</f>
        <v>0</v>
      </c>
      <c r="N7" s="75">
        <f>[2]Mar23!$R$1</f>
        <v>0</v>
      </c>
      <c r="O7" s="24"/>
    </row>
    <row r="8" spans="1:15" x14ac:dyDescent="0.15">
      <c r="A8" s="81" t="s">
        <v>55</v>
      </c>
      <c r="B8" s="62">
        <f>SUM(C8:N8)</f>
        <v>0</v>
      </c>
      <c r="C8" s="75">
        <f>[2]Apr22!$S$1</f>
        <v>0</v>
      </c>
      <c r="D8" s="75">
        <f>[2]May22!$S$1</f>
        <v>0</v>
      </c>
      <c r="E8" s="75">
        <f>[2]Jun22!$S$1</f>
        <v>0</v>
      </c>
      <c r="F8" s="75">
        <f>[2]Jul22!$S$1</f>
        <v>0</v>
      </c>
      <c r="G8" s="75">
        <f>[2]Aug22!$S$1</f>
        <v>0</v>
      </c>
      <c r="H8" s="75">
        <f>[2]Sep22!$S$1</f>
        <v>0</v>
      </c>
      <c r="I8" s="75">
        <f>[2]Oct22!$S$1</f>
        <v>0</v>
      </c>
      <c r="J8" s="75">
        <f>[2]Nov22!$S$1</f>
        <v>0</v>
      </c>
      <c r="K8" s="75">
        <f>[2]Dec22!$S$1</f>
        <v>0</v>
      </c>
      <c r="L8" s="75">
        <f>[2]Jan23!$S$1</f>
        <v>0</v>
      </c>
      <c r="M8" s="75">
        <f>[2]Feb23!$S$1</f>
        <v>0</v>
      </c>
      <c r="N8" s="75">
        <f>[2]Mar23!$S$1</f>
        <v>0</v>
      </c>
      <c r="O8" s="24"/>
    </row>
    <row r="9" spans="1:15" s="84" customFormat="1" x14ac:dyDescent="0.15">
      <c r="A9" s="82" t="s">
        <v>1</v>
      </c>
      <c r="B9" s="62">
        <f t="shared" ref="B9:N9" si="0">SUM(B5:B8)</f>
        <v>0</v>
      </c>
      <c r="C9" s="62">
        <f t="shared" si="0"/>
        <v>0</v>
      </c>
      <c r="D9" s="62">
        <f t="shared" si="0"/>
        <v>0</v>
      </c>
      <c r="E9" s="62">
        <f t="shared" si="0"/>
        <v>0</v>
      </c>
      <c r="F9" s="62">
        <f t="shared" si="0"/>
        <v>0</v>
      </c>
      <c r="G9" s="62">
        <f t="shared" si="0"/>
        <v>0</v>
      </c>
      <c r="H9" s="62">
        <f t="shared" si="0"/>
        <v>0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  <c r="M9" s="62">
        <f t="shared" si="0"/>
        <v>0</v>
      </c>
      <c r="N9" s="62">
        <f t="shared" si="0"/>
        <v>0</v>
      </c>
      <c r="O9" s="83"/>
    </row>
    <row r="10" spans="1:15" s="119" customFormat="1" ht="6" customHeight="1" x14ac:dyDescent="0.15">
      <c r="A10" s="82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83"/>
    </row>
    <row r="11" spans="1:15" x14ac:dyDescent="0.15">
      <c r="A11" s="81" t="s">
        <v>56</v>
      </c>
      <c r="B11" s="62">
        <f>SUM(C11:N11)</f>
        <v>0</v>
      </c>
      <c r="C11" s="75">
        <f>[2]Apr22!$T$1</f>
        <v>0</v>
      </c>
      <c r="D11" s="75">
        <f>[2]May22!$T$1</f>
        <v>0</v>
      </c>
      <c r="E11" s="75">
        <f>[2]Jun22!$T$1</f>
        <v>0</v>
      </c>
      <c r="F11" s="75">
        <f>[2]Jul22!$T$1</f>
        <v>0</v>
      </c>
      <c r="G11" s="75">
        <f>[2]Aug22!$T$1</f>
        <v>0</v>
      </c>
      <c r="H11" s="75">
        <f>[2]Sep22!$T$1</f>
        <v>0</v>
      </c>
      <c r="I11" s="75">
        <f>[2]Oct22!$T$1</f>
        <v>0</v>
      </c>
      <c r="J11" s="75">
        <f>[2]Nov22!$T$1</f>
        <v>0</v>
      </c>
      <c r="K11" s="75">
        <f>[2]Dec22!$T$1</f>
        <v>0</v>
      </c>
      <c r="L11" s="75">
        <f>[2]Jan23!$T$1</f>
        <v>0</v>
      </c>
      <c r="M11" s="75">
        <f>[2]Feb23!$T$1</f>
        <v>0</v>
      </c>
      <c r="N11" s="75">
        <f>[2]Mar23!$T$1</f>
        <v>0</v>
      </c>
      <c r="O11" s="24"/>
    </row>
    <row r="12" spans="1:15" s="23" customFormat="1" ht="6" customHeight="1" x14ac:dyDescent="0.15">
      <c r="A12" s="8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24"/>
    </row>
    <row r="13" spans="1:15" s="84" customFormat="1" ht="10.5" customHeight="1" x14ac:dyDescent="0.15">
      <c r="A13" s="85" t="s">
        <v>80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83"/>
    </row>
    <row r="14" spans="1:15" x14ac:dyDescent="0.15">
      <c r="A14" s="81" t="s">
        <v>79</v>
      </c>
      <c r="B14" s="62">
        <f>SUM(C14:N14)</f>
        <v>0</v>
      </c>
      <c r="C14" s="75">
        <f>[3]Apr22!$P$1+StockControl!AB6-StockControl!AB8</f>
        <v>0</v>
      </c>
      <c r="D14" s="75">
        <f>[3]May22!$P$1+StockControl!AB8-StockControl!AB10</f>
        <v>0</v>
      </c>
      <c r="E14" s="75">
        <f>[3]Jun22!$P$1+StockControl!AB10-StockControl!AB12</f>
        <v>0</v>
      </c>
      <c r="F14" s="75">
        <f>[3]Jul22!$P$1+StockControl!AB12-StockControl!AB14</f>
        <v>0</v>
      </c>
      <c r="G14" s="75">
        <f>[3]Aug22!$P$1+StockControl!AB14-StockControl!AB16</f>
        <v>0</v>
      </c>
      <c r="H14" s="75">
        <f>[3]Sep22!$P$1+StockControl!AB16-StockControl!AB18</f>
        <v>0</v>
      </c>
      <c r="I14" s="75">
        <f>[3]Oct22!$P$1+StockControl!AB18-StockControl!AB20</f>
        <v>0</v>
      </c>
      <c r="J14" s="75">
        <f>[3]Nov22!$P$1+StockControl!AB20-StockControl!AB22</f>
        <v>0</v>
      </c>
      <c r="K14" s="75">
        <f>[3]Dec22!$P$1+StockControl!AB22-StockControl!AB24</f>
        <v>0</v>
      </c>
      <c r="L14" s="75">
        <f>[3]Jan23!$P$1+StockControl!AB24-StockControl!AB26</f>
        <v>0</v>
      </c>
      <c r="M14" s="75">
        <f>[3]Feb23!$P$1+StockControl!AB26-StockControl!AB28</f>
        <v>0</v>
      </c>
      <c r="N14" s="75">
        <f>[3]Mar23!$P$1+StockControl!AB28-StockControl!AB30</f>
        <v>0</v>
      </c>
      <c r="O14" s="24"/>
    </row>
    <row r="15" spans="1:15" x14ac:dyDescent="0.15">
      <c r="A15" s="81" t="s">
        <v>58</v>
      </c>
      <c r="B15" s="62">
        <f>SUM(C15:N15)</f>
        <v>0</v>
      </c>
      <c r="C15" s="75">
        <f>[3]Apr22!$Q$1</f>
        <v>0</v>
      </c>
      <c r="D15" s="75">
        <f>[3]May22!$Q$1</f>
        <v>0</v>
      </c>
      <c r="E15" s="75">
        <f>[3]Jun22!$Q$1</f>
        <v>0</v>
      </c>
      <c r="F15" s="75">
        <f>[3]Jul22!$Q$1</f>
        <v>0</v>
      </c>
      <c r="G15" s="75">
        <f>[3]Aug22!$Q$1</f>
        <v>0</v>
      </c>
      <c r="H15" s="75">
        <f>[3]Sep22!$Q$1</f>
        <v>0</v>
      </c>
      <c r="I15" s="75">
        <f>[3]Oct22!$Q$1</f>
        <v>0</v>
      </c>
      <c r="J15" s="75">
        <f>[3]Nov22!$Q$1</f>
        <v>0</v>
      </c>
      <c r="K15" s="75">
        <f>[3]Dec22!$Q$1</f>
        <v>0</v>
      </c>
      <c r="L15" s="75">
        <f>[3]Jan23!$Q$1</f>
        <v>0</v>
      </c>
      <c r="M15" s="75">
        <f>[3]Feb23!$Q$1</f>
        <v>0</v>
      </c>
      <c r="N15" s="75">
        <f>[3]Mar23!$Q$1</f>
        <v>0</v>
      </c>
      <c r="O15" s="24"/>
    </row>
    <row r="16" spans="1:15" x14ac:dyDescent="0.15">
      <c r="A16" s="81" t="s">
        <v>59</v>
      </c>
      <c r="B16" s="62">
        <f>SUM(C16:N16)</f>
        <v>0</v>
      </c>
      <c r="C16" s="75">
        <f>[3]Apr22!$R$1</f>
        <v>0</v>
      </c>
      <c r="D16" s="75">
        <f>[3]May22!$R$1</f>
        <v>0</v>
      </c>
      <c r="E16" s="75">
        <f>[3]Jun22!$R$1</f>
        <v>0</v>
      </c>
      <c r="F16" s="75">
        <f>[3]Jul22!$R$1</f>
        <v>0</v>
      </c>
      <c r="G16" s="75">
        <f>[3]Aug22!$R$1</f>
        <v>0</v>
      </c>
      <c r="H16" s="75">
        <f>[3]Sep22!$R$1</f>
        <v>0</v>
      </c>
      <c r="I16" s="75">
        <f>[3]Oct22!$R$1</f>
        <v>0</v>
      </c>
      <c r="J16" s="75">
        <f>[3]Nov22!$R$1</f>
        <v>0</v>
      </c>
      <c r="K16" s="75">
        <f>[3]Dec22!$R$1</f>
        <v>0</v>
      </c>
      <c r="L16" s="75">
        <f>[3]Jan23!$R$1</f>
        <v>0</v>
      </c>
      <c r="M16" s="75">
        <f>[3]Feb23!$R$1</f>
        <v>0</v>
      </c>
      <c r="N16" s="75">
        <f>[3]Mar23!$R$1</f>
        <v>0</v>
      </c>
      <c r="O16" s="24"/>
    </row>
    <row r="17" spans="1:15" s="84" customFormat="1" x14ac:dyDescent="0.15">
      <c r="A17" s="82" t="s">
        <v>57</v>
      </c>
      <c r="B17" s="62">
        <f t="shared" ref="B17:N17" si="1">SUM(B14:B16)</f>
        <v>0</v>
      </c>
      <c r="C17" s="62">
        <f t="shared" si="1"/>
        <v>0</v>
      </c>
      <c r="D17" s="62">
        <f t="shared" si="1"/>
        <v>0</v>
      </c>
      <c r="E17" s="62">
        <f t="shared" si="1"/>
        <v>0</v>
      </c>
      <c r="F17" s="62">
        <f t="shared" si="1"/>
        <v>0</v>
      </c>
      <c r="G17" s="62">
        <f t="shared" si="1"/>
        <v>0</v>
      </c>
      <c r="H17" s="62">
        <f t="shared" si="1"/>
        <v>0</v>
      </c>
      <c r="I17" s="62">
        <f t="shared" si="1"/>
        <v>0</v>
      </c>
      <c r="J17" s="62">
        <f t="shared" si="1"/>
        <v>0</v>
      </c>
      <c r="K17" s="62">
        <f t="shared" si="1"/>
        <v>0</v>
      </c>
      <c r="L17" s="62">
        <f t="shared" si="1"/>
        <v>0</v>
      </c>
      <c r="M17" s="62">
        <f t="shared" si="1"/>
        <v>0</v>
      </c>
      <c r="N17" s="62">
        <f t="shared" si="1"/>
        <v>0</v>
      </c>
      <c r="O17" s="83"/>
    </row>
    <row r="18" spans="1:15" s="84" customFormat="1" ht="7.5" customHeight="1" x14ac:dyDescent="0.15">
      <c r="A18" s="82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s="84" customFormat="1" x14ac:dyDescent="0.15">
      <c r="A19" s="82" t="s">
        <v>2</v>
      </c>
      <c r="B19" s="62">
        <f>B9+B11-B17</f>
        <v>0</v>
      </c>
      <c r="C19" s="62">
        <f>C9+C11-C17</f>
        <v>0</v>
      </c>
      <c r="D19" s="62">
        <f t="shared" ref="D19:N19" si="2">D9+D11-D17</f>
        <v>0</v>
      </c>
      <c r="E19" s="62">
        <f t="shared" si="2"/>
        <v>0</v>
      </c>
      <c r="F19" s="62">
        <f t="shared" si="2"/>
        <v>0</v>
      </c>
      <c r="G19" s="62">
        <f t="shared" si="2"/>
        <v>0</v>
      </c>
      <c r="H19" s="62">
        <f t="shared" si="2"/>
        <v>0</v>
      </c>
      <c r="I19" s="62">
        <f t="shared" si="2"/>
        <v>0</v>
      </c>
      <c r="J19" s="62">
        <f t="shared" si="2"/>
        <v>0</v>
      </c>
      <c r="K19" s="62">
        <f t="shared" si="2"/>
        <v>0</v>
      </c>
      <c r="L19" s="62">
        <f t="shared" si="2"/>
        <v>0</v>
      </c>
      <c r="M19" s="62">
        <f t="shared" si="2"/>
        <v>0</v>
      </c>
      <c r="N19" s="62">
        <f t="shared" si="2"/>
        <v>0</v>
      </c>
      <c r="O19" s="83"/>
    </row>
    <row r="20" spans="1:15" s="84" customFormat="1" ht="10.5" customHeight="1" x14ac:dyDescent="0.15">
      <c r="A20" s="85" t="s">
        <v>60</v>
      </c>
      <c r="B20" s="54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3"/>
    </row>
    <row r="21" spans="1:15" x14ac:dyDescent="0.15">
      <c r="A21" s="81" t="s">
        <v>61</v>
      </c>
      <c r="B21" s="62">
        <f t="shared" ref="B21:B34" si="3">SUM(C21:N21)</f>
        <v>0</v>
      </c>
      <c r="C21" s="75">
        <f>[3]Apr22!$S$1+Wagesinterface!C4+Wagesinterface!H4-Wagesinterface!I4</f>
        <v>0</v>
      </c>
      <c r="D21" s="75">
        <f>[3]May22!$S$1+Wagesinterface!C5+Wagesinterface!H5-Wagesinterface!I5</f>
        <v>0</v>
      </c>
      <c r="E21" s="75">
        <f>[3]Jun22!$S$1+Wagesinterface!C6+Wagesinterface!H6-Wagesinterface!I6</f>
        <v>0</v>
      </c>
      <c r="F21" s="75">
        <f>[3]Jul22!$S$1+Wagesinterface!C7+Wagesinterface!H7-Wagesinterface!I7</f>
        <v>0</v>
      </c>
      <c r="G21" s="75">
        <f>[3]Aug22!$S$1+Wagesinterface!C8+Wagesinterface!H8-Wagesinterface!I8</f>
        <v>0</v>
      </c>
      <c r="H21" s="75">
        <f>[3]Sep22!$S$1+Wagesinterface!C9+Wagesinterface!H9-Wagesinterface!I9</f>
        <v>0</v>
      </c>
      <c r="I21" s="75">
        <f>[3]Oct22!$S$1+Wagesinterface!C10+Wagesinterface!H10-Wagesinterface!I10</f>
        <v>0</v>
      </c>
      <c r="J21" s="75">
        <f>[3]Nov22!$S$1+Wagesinterface!C11+Wagesinterface!H11-Wagesinterface!I11</f>
        <v>0</v>
      </c>
      <c r="K21" s="75">
        <f>[3]Dec22!$S$1+Wagesinterface!C12+Wagesinterface!H12-Wagesinterface!I12</f>
        <v>0</v>
      </c>
      <c r="L21" s="75">
        <f>[3]Jan23!$S$1+Wagesinterface!C13+Wagesinterface!H13-Wagesinterface!I13</f>
        <v>0</v>
      </c>
      <c r="M21" s="75">
        <f>[3]Feb23!$S$1+Wagesinterface!C14+Wagesinterface!H14-Wagesinterface!I14</f>
        <v>0</v>
      </c>
      <c r="N21" s="75">
        <f>[3]Mar23!$S$1+Wagesinterface!C15+Wagesinterface!H15-Wagesinterface!I15</f>
        <v>0</v>
      </c>
      <c r="O21" s="24"/>
    </row>
    <row r="22" spans="1:15" x14ac:dyDescent="0.15">
      <c r="A22" s="87" t="s">
        <v>70</v>
      </c>
      <c r="B22" s="62">
        <f t="shared" si="3"/>
        <v>0</v>
      </c>
      <c r="C22" s="75">
        <f>[3]Apr22!$T$1</f>
        <v>0</v>
      </c>
      <c r="D22" s="75">
        <f>[3]May22!$T$1</f>
        <v>0</v>
      </c>
      <c r="E22" s="75">
        <f>[3]Jun22!$T$1</f>
        <v>0</v>
      </c>
      <c r="F22" s="75">
        <f>[3]Jul22!$T$1</f>
        <v>0</v>
      </c>
      <c r="G22" s="75">
        <f>[3]Aug22!$T$1</f>
        <v>0</v>
      </c>
      <c r="H22" s="75">
        <f>[3]Sep22!$T$1</f>
        <v>0</v>
      </c>
      <c r="I22" s="75">
        <f>[3]Oct22!$T$1</f>
        <v>0</v>
      </c>
      <c r="J22" s="75">
        <f>[3]Nov22!$T$1</f>
        <v>0</v>
      </c>
      <c r="K22" s="75">
        <f>[3]Dec22!$T$1</f>
        <v>0</v>
      </c>
      <c r="L22" s="75">
        <f>[3]Jan23!$T$1</f>
        <v>0</v>
      </c>
      <c r="M22" s="75">
        <f>[3]Feb23!$T$1</f>
        <v>0</v>
      </c>
      <c r="N22" s="75">
        <f>[3]Mar23!$T$1</f>
        <v>0</v>
      </c>
      <c r="O22" s="24"/>
    </row>
    <row r="23" spans="1:15" x14ac:dyDescent="0.15">
      <c r="A23" s="87" t="s">
        <v>62</v>
      </c>
      <c r="B23" s="62">
        <f t="shared" si="3"/>
        <v>0</v>
      </c>
      <c r="C23" s="75">
        <f>[3]Apr22!$U$1</f>
        <v>0</v>
      </c>
      <c r="D23" s="75">
        <f>[3]May22!$U$1</f>
        <v>0</v>
      </c>
      <c r="E23" s="75">
        <f>[3]Jun22!$U$1</f>
        <v>0</v>
      </c>
      <c r="F23" s="75">
        <f>[3]Jul22!$U$1</f>
        <v>0</v>
      </c>
      <c r="G23" s="75">
        <f>[3]Aug22!$U$1</f>
        <v>0</v>
      </c>
      <c r="H23" s="75">
        <f>[3]Sep22!$U$1</f>
        <v>0</v>
      </c>
      <c r="I23" s="75">
        <f>[3]Oct22!$U$1</f>
        <v>0</v>
      </c>
      <c r="J23" s="75">
        <f>[3]Nov22!$U$1</f>
        <v>0</v>
      </c>
      <c r="K23" s="75">
        <f>[3]Dec22!$U$1</f>
        <v>0</v>
      </c>
      <c r="L23" s="75">
        <f>[3]Jan23!$U$1</f>
        <v>0</v>
      </c>
      <c r="M23" s="75">
        <f>[3]Feb23!$U$1</f>
        <v>0</v>
      </c>
      <c r="N23" s="75">
        <f>[3]Mar23!$U$1</f>
        <v>0</v>
      </c>
      <c r="O23" s="24"/>
    </row>
    <row r="24" spans="1:15" x14ac:dyDescent="0.15">
      <c r="A24" s="87" t="s">
        <v>71</v>
      </c>
      <c r="B24" s="62">
        <f t="shared" si="3"/>
        <v>0</v>
      </c>
      <c r="C24" s="75">
        <f>[3]Apr22!$V$1</f>
        <v>0</v>
      </c>
      <c r="D24" s="75">
        <f>[3]May22!$V$1</f>
        <v>0</v>
      </c>
      <c r="E24" s="75">
        <f>[3]Jun22!$V$1</f>
        <v>0</v>
      </c>
      <c r="F24" s="75">
        <f>[3]Jul22!$V$1</f>
        <v>0</v>
      </c>
      <c r="G24" s="75">
        <f>[3]Aug22!$V$1</f>
        <v>0</v>
      </c>
      <c r="H24" s="75">
        <f>[3]Sep22!$V$1</f>
        <v>0</v>
      </c>
      <c r="I24" s="75">
        <f>[3]Oct22!$V$1</f>
        <v>0</v>
      </c>
      <c r="J24" s="75">
        <f>[3]Nov22!$V$1</f>
        <v>0</v>
      </c>
      <c r="K24" s="75">
        <f>[3]Dec22!$V$1</f>
        <v>0</v>
      </c>
      <c r="L24" s="75">
        <f>[3]Jan23!$V$1</f>
        <v>0</v>
      </c>
      <c r="M24" s="75">
        <f>[3]Feb23!$V$1</f>
        <v>0</v>
      </c>
      <c r="N24" s="75">
        <f>[3]Mar23!$V$1</f>
        <v>0</v>
      </c>
      <c r="O24" s="24"/>
    </row>
    <row r="25" spans="1:15" x14ac:dyDescent="0.15">
      <c r="A25" s="87" t="s">
        <v>72</v>
      </c>
      <c r="B25" s="62">
        <f t="shared" si="3"/>
        <v>0</v>
      </c>
      <c r="C25" s="75">
        <f>[3]Apr22!$W$1</f>
        <v>0</v>
      </c>
      <c r="D25" s="75">
        <f>[3]May22!$W$1</f>
        <v>0</v>
      </c>
      <c r="E25" s="75">
        <f>[3]Jun22!$W$1</f>
        <v>0</v>
      </c>
      <c r="F25" s="75">
        <f>[3]Jul22!$W$1</f>
        <v>0</v>
      </c>
      <c r="G25" s="75">
        <f>[3]Aug22!$W$1</f>
        <v>0</v>
      </c>
      <c r="H25" s="75">
        <f>[3]Sep22!$W$1</f>
        <v>0</v>
      </c>
      <c r="I25" s="75">
        <f>[3]Oct22!$W$1</f>
        <v>0</v>
      </c>
      <c r="J25" s="75">
        <f>[3]Nov22!$W$1</f>
        <v>0</v>
      </c>
      <c r="K25" s="75">
        <f>[3]Dec22!$W$1</f>
        <v>0</v>
      </c>
      <c r="L25" s="75">
        <f>[3]Jan23!$W$1</f>
        <v>0</v>
      </c>
      <c r="M25" s="75">
        <f>[3]Feb23!$W$1</f>
        <v>0</v>
      </c>
      <c r="N25" s="75">
        <f>[3]Mar23!$W$1</f>
        <v>0</v>
      </c>
      <c r="O25" s="24"/>
    </row>
    <row r="26" spans="1:15" x14ac:dyDescent="0.15">
      <c r="A26" s="87" t="s">
        <v>73</v>
      </c>
      <c r="B26" s="62">
        <f t="shared" si="3"/>
        <v>0</v>
      </c>
      <c r="C26" s="75">
        <f>[3]Apr22!$X$1</f>
        <v>0</v>
      </c>
      <c r="D26" s="75">
        <f>[3]May22!$X$1</f>
        <v>0</v>
      </c>
      <c r="E26" s="75">
        <f>[3]Jun22!$X$1</f>
        <v>0</v>
      </c>
      <c r="F26" s="75">
        <f>[3]Jul22!$X$1</f>
        <v>0</v>
      </c>
      <c r="G26" s="75">
        <f>[3]Aug22!$X$1</f>
        <v>0</v>
      </c>
      <c r="H26" s="75">
        <f>[3]Sep22!$X$1</f>
        <v>0</v>
      </c>
      <c r="I26" s="75">
        <f>[3]Oct22!$X$1</f>
        <v>0</v>
      </c>
      <c r="J26" s="75">
        <f>[3]Nov22!$X$1</f>
        <v>0</v>
      </c>
      <c r="K26" s="75">
        <f>[3]Dec22!$X$1</f>
        <v>0</v>
      </c>
      <c r="L26" s="75">
        <f>[3]Jan23!$X$1</f>
        <v>0</v>
      </c>
      <c r="M26" s="75">
        <f>[3]Feb23!$X$1</f>
        <v>0</v>
      </c>
      <c r="N26" s="75">
        <f>[3]Mar23!$X$1</f>
        <v>0</v>
      </c>
      <c r="O26" s="24"/>
    </row>
    <row r="27" spans="1:15" x14ac:dyDescent="0.15">
      <c r="A27" s="87" t="s">
        <v>63</v>
      </c>
      <c r="B27" s="62">
        <f t="shared" si="3"/>
        <v>0</v>
      </c>
      <c r="C27" s="75">
        <f>[3]Apr22!$Y$1</f>
        <v>0</v>
      </c>
      <c r="D27" s="75">
        <f>[3]May22!$Y$1</f>
        <v>0</v>
      </c>
      <c r="E27" s="75">
        <f>[3]Jun22!$Y$1</f>
        <v>0</v>
      </c>
      <c r="F27" s="75">
        <f>[3]Jul22!$Y$1</f>
        <v>0</v>
      </c>
      <c r="G27" s="75">
        <f>[3]Aug22!$Y$1</f>
        <v>0</v>
      </c>
      <c r="H27" s="75">
        <f>[3]Sep22!$Y$1</f>
        <v>0</v>
      </c>
      <c r="I27" s="75">
        <f>[3]Oct22!$Y$1</f>
        <v>0</v>
      </c>
      <c r="J27" s="75">
        <f>[3]Nov22!$Y$1</f>
        <v>0</v>
      </c>
      <c r="K27" s="75">
        <f>[3]Dec22!$Y$1</f>
        <v>0</v>
      </c>
      <c r="L27" s="75">
        <f>[3]Jan23!$Y$1</f>
        <v>0</v>
      </c>
      <c r="M27" s="75">
        <f>[3]Feb23!$Y$1</f>
        <v>0</v>
      </c>
      <c r="N27" s="75">
        <f>[3]Mar23!$Y$1</f>
        <v>0</v>
      </c>
      <c r="O27" s="24"/>
    </row>
    <row r="28" spans="1:15" x14ac:dyDescent="0.15">
      <c r="A28" s="87" t="s">
        <v>64</v>
      </c>
      <c r="B28" s="62">
        <f t="shared" si="3"/>
        <v>0</v>
      </c>
      <c r="C28" s="75">
        <f>[3]Apr22!$Z$1</f>
        <v>0</v>
      </c>
      <c r="D28" s="75">
        <f>[3]May22!$Z$1</f>
        <v>0</v>
      </c>
      <c r="E28" s="75">
        <f>[3]Jun22!$Z$1</f>
        <v>0</v>
      </c>
      <c r="F28" s="75">
        <f>[3]Jul22!$Z$1</f>
        <v>0</v>
      </c>
      <c r="G28" s="75">
        <f>[3]Aug22!$Z$1</f>
        <v>0</v>
      </c>
      <c r="H28" s="75">
        <f>[3]Sep22!$Z$1</f>
        <v>0</v>
      </c>
      <c r="I28" s="75">
        <f>[3]Oct22!$Z$1</f>
        <v>0</v>
      </c>
      <c r="J28" s="75">
        <f>[3]Nov22!$Z$1</f>
        <v>0</v>
      </c>
      <c r="K28" s="75">
        <f>[3]Dec22!$Z$1</f>
        <v>0</v>
      </c>
      <c r="L28" s="75">
        <f>[3]Jan23!$Z$1</f>
        <v>0</v>
      </c>
      <c r="M28" s="75">
        <f>[3]Feb23!$Z$1</f>
        <v>0</v>
      </c>
      <c r="N28" s="75">
        <f>[3]Mar23!$Z$1</f>
        <v>0</v>
      </c>
      <c r="O28" s="24"/>
    </row>
    <row r="29" spans="1:15" x14ac:dyDescent="0.15">
      <c r="A29" s="87" t="s">
        <v>65</v>
      </c>
      <c r="B29" s="62">
        <f t="shared" si="3"/>
        <v>0</v>
      </c>
      <c r="C29" s="75">
        <f>-[2]Apr22!$U$1</f>
        <v>0</v>
      </c>
      <c r="D29" s="75">
        <f>-[2]May22!$U$1</f>
        <v>0</v>
      </c>
      <c r="E29" s="75">
        <f>-[2]Jun22!$U$1</f>
        <v>0</v>
      </c>
      <c r="F29" s="75">
        <f>-[2]Jul22!$U$1</f>
        <v>0</v>
      </c>
      <c r="G29" s="75">
        <f>-[2]Aug22!$U$1</f>
        <v>0</v>
      </c>
      <c r="H29" s="75">
        <f>-[2]Sep22!$U$1</f>
        <v>0</v>
      </c>
      <c r="I29" s="75">
        <f>-[2]Oct22!$U$1</f>
        <v>0</v>
      </c>
      <c r="J29" s="75">
        <f>-[2]Nov22!$U$1</f>
        <v>0</v>
      </c>
      <c r="K29" s="75">
        <f>-[2]Dec22!$U$1</f>
        <v>0</v>
      </c>
      <c r="L29" s="75">
        <f>-[2]Jan23!$U$1</f>
        <v>0</v>
      </c>
      <c r="M29" s="75">
        <f>-[2]Feb23!$U$1</f>
        <v>0</v>
      </c>
      <c r="N29" s="75">
        <f>-[2]Mar23!$U$1</f>
        <v>0</v>
      </c>
      <c r="O29" s="24"/>
    </row>
    <row r="30" spans="1:15" x14ac:dyDescent="0.15">
      <c r="A30" s="87" t="s">
        <v>66</v>
      </c>
      <c r="B30" s="62">
        <f t="shared" si="3"/>
        <v>0</v>
      </c>
      <c r="C30" s="75">
        <f>[4]Apr22!$Z$1</f>
        <v>0</v>
      </c>
      <c r="D30" s="75">
        <f>[4]May22!$Z$1</f>
        <v>0</v>
      </c>
      <c r="E30" s="75">
        <f>[4]Jun22!$Z$1</f>
        <v>0</v>
      </c>
      <c r="F30" s="75">
        <f>[4]Jul22!$Z$1</f>
        <v>0</v>
      </c>
      <c r="G30" s="75">
        <f>[4]Aug22!$Z$1</f>
        <v>0</v>
      </c>
      <c r="H30" s="75">
        <f>[4]Sep22!$Z$1</f>
        <v>0</v>
      </c>
      <c r="I30" s="75">
        <f>[4]Oct22!$Z$1</f>
        <v>0</v>
      </c>
      <c r="J30" s="75">
        <f>[4]Nov22!$Z$1</f>
        <v>0</v>
      </c>
      <c r="K30" s="75">
        <f>[4]Dec22!$Z$1</f>
        <v>0</v>
      </c>
      <c r="L30" s="75">
        <f>[4]Jan23!$Z$1</f>
        <v>0</v>
      </c>
      <c r="M30" s="75">
        <f>[4]Feb23!$Z$1</f>
        <v>0</v>
      </c>
      <c r="N30" s="75">
        <f>[4]Mar23!$Z$1</f>
        <v>0</v>
      </c>
      <c r="O30" s="24"/>
    </row>
    <row r="31" spans="1:15" x14ac:dyDescent="0.15">
      <c r="A31" s="87" t="s">
        <v>74</v>
      </c>
      <c r="B31" s="62">
        <f t="shared" si="3"/>
        <v>0</v>
      </c>
      <c r="C31" s="75">
        <f>[5]Apr22!$V$1+[4]Apr22!$Y$1</f>
        <v>0</v>
      </c>
      <c r="D31" s="75">
        <f>[5]May22!$V$1+[4]May22!$Y$1</f>
        <v>0</v>
      </c>
      <c r="E31" s="75">
        <f>[5]Jun22!$V$1+[4]Jun22!$Y$1</f>
        <v>0</v>
      </c>
      <c r="F31" s="75">
        <f>[5]Jul22!$V$1+[4]Jul22!$Y$1</f>
        <v>0</v>
      </c>
      <c r="G31" s="75">
        <f>[5]Aug22!$V$1+[4]Aug22!$Y$1</f>
        <v>0</v>
      </c>
      <c r="H31" s="75">
        <f>[5]Sep22!$V$1+[4]Sep22!$Y$1</f>
        <v>0</v>
      </c>
      <c r="I31" s="75">
        <f>[5]Oct22!$V$1+[4]Oct22!$Y$1</f>
        <v>0</v>
      </c>
      <c r="J31" s="75">
        <f>[5]Nov22!$V$1+[4]Nov22!$Y$1</f>
        <v>0</v>
      </c>
      <c r="K31" s="75">
        <f>[5]Dec22!$V$1+[4]Dec22!$Y$1</f>
        <v>0</v>
      </c>
      <c r="L31" s="75">
        <f>[5]Jan23!$V$1+[4]Jan23!$Y$1</f>
        <v>0</v>
      </c>
      <c r="M31" s="75">
        <f>[5]Feb23!$V$1+[4]Feb23!$Y$1</f>
        <v>0</v>
      </c>
      <c r="N31" s="75">
        <f>[5]Mar23!$V$1+[4]Mar23!$Y$1</f>
        <v>0</v>
      </c>
      <c r="O31" s="24"/>
    </row>
    <row r="32" spans="1:15" x14ac:dyDescent="0.15">
      <c r="A32" s="87" t="s">
        <v>75</v>
      </c>
      <c r="B32" s="62">
        <f t="shared" si="3"/>
        <v>0</v>
      </c>
      <c r="C32" s="75">
        <f>[3]Apr22!$AA$1</f>
        <v>0</v>
      </c>
      <c r="D32" s="75">
        <f>[3]May22!$AA$1</f>
        <v>0</v>
      </c>
      <c r="E32" s="75">
        <f>[3]Jun22!$AA$1</f>
        <v>0</v>
      </c>
      <c r="F32" s="75">
        <f>[3]Jul22!$AA$1</f>
        <v>0</v>
      </c>
      <c r="G32" s="75">
        <f>[3]Aug22!$AA$1</f>
        <v>0</v>
      </c>
      <c r="H32" s="75">
        <f>[3]Sep22!$AA$1</f>
        <v>0</v>
      </c>
      <c r="I32" s="75">
        <f>[3]Oct22!$AA$1</f>
        <v>0</v>
      </c>
      <c r="J32" s="75">
        <f>[3]Nov22!$AA$1</f>
        <v>0</v>
      </c>
      <c r="K32" s="75">
        <f>[3]Dec22!$AA$1</f>
        <v>0</v>
      </c>
      <c r="L32" s="75">
        <f>[3]Jan23!$AA$1</f>
        <v>0</v>
      </c>
      <c r="M32" s="75">
        <f>[3]Feb23!$AA$1</f>
        <v>0</v>
      </c>
      <c r="N32" s="75">
        <f>[3]Mar23!$AA$1</f>
        <v>0</v>
      </c>
      <c r="O32" s="24"/>
    </row>
    <row r="33" spans="1:15" x14ac:dyDescent="0.15">
      <c r="A33" s="81" t="s">
        <v>81</v>
      </c>
      <c r="B33" s="62">
        <f t="shared" si="3"/>
        <v>0</v>
      </c>
      <c r="C33" s="75">
        <f>-([1]Schedule!$V$1-[1]Schedule!$W$1+[1]Schedule!$X$1)/12</f>
        <v>0</v>
      </c>
      <c r="D33" s="75">
        <f>-([1]Schedule!$V$1-[1]Schedule!$W$1+[1]Schedule!$X$1)/12</f>
        <v>0</v>
      </c>
      <c r="E33" s="75">
        <f>-([1]Schedule!$V$1-[1]Schedule!$W$1+[1]Schedule!$X$1)/12</f>
        <v>0</v>
      </c>
      <c r="F33" s="75">
        <f>-([1]Schedule!$V$1-[1]Schedule!$W$1+[1]Schedule!$X$1)/12</f>
        <v>0</v>
      </c>
      <c r="G33" s="75">
        <f>-([1]Schedule!$V$1-[1]Schedule!$W$1+[1]Schedule!$X$1)/12</f>
        <v>0</v>
      </c>
      <c r="H33" s="75">
        <f>-([1]Schedule!$V$1-[1]Schedule!$W$1+[1]Schedule!$X$1)/12</f>
        <v>0</v>
      </c>
      <c r="I33" s="75">
        <f>-([1]Schedule!$V$1-[1]Schedule!$W$1+[1]Schedule!$X$1)/12</f>
        <v>0</v>
      </c>
      <c r="J33" s="75">
        <f>-([1]Schedule!$V$1-[1]Schedule!$W$1+[1]Schedule!$X$1)/12</f>
        <v>0</v>
      </c>
      <c r="K33" s="75">
        <f>-([1]Schedule!$V$1-[1]Schedule!$W$1+[1]Schedule!$X$1)/12</f>
        <v>0</v>
      </c>
      <c r="L33" s="75">
        <f>-([1]Schedule!$V$1-[1]Schedule!$W$1+[1]Schedule!$X$1)/12</f>
        <v>0</v>
      </c>
      <c r="M33" s="75">
        <f>-([1]Schedule!$V$1-[1]Schedule!$W$1+[1]Schedule!$X$1)/12</f>
        <v>0</v>
      </c>
      <c r="N33" s="75">
        <f>-([1]Schedule!$V$1-[1]Schedule!$W$1+[1]Schedule!$X$1)/12</f>
        <v>0</v>
      </c>
      <c r="O33" s="24"/>
    </row>
    <row r="34" spans="1:15" x14ac:dyDescent="0.15">
      <c r="A34" s="81" t="s">
        <v>0</v>
      </c>
      <c r="B34" s="62">
        <f t="shared" si="3"/>
        <v>0</v>
      </c>
      <c r="C34" s="75">
        <f>([1]Schedule!$I$1)/12</f>
        <v>0</v>
      </c>
      <c r="D34" s="75">
        <f>([1]Schedule!$I$1)/12</f>
        <v>0</v>
      </c>
      <c r="E34" s="75">
        <f>([1]Schedule!$I$1)/12</f>
        <v>0</v>
      </c>
      <c r="F34" s="75">
        <f>([1]Schedule!$I$1)/12</f>
        <v>0</v>
      </c>
      <c r="G34" s="75">
        <f>([1]Schedule!$I$1)/12</f>
        <v>0</v>
      </c>
      <c r="H34" s="75">
        <f>([1]Schedule!$I$1)/12</f>
        <v>0</v>
      </c>
      <c r="I34" s="75">
        <f>([1]Schedule!$I$1)/12</f>
        <v>0</v>
      </c>
      <c r="J34" s="75">
        <f>([1]Schedule!$I$1)/12</f>
        <v>0</v>
      </c>
      <c r="K34" s="75">
        <f>([1]Schedule!$I$1)/12</f>
        <v>0</v>
      </c>
      <c r="L34" s="75">
        <f>([1]Schedule!$I$1)/12</f>
        <v>0</v>
      </c>
      <c r="M34" s="75">
        <f>([1]Schedule!$I$1)/12</f>
        <v>0</v>
      </c>
      <c r="N34" s="75">
        <f>([1]Schedule!$I$1)/12</f>
        <v>0</v>
      </c>
      <c r="O34" s="24"/>
    </row>
    <row r="35" spans="1:15" x14ac:dyDescent="0.15">
      <c r="A35" s="82" t="s">
        <v>60</v>
      </c>
      <c r="B35" s="62">
        <f>SUM(B21:B34)</f>
        <v>0</v>
      </c>
      <c r="C35" s="62">
        <f t="shared" ref="C35:N35" si="4">SUM(C21:C34)</f>
        <v>0</v>
      </c>
      <c r="D35" s="62">
        <f t="shared" si="4"/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0</v>
      </c>
      <c r="I35" s="62">
        <f t="shared" si="4"/>
        <v>0</v>
      </c>
      <c r="J35" s="62">
        <f t="shared" si="4"/>
        <v>0</v>
      </c>
      <c r="K35" s="62">
        <f t="shared" si="4"/>
        <v>0</v>
      </c>
      <c r="L35" s="62">
        <f t="shared" si="4"/>
        <v>0</v>
      </c>
      <c r="M35" s="62">
        <f t="shared" si="4"/>
        <v>0</v>
      </c>
      <c r="N35" s="62">
        <f t="shared" si="4"/>
        <v>0</v>
      </c>
      <c r="O35" s="24"/>
    </row>
    <row r="36" spans="1:15" ht="7.5" customHeight="1" x14ac:dyDescent="0.15">
      <c r="A36" s="88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24"/>
    </row>
    <row r="37" spans="1:15" x14ac:dyDescent="0.15">
      <c r="A37" s="82" t="s">
        <v>67</v>
      </c>
      <c r="B37" s="62">
        <f t="shared" ref="B37:N37" si="5">B19-B35</f>
        <v>0</v>
      </c>
      <c r="C37" s="62">
        <f t="shared" si="5"/>
        <v>0</v>
      </c>
      <c r="D37" s="62">
        <f t="shared" si="5"/>
        <v>0</v>
      </c>
      <c r="E37" s="62">
        <f t="shared" si="5"/>
        <v>0</v>
      </c>
      <c r="F37" s="62">
        <f t="shared" si="5"/>
        <v>0</v>
      </c>
      <c r="G37" s="62">
        <f t="shared" si="5"/>
        <v>0</v>
      </c>
      <c r="H37" s="62">
        <f t="shared" si="5"/>
        <v>0</v>
      </c>
      <c r="I37" s="62">
        <f t="shared" si="5"/>
        <v>0</v>
      </c>
      <c r="J37" s="62">
        <f t="shared" si="5"/>
        <v>0</v>
      </c>
      <c r="K37" s="62">
        <f t="shared" si="5"/>
        <v>0</v>
      </c>
      <c r="L37" s="62">
        <f t="shared" si="5"/>
        <v>0</v>
      </c>
      <c r="M37" s="62">
        <f t="shared" si="5"/>
        <v>0</v>
      </c>
      <c r="N37" s="62">
        <f t="shared" si="5"/>
        <v>0</v>
      </c>
      <c r="O37" s="24"/>
    </row>
    <row r="38" spans="1:15" x14ac:dyDescent="0.15">
      <c r="A38" s="81" t="s">
        <v>68</v>
      </c>
      <c r="B38" s="62">
        <f>SUM(C38:N38)</f>
        <v>0</v>
      </c>
      <c r="C38" s="75">
        <f>[4]Apr22!$J$1</f>
        <v>0</v>
      </c>
      <c r="D38" s="75">
        <f>[4]May22!$J$1</f>
        <v>0</v>
      </c>
      <c r="E38" s="75">
        <f>[4]Jun22!$J$1</f>
        <v>0</v>
      </c>
      <c r="F38" s="75">
        <f>[4]Jul22!$J$1</f>
        <v>0</v>
      </c>
      <c r="G38" s="75">
        <f>[4]Aug22!$J$1</f>
        <v>0</v>
      </c>
      <c r="H38" s="75">
        <f>[4]Sep22!$J$1</f>
        <v>0</v>
      </c>
      <c r="I38" s="75">
        <f>[4]Oct22!$J$1</f>
        <v>0</v>
      </c>
      <c r="J38" s="75">
        <f>[4]Nov22!$J$1</f>
        <v>0</v>
      </c>
      <c r="K38" s="75">
        <f>[4]Dec22!$J$1</f>
        <v>0</v>
      </c>
      <c r="L38" s="75">
        <f>[4]Jan23!$J$1</f>
        <v>0</v>
      </c>
      <c r="M38" s="75">
        <f>[4]Feb23!$J$1</f>
        <v>0</v>
      </c>
      <c r="N38" s="75">
        <f>[4]Mar23!$J$1</f>
        <v>0</v>
      </c>
      <c r="O38" s="24"/>
    </row>
    <row r="39" spans="1:15" x14ac:dyDescent="0.15">
      <c r="A39" s="82" t="s">
        <v>69</v>
      </c>
      <c r="B39" s="62">
        <f t="shared" ref="B39:N39" si="6">B37+B38</f>
        <v>0</v>
      </c>
      <c r="C39" s="62">
        <f t="shared" si="6"/>
        <v>0</v>
      </c>
      <c r="D39" s="62">
        <f t="shared" si="6"/>
        <v>0</v>
      </c>
      <c r="E39" s="62">
        <f t="shared" si="6"/>
        <v>0</v>
      </c>
      <c r="F39" s="62">
        <f t="shared" si="6"/>
        <v>0</v>
      </c>
      <c r="G39" s="62">
        <f t="shared" si="6"/>
        <v>0</v>
      </c>
      <c r="H39" s="62">
        <f t="shared" si="6"/>
        <v>0</v>
      </c>
      <c r="I39" s="62">
        <f t="shared" si="6"/>
        <v>0</v>
      </c>
      <c r="J39" s="62">
        <f t="shared" si="6"/>
        <v>0</v>
      </c>
      <c r="K39" s="62">
        <f t="shared" si="6"/>
        <v>0</v>
      </c>
      <c r="L39" s="62">
        <f t="shared" si="6"/>
        <v>0</v>
      </c>
      <c r="M39" s="62">
        <f t="shared" si="6"/>
        <v>0</v>
      </c>
      <c r="N39" s="62">
        <f t="shared" si="6"/>
        <v>0</v>
      </c>
      <c r="O39" s="24"/>
    </row>
    <row r="40" spans="1:15" ht="7.5" customHeight="1" thickBot="1" x14ac:dyDescent="0.2">
      <c r="A40" s="89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29"/>
    </row>
    <row r="41" spans="1:15" x14ac:dyDescent="0.15">
      <c r="A41" s="93" t="s">
        <v>83</v>
      </c>
      <c r="B41" s="9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x14ac:dyDescent="0.15">
      <c r="A42" s="87" t="s">
        <v>76</v>
      </c>
      <c r="B42" s="54">
        <f>SUM(C42:N42)</f>
        <v>0</v>
      </c>
      <c r="C42" s="54">
        <f>[5]Apr22!$X$1+[4]Apr22!$AB$1</f>
        <v>0</v>
      </c>
      <c r="D42" s="54">
        <f>[5]May22!$X$1+[4]May22!$AB$1</f>
        <v>0</v>
      </c>
      <c r="E42" s="54">
        <f>[5]Jun22!$X$1+[4]Jun22!$AB$1</f>
        <v>0</v>
      </c>
      <c r="F42" s="54">
        <f>[5]Jul22!$X$1+[4]Jul22!$AB$1</f>
        <v>0</v>
      </c>
      <c r="G42" s="54">
        <f>[5]Aug22!$X$1+[4]Aug22!$AB$1</f>
        <v>0</v>
      </c>
      <c r="H42" s="54">
        <f>[5]Sep22!$X$1+[4]Sep22!$AB$1</f>
        <v>0</v>
      </c>
      <c r="I42" s="54">
        <f>[5]Oct22!$X$1+[4]Oct22!$AB$1</f>
        <v>0</v>
      </c>
      <c r="J42" s="54">
        <f>[5]Nov22!$X$1+[4]Nov22!$AB$1</f>
        <v>0</v>
      </c>
      <c r="K42" s="54">
        <f>[5]Dec22!$X$1+[4]Dec22!$AB$1</f>
        <v>0</v>
      </c>
      <c r="L42" s="54">
        <f>[5]Jan23!$X$1+[4]Jan23!$AB$1</f>
        <v>0</v>
      </c>
      <c r="M42" s="54">
        <f>[5]Feb23!$X$1+[4]Feb23!$AB$1</f>
        <v>0</v>
      </c>
      <c r="N42" s="54">
        <f>[5]Mar23!$X$1+[4]Mar23!$AB$1</f>
        <v>0</v>
      </c>
      <c r="O42" s="24"/>
    </row>
    <row r="43" spans="1:15" x14ac:dyDescent="0.15">
      <c r="A43" s="87" t="s">
        <v>97</v>
      </c>
      <c r="B43" s="54">
        <f>SUM(C43:N43)</f>
        <v>0</v>
      </c>
      <c r="C43" s="54">
        <f>-[2]Apr22!$W$1</f>
        <v>0</v>
      </c>
      <c r="D43" s="54">
        <f>-[2]May22!$W$1</f>
        <v>0</v>
      </c>
      <c r="E43" s="54">
        <f>-[2]Jun22!$W$1</f>
        <v>0</v>
      </c>
      <c r="F43" s="54">
        <f>-[2]Jul22!$W$1</f>
        <v>0</v>
      </c>
      <c r="G43" s="54">
        <f>-[2]Aug22!$W$1</f>
        <v>0</v>
      </c>
      <c r="H43" s="54">
        <f>-[2]Sep22!$W$1</f>
        <v>0</v>
      </c>
      <c r="I43" s="54">
        <f>-[2]Oct22!$W$1</f>
        <v>0</v>
      </c>
      <c r="J43" s="54">
        <f>-[2]Nov22!$W$1</f>
        <v>0</v>
      </c>
      <c r="K43" s="54">
        <f>-[2]Dec22!$W$1</f>
        <v>0</v>
      </c>
      <c r="L43" s="54">
        <f>-[2]Jan23!$W$1</f>
        <v>0</v>
      </c>
      <c r="M43" s="54">
        <f>-[2]Feb23!$W$1</f>
        <v>0</v>
      </c>
      <c r="N43" s="54">
        <f>-[2]Mar23!$W$1</f>
        <v>0</v>
      </c>
      <c r="O43" s="24"/>
    </row>
    <row r="44" spans="1:15" ht="13" thickBot="1" x14ac:dyDescent="0.2">
      <c r="A44" s="87" t="s">
        <v>82</v>
      </c>
      <c r="B44" s="54">
        <f>SUM(C44:N44)</f>
        <v>0</v>
      </c>
      <c r="C44" s="54">
        <f>IF(C9&gt;0,'Profit Forecast'!C$46/12,0)</f>
        <v>0</v>
      </c>
      <c r="D44" s="54">
        <f>IF(D9&gt;0,'Profit Forecast'!C$46/12,0)</f>
        <v>0</v>
      </c>
      <c r="E44" s="54">
        <f>IF(E9&gt;0,'Profit Forecast'!C$46/12,0)</f>
        <v>0</v>
      </c>
      <c r="F44" s="54">
        <f>IF(F9&gt;0,'Profit Forecast'!C$46/12,0)</f>
        <v>0</v>
      </c>
      <c r="G44" s="54">
        <f>IF(G9&gt;0,'Profit Forecast'!C$46/12,0)</f>
        <v>0</v>
      </c>
      <c r="H44" s="54">
        <f>IF(H9&gt;0,'Profit Forecast'!C$46/12,0)</f>
        <v>0</v>
      </c>
      <c r="I44" s="54">
        <f>IF(I9&gt;0,'Profit Forecast'!C$46/12,0)</f>
        <v>0</v>
      </c>
      <c r="J44" s="54">
        <f>IF(J9&gt;0,'Profit Forecast'!C$46/12,0)</f>
        <v>0</v>
      </c>
      <c r="K44" s="54">
        <f>IF(K9&gt;0,'Profit Forecast'!C$46/12,0)</f>
        <v>0</v>
      </c>
      <c r="L44" s="54">
        <f>IF(L9&gt;0,'Profit Forecast'!C$46/12,0)</f>
        <v>0</v>
      </c>
      <c r="M44" s="54">
        <f>IF(M9&gt;0,'Profit Forecast'!C$46/12,0)</f>
        <v>0</v>
      </c>
      <c r="N44" s="54">
        <f>IF(N9&gt;0,'Profit Forecast'!C$46/12,0)</f>
        <v>0</v>
      </c>
      <c r="O44" s="24"/>
    </row>
    <row r="45" spans="1:15" ht="13" thickBot="1" x14ac:dyDescent="0.2">
      <c r="A45" s="134" t="s">
        <v>96</v>
      </c>
      <c r="B45" s="133">
        <f>SUM(C45:N45)</f>
        <v>0</v>
      </c>
      <c r="C45" s="132">
        <f>C39-C42-C44</f>
        <v>0</v>
      </c>
      <c r="D45" s="60">
        <f t="shared" ref="D45:N45" si="7">D39-D42-D44</f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  <c r="H45" s="60">
        <f t="shared" si="7"/>
        <v>0</v>
      </c>
      <c r="I45" s="60">
        <f t="shared" si="7"/>
        <v>0</v>
      </c>
      <c r="J45" s="60">
        <f t="shared" si="7"/>
        <v>0</v>
      </c>
      <c r="K45" s="60">
        <f t="shared" si="7"/>
        <v>0</v>
      </c>
      <c r="L45" s="60">
        <f t="shared" si="7"/>
        <v>0</v>
      </c>
      <c r="M45" s="60">
        <f t="shared" si="7"/>
        <v>0</v>
      </c>
      <c r="N45" s="60">
        <f t="shared" si="7"/>
        <v>0</v>
      </c>
      <c r="O45" s="24"/>
    </row>
    <row r="46" spans="1:15" x14ac:dyDescent="0.15">
      <c r="A46" s="87" t="s">
        <v>77</v>
      </c>
      <c r="B46" s="54">
        <f>SUM(C46:N46)</f>
        <v>0</v>
      </c>
      <c r="C46" s="54">
        <f>[5]Apr22!$J$1+[4]Apr22!$L$1</f>
        <v>0</v>
      </c>
      <c r="D46" s="54">
        <f>[5]May22!$J$1+[4]May22!$L$1</f>
        <v>0</v>
      </c>
      <c r="E46" s="54">
        <f>[5]Jun22!$J$1+[4]Jun22!$L$1</f>
        <v>0</v>
      </c>
      <c r="F46" s="54">
        <f>[5]Jul22!$J$1+[4]Jul22!$L$1</f>
        <v>0</v>
      </c>
      <c r="G46" s="54">
        <f>[5]Aug22!$J$1+[4]Aug22!$L$1</f>
        <v>0</v>
      </c>
      <c r="H46" s="54">
        <f>[5]Sep22!$J$1+[4]Sep22!$L$1</f>
        <v>0</v>
      </c>
      <c r="I46" s="54">
        <f>[5]Oct22!$J$1+[4]Oct22!$L$1</f>
        <v>0</v>
      </c>
      <c r="J46" s="54">
        <f>[5]Nov22!$J$1+[4]Nov22!$L$1</f>
        <v>0</v>
      </c>
      <c r="K46" s="54">
        <f>[5]Dec22!$J$1+[4]Dec22!$L$1</f>
        <v>0</v>
      </c>
      <c r="L46" s="54">
        <f>[5]Jan23!$J$1+[4]Jan23!$L$1</f>
        <v>0</v>
      </c>
      <c r="M46" s="54">
        <f>[5]Feb23!$J$1+[4]Feb23!$L$1</f>
        <v>0</v>
      </c>
      <c r="N46" s="54">
        <f>[5]Mar23!$J$1+[4]Mar23!$L$1</f>
        <v>0</v>
      </c>
      <c r="O46" s="24"/>
    </row>
    <row r="47" spans="1:15" ht="6" customHeight="1" thickBot="1" x14ac:dyDescent="0.2">
      <c r="A47" s="89"/>
      <c r="B47" s="9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zoomScaleNormal="100" workbookViewId="0">
      <selection activeCell="E15" sqref="E15"/>
    </sheetView>
  </sheetViews>
  <sheetFormatPr baseColWidth="10" defaultColWidth="9.1640625" defaultRowHeight="13" x14ac:dyDescent="0.15"/>
  <cols>
    <col min="1" max="1" width="2.6640625" style="1" customWidth="1"/>
    <col min="2" max="2" width="26" style="1" customWidth="1"/>
    <col min="3" max="3" width="11.33203125" style="1" customWidth="1"/>
    <col min="4" max="4" width="13.5" style="4" customWidth="1"/>
    <col min="5" max="5" width="12.6640625" style="5" customWidth="1"/>
    <col min="6" max="6" width="4.1640625" style="125" customWidth="1"/>
    <col min="7" max="7" width="2.6640625" style="2" customWidth="1"/>
    <col min="8" max="12" width="9.1640625" style="1"/>
    <col min="13" max="13" width="15.1640625" style="1" customWidth="1"/>
    <col min="14" max="16384" width="9.1640625" style="1"/>
  </cols>
  <sheetData>
    <row r="1" spans="1:13" ht="14" thickBot="1" x14ac:dyDescent="0.2">
      <c r="A1" s="96"/>
      <c r="B1" s="96"/>
      <c r="C1" s="96"/>
      <c r="D1" s="105"/>
      <c r="E1" s="99"/>
      <c r="F1" s="122"/>
      <c r="G1" s="96"/>
    </row>
    <row r="2" spans="1:13" ht="18" customHeight="1" thickBot="1" x14ac:dyDescent="0.2">
      <c r="A2" s="96"/>
      <c r="B2" s="142" t="s">
        <v>127</v>
      </c>
      <c r="C2" s="143" t="str">
        <f>Admin!L2</f>
        <v>2022-23</v>
      </c>
      <c r="D2" s="394" t="s">
        <v>16</v>
      </c>
      <c r="E2" s="395"/>
      <c r="F2" s="395"/>
      <c r="G2" s="120"/>
    </row>
    <row r="3" spans="1:13" ht="18.75" customHeight="1" x14ac:dyDescent="0.15">
      <c r="A3" s="96"/>
      <c r="B3" s="141"/>
      <c r="C3" s="141"/>
      <c r="D3" s="395"/>
      <c r="E3" s="395"/>
      <c r="F3" s="395"/>
      <c r="G3" s="120"/>
    </row>
    <row r="4" spans="1:13" x14ac:dyDescent="0.15">
      <c r="A4" s="96"/>
      <c r="B4" s="108"/>
      <c r="C4" s="108"/>
      <c r="D4" s="97"/>
      <c r="E4" s="99"/>
      <c r="F4" s="122"/>
      <c r="G4" s="120"/>
    </row>
    <row r="5" spans="1:13" x14ac:dyDescent="0.15">
      <c r="A5" s="96"/>
      <c r="B5" s="402" t="s">
        <v>98</v>
      </c>
      <c r="C5" s="403"/>
      <c r="D5" s="404"/>
      <c r="E5" s="291">
        <f>'SE Full'!O210</f>
        <v>0</v>
      </c>
      <c r="F5" s="122"/>
      <c r="G5" s="120"/>
      <c r="M5" s="293"/>
    </row>
    <row r="6" spans="1:13" x14ac:dyDescent="0.15">
      <c r="A6" s="96"/>
      <c r="B6" s="108" t="s">
        <v>139</v>
      </c>
      <c r="C6" s="108" t="str">
        <f>C2</f>
        <v>2022-23</v>
      </c>
      <c r="D6" s="100"/>
      <c r="E6" s="120">
        <f>IF((E5&gt;0),Admin!N$4,0)</f>
        <v>0</v>
      </c>
      <c r="F6" s="122"/>
      <c r="G6" s="120"/>
      <c r="M6" s="293"/>
    </row>
    <row r="7" spans="1:13" x14ac:dyDescent="0.15">
      <c r="A7" s="96"/>
      <c r="B7" s="405" t="s">
        <v>99</v>
      </c>
      <c r="C7" s="405"/>
      <c r="D7" s="406"/>
      <c r="E7" s="291">
        <f>IF((E5&gt;E6),(E5-E6),0)</f>
        <v>0</v>
      </c>
      <c r="F7" s="122"/>
      <c r="G7" s="120"/>
      <c r="M7" s="293"/>
    </row>
    <row r="8" spans="1:13" x14ac:dyDescent="0.15">
      <c r="A8" s="96"/>
      <c r="B8" s="108" t="s">
        <v>129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4" thickBot="1" x14ac:dyDescent="0.2">
      <c r="A9" s="96"/>
      <c r="B9" s="108" t="s">
        <v>128</v>
      </c>
      <c r="C9" s="108">
        <f>Admin!N$12</f>
        <v>37701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4" thickBot="1" x14ac:dyDescent="0.2">
      <c r="A10" s="96"/>
      <c r="B10" s="114" t="s">
        <v>101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15">
      <c r="A11" s="96"/>
      <c r="B11" s="108" t="s">
        <v>4</v>
      </c>
      <c r="C11" s="108"/>
      <c r="D11" s="101"/>
      <c r="E11" s="99">
        <f>-[2]Mar23!$X$1</f>
        <v>0</v>
      </c>
      <c r="F11" s="123"/>
      <c r="G11" s="121"/>
      <c r="M11" s="293"/>
    </row>
    <row r="12" spans="1:13" x14ac:dyDescent="0.15">
      <c r="A12" s="96"/>
      <c r="B12" s="108"/>
      <c r="C12" s="108"/>
      <c r="D12" s="101"/>
      <c r="E12" s="99"/>
      <c r="F12" s="123"/>
      <c r="G12" s="121"/>
      <c r="M12" s="293"/>
    </row>
    <row r="13" spans="1:13" x14ac:dyDescent="0.15">
      <c r="A13" s="96"/>
      <c r="B13" s="155" t="s">
        <v>130</v>
      </c>
      <c r="C13" s="407">
        <f>Admin!B21</f>
        <v>45322</v>
      </c>
      <c r="D13" s="408"/>
      <c r="E13" s="99"/>
      <c r="F13" s="123"/>
      <c r="G13" s="121"/>
      <c r="M13" s="293"/>
    </row>
    <row r="14" spans="1:13" ht="14" thickBot="1" x14ac:dyDescent="0.2">
      <c r="A14" s="96"/>
      <c r="B14" s="108"/>
      <c r="C14" s="108"/>
      <c r="D14" s="103"/>
      <c r="E14" s="104"/>
      <c r="F14" s="122"/>
      <c r="G14" s="121"/>
      <c r="M14" s="293"/>
    </row>
    <row r="15" spans="1:13" ht="14" thickBot="1" x14ac:dyDescent="0.2">
      <c r="A15" s="96"/>
      <c r="B15" s="409" t="s">
        <v>138</v>
      </c>
      <c r="C15" s="410"/>
      <c r="D15" s="144">
        <f>Admin!L20</f>
        <v>9.7299999999999998E-2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4" thickBot="1" x14ac:dyDescent="0.2">
      <c r="A16" s="96"/>
      <c r="B16" s="409" t="s">
        <v>137</v>
      </c>
      <c r="C16" s="410"/>
      <c r="D16" s="144">
        <f>Admin!L23</f>
        <v>2.7300000000000001E-2</v>
      </c>
      <c r="E16" s="102">
        <f>IF((E5&gt;Admin!N$23),((E5-Admin!N$23)*D16),0)</f>
        <v>0</v>
      </c>
      <c r="F16" s="122"/>
      <c r="G16" s="121"/>
      <c r="M16" s="293"/>
    </row>
    <row r="17" spans="1:13" ht="14" thickBot="1" x14ac:dyDescent="0.2">
      <c r="A17" s="96"/>
      <c r="B17" s="108"/>
      <c r="C17" s="108"/>
      <c r="D17" s="103"/>
      <c r="E17" s="104"/>
      <c r="F17" s="122"/>
      <c r="G17" s="121"/>
      <c r="M17" s="293"/>
    </row>
    <row r="18" spans="1:13" ht="14" thickBot="1" x14ac:dyDescent="0.2">
      <c r="A18" s="96"/>
      <c r="B18" s="411" t="s">
        <v>100</v>
      </c>
      <c r="C18" s="410"/>
      <c r="D18" s="103"/>
      <c r="E18" s="292">
        <f>SUM(E10:E17)</f>
        <v>0</v>
      </c>
      <c r="F18" s="122"/>
      <c r="G18" s="120"/>
      <c r="M18" s="293"/>
    </row>
    <row r="19" spans="1:13" x14ac:dyDescent="0.15">
      <c r="A19" s="96"/>
      <c r="B19" s="107"/>
      <c r="C19" s="107"/>
      <c r="D19" s="103"/>
      <c r="E19" s="104"/>
      <c r="F19" s="122"/>
      <c r="G19" s="120"/>
    </row>
    <row r="20" spans="1:13" ht="14" thickBot="1" x14ac:dyDescent="0.2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">
      <c r="A21" s="96"/>
      <c r="B21" s="114" t="s">
        <v>15</v>
      </c>
      <c r="C21" s="140"/>
      <c r="D21" s="396" t="s">
        <v>5</v>
      </c>
      <c r="E21" s="397"/>
      <c r="F21" s="398"/>
      <c r="G21" s="96"/>
    </row>
    <row r="22" spans="1:13" ht="12.75" customHeight="1" x14ac:dyDescent="0.15">
      <c r="A22" s="96"/>
      <c r="B22" s="108"/>
      <c r="C22" s="108"/>
      <c r="D22" s="103"/>
      <c r="E22" s="104"/>
      <c r="F22" s="122"/>
      <c r="G22" s="121"/>
    </row>
    <row r="23" spans="1:13" s="3" customFormat="1" x14ac:dyDescent="0.15">
      <c r="A23" s="109"/>
      <c r="B23" s="108"/>
      <c r="C23" s="108"/>
      <c r="D23" s="399" t="s">
        <v>13</v>
      </c>
      <c r="E23" s="401" t="s">
        <v>14</v>
      </c>
      <c r="F23" s="124"/>
      <c r="G23" s="120"/>
    </row>
    <row r="24" spans="1:13" s="3" customFormat="1" x14ac:dyDescent="0.15">
      <c r="A24" s="109"/>
      <c r="B24" s="108"/>
      <c r="C24" s="108"/>
      <c r="D24" s="400"/>
      <c r="E24" s="400"/>
      <c r="F24" s="124"/>
      <c r="G24" s="120"/>
    </row>
    <row r="25" spans="1:13" x14ac:dyDescent="0.15">
      <c r="A25" s="96"/>
      <c r="B25" s="108" t="s">
        <v>131</v>
      </c>
      <c r="C25" s="153" t="str">
        <f>Admin!B24</f>
        <v>2023-24</v>
      </c>
      <c r="D25" s="110" t="s">
        <v>3</v>
      </c>
      <c r="E25" s="102">
        <f>E18</f>
        <v>0</v>
      </c>
      <c r="F25" s="122"/>
      <c r="G25" s="120"/>
    </row>
    <row r="26" spans="1:13" x14ac:dyDescent="0.15">
      <c r="A26" s="96"/>
      <c r="B26" s="108" t="s">
        <v>12</v>
      </c>
      <c r="C26" s="108"/>
      <c r="D26" s="111">
        <f>Admin!B21</f>
        <v>45322</v>
      </c>
      <c r="E26" s="291">
        <f>E25/2</f>
        <v>0</v>
      </c>
      <c r="F26" s="122"/>
      <c r="G26" s="120"/>
    </row>
    <row r="27" spans="1:13" x14ac:dyDescent="0.15">
      <c r="A27" s="96"/>
      <c r="B27" s="108" t="s">
        <v>12</v>
      </c>
      <c r="C27" s="108"/>
      <c r="D27" s="111">
        <f>Admin!B22</f>
        <v>45504</v>
      </c>
      <c r="E27" s="291">
        <f>E25/2</f>
        <v>0</v>
      </c>
      <c r="F27" s="122"/>
      <c r="G27" s="120"/>
    </row>
    <row r="28" spans="1:13" x14ac:dyDescent="0.15">
      <c r="A28" s="96"/>
      <c r="B28" s="96"/>
      <c r="C28" s="96"/>
      <c r="D28" s="103"/>
      <c r="E28" s="99"/>
      <c r="F28" s="122"/>
      <c r="G28" s="120"/>
    </row>
    <row r="29" spans="1:13" x14ac:dyDescent="0.15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15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15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15">
      <c r="A32" s="96"/>
      <c r="B32" s="154" t="s">
        <v>136</v>
      </c>
      <c r="C32" s="117"/>
      <c r="D32" s="113"/>
      <c r="E32" s="112"/>
      <c r="F32" s="122"/>
      <c r="G32" s="106"/>
    </row>
    <row r="33" spans="1:7" x14ac:dyDescent="0.15">
      <c r="A33" s="96"/>
      <c r="B33" s="118" t="s">
        <v>78</v>
      </c>
      <c r="C33" s="118"/>
      <c r="D33" s="113"/>
      <c r="E33" s="98"/>
      <c r="F33" s="122"/>
      <c r="G33" s="106"/>
    </row>
    <row r="34" spans="1:7" x14ac:dyDescent="0.15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15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15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zoomScaleNormal="100" workbookViewId="0">
      <selection activeCell="C4" sqref="C4"/>
    </sheetView>
  </sheetViews>
  <sheetFormatPr baseColWidth="10" defaultColWidth="9.1640625" defaultRowHeight="12" x14ac:dyDescent="0.15"/>
  <cols>
    <col min="1" max="1" width="1.6640625" style="11" customWidth="1"/>
    <col min="2" max="2" width="9.1640625" style="30"/>
    <col min="3" max="9" width="10.6640625" style="22" customWidth="1"/>
    <col min="10" max="10" width="1.6640625" style="11" customWidth="1"/>
    <col min="11" max="11" width="36.83203125" style="11" customWidth="1"/>
    <col min="12" max="12" width="1.6640625" style="11" customWidth="1"/>
    <col min="13" max="16384" width="9.1640625" style="11"/>
  </cols>
  <sheetData>
    <row r="1" spans="1:12" ht="7.5" customHeight="1" x14ac:dyDescent="0.15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52" x14ac:dyDescent="0.15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15">
      <c r="A3" s="12"/>
      <c r="B3" s="412" t="s">
        <v>28</v>
      </c>
      <c r="C3" s="413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15">
      <c r="A4" s="20"/>
      <c r="B4" s="21">
        <f>Admin!B5</f>
        <v>44681</v>
      </c>
      <c r="C4" s="22">
        <f>[6]Apr22!$M$1</f>
        <v>0</v>
      </c>
      <c r="D4" s="22">
        <f>[6]Apr22!$N$1</f>
        <v>0</v>
      </c>
      <c r="E4" s="22">
        <f>[6]Apr22!$O$1</f>
        <v>0</v>
      </c>
      <c r="F4" s="22">
        <f>[6]Apr22!$P$1+[6]Apr22!$Q$1</f>
        <v>0</v>
      </c>
      <c r="G4" s="22">
        <f>C4-SUM(D4:F4)</f>
        <v>0</v>
      </c>
      <c r="H4" s="22">
        <f>[6]Apr22!$T$1</f>
        <v>0</v>
      </c>
      <c r="I4" s="22">
        <f>[6]Apr22!$G$1</f>
        <v>0</v>
      </c>
      <c r="J4" s="23"/>
      <c r="K4" s="414" t="s">
        <v>29</v>
      </c>
      <c r="L4" s="24"/>
    </row>
    <row r="5" spans="1:12" ht="12" customHeight="1" x14ac:dyDescent="0.15">
      <c r="A5" s="20"/>
      <c r="B5" s="21">
        <f>Admin!B6</f>
        <v>44712</v>
      </c>
      <c r="C5" s="22">
        <f>[6]May22!$M$1</f>
        <v>0</v>
      </c>
      <c r="D5" s="22">
        <f>[6]May22!$N$1</f>
        <v>0</v>
      </c>
      <c r="E5" s="22">
        <f>[6]May22!$O$1</f>
        <v>0</v>
      </c>
      <c r="F5" s="22">
        <f>[6]May22!$P$1+[6]May22!$Q$1</f>
        <v>0</v>
      </c>
      <c r="G5" s="22">
        <f t="shared" ref="G5:G15" si="0">C5-SUM(D5:F5)</f>
        <v>0</v>
      </c>
      <c r="H5" s="22">
        <f>[6]May22!$T$1</f>
        <v>0</v>
      </c>
      <c r="I5" s="22">
        <f>[6]May22!$G$1</f>
        <v>0</v>
      </c>
      <c r="J5" s="23"/>
      <c r="K5" s="415"/>
      <c r="L5" s="24"/>
    </row>
    <row r="6" spans="1:12" x14ac:dyDescent="0.15">
      <c r="A6" s="20"/>
      <c r="B6" s="21">
        <f>Admin!B7</f>
        <v>44742</v>
      </c>
      <c r="C6" s="22">
        <f>[6]Jun22!$M$1</f>
        <v>0</v>
      </c>
      <c r="D6" s="22">
        <f>[6]Jun22!$N$1</f>
        <v>0</v>
      </c>
      <c r="E6" s="22">
        <f>[6]Jun22!$O$1</f>
        <v>0</v>
      </c>
      <c r="F6" s="22">
        <f>[6]Jun22!$P$1+[6]Jun22!$Q$1</f>
        <v>0</v>
      </c>
      <c r="G6" s="22">
        <f t="shared" si="0"/>
        <v>0</v>
      </c>
      <c r="H6" s="22">
        <f>[6]Jun22!$T$1</f>
        <v>0</v>
      </c>
      <c r="I6" s="22">
        <f>[6]Jun22!$G$1</f>
        <v>0</v>
      </c>
      <c r="J6" s="23"/>
      <c r="K6" s="415"/>
      <c r="L6" s="24"/>
    </row>
    <row r="7" spans="1:12" x14ac:dyDescent="0.15">
      <c r="A7" s="20"/>
      <c r="B7" s="21">
        <f>Admin!B8</f>
        <v>44773</v>
      </c>
      <c r="C7" s="22">
        <f>[6]Jul22!$M$1</f>
        <v>0</v>
      </c>
      <c r="D7" s="22">
        <f>[6]Jul22!$N$1</f>
        <v>0</v>
      </c>
      <c r="E7" s="22">
        <f>[6]Jul22!$O$1</f>
        <v>0</v>
      </c>
      <c r="F7" s="22">
        <f>[6]Jul22!$P$1+[6]Jul22!$Q$1</f>
        <v>0</v>
      </c>
      <c r="G7" s="22">
        <f t="shared" si="0"/>
        <v>0</v>
      </c>
      <c r="H7" s="22">
        <f>[6]Jul22!$T$1</f>
        <v>0</v>
      </c>
      <c r="I7" s="22">
        <f>[6]Jul22!$G$1</f>
        <v>0</v>
      </c>
      <c r="J7" s="23"/>
      <c r="K7" s="415"/>
      <c r="L7" s="24"/>
    </row>
    <row r="8" spans="1:12" ht="12" customHeight="1" x14ac:dyDescent="0.15">
      <c r="A8" s="20"/>
      <c r="B8" s="21">
        <f>Admin!B9</f>
        <v>44804</v>
      </c>
      <c r="C8" s="22">
        <f>[6]Aug22!$M$1</f>
        <v>0</v>
      </c>
      <c r="D8" s="22">
        <f>[6]Aug22!$N$1</f>
        <v>0</v>
      </c>
      <c r="E8" s="22">
        <f>[6]Aug22!$O$1</f>
        <v>0</v>
      </c>
      <c r="F8" s="22">
        <f>[6]Aug22!$P$1+[6]Aug22!$Q$1</f>
        <v>0</v>
      </c>
      <c r="G8" s="22">
        <f t="shared" si="0"/>
        <v>0</v>
      </c>
      <c r="H8" s="22">
        <f>[6]Aug22!$T$1</f>
        <v>0</v>
      </c>
      <c r="I8" s="22">
        <f>[6]Aug22!$G$1</f>
        <v>0</v>
      </c>
      <c r="J8" s="23"/>
      <c r="K8" s="414" t="s">
        <v>30</v>
      </c>
      <c r="L8" s="24"/>
    </row>
    <row r="9" spans="1:12" ht="12" customHeight="1" x14ac:dyDescent="0.15">
      <c r="A9" s="20"/>
      <c r="B9" s="21">
        <f>Admin!B10</f>
        <v>44834</v>
      </c>
      <c r="C9" s="22">
        <f>[6]Sep22!$M$1</f>
        <v>0</v>
      </c>
      <c r="D9" s="22">
        <f>[6]Sep22!$N$1</f>
        <v>0</v>
      </c>
      <c r="E9" s="22">
        <f>[6]Sep22!$O$1</f>
        <v>0</v>
      </c>
      <c r="F9" s="22">
        <f>[6]Sep22!$P$1+[6]Sep22!$Q$1</f>
        <v>0</v>
      </c>
      <c r="G9" s="22">
        <f t="shared" si="0"/>
        <v>0</v>
      </c>
      <c r="H9" s="22">
        <f>[6]Sep22!$T$1</f>
        <v>0</v>
      </c>
      <c r="I9" s="22">
        <f>[6]Sep22!$G$1</f>
        <v>0</v>
      </c>
      <c r="J9" s="23"/>
      <c r="K9" s="415"/>
      <c r="L9" s="24"/>
    </row>
    <row r="10" spans="1:12" ht="12" customHeight="1" x14ac:dyDescent="0.15">
      <c r="A10" s="20"/>
      <c r="B10" s="21">
        <f>Admin!B11</f>
        <v>44865</v>
      </c>
      <c r="C10" s="22">
        <f>[6]Oct22!$M$1</f>
        <v>0</v>
      </c>
      <c r="D10" s="22">
        <f>[6]Oct22!$N$1</f>
        <v>0</v>
      </c>
      <c r="E10" s="22">
        <f>[6]Oct22!$O$1</f>
        <v>0</v>
      </c>
      <c r="F10" s="22">
        <f>[6]Oct22!$P$1+[6]Oct22!$Q$1</f>
        <v>0</v>
      </c>
      <c r="G10" s="22">
        <f t="shared" si="0"/>
        <v>0</v>
      </c>
      <c r="H10" s="22">
        <f>[6]Oct22!$T$1</f>
        <v>0</v>
      </c>
      <c r="I10" s="22">
        <f>[6]Oct22!$G$1</f>
        <v>0</v>
      </c>
      <c r="J10" s="23"/>
      <c r="K10" s="415"/>
      <c r="L10" s="24"/>
    </row>
    <row r="11" spans="1:12" ht="12" customHeight="1" x14ac:dyDescent="0.15">
      <c r="A11" s="20"/>
      <c r="B11" s="21">
        <f>Admin!B12</f>
        <v>44895</v>
      </c>
      <c r="C11" s="22">
        <f>[6]Nov22!$M$1</f>
        <v>0</v>
      </c>
      <c r="D11" s="22">
        <f>[6]Nov22!$N$1</f>
        <v>0</v>
      </c>
      <c r="E11" s="22">
        <f>[6]Nov22!$O$1</f>
        <v>0</v>
      </c>
      <c r="F11" s="22">
        <f>[6]Nov22!$P$1+[6]Nov22!$Q$1</f>
        <v>0</v>
      </c>
      <c r="G11" s="22">
        <f t="shared" si="0"/>
        <v>0</v>
      </c>
      <c r="H11" s="22">
        <f>[6]Nov22!$T$1</f>
        <v>0</v>
      </c>
      <c r="I11" s="22">
        <f>[6]Nov22!$G$1</f>
        <v>0</v>
      </c>
      <c r="J11" s="23"/>
      <c r="K11" s="415"/>
      <c r="L11" s="24"/>
    </row>
    <row r="12" spans="1:12" ht="12" customHeight="1" x14ac:dyDescent="0.15">
      <c r="A12" s="20"/>
      <c r="B12" s="21">
        <f>Admin!B13</f>
        <v>44926</v>
      </c>
      <c r="C12" s="22">
        <f>[6]Dec22!$M$1</f>
        <v>0</v>
      </c>
      <c r="D12" s="22">
        <f>[6]Dec22!$N$1</f>
        <v>0</v>
      </c>
      <c r="E12" s="22">
        <f>[6]Dec22!$O$1</f>
        <v>0</v>
      </c>
      <c r="F12" s="22">
        <f>[6]Dec22!$P$1+[6]Dec22!$Q$1</f>
        <v>0</v>
      </c>
      <c r="G12" s="22">
        <f t="shared" si="0"/>
        <v>0</v>
      </c>
      <c r="H12" s="22">
        <f>[6]Dec22!$T$1</f>
        <v>0</v>
      </c>
      <c r="I12" s="22">
        <f>[6]Dec22!$G$1</f>
        <v>0</v>
      </c>
      <c r="J12" s="23"/>
      <c r="K12" s="414"/>
      <c r="L12" s="24"/>
    </row>
    <row r="13" spans="1:12" x14ac:dyDescent="0.15">
      <c r="A13" s="20"/>
      <c r="B13" s="21">
        <f>Admin!B14</f>
        <v>44957</v>
      </c>
      <c r="C13" s="22">
        <f>[6]Jan23!$M$1</f>
        <v>0</v>
      </c>
      <c r="D13" s="22">
        <f>[6]Jan23!$N$1</f>
        <v>0</v>
      </c>
      <c r="E13" s="22">
        <f>[6]Jan23!$O$1</f>
        <v>0</v>
      </c>
      <c r="F13" s="22">
        <f>[6]Jan23!$P$1+[6]Jan23!$Q$1</f>
        <v>0</v>
      </c>
      <c r="G13" s="22">
        <f t="shared" si="0"/>
        <v>0</v>
      </c>
      <c r="H13" s="22">
        <f>[6]Jan23!$T$1</f>
        <v>0</v>
      </c>
      <c r="I13" s="22">
        <f>[6]Jan23!$G$1</f>
        <v>0</v>
      </c>
      <c r="J13" s="23"/>
      <c r="K13" s="415"/>
      <c r="L13" s="24"/>
    </row>
    <row r="14" spans="1:12" x14ac:dyDescent="0.15">
      <c r="A14" s="20"/>
      <c r="B14" s="21">
        <f>Admin!B15</f>
        <v>44985</v>
      </c>
      <c r="C14" s="22">
        <f>[6]Feb23!$M$1</f>
        <v>0</v>
      </c>
      <c r="D14" s="22">
        <f>[6]Feb23!$N$1</f>
        <v>0</v>
      </c>
      <c r="E14" s="22">
        <f>[6]Feb23!$O$1</f>
        <v>0</v>
      </c>
      <c r="F14" s="22">
        <f>[6]Feb23!$P$1+[6]Feb23!$Q$1</f>
        <v>0</v>
      </c>
      <c r="G14" s="22">
        <f t="shared" si="0"/>
        <v>0</v>
      </c>
      <c r="H14" s="22">
        <f>[6]Feb23!$T$1</f>
        <v>0</v>
      </c>
      <c r="I14" s="22">
        <f>[6]Feb23!$G$1</f>
        <v>0</v>
      </c>
      <c r="J14" s="23"/>
      <c r="K14" s="415"/>
      <c r="L14" s="24"/>
    </row>
    <row r="15" spans="1:12" x14ac:dyDescent="0.15">
      <c r="A15" s="20"/>
      <c r="B15" s="21">
        <f>Admin!B16</f>
        <v>45016</v>
      </c>
      <c r="C15" s="22">
        <f>[6]Mar23!$M$1</f>
        <v>0</v>
      </c>
      <c r="D15" s="22">
        <f>[6]Mar23!$N$1</f>
        <v>0</v>
      </c>
      <c r="E15" s="22">
        <f>[6]Mar23!$O$1</f>
        <v>0</v>
      </c>
      <c r="F15" s="22">
        <f>[6]Mar23!$P$1+[6]Mar23!$Q$1</f>
        <v>0</v>
      </c>
      <c r="G15" s="22">
        <f t="shared" si="0"/>
        <v>0</v>
      </c>
      <c r="H15" s="22">
        <f>[6]Mar23!$T$1</f>
        <v>0</v>
      </c>
      <c r="I15" s="22">
        <f>[6]Mar23!$G$1</f>
        <v>0</v>
      </c>
      <c r="J15" s="23"/>
      <c r="K15" s="23"/>
      <c r="L15" s="24"/>
    </row>
    <row r="16" spans="1:12" ht="13" thickBot="1" x14ac:dyDescent="0.2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D1" sqref="D1"/>
    </sheetView>
  </sheetViews>
  <sheetFormatPr baseColWidth="10" defaultColWidth="9.1640625" defaultRowHeight="12" x14ac:dyDescent="0.15"/>
  <cols>
    <col min="1" max="1" width="1.5" style="11" customWidth="1"/>
    <col min="2" max="2" width="10.6640625" style="74" customWidth="1"/>
    <col min="3" max="3" width="0.83203125" style="74" customWidth="1"/>
    <col min="4" max="4" width="8.6640625" style="75" customWidth="1"/>
    <col min="5" max="5" width="0.83203125" style="75" customWidth="1"/>
    <col min="6" max="6" width="8.6640625" style="75" customWidth="1"/>
    <col min="7" max="7" width="0.83203125" style="75" customWidth="1"/>
    <col min="8" max="8" width="7.6640625" style="76" customWidth="1"/>
    <col min="9" max="9" width="0.83203125" style="75" customWidth="1"/>
    <col min="10" max="10" width="8" style="75" customWidth="1"/>
    <col min="11" max="11" width="0.83203125" style="75" customWidth="1"/>
    <col min="12" max="12" width="7.6640625" style="75" customWidth="1"/>
    <col min="13" max="13" width="0.83203125" style="75" customWidth="1"/>
    <col min="14" max="14" width="7.6640625" style="77" customWidth="1"/>
    <col min="15" max="15" width="0.83203125" style="75" customWidth="1"/>
    <col min="16" max="16" width="8" style="75" customWidth="1"/>
    <col min="17" max="17" width="0.83203125" style="75" customWidth="1"/>
    <col min="18" max="18" width="7.6640625" style="78" customWidth="1"/>
    <col min="19" max="19" width="0.83203125" style="75" customWidth="1"/>
    <col min="20" max="20" width="7.6640625" style="77" customWidth="1"/>
    <col min="21" max="21" width="0.83203125" style="75" customWidth="1"/>
    <col min="22" max="22" width="8" style="75" customWidth="1"/>
    <col min="23" max="23" width="0.83203125" style="75" customWidth="1"/>
    <col min="24" max="24" width="7.6640625" style="78" customWidth="1"/>
    <col min="25" max="25" width="0.83203125" style="75" customWidth="1"/>
    <col min="26" max="26" width="9" style="75" customWidth="1"/>
    <col min="27" max="27" width="0.83203125" style="75" customWidth="1"/>
    <col min="28" max="28" width="10.6640625" style="75" customWidth="1"/>
    <col min="29" max="29" width="1.6640625" style="11" customWidth="1"/>
    <col min="30" max="33" width="9.6640625" style="79" customWidth="1"/>
    <col min="34" max="34" width="2.6640625" style="11" customWidth="1"/>
    <col min="35" max="16384" width="9.1640625" style="11"/>
  </cols>
  <sheetData>
    <row r="1" spans="1:34" ht="13" x14ac:dyDescent="0.15">
      <c r="A1" s="6"/>
      <c r="B1" s="31"/>
      <c r="C1" s="31"/>
      <c r="D1" s="32"/>
      <c r="E1" s="32"/>
      <c r="F1" s="32"/>
      <c r="G1" s="32"/>
      <c r="H1" s="423" t="s">
        <v>31</v>
      </c>
      <c r="I1" s="424"/>
      <c r="J1" s="424"/>
      <c r="K1" s="424"/>
      <c r="L1" s="425"/>
      <c r="M1" s="32"/>
      <c r="N1" s="423" t="s">
        <v>31</v>
      </c>
      <c r="O1" s="424"/>
      <c r="P1" s="424"/>
      <c r="Q1" s="424"/>
      <c r="R1" s="425"/>
      <c r="S1" s="32"/>
      <c r="T1" s="423" t="s">
        <v>31</v>
      </c>
      <c r="U1" s="424"/>
      <c r="V1" s="424"/>
      <c r="W1" s="424"/>
      <c r="X1" s="425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9" x14ac:dyDescent="0.15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26" t="s">
        <v>44</v>
      </c>
      <c r="AE2" s="427"/>
      <c r="AF2" s="427"/>
      <c r="AG2" s="428"/>
      <c r="AH2" s="44"/>
    </row>
    <row r="3" spans="1:34" x14ac:dyDescent="0.15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16" t="s">
        <v>404</v>
      </c>
      <c r="AE3" s="419"/>
      <c r="AF3" s="419"/>
      <c r="AG3" s="419"/>
      <c r="AH3" s="24"/>
    </row>
    <row r="4" spans="1:34" ht="13" x14ac:dyDescent="0.15">
      <c r="A4" s="20"/>
      <c r="B4" s="420" t="s">
        <v>45</v>
      </c>
      <c r="C4" s="421"/>
      <c r="D4" s="421"/>
      <c r="E4" s="422"/>
      <c r="F4" s="422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18"/>
      <c r="AE4" s="419"/>
      <c r="AF4" s="419"/>
      <c r="AG4" s="419"/>
      <c r="AH4" s="24"/>
    </row>
    <row r="5" spans="1:34" x14ac:dyDescent="0.15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18"/>
      <c r="AE5" s="419"/>
      <c r="AF5" s="419"/>
      <c r="AG5" s="419"/>
      <c r="AH5" s="24"/>
    </row>
    <row r="6" spans="1:34" x14ac:dyDescent="0.15">
      <c r="A6" s="20"/>
      <c r="B6" s="58">
        <f>Admin!B4</f>
        <v>44657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18"/>
      <c r="AE6" s="419"/>
      <c r="AF6" s="419"/>
      <c r="AG6" s="419"/>
      <c r="AH6" s="24"/>
    </row>
    <row r="7" spans="1:34" x14ac:dyDescent="0.15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18"/>
      <c r="AE7" s="419"/>
      <c r="AF7" s="419"/>
      <c r="AG7" s="419"/>
      <c r="AH7" s="24"/>
    </row>
    <row r="8" spans="1:34" x14ac:dyDescent="0.15">
      <c r="A8" s="20"/>
      <c r="B8" s="58">
        <f>Admin!B5</f>
        <v>44681</v>
      </c>
      <c r="C8" s="59"/>
      <c r="D8" s="60">
        <f>D6+F8-L8-R8-X8+Z6</f>
        <v>0</v>
      </c>
      <c r="E8" s="54"/>
      <c r="F8" s="54">
        <f>IF((H$4+N$4+T$4)=0,0,[3]Apr22!$P$1)</f>
        <v>0</v>
      </c>
      <c r="G8" s="54"/>
      <c r="H8" s="61">
        <f>H4</f>
        <v>0</v>
      </c>
      <c r="I8" s="54"/>
      <c r="J8" s="54">
        <f>[2]Apr22!$P$1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[2]Apr22!$Q$1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[2]Apr22!$R$1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18"/>
      <c r="AE8" s="419"/>
      <c r="AF8" s="419"/>
      <c r="AG8" s="419"/>
      <c r="AH8" s="24"/>
    </row>
    <row r="9" spans="1:34" x14ac:dyDescent="0.15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18"/>
      <c r="AE9" s="419"/>
      <c r="AF9" s="419"/>
      <c r="AG9" s="419"/>
      <c r="AH9" s="24"/>
    </row>
    <row r="10" spans="1:34" ht="13" x14ac:dyDescent="0.15">
      <c r="A10" s="20"/>
      <c r="B10" s="58">
        <f>Admin!B6</f>
        <v>44712</v>
      </c>
      <c r="C10" s="59"/>
      <c r="D10" s="60">
        <f>D8+F10-L10-R10-X10+Z8</f>
        <v>0</v>
      </c>
      <c r="E10" s="54"/>
      <c r="F10" s="54">
        <f>IF((H$4+N$4+T$4)=0,0,[3]May22!$P$1)</f>
        <v>0</v>
      </c>
      <c r="G10" s="54"/>
      <c r="H10" s="61">
        <f>H8</f>
        <v>0</v>
      </c>
      <c r="I10" s="54"/>
      <c r="J10" s="54">
        <f>[2]May22!$P$1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[2]May22!$Q$1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[2]May22!$R$1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15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16" t="s">
        <v>46</v>
      </c>
      <c r="AE11" s="419"/>
      <c r="AF11" s="419"/>
      <c r="AG11" s="419"/>
      <c r="AH11" s="24"/>
    </row>
    <row r="12" spans="1:34" x14ac:dyDescent="0.15">
      <c r="A12" s="20"/>
      <c r="B12" s="58">
        <f>Admin!B7</f>
        <v>44742</v>
      </c>
      <c r="C12" s="59"/>
      <c r="D12" s="60">
        <f>D10+F12-L12-R12-X12+Z10</f>
        <v>0</v>
      </c>
      <c r="E12" s="54"/>
      <c r="F12" s="54">
        <f>IF((H$4+N$4+T$4)=0,0,[3]Jun22!$P$1)</f>
        <v>0</v>
      </c>
      <c r="G12" s="54"/>
      <c r="H12" s="61">
        <f>H10</f>
        <v>0</v>
      </c>
      <c r="I12" s="54"/>
      <c r="J12" s="54">
        <f>[2]Jun22!$P$1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[2]Jun22!$Q$1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[2]Jun22!$R$1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18"/>
      <c r="AE12" s="419"/>
      <c r="AF12" s="419"/>
      <c r="AG12" s="419"/>
      <c r="AH12" s="24"/>
    </row>
    <row r="13" spans="1:34" x14ac:dyDescent="0.15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18"/>
      <c r="AE13" s="419"/>
      <c r="AF13" s="419"/>
      <c r="AG13" s="419"/>
      <c r="AH13" s="24"/>
    </row>
    <row r="14" spans="1:34" ht="12" customHeight="1" x14ac:dyDescent="0.15">
      <c r="A14" s="20"/>
      <c r="B14" s="58">
        <f>Admin!B8</f>
        <v>44773</v>
      </c>
      <c r="C14" s="59"/>
      <c r="D14" s="60">
        <f>D12+F14-L14-R14-X14+Z12</f>
        <v>0</v>
      </c>
      <c r="E14" s="54"/>
      <c r="F14" s="54">
        <f>IF((H$4+N$4+T$4)=0,0,[3]Jul22!$P$1)</f>
        <v>0</v>
      </c>
      <c r="G14" s="54"/>
      <c r="H14" s="61">
        <f>H12</f>
        <v>0</v>
      </c>
      <c r="I14" s="54"/>
      <c r="J14" s="54">
        <f>[2]Jul22!$P$1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[2]Jul22!$Q$1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[2]Jul22!$R$1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15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16" t="s">
        <v>405</v>
      </c>
      <c r="AE15" s="417"/>
      <c r="AF15" s="417"/>
      <c r="AG15" s="417"/>
      <c r="AH15" s="24"/>
    </row>
    <row r="16" spans="1:34" ht="12" customHeight="1" x14ac:dyDescent="0.15">
      <c r="A16" s="20"/>
      <c r="B16" s="58">
        <f>Admin!B9</f>
        <v>44804</v>
      </c>
      <c r="C16" s="59"/>
      <c r="D16" s="60">
        <f>D14+F16-L16-R16-X16+Z14</f>
        <v>0</v>
      </c>
      <c r="E16" s="54"/>
      <c r="F16" s="54">
        <f>IF((H$4+N$4+T$4)=0,0,[3]Aug22!$P$1)</f>
        <v>0</v>
      </c>
      <c r="G16" s="54"/>
      <c r="H16" s="61">
        <f>H14</f>
        <v>0</v>
      </c>
      <c r="I16" s="54"/>
      <c r="J16" s="54">
        <f>[2]Aug22!$P$1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[2]Aug22!$Q$1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[2]Aug22!$R$1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16"/>
      <c r="AE16" s="417"/>
      <c r="AF16" s="417"/>
      <c r="AG16" s="417"/>
      <c r="AH16" s="24"/>
    </row>
    <row r="17" spans="1:34" ht="12" customHeight="1" x14ac:dyDescent="0.15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16"/>
      <c r="AE17" s="417"/>
      <c r="AF17" s="417"/>
      <c r="AG17" s="417"/>
      <c r="AH17" s="24"/>
    </row>
    <row r="18" spans="1:34" ht="12" customHeight="1" x14ac:dyDescent="0.15">
      <c r="A18" s="20"/>
      <c r="B18" s="58">
        <f>Admin!B10</f>
        <v>44834</v>
      </c>
      <c r="C18" s="59"/>
      <c r="D18" s="60">
        <f>D16+F18-L18-R18-X18+Z16</f>
        <v>0</v>
      </c>
      <c r="E18" s="54"/>
      <c r="F18" s="54">
        <f>IF((H$4+N$4+T$4)=0,0,[3]Sep22!$P$1)</f>
        <v>0</v>
      </c>
      <c r="G18" s="54"/>
      <c r="H18" s="61">
        <f>H16</f>
        <v>0</v>
      </c>
      <c r="I18" s="54"/>
      <c r="J18" s="54">
        <f>[2]Sep22!$P$1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[2]Sep22!$Q$1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[2]Sep22!$R$1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15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16" t="s">
        <v>47</v>
      </c>
      <c r="AE19" s="417"/>
      <c r="AF19" s="417"/>
      <c r="AG19" s="417"/>
      <c r="AH19" s="24"/>
    </row>
    <row r="20" spans="1:34" ht="12" customHeight="1" x14ac:dyDescent="0.15">
      <c r="A20" s="20"/>
      <c r="B20" s="58">
        <f>Admin!B11</f>
        <v>44865</v>
      </c>
      <c r="C20" s="59"/>
      <c r="D20" s="60">
        <f>D18+F20-L20-R20-X20+Z18</f>
        <v>0</v>
      </c>
      <c r="E20" s="54"/>
      <c r="F20" s="54">
        <f>IF((H$4+N$4+T$4)=0,0,[3]Oct22!$P$1)</f>
        <v>0</v>
      </c>
      <c r="G20" s="54"/>
      <c r="H20" s="61">
        <f>H18</f>
        <v>0</v>
      </c>
      <c r="I20" s="54"/>
      <c r="J20" s="54">
        <f>[2]Oct22!$P$1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[2]Oct22!$Q$1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[2]Oct22!$R$1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16"/>
      <c r="AE20" s="417"/>
      <c r="AF20" s="417"/>
      <c r="AG20" s="417"/>
      <c r="AH20" s="24"/>
    </row>
    <row r="21" spans="1:34" ht="12" customHeight="1" x14ac:dyDescent="0.15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16"/>
      <c r="AE21" s="417"/>
      <c r="AF21" s="417"/>
      <c r="AG21" s="417"/>
      <c r="AH21" s="24"/>
    </row>
    <row r="22" spans="1:34" ht="12" customHeight="1" x14ac:dyDescent="0.15">
      <c r="A22" s="20"/>
      <c r="B22" s="58">
        <f>Admin!B12</f>
        <v>44895</v>
      </c>
      <c r="C22" s="59"/>
      <c r="D22" s="60">
        <f>D20+F22-L22-R22-X22+Z20</f>
        <v>0</v>
      </c>
      <c r="E22" s="54"/>
      <c r="F22" s="54">
        <f>IF((H$4+N$4+T$4)=0,0,[3]Nov22!$P$1)</f>
        <v>0</v>
      </c>
      <c r="G22" s="54"/>
      <c r="H22" s="61">
        <f>H20</f>
        <v>0</v>
      </c>
      <c r="I22" s="54"/>
      <c r="J22" s="54">
        <f>[2]Nov22!$P$1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[2]Nov22!$Q$1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[2]Nov22!$R$1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15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16" t="s">
        <v>48</v>
      </c>
      <c r="AE23" s="417"/>
      <c r="AF23" s="417"/>
      <c r="AG23" s="417"/>
      <c r="AH23" s="24"/>
    </row>
    <row r="24" spans="1:34" x14ac:dyDescent="0.15">
      <c r="A24" s="20"/>
      <c r="B24" s="58">
        <f>Admin!B13</f>
        <v>44926</v>
      </c>
      <c r="C24" s="59"/>
      <c r="D24" s="60">
        <f>D22+F24-L24-R24-X24+Z22</f>
        <v>0</v>
      </c>
      <c r="E24" s="54"/>
      <c r="F24" s="54">
        <f>IF((H$4+N$4+T$4)=0,0,[3]Dec22!$P$1)</f>
        <v>0</v>
      </c>
      <c r="G24" s="54"/>
      <c r="H24" s="61">
        <f>H22</f>
        <v>0</v>
      </c>
      <c r="I24" s="54"/>
      <c r="J24" s="54">
        <f>[2]Dec22!$P$1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[2]Dec22!$Q$1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[2]Dec22!$R$1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16"/>
      <c r="AE24" s="417"/>
      <c r="AF24" s="417"/>
      <c r="AG24" s="417"/>
      <c r="AH24" s="24"/>
    </row>
    <row r="25" spans="1:34" x14ac:dyDescent="0.15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16"/>
      <c r="AE25" s="417"/>
      <c r="AF25" s="417"/>
      <c r="AG25" s="417"/>
      <c r="AH25" s="24"/>
    </row>
    <row r="26" spans="1:34" x14ac:dyDescent="0.15">
      <c r="A26" s="20"/>
      <c r="B26" s="58">
        <f>Admin!B14</f>
        <v>44957</v>
      </c>
      <c r="C26" s="59"/>
      <c r="D26" s="60">
        <f>D24+F26-L26-R26-X26+Z24</f>
        <v>0</v>
      </c>
      <c r="E26" s="54"/>
      <c r="F26" s="54">
        <f>IF((H$4+N$4+T$4)=0,0,[3]Jan23!$P$1)</f>
        <v>0</v>
      </c>
      <c r="G26" s="54"/>
      <c r="H26" s="61">
        <f>H24</f>
        <v>0</v>
      </c>
      <c r="I26" s="54"/>
      <c r="J26" s="54">
        <f>[2]Jan23!$P$1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[2]Jan23!$Q$1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[2]Jan23!$R$1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18"/>
      <c r="AE26" s="419"/>
      <c r="AF26" s="419"/>
      <c r="AG26" s="419"/>
      <c r="AH26" s="24"/>
    </row>
    <row r="27" spans="1:34" x14ac:dyDescent="0.15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15">
      <c r="A28" s="20"/>
      <c r="B28" s="58">
        <f>Admin!B15</f>
        <v>44985</v>
      </c>
      <c r="C28" s="59"/>
      <c r="D28" s="60">
        <f>D26+F28-L28-R28-X28+Z26</f>
        <v>0</v>
      </c>
      <c r="E28" s="54"/>
      <c r="F28" s="54">
        <f>IF((H$4+N$4+T$4)=0,0,[3]OpeningCreditors!$P$1)</f>
        <v>0</v>
      </c>
      <c r="G28" s="54"/>
      <c r="H28" s="61">
        <f>H26</f>
        <v>0</v>
      </c>
      <c r="I28" s="54"/>
      <c r="J28" s="54">
        <f>[2]Feb23!$P$1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[2]Feb23!$Q$1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[2]Feb23!$R$1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16" t="s">
        <v>49</v>
      </c>
      <c r="AE28" s="417"/>
      <c r="AF28" s="417"/>
      <c r="AG28" s="417"/>
      <c r="AH28" s="24"/>
    </row>
    <row r="29" spans="1:34" x14ac:dyDescent="0.15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16"/>
      <c r="AE29" s="417"/>
      <c r="AF29" s="417"/>
      <c r="AG29" s="417"/>
      <c r="AH29" s="24"/>
    </row>
    <row r="30" spans="1:34" x14ac:dyDescent="0.15">
      <c r="A30" s="20"/>
      <c r="B30" s="58">
        <f>Admin!B17</f>
        <v>45021</v>
      </c>
      <c r="C30" s="59"/>
      <c r="D30" s="60">
        <f>D28+F30-L30-R30-X30+Z28</f>
        <v>0</v>
      </c>
      <c r="E30" s="54"/>
      <c r="F30" s="54">
        <f>IF((H$4+N$4+T$4)=0,0,[3]Mar23!$P$1)</f>
        <v>0</v>
      </c>
      <c r="G30" s="54"/>
      <c r="H30" s="61">
        <f>H28</f>
        <v>0</v>
      </c>
      <c r="I30" s="54"/>
      <c r="J30" s="54">
        <f>[2]Mar23!$P$1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[2]Mar23!$Q$1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[2]Mar23!$R$1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18"/>
      <c r="AE30" s="419"/>
      <c r="AF30" s="419"/>
      <c r="AG30" s="419"/>
      <c r="AH30" s="24"/>
    </row>
    <row r="31" spans="1:34" ht="13" thickBot="1" x14ac:dyDescent="0.2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baseColWidth="10" defaultColWidth="9.1640625" defaultRowHeight="12" x14ac:dyDescent="0.15"/>
  <cols>
    <col min="1" max="1" width="1.6640625" style="11" customWidth="1"/>
    <col min="2" max="2" width="19.6640625" style="11" customWidth="1"/>
    <col min="3" max="3" width="9.1640625" style="11"/>
    <col min="4" max="14" width="9" style="11" customWidth="1"/>
    <col min="15" max="15" width="9.83203125" style="11" customWidth="1"/>
    <col min="16" max="16" width="1.6640625" style="11" customWidth="1"/>
    <col min="17" max="16384" width="9.1640625" style="11"/>
  </cols>
  <sheetData>
    <row r="1" spans="1:16" ht="6" customHeight="1" thickBot="1" x14ac:dyDescent="0.2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3" x14ac:dyDescent="0.15">
      <c r="A2" s="23"/>
      <c r="B2" s="435" t="s">
        <v>143</v>
      </c>
      <c r="C2" s="157" t="s">
        <v>140</v>
      </c>
      <c r="D2" s="390">
        <f>Admin!B5</f>
        <v>44681</v>
      </c>
      <c r="E2" s="389">
        <f>Admin!B6</f>
        <v>44712</v>
      </c>
      <c r="F2" s="389">
        <f>Admin!B7</f>
        <v>44742</v>
      </c>
      <c r="G2" s="389">
        <f>Admin!B8</f>
        <v>44773</v>
      </c>
      <c r="H2" s="389">
        <f>Admin!B9</f>
        <v>44804</v>
      </c>
      <c r="I2" s="389">
        <f>Admin!B10</f>
        <v>44834</v>
      </c>
      <c r="J2" s="389">
        <f>Admin!B11</f>
        <v>44865</v>
      </c>
      <c r="K2" s="389">
        <f>Admin!B12</f>
        <v>44895</v>
      </c>
      <c r="L2" s="389">
        <f>Admin!B13</f>
        <v>44926</v>
      </c>
      <c r="M2" s="389">
        <f>Admin!B14</f>
        <v>44957</v>
      </c>
      <c r="N2" s="389">
        <f>Admin!B15</f>
        <v>44985</v>
      </c>
      <c r="O2" s="389">
        <f>Admin!B16</f>
        <v>45016</v>
      </c>
      <c r="P2" s="23"/>
    </row>
    <row r="3" spans="1:16" ht="12" customHeight="1" x14ac:dyDescent="0.15">
      <c r="A3" s="23"/>
      <c r="B3" s="436"/>
      <c r="C3" s="158">
        <f>Admin!B$17</f>
        <v>45021</v>
      </c>
      <c r="D3" s="391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23"/>
    </row>
    <row r="4" spans="1:16" ht="13" thickBot="1" x14ac:dyDescent="0.2">
      <c r="A4" s="23"/>
      <c r="B4" s="434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15">
      <c r="A5" s="119"/>
      <c r="B5" s="127" t="s">
        <v>1</v>
      </c>
      <c r="C5" s="62">
        <f>SUM(D5:O5)</f>
        <v>0</v>
      </c>
      <c r="D5" s="62">
        <f>'Profit &amp; Loss Account'!C9</f>
        <v>0</v>
      </c>
      <c r="E5" s="62">
        <f>'Profit &amp; Loss Account'!D9</f>
        <v>0</v>
      </c>
      <c r="F5" s="62">
        <f>'Profit &amp; Loss Account'!E9</f>
        <v>0</v>
      </c>
      <c r="G5" s="62">
        <f>'Profit &amp; Loss Account'!F9</f>
        <v>0</v>
      </c>
      <c r="H5" s="62">
        <f>'Profit &amp; Loss Account'!G9</f>
        <v>0</v>
      </c>
      <c r="I5" s="62">
        <f>'Profit &amp; Loss Account'!H9</f>
        <v>0</v>
      </c>
      <c r="J5" s="62">
        <f>'Profit &amp; Loss Account'!I9</f>
        <v>0</v>
      </c>
      <c r="K5" s="62">
        <f>'Profit &amp; Loss Account'!J9</f>
        <v>0</v>
      </c>
      <c r="L5" s="62">
        <f>'Profit &amp; Loss Account'!K9</f>
        <v>0</v>
      </c>
      <c r="M5" s="62">
        <f>'Profit &amp; Loss Account'!L9</f>
        <v>0</v>
      </c>
      <c r="N5" s="62">
        <f>'Profit &amp; Loss Account'!M9</f>
        <v>0</v>
      </c>
      <c r="O5" s="62">
        <f>'Profit &amp; Loss Account'!N9</f>
        <v>0</v>
      </c>
      <c r="P5" s="119"/>
    </row>
    <row r="6" spans="1:16" s="84" customFormat="1" ht="6" customHeight="1" x14ac:dyDescent="0.15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15">
      <c r="A7" s="23"/>
      <c r="B7" s="126" t="s">
        <v>84</v>
      </c>
      <c r="C7" s="62">
        <f>SUM(D7:O7)</f>
        <v>0</v>
      </c>
      <c r="D7" s="75">
        <f>'Profit &amp; Loss Account'!C11</f>
        <v>0</v>
      </c>
      <c r="E7" s="75">
        <f>'Profit &amp; Loss Account'!D11</f>
        <v>0</v>
      </c>
      <c r="F7" s="75">
        <f>'Profit &amp; Loss Account'!E11</f>
        <v>0</v>
      </c>
      <c r="G7" s="75">
        <f>'Profit &amp; Loss Account'!F11</f>
        <v>0</v>
      </c>
      <c r="H7" s="75">
        <f>'Profit &amp; Loss Account'!G11</f>
        <v>0</v>
      </c>
      <c r="I7" s="75">
        <f>'Profit &amp; Loss Account'!H11</f>
        <v>0</v>
      </c>
      <c r="J7" s="75">
        <f>'Profit &amp; Loss Account'!I11</f>
        <v>0</v>
      </c>
      <c r="K7" s="75">
        <f>'Profit &amp; Loss Account'!J11</f>
        <v>0</v>
      </c>
      <c r="L7" s="75">
        <f>'Profit &amp; Loss Account'!K11</f>
        <v>0</v>
      </c>
      <c r="M7" s="75">
        <f>'Profit &amp; Loss Account'!L11</f>
        <v>0</v>
      </c>
      <c r="N7" s="75">
        <f>'Profit &amp; Loss Account'!M11</f>
        <v>0</v>
      </c>
      <c r="O7" s="75">
        <f>'Profit &amp; Loss Account'!N11</f>
        <v>0</v>
      </c>
      <c r="P7" s="23"/>
    </row>
    <row r="8" spans="1:16" ht="6" customHeight="1" x14ac:dyDescent="0.15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15">
      <c r="A9" s="119"/>
      <c r="B9" s="174" t="s">
        <v>57</v>
      </c>
      <c r="C9" s="62">
        <f>SUM(D9:O9)</f>
        <v>0</v>
      </c>
      <c r="D9" s="62">
        <f>'Profit &amp; Loss Account'!C17</f>
        <v>0</v>
      </c>
      <c r="E9" s="62">
        <f>'Profit &amp; Loss Account'!D17</f>
        <v>0</v>
      </c>
      <c r="F9" s="62">
        <f>'Profit &amp; Loss Account'!E17</f>
        <v>0</v>
      </c>
      <c r="G9" s="62">
        <f>'Profit &amp; Loss Account'!F17</f>
        <v>0</v>
      </c>
      <c r="H9" s="62">
        <f>'Profit &amp; Loss Account'!G17</f>
        <v>0</v>
      </c>
      <c r="I9" s="62">
        <f>'Profit &amp; Loss Account'!H17</f>
        <v>0</v>
      </c>
      <c r="J9" s="62">
        <f>'Profit &amp; Loss Account'!I17</f>
        <v>0</v>
      </c>
      <c r="K9" s="62">
        <f>'Profit &amp; Loss Account'!J17</f>
        <v>0</v>
      </c>
      <c r="L9" s="62">
        <f>'Profit &amp; Loss Account'!K17</f>
        <v>0</v>
      </c>
      <c r="M9" s="62">
        <f>'Profit &amp; Loss Account'!L17</f>
        <v>0</v>
      </c>
      <c r="N9" s="62">
        <f>'Profit &amp; Loss Account'!M17</f>
        <v>0</v>
      </c>
      <c r="O9" s="62">
        <f>'Profit &amp; Loss Account'!N17</f>
        <v>0</v>
      </c>
      <c r="P9" s="119"/>
    </row>
    <row r="10" spans="1:16" s="84" customFormat="1" ht="6" customHeight="1" x14ac:dyDescent="0.15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15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15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15">
      <c r="A13" s="23"/>
      <c r="B13" s="174" t="s">
        <v>85</v>
      </c>
      <c r="C13" s="62">
        <f>SUM(D13:O13)</f>
        <v>0</v>
      </c>
      <c r="D13" s="62">
        <f>'Profit &amp; Loss Account'!C35</f>
        <v>0</v>
      </c>
      <c r="E13" s="62">
        <f>'Profit &amp; Loss Account'!D35</f>
        <v>0</v>
      </c>
      <c r="F13" s="62">
        <f>'Profit &amp; Loss Account'!E35</f>
        <v>0</v>
      </c>
      <c r="G13" s="62">
        <f>'Profit &amp; Loss Account'!F35</f>
        <v>0</v>
      </c>
      <c r="H13" s="62">
        <f>'Profit &amp; Loss Account'!G35</f>
        <v>0</v>
      </c>
      <c r="I13" s="62">
        <f>'Profit &amp; Loss Account'!H35</f>
        <v>0</v>
      </c>
      <c r="J13" s="62">
        <f>'Profit &amp; Loss Account'!I35</f>
        <v>0</v>
      </c>
      <c r="K13" s="62">
        <f>'Profit &amp; Loss Account'!J35</f>
        <v>0</v>
      </c>
      <c r="L13" s="62">
        <f>'Profit &amp; Loss Account'!K35</f>
        <v>0</v>
      </c>
      <c r="M13" s="62">
        <f>'Profit &amp; Loss Account'!L35</f>
        <v>0</v>
      </c>
      <c r="N13" s="62">
        <f>'Profit &amp; Loss Account'!M35</f>
        <v>0</v>
      </c>
      <c r="O13" s="62">
        <f>'Profit &amp; Loss Account'!N35</f>
        <v>0</v>
      </c>
      <c r="P13" s="23"/>
    </row>
    <row r="14" spans="1:16" ht="6" customHeight="1" x14ac:dyDescent="0.15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15">
      <c r="A15" s="23"/>
      <c r="B15" s="127" t="s">
        <v>67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15">
      <c r="A16" s="23"/>
      <c r="B16" s="126" t="s">
        <v>68</v>
      </c>
      <c r="C16" s="62">
        <f>SUM(D16:O16)</f>
        <v>0</v>
      </c>
      <c r="D16" s="75">
        <f>'Profit &amp; Loss Account'!C38</f>
        <v>0</v>
      </c>
      <c r="E16" s="75">
        <f>'Profit &amp; Loss Account'!D38</f>
        <v>0</v>
      </c>
      <c r="F16" s="75">
        <f>'Profit &amp; Loss Account'!E38</f>
        <v>0</v>
      </c>
      <c r="G16" s="75">
        <f>'Profit &amp; Loss Account'!F38</f>
        <v>0</v>
      </c>
      <c r="H16" s="75">
        <f>'Profit &amp; Loss Account'!G38</f>
        <v>0</v>
      </c>
      <c r="I16" s="75">
        <f>'Profit &amp; Loss Account'!H38</f>
        <v>0</v>
      </c>
      <c r="J16" s="75">
        <f>'Profit &amp; Loss Account'!I38</f>
        <v>0</v>
      </c>
      <c r="K16" s="75">
        <f>'Profit &amp; Loss Account'!J38</f>
        <v>0</v>
      </c>
      <c r="L16" s="75">
        <f>'Profit &amp; Loss Account'!K38</f>
        <v>0</v>
      </c>
      <c r="M16" s="75">
        <f>'Profit &amp; Loss Account'!L38</f>
        <v>0</v>
      </c>
      <c r="N16" s="75">
        <f>'Profit &amp; Loss Account'!M38</f>
        <v>0</v>
      </c>
      <c r="O16" s="75">
        <f>'Profit &amp; Loss Account'!N38</f>
        <v>0</v>
      </c>
      <c r="P16" s="23"/>
    </row>
    <row r="17" spans="1:16" x14ac:dyDescent="0.15">
      <c r="A17" s="23"/>
      <c r="B17" s="130" t="s">
        <v>69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3" thickBot="1" x14ac:dyDescent="0.2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ht="13" x14ac:dyDescent="0.15">
      <c r="A19" s="23"/>
      <c r="B19" s="432" t="s">
        <v>144</v>
      </c>
      <c r="C19" s="157" t="s">
        <v>140</v>
      </c>
      <c r="D19" s="390">
        <f t="shared" ref="D19:O19" si="3">D2</f>
        <v>44681</v>
      </c>
      <c r="E19" s="390">
        <f t="shared" si="3"/>
        <v>44712</v>
      </c>
      <c r="F19" s="390">
        <f t="shared" si="3"/>
        <v>44742</v>
      </c>
      <c r="G19" s="390">
        <f t="shared" si="3"/>
        <v>44773</v>
      </c>
      <c r="H19" s="390">
        <f t="shared" si="3"/>
        <v>44804</v>
      </c>
      <c r="I19" s="390">
        <f t="shared" si="3"/>
        <v>44834</v>
      </c>
      <c r="J19" s="390">
        <f t="shared" si="3"/>
        <v>44865</v>
      </c>
      <c r="K19" s="390">
        <f t="shared" si="3"/>
        <v>44895</v>
      </c>
      <c r="L19" s="390">
        <f t="shared" si="3"/>
        <v>44926</v>
      </c>
      <c r="M19" s="390">
        <f t="shared" si="3"/>
        <v>44957</v>
      </c>
      <c r="N19" s="390">
        <f t="shared" si="3"/>
        <v>44985</v>
      </c>
      <c r="O19" s="390">
        <f t="shared" si="3"/>
        <v>45016</v>
      </c>
      <c r="P19" s="23"/>
    </row>
    <row r="20" spans="1:16" ht="12" customHeight="1" x14ac:dyDescent="0.15">
      <c r="A20" s="23"/>
      <c r="B20" s="433"/>
      <c r="C20" s="158">
        <f>Admin!B$17</f>
        <v>45021</v>
      </c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23"/>
    </row>
    <row r="21" spans="1:16" ht="13" thickBot="1" x14ac:dyDescent="0.2">
      <c r="A21" s="23"/>
      <c r="B21" s="434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15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15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15">
      <c r="A24" s="23"/>
      <c r="B24" s="126" t="s">
        <v>84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15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15">
      <c r="A26" s="119"/>
      <c r="B26" s="174" t="s">
        <v>57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15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15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15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15">
      <c r="A30" s="23"/>
      <c r="B30" s="174" t="s">
        <v>85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15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15">
      <c r="A32" s="23"/>
      <c r="B32" s="127" t="s">
        <v>67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15">
      <c r="A33" s="23"/>
      <c r="B33" s="126" t="s">
        <v>68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15">
      <c r="A34" s="23"/>
      <c r="B34" s="130" t="s">
        <v>69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4" thickBot="1" x14ac:dyDescent="0.2">
      <c r="A36" s="23"/>
      <c r="B36" s="430" t="s">
        <v>95</v>
      </c>
      <c r="C36" s="431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15">
      <c r="A37" s="23"/>
      <c r="B37" s="81" t="s">
        <v>87</v>
      </c>
      <c r="C37" s="128">
        <f>'Profit &amp; Loss Account'!B33+'Profit &amp; Loss Account'!B34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15">
      <c r="A38" s="23"/>
      <c r="B38" s="81" t="s">
        <v>86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15">
      <c r="A39" s="23"/>
      <c r="B39" s="81" t="s">
        <v>88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15">
      <c r="A40" s="23"/>
      <c r="B40" s="87" t="s">
        <v>89</v>
      </c>
      <c r="C40" s="128">
        <f>Admin!N$4</f>
        <v>12570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15">
      <c r="A41" s="23"/>
      <c r="B41" s="87" t="s">
        <v>90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15">
      <c r="A42" s="23"/>
      <c r="B42" s="87" t="s">
        <v>91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15">
      <c r="A43" s="23"/>
      <c r="B43" s="87" t="s">
        <v>92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15">
      <c r="A44" s="23"/>
      <c r="B44" s="87" t="s">
        <v>93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15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15">
      <c r="A46" s="23"/>
      <c r="B46" s="87" t="s">
        <v>94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3" thickBot="1" x14ac:dyDescent="0.2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D2" sqref="D2:F2"/>
    </sheetView>
  </sheetViews>
  <sheetFormatPr baseColWidth="10" defaultColWidth="9.1640625" defaultRowHeight="12" x14ac:dyDescent="0.15"/>
  <cols>
    <col min="1" max="1" width="1.5" style="163" customWidth="1"/>
    <col min="2" max="2" width="10.1640625" style="172" bestFit="1" customWidth="1"/>
    <col min="3" max="3" width="4.6640625" style="163" customWidth="1"/>
    <col min="4" max="5" width="11.1640625" style="163" customWidth="1"/>
    <col min="6" max="6" width="11" style="163" customWidth="1"/>
    <col min="7" max="7" width="9.1640625" style="173"/>
    <col min="8" max="8" width="4.6640625" style="163" customWidth="1"/>
    <col min="9" max="12" width="9.1640625" style="163"/>
    <col min="13" max="13" width="13.5" style="163" customWidth="1"/>
    <col min="14" max="14" width="9.1640625" style="163"/>
    <col min="15" max="15" width="3.33203125" style="163" customWidth="1"/>
    <col min="16" max="16384" width="9.1640625" style="163"/>
  </cols>
  <sheetData>
    <row r="1" spans="1:15" ht="12" customHeight="1" thickBot="1" x14ac:dyDescent="0.2">
      <c r="A1" s="147"/>
      <c r="B1" s="161" t="s">
        <v>102</v>
      </c>
      <c r="C1" s="147"/>
      <c r="D1" s="441"/>
      <c r="E1" s="441"/>
      <c r="F1" s="441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15">
      <c r="A2" s="147"/>
      <c r="B2" s="164">
        <v>44620</v>
      </c>
      <c r="C2" s="147"/>
      <c r="D2" s="442" t="s">
        <v>103</v>
      </c>
      <c r="E2" s="442"/>
      <c r="F2" s="442"/>
      <c r="G2" s="287" t="str">
        <f>B23</f>
        <v>2022-23</v>
      </c>
      <c r="H2" s="147"/>
      <c r="I2" s="147"/>
      <c r="J2" s="437" t="s">
        <v>120</v>
      </c>
      <c r="K2" s="437"/>
      <c r="L2" s="165" t="str">
        <f>G2</f>
        <v>2022-23</v>
      </c>
      <c r="M2" s="147"/>
      <c r="N2" s="147"/>
      <c r="O2" s="147"/>
    </row>
    <row r="3" spans="1:15" ht="12" customHeight="1" thickBot="1" x14ac:dyDescent="0.2">
      <c r="A3" s="147"/>
      <c r="B3" s="164">
        <v>44651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">
      <c r="A4" s="147"/>
      <c r="B4" s="175">
        <v>44657</v>
      </c>
      <c r="C4" s="147"/>
      <c r="D4" s="438" t="s">
        <v>350</v>
      </c>
      <c r="E4" s="438"/>
      <c r="F4" s="438"/>
      <c r="G4" s="148">
        <v>1</v>
      </c>
      <c r="H4" s="147"/>
      <c r="I4" s="438" t="s">
        <v>121</v>
      </c>
      <c r="J4" s="438"/>
      <c r="K4" s="438"/>
      <c r="L4" s="438"/>
      <c r="M4" s="438"/>
      <c r="N4" s="145">
        <v>12570</v>
      </c>
      <c r="O4" s="146" t="s">
        <v>51</v>
      </c>
    </row>
    <row r="5" spans="1:15" ht="12" customHeight="1" x14ac:dyDescent="0.15">
      <c r="A5" s="147"/>
      <c r="B5" s="164">
        <v>44681</v>
      </c>
      <c r="C5" s="147"/>
      <c r="D5" s="438" t="s">
        <v>104</v>
      </c>
      <c r="E5" s="438"/>
      <c r="F5" s="438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15">
      <c r="A6" s="147"/>
      <c r="B6" s="164">
        <v>44712</v>
      </c>
      <c r="C6" s="147"/>
      <c r="D6" s="147"/>
      <c r="E6" s="147"/>
      <c r="F6" s="147"/>
      <c r="G6" s="146"/>
      <c r="H6" s="147"/>
      <c r="I6" s="438" t="s">
        <v>141</v>
      </c>
      <c r="J6" s="438"/>
      <c r="K6" s="438"/>
      <c r="L6" s="438"/>
      <c r="M6" s="438"/>
      <c r="N6" s="148">
        <v>0.2</v>
      </c>
      <c r="O6" s="146" t="s">
        <v>116</v>
      </c>
    </row>
    <row r="7" spans="1:15" ht="12" customHeight="1" x14ac:dyDescent="0.15">
      <c r="A7" s="147"/>
      <c r="B7" s="164">
        <v>44742</v>
      </c>
      <c r="C7" s="147"/>
      <c r="D7" s="438" t="s">
        <v>111</v>
      </c>
      <c r="E7" s="438"/>
      <c r="F7" s="438"/>
      <c r="G7" s="146"/>
      <c r="H7" s="147"/>
      <c r="I7" s="438" t="s">
        <v>142</v>
      </c>
      <c r="J7" s="438"/>
      <c r="K7" s="438"/>
      <c r="L7" s="438"/>
      <c r="M7" s="438"/>
      <c r="N7" s="148">
        <v>0.4</v>
      </c>
      <c r="O7" s="146" t="s">
        <v>116</v>
      </c>
    </row>
    <row r="8" spans="1:15" ht="12" customHeight="1" x14ac:dyDescent="0.15">
      <c r="A8" s="147"/>
      <c r="B8" s="164">
        <v>44773</v>
      </c>
      <c r="C8" s="147"/>
      <c r="D8" s="147" t="s">
        <v>112</v>
      </c>
      <c r="E8" s="152">
        <v>12000</v>
      </c>
      <c r="F8" s="147" t="s">
        <v>113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15">
      <c r="A9" s="147"/>
      <c r="B9" s="164">
        <v>44804</v>
      </c>
      <c r="C9" s="147"/>
      <c r="D9" s="147"/>
      <c r="E9" s="146"/>
      <c r="F9" s="147"/>
      <c r="G9" s="146"/>
      <c r="H9" s="147"/>
      <c r="I9" s="438" t="s">
        <v>122</v>
      </c>
      <c r="J9" s="439"/>
      <c r="K9" s="439"/>
      <c r="L9" s="149" t="s">
        <v>123</v>
      </c>
      <c r="M9" s="149" t="s">
        <v>124</v>
      </c>
      <c r="N9" s="150" t="s">
        <v>145</v>
      </c>
      <c r="O9" s="146"/>
    </row>
    <row r="10" spans="1:15" ht="12" customHeight="1" x14ac:dyDescent="0.15">
      <c r="A10" s="147"/>
      <c r="B10" s="295">
        <v>44834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15">
      <c r="A11" s="147"/>
      <c r="B11" s="164">
        <v>44865</v>
      </c>
      <c r="C11" s="147"/>
      <c r="D11" s="442" t="s">
        <v>105</v>
      </c>
      <c r="E11" s="442"/>
      <c r="F11" s="442"/>
      <c r="G11" s="146" t="s">
        <v>116</v>
      </c>
      <c r="H11" s="147"/>
      <c r="I11" s="147" t="s">
        <v>125</v>
      </c>
      <c r="J11" s="147"/>
      <c r="K11" s="151">
        <v>0.2</v>
      </c>
      <c r="L11" s="146">
        <f>N11</f>
        <v>0</v>
      </c>
      <c r="M11" s="146">
        <v>37700</v>
      </c>
      <c r="N11" s="152">
        <v>0</v>
      </c>
      <c r="O11" s="146"/>
    </row>
    <row r="12" spans="1:15" ht="12" customHeight="1" x14ac:dyDescent="0.15">
      <c r="A12" s="147"/>
      <c r="B12" s="164">
        <v>44895</v>
      </c>
      <c r="C12" s="147"/>
      <c r="D12" s="147"/>
      <c r="E12" s="147"/>
      <c r="F12" s="147"/>
      <c r="G12" s="146"/>
      <c r="H12" s="147"/>
      <c r="I12" s="147" t="s">
        <v>126</v>
      </c>
      <c r="J12" s="147"/>
      <c r="K12" s="151">
        <v>0</v>
      </c>
      <c r="L12" s="146">
        <v>37701</v>
      </c>
      <c r="M12" s="147"/>
      <c r="N12" s="152">
        <v>37701</v>
      </c>
      <c r="O12" s="146"/>
    </row>
    <row r="13" spans="1:15" ht="12" customHeight="1" x14ac:dyDescent="0.15">
      <c r="A13" s="147"/>
      <c r="B13" s="164">
        <v>44926</v>
      </c>
      <c r="C13" s="147"/>
      <c r="D13" s="438" t="s">
        <v>106</v>
      </c>
      <c r="E13" s="438"/>
      <c r="F13" s="438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15">
      <c r="A14" s="147"/>
      <c r="B14" s="164">
        <v>44957</v>
      </c>
      <c r="C14" s="147"/>
      <c r="D14" s="438" t="s">
        <v>107</v>
      </c>
      <c r="E14" s="438"/>
      <c r="F14" s="438"/>
      <c r="G14" s="148">
        <v>0.1</v>
      </c>
      <c r="H14" s="147"/>
      <c r="I14" s="440" t="s">
        <v>132</v>
      </c>
      <c r="J14" s="440"/>
      <c r="K14" s="440"/>
      <c r="L14" s="167" t="str">
        <f>G2</f>
        <v>2022-23</v>
      </c>
      <c r="M14" s="147"/>
      <c r="N14" s="147"/>
      <c r="O14" s="147"/>
    </row>
    <row r="15" spans="1:15" ht="12" customHeight="1" x14ac:dyDescent="0.15">
      <c r="A15" s="147"/>
      <c r="B15" s="164">
        <v>44985</v>
      </c>
      <c r="C15" s="147"/>
      <c r="D15" s="438" t="s">
        <v>108</v>
      </c>
      <c r="E15" s="438"/>
      <c r="F15" s="438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">
      <c r="A16" s="147"/>
      <c r="B16" s="164">
        <v>45016</v>
      </c>
      <c r="C16" s="147"/>
      <c r="D16" s="438" t="s">
        <v>109</v>
      </c>
      <c r="E16" s="438"/>
      <c r="F16" s="438"/>
      <c r="G16" s="148">
        <v>0.33</v>
      </c>
      <c r="H16" s="147"/>
      <c r="I16" s="438" t="s">
        <v>133</v>
      </c>
      <c r="J16" s="438"/>
      <c r="K16" s="438"/>
      <c r="L16" s="168">
        <v>3.15</v>
      </c>
      <c r="M16" s="147"/>
      <c r="N16" s="147"/>
      <c r="O16" s="147"/>
    </row>
    <row r="17" spans="1:15" ht="12" customHeight="1" thickBot="1" x14ac:dyDescent="0.2">
      <c r="A17" s="147"/>
      <c r="B17" s="175">
        <v>45021</v>
      </c>
      <c r="C17" s="147"/>
      <c r="D17" s="438" t="s">
        <v>110</v>
      </c>
      <c r="E17" s="438"/>
      <c r="F17" s="438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15">
      <c r="A18" s="147"/>
      <c r="B18" s="164">
        <v>45046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15">
      <c r="A19" s="147"/>
      <c r="B19" s="164">
        <v>45077</v>
      </c>
      <c r="C19" s="147"/>
      <c r="D19" s="442" t="s">
        <v>114</v>
      </c>
      <c r="E19" s="442"/>
      <c r="F19" s="146" t="s">
        <v>119</v>
      </c>
      <c r="G19" s="146" t="s">
        <v>115</v>
      </c>
      <c r="H19" s="147"/>
      <c r="I19" s="443" t="s">
        <v>134</v>
      </c>
      <c r="J19" s="443"/>
      <c r="K19" s="443"/>
      <c r="L19" s="147"/>
      <c r="M19" s="444" t="s">
        <v>400</v>
      </c>
      <c r="N19" s="147"/>
      <c r="O19" s="147"/>
    </row>
    <row r="20" spans="1:15" ht="12" customHeight="1" x14ac:dyDescent="0.15">
      <c r="A20" s="147"/>
      <c r="B20" s="164">
        <v>45107</v>
      </c>
      <c r="C20" s="147"/>
      <c r="D20" s="162"/>
      <c r="E20" s="162"/>
      <c r="F20" s="146"/>
      <c r="G20" s="146"/>
      <c r="H20" s="147"/>
      <c r="I20" s="443"/>
      <c r="J20" s="443"/>
      <c r="K20" s="443"/>
      <c r="L20" s="296">
        <v>9.7299999999999998E-2</v>
      </c>
      <c r="M20" s="444"/>
      <c r="N20" s="152">
        <v>11908</v>
      </c>
      <c r="O20" s="146" t="s">
        <v>51</v>
      </c>
    </row>
    <row r="21" spans="1:15" ht="12" customHeight="1" x14ac:dyDescent="0.15">
      <c r="A21" s="147"/>
      <c r="B21" s="164">
        <v>45322</v>
      </c>
      <c r="C21" s="147"/>
      <c r="D21" s="438" t="s">
        <v>117</v>
      </c>
      <c r="E21" s="438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">
      <c r="A22" s="147"/>
      <c r="B22" s="164">
        <v>45504</v>
      </c>
      <c r="C22" s="147"/>
      <c r="D22" s="147" t="s">
        <v>118</v>
      </c>
      <c r="E22" s="147"/>
      <c r="F22" s="152">
        <v>10001</v>
      </c>
      <c r="G22" s="168">
        <v>0.25</v>
      </c>
      <c r="H22" s="147"/>
      <c r="I22" s="443" t="s">
        <v>135</v>
      </c>
      <c r="J22" s="443"/>
      <c r="K22" s="443"/>
      <c r="L22" s="147"/>
      <c r="M22" s="444" t="s">
        <v>401</v>
      </c>
      <c r="N22" s="147"/>
      <c r="O22" s="147"/>
    </row>
    <row r="23" spans="1:15" ht="12" customHeight="1" thickBot="1" x14ac:dyDescent="0.2">
      <c r="A23" s="147"/>
      <c r="B23" s="294" t="s">
        <v>406</v>
      </c>
      <c r="C23" s="147"/>
      <c r="D23" s="147"/>
      <c r="E23" s="147"/>
      <c r="F23" s="146"/>
      <c r="G23" s="170"/>
      <c r="H23" s="147"/>
      <c r="I23" s="443"/>
      <c r="J23" s="443"/>
      <c r="K23" s="443"/>
      <c r="L23" s="296">
        <v>2.7300000000000001E-2</v>
      </c>
      <c r="M23" s="444"/>
      <c r="N23" s="152">
        <v>50270</v>
      </c>
      <c r="O23" s="146" t="s">
        <v>51</v>
      </c>
    </row>
    <row r="24" spans="1:15" ht="12" customHeight="1" thickBot="1" x14ac:dyDescent="0.2">
      <c r="A24" s="147"/>
      <c r="B24" s="294" t="s">
        <v>407</v>
      </c>
      <c r="C24" s="147"/>
      <c r="D24" s="442" t="s">
        <v>114</v>
      </c>
      <c r="E24" s="442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15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15">
      <c r="A26" s="147"/>
      <c r="B26" s="171"/>
      <c r="C26" s="147"/>
      <c r="D26" s="438" t="s">
        <v>402</v>
      </c>
      <c r="E26" s="438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15">
      <c r="A27" s="147"/>
      <c r="B27" s="171"/>
      <c r="C27" s="147"/>
      <c r="D27" s="147" t="s">
        <v>403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15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DIY Accounting Customer Service</cp:lastModifiedBy>
  <cp:lastPrinted>2008-06-02T20:53:06Z</cp:lastPrinted>
  <dcterms:created xsi:type="dcterms:W3CDTF">2002-12-30T15:31:19Z</dcterms:created>
  <dcterms:modified xsi:type="dcterms:W3CDTF">2023-06-26T21:45:18Z</dcterms:modified>
</cp:coreProperties>
</file>