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" yWindow="168" windowWidth="15288" windowHeight="9072" tabRatio="909"/>
  </bookViews>
  <sheets>
    <sheet name="Employee" sheetId="25" r:id="rId1"/>
    <sheet name="Apr16" sheetId="12" r:id="rId2"/>
    <sheet name="May16" sheetId="11" r:id="rId3"/>
    <sheet name="Jun16" sheetId="10" r:id="rId4"/>
    <sheet name="Jul16" sheetId="9" r:id="rId5"/>
    <sheet name="Aug16" sheetId="8" r:id="rId6"/>
    <sheet name="Sep16" sheetId="17" r:id="rId7"/>
    <sheet name="Oct16" sheetId="16" r:id="rId8"/>
    <sheet name="Nov16" sheetId="15" r:id="rId9"/>
    <sheet name="Dec16" sheetId="14" r:id="rId10"/>
    <sheet name="Jan17" sheetId="13" r:id="rId11"/>
    <sheet name="Feb17" sheetId="19" r:id="rId12"/>
    <sheet name="Mar17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'Apr16'!$E:$F,'Apr16'!$1:$6</definedName>
    <definedName name="_xlnm.Print_Titles" localSheetId="5">'Aug16'!$A:$D,'Aug16'!$1:$6</definedName>
    <definedName name="_xlnm.Print_Titles" localSheetId="9">'Dec16'!$A:$D,'Dec16'!$1:$6</definedName>
    <definedName name="_xlnm.Print_Titles" localSheetId="11">'Feb17'!$A:$D,'Feb17'!$1:$6</definedName>
    <definedName name="_xlnm.Print_Titles" localSheetId="10">'Jan17'!$A:$D,'Jan17'!$1:$6</definedName>
    <definedName name="_xlnm.Print_Titles" localSheetId="4">'Jul16'!$A:$D,'Jul16'!$1:$6</definedName>
    <definedName name="_xlnm.Print_Titles" localSheetId="3">'Jun16'!$A:$D,'Jun16'!$1:$6</definedName>
    <definedName name="_xlnm.Print_Titles" localSheetId="12">'Mar17'!$A:$D,'Mar17'!$1:$6</definedName>
    <definedName name="_xlnm.Print_Titles" localSheetId="2">'May16'!$A:$D,'May16'!$1:$6</definedName>
    <definedName name="_xlnm.Print_Titles" localSheetId="8">'Nov16'!$A:$D,'Nov16'!$1:$6</definedName>
    <definedName name="_xlnm.Print_Titles" localSheetId="7">'Oct16'!$A:$D,'Oct16'!$1:$6</definedName>
    <definedName name="_xlnm.Print_Titles" localSheetId="6">'Sep16'!$A:$D,'Sep16'!$1:$6</definedName>
  </definedNames>
  <calcPr calcId="145621"/>
</workbook>
</file>

<file path=xl/calcChain.xml><?xml version="1.0" encoding="utf-8"?>
<calcChain xmlns="http://schemas.openxmlformats.org/spreadsheetml/2006/main"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H4" i="40" l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32" i="24" l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M49" i="12"/>
  <c r="B51" i="24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J21" i="12"/>
  <c r="J22" i="12"/>
  <c r="I21" i="12"/>
  <c r="I22" i="12"/>
  <c r="B336" i="24" l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M69" i="18" s="1"/>
  <c r="M49" i="19"/>
  <c r="C14" i="39"/>
  <c r="B367" i="24"/>
  <c r="I1" i="24"/>
  <c r="B4" i="39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B15" i="39"/>
  <c r="L16" i="39"/>
  <c r="O9" i="25" l="1"/>
  <c r="N1" i="24"/>
  <c r="B368" i="24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H3" i="40" l="1"/>
  <c r="M3" i="40" s="1"/>
  <c r="I4" i="40"/>
  <c r="I3" i="40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I11" i="8"/>
  <c r="J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49" i="19"/>
  <c r="K49" i="13"/>
  <c r="M49" i="13"/>
  <c r="M59" i="14"/>
  <c r="K59" i="14"/>
  <c r="K49" i="15"/>
  <c r="M49" i="15"/>
  <c r="M49" i="16"/>
  <c r="K49" i="16"/>
  <c r="M59" i="17"/>
  <c r="K59" i="17"/>
  <c r="K49" i="8"/>
  <c r="M49" i="8"/>
  <c r="K49" i="9"/>
  <c r="M49" i="9"/>
  <c r="K59" i="10"/>
  <c r="M59" i="10"/>
  <c r="M49" i="11"/>
  <c r="K49" i="11"/>
  <c r="K9" i="12"/>
  <c r="M9" i="12" s="1"/>
  <c r="K19" i="12" s="1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9" i="9" s="1"/>
  <c r="M9" i="9" s="1"/>
  <c r="K19" i="9" s="1"/>
  <c r="M19" i="9" s="1"/>
  <c r="K29" i="9" s="1"/>
  <c r="M29" i="9" s="1"/>
  <c r="K39" i="9" s="1"/>
  <c r="M39" i="9" s="1"/>
  <c r="K9" i="8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K49" i="17" s="1"/>
  <c r="M49" i="17" s="1"/>
  <c r="K9" i="16" s="1"/>
  <c r="M9" i="16" s="1"/>
  <c r="K19" i="16" s="1"/>
  <c r="M19" i="16" s="1"/>
  <c r="K29" i="16" s="1"/>
  <c r="M29" i="16" s="1"/>
  <c r="K39" i="16" s="1"/>
  <c r="M39" i="16" s="1"/>
  <c r="K9" i="15" s="1"/>
  <c r="M9" i="15" s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Q28" i="25"/>
  <c r="S28" i="25" s="1"/>
  <c r="H41" i="12"/>
  <c r="I41" i="12"/>
  <c r="J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I31" i="12"/>
  <c r="J3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K25" i="12" s="1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I9" i="40"/>
  <c r="L7" i="40"/>
  <c r="I10" i="40"/>
  <c r="K63" i="10" l="1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B50" i="25"/>
  <c r="E53" i="14"/>
  <c r="E33" i="19"/>
  <c r="B33" i="19" s="1"/>
  <c r="E23" i="15"/>
  <c r="E23" i="16"/>
  <c r="M23" i="16" s="1"/>
  <c r="E13" i="10"/>
  <c r="E53" i="10"/>
  <c r="E33" i="18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11" i="8"/>
  <c r="K41" i="16"/>
  <c r="K31" i="12"/>
  <c r="K31" i="11"/>
  <c r="K11" i="18"/>
  <c r="AF65" i="12"/>
  <c r="AF62" i="12"/>
  <c r="AF67" i="12" s="1"/>
  <c r="F33" i="18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M33" i="19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E41" i="8"/>
  <c r="E11" i="9"/>
  <c r="E51" i="11"/>
  <c r="E31" i="16"/>
  <c r="E31" i="17"/>
  <c r="E11" i="10"/>
  <c r="E41" i="14"/>
  <c r="K45" i="15"/>
  <c r="K14" i="13"/>
  <c r="M53" i="14"/>
  <c r="F53" i="14"/>
  <c r="B53" i="14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51" i="40"/>
  <c r="M37" i="40"/>
  <c r="M8" i="40"/>
  <c r="M22" i="40"/>
  <c r="M66" i="40"/>
  <c r="F33" i="19" l="1"/>
  <c r="M18" i="40"/>
  <c r="M32" i="40" s="1"/>
  <c r="M47" i="40" s="1"/>
  <c r="M61" i="40" s="1"/>
  <c r="M76" i="40" s="1"/>
  <c r="G16" i="40"/>
  <c r="G14" i="40"/>
  <c r="E14" i="40"/>
  <c r="M14" i="40"/>
  <c r="H14" i="40"/>
  <c r="L16" i="40"/>
  <c r="D14" i="40"/>
  <c r="J14" i="40"/>
  <c r="F14" i="40"/>
  <c r="M16" i="40"/>
  <c r="H16" i="40"/>
  <c r="B14" i="40"/>
  <c r="J16" i="40"/>
  <c r="M10" i="40"/>
  <c r="C14" i="40"/>
  <c r="I16" i="40"/>
  <c r="M9" i="40"/>
  <c r="L14" i="40"/>
  <c r="J10" i="40"/>
  <c r="I14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73" i="10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N73" i="10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73" i="10"/>
  <c r="Q73" i="10"/>
  <c r="R33" i="19"/>
  <c r="T73" i="10"/>
  <c r="O64" i="16"/>
  <c r="O73" i="10"/>
  <c r="F44" i="12"/>
  <c r="B44" i="12"/>
  <c r="M54" i="12"/>
  <c r="B54" i="12"/>
  <c r="F54" i="12"/>
  <c r="R14" i="8"/>
  <c r="R55" i="11"/>
  <c r="P73" i="10"/>
  <c r="B14" i="18"/>
  <c r="F14" i="18"/>
  <c r="M14" i="18"/>
  <c r="R55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F75" i="10"/>
  <c r="AF65" i="9" s="1"/>
  <c r="AF65" i="8" s="1"/>
  <c r="AF75" i="17" s="1"/>
  <c r="AF65" i="16" s="1"/>
  <c r="AF65" i="15" s="1"/>
  <c r="AF75" i="14" s="1"/>
  <c r="AF65" i="13" s="1"/>
  <c r="AF65" i="19" s="1"/>
  <c r="AF85" i="18" s="1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G8" i="39" s="1"/>
  <c r="AE62" i="16"/>
  <c r="AE62" i="19"/>
  <c r="AE72" i="14"/>
  <c r="G12" i="39" s="1"/>
  <c r="M15" i="12"/>
  <c r="F15" i="12"/>
  <c r="B15" i="12"/>
  <c r="AG62" i="19"/>
  <c r="M11" i="8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P64" i="16" l="1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B7" i="40"/>
  <c r="B8" i="40"/>
  <c r="B9" i="40"/>
  <c r="E9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W21" i="12" l="1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<sst xmlns="http://schemas.openxmlformats.org/spreadsheetml/2006/main" count="1383" uniqueCount="137">
  <si>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</si>
  <si>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</si>
  <si>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</si>
  <si>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</si>
  <si>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</si>
  <si>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</si>
  <si>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</si>
  <si>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</si>
  <si>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</si>
  <si>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</si>
  <si>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</si>
  <si>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</si>
  <si>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</si>
  <si>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</si>
  <si>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</si>
  <si>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</si>
  <si>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</si>
  <si>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</si>
  <si>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</si>
  <si>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</si>
  <si>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</si>
  <si>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</si>
  <si>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</si>
  <si>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</si>
  <si>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</si>
  <si>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</si>
  <si>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</si>
  <si>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</si>
  <si>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</si>
  <si>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</si>
  <si>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</si>
  <si>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</si>
  <si>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</si>
  <si>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</si>
  <si>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</si>
  <si>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</si>
  <si>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</si>
  <si>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</si>
  <si>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</si>
  <si>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</si>
  <si>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</si>
  <si>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</si>
  <si>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</si>
  <si>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</si>
  <si>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</si>
  <si>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</si>
  <si>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</si>
  <si>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</si>
  <si>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</si>
  <si>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</si>
  <si>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</si>
  <si>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</si>
  <si>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</si>
  <si>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</si>
  <si>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</si>
  <si>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</si>
  <si>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</si>
  <si>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</si>
  <si>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</si>
  <si>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</si>
  <si>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</si>
  <si>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</si>
  <si>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</si>
  <si>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</si>
  <si>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</si>
  <si>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</si>
  <si>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</si>
  <si>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</si>
  <si>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</si>
  <si>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</si>
  <si>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</si>
  <si>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</si>
  <si>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</si>
  <si>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</si>
  <si>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</si>
  <si>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</si>
  <si>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</si>
  <si>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</si>
  <si>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</si>
  <si>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</si>
  <si>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</si>
  <si>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</si>
  <si>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</si>
  <si>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</si>
  <si>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</si>
  <si>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</si>
  <si>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</si>
  <si>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</si>
  <si>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</si>
  <si>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</si>
  <si>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</si>
  <si>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</si>
  <si>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</si>
  <si>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</si>
  <si>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</si>
  <si>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</si>
  <si>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</si>
  <si>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</si>
  <si>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</si>
  <si>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</si>
  <si>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</si>
  <si>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</si>
  <si>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</si>
  <si>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</si>
  <si>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</si>
  <si>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</si>
  <si>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</si>
  <si>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</si>
  <si>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</si>
  <si>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</si>
  <si>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</si>
  <si>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</si>
  <si>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</si>
  <si>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</si>
  <si>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</si>
  <si>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</si>
  <si>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</si>
  <si>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</si>
  <si>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</si>
  <si>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</si>
  <si>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</si>
  <si>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</si>
  <si>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</si>
  <si>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</si>
  <si>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</si>
  <si>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</si>
  <si>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</si>
  <si>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</si>
  <si>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</si>
  <si>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</si>
  <si>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</si>
  <si>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</si>
  <si>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</si>
  <si>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</si>
  <si>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</si>
  <si>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</si>
  <si>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(Apr15, May15,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</si>
</sst>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16">
    <xf numFmtId="0" fontId="0" fillId="0" borderId="0" xfId="0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/>
    <xf numFmtId="0" fontId="7" fillId="2" borderId="0" xfId="0" applyFont="1" applyFill="1"/>
    <xf numFmtId="0" fontId="7" fillId="0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/>
    <xf numFmtId="165" fontId="7" fillId="3" borderId="0" xfId="0" applyNumberFormat="1" applyFont="1" applyFill="1" applyBorder="1"/>
    <xf numFmtId="0" fontId="7" fillId="3" borderId="7" xfId="0" applyFont="1" applyFill="1" applyBorder="1"/>
    <xf numFmtId="0" fontId="7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 applyAlignment="1"/>
    <xf numFmtId="164" fontId="3" fillId="3" borderId="10" xfId="0" applyNumberFormat="1" applyFont="1" applyFill="1" applyBorder="1" applyAlignment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Border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3" borderId="0" xfId="0" applyFont="1" applyFill="1"/>
    <xf numFmtId="166" fontId="7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/>
    <xf numFmtId="0" fontId="7" fillId="3" borderId="8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/>
    </xf>
    <xf numFmtId="14" fontId="7" fillId="2" borderId="0" xfId="0" applyNumberFormat="1" applyFont="1" applyFill="1" applyBorder="1"/>
    <xf numFmtId="2" fontId="7" fillId="2" borderId="0" xfId="0" applyNumberFormat="1" applyFont="1" applyFill="1" applyBorder="1"/>
    <xf numFmtId="0" fontId="9" fillId="3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67" fontId="8" fillId="0" borderId="0" xfId="0" applyNumberFormat="1" applyFont="1" applyFill="1" applyAlignment="1">
      <alignment horizontal="left"/>
    </xf>
    <xf numFmtId="167" fontId="3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 applyAlignment="1"/>
    <xf numFmtId="0" fontId="3" fillId="3" borderId="0" xfId="0" applyFont="1" applyFill="1" applyBorder="1" applyAlignment="1"/>
    <xf numFmtId="164" fontId="7" fillId="0" borderId="13" xfId="0" applyNumberFormat="1" applyFont="1" applyFill="1" applyBorder="1" applyAlignment="1"/>
    <xf numFmtId="2" fontId="7" fillId="0" borderId="13" xfId="0" applyNumberFormat="1" applyFont="1" applyFill="1" applyBorder="1" applyAlignment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4" fontId="7" fillId="3" borderId="0" xfId="0" applyNumberFormat="1" applyFont="1" applyFill="1" applyBorder="1" applyAlignment="1"/>
    <xf numFmtId="164" fontId="7" fillId="0" borderId="12" xfId="0" applyNumberFormat="1" applyFont="1" applyFill="1" applyBorder="1" applyAlignment="1"/>
    <xf numFmtId="164" fontId="7" fillId="0" borderId="8" xfId="0" applyNumberFormat="1" applyFont="1" applyFill="1" applyBorder="1" applyAlignment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 applyAlignment="1"/>
    <xf numFmtId="164" fontId="7" fillId="0" borderId="22" xfId="0" applyNumberFormat="1" applyFont="1" applyBorder="1" applyAlignment="1"/>
    <xf numFmtId="164" fontId="7" fillId="3" borderId="14" xfId="0" applyNumberFormat="1" applyFont="1" applyFill="1" applyBorder="1" applyAlignment="1"/>
    <xf numFmtId="164" fontId="7" fillId="3" borderId="15" xfId="0" applyNumberFormat="1" applyFont="1" applyFill="1" applyBorder="1" applyAlignment="1"/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 applyAlignment="1"/>
    <xf numFmtId="164" fontId="7" fillId="0" borderId="18" xfId="0" applyNumberFormat="1" applyFont="1" applyBorder="1" applyAlignment="1"/>
    <xf numFmtId="164" fontId="7" fillId="0" borderId="19" xfId="0" applyNumberFormat="1" applyFont="1" applyBorder="1" applyAlignment="1"/>
    <xf numFmtId="165" fontId="7" fillId="3" borderId="0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7" fillId="3" borderId="25" xfId="0" applyNumberFormat="1" applyFont="1" applyFill="1" applyBorder="1" applyAlignment="1"/>
    <xf numFmtId="164" fontId="7" fillId="3" borderId="24" xfId="0" applyNumberFormat="1" applyFont="1" applyFill="1" applyBorder="1" applyAlignment="1"/>
    <xf numFmtId="2" fontId="7" fillId="3" borderId="24" xfId="0" applyNumberFormat="1" applyFont="1" applyFill="1" applyBorder="1" applyAlignment="1"/>
    <xf numFmtId="164" fontId="7" fillId="2" borderId="17" xfId="0" applyNumberFormat="1" applyFont="1" applyFill="1" applyBorder="1" applyAlignment="1"/>
    <xf numFmtId="0" fontId="8" fillId="3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/>
    <xf numFmtId="2" fontId="7" fillId="3" borderId="15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 vertical="center" wrapText="1"/>
    </xf>
    <xf numFmtId="0" fontId="8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6" fillId="2" borderId="0" xfId="0" applyFont="1" applyFill="1" applyBorder="1" applyAlignment="1"/>
    <xf numFmtId="1" fontId="7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7" fillId="2" borderId="0" xfId="0" applyNumberFormat="1" applyFont="1" applyFill="1" applyBorder="1"/>
    <xf numFmtId="1" fontId="15" fillId="2" borderId="0" xfId="0" applyNumberFormat="1" applyFont="1" applyFill="1" applyBorder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/>
    <xf numFmtId="1" fontId="20" fillId="3" borderId="0" xfId="0" applyNumberFormat="1" applyFont="1" applyFill="1" applyBorder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vertical="center"/>
    </xf>
    <xf numFmtId="167" fontId="3" fillId="0" borderId="1" xfId="0" applyNumberFormat="1" applyFont="1" applyFill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0" borderId="12" xfId="0" applyNumberFormat="1" applyFont="1" applyBorder="1" applyAlignment="1"/>
    <xf numFmtId="164" fontId="7" fillId="0" borderId="8" xfId="0" applyNumberFormat="1" applyFont="1" applyBorder="1" applyAlignment="1"/>
    <xf numFmtId="164" fontId="7" fillId="3" borderId="18" xfId="0" applyNumberFormat="1" applyFont="1" applyFill="1" applyBorder="1" applyAlignment="1"/>
    <xf numFmtId="164" fontId="7" fillId="3" borderId="19" xfId="0" applyNumberFormat="1" applyFont="1" applyFill="1" applyBorder="1" applyAlignment="1"/>
    <xf numFmtId="164" fontId="7" fillId="0" borderId="27" xfId="0" applyNumberFormat="1" applyFont="1" applyBorder="1" applyAlignment="1"/>
    <xf numFmtId="0" fontId="34" fillId="3" borderId="0" xfId="0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/>
    <xf numFmtId="164" fontId="7" fillId="3" borderId="1" xfId="0" applyNumberFormat="1" applyFont="1" applyFill="1" applyBorder="1" applyAlignment="1"/>
    <xf numFmtId="164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3" fillId="0" borderId="0" xfId="0" applyFont="1" applyFill="1"/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 applyAlignment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Border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0" fontId="11" fillId="0" borderId="0" xfId="2" applyFont="1" applyFill="1" applyBorder="1" applyAlignme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7" fillId="0" borderId="46" xfId="2" applyFont="1" applyFill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center"/>
    </xf>
    <xf numFmtId="15" fontId="7" fillId="2" borderId="0" xfId="2" applyNumberFormat="1" applyFont="1" applyFill="1" applyBorder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 applyBorder="1"/>
    <xf numFmtId="0" fontId="7" fillId="2" borderId="54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Fill="1" applyBorder="1" applyAlignment="1"/>
    <xf numFmtId="164" fontId="7" fillId="0" borderId="15" xfId="0" applyNumberFormat="1" applyFont="1" applyFill="1" applyBorder="1" applyAlignment="1"/>
    <xf numFmtId="164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164" fontId="7" fillId="0" borderId="22" xfId="0" applyNumberFormat="1" applyFont="1" applyFill="1" applyBorder="1" applyAlignment="1"/>
    <xf numFmtId="164" fontId="7" fillId="0" borderId="23" xfId="0" applyNumberFormat="1" applyFont="1" applyFill="1" applyBorder="1" applyAlignment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Protection="1">
      <protection hidden="1"/>
    </xf>
    <xf numFmtId="0" fontId="40" fillId="0" borderId="0" xfId="0" applyFont="1"/>
    <xf numFmtId="0" fontId="41" fillId="3" borderId="12" xfId="0" applyFont="1" applyFill="1" applyBorder="1" applyAlignment="1" applyProtection="1">
      <protection hidden="1"/>
    </xf>
    <xf numFmtId="0" fontId="41" fillId="3" borderId="18" xfId="0" applyFont="1" applyFill="1" applyBorder="1" applyAlignment="1" applyProtection="1">
      <protection hidden="1"/>
    </xf>
    <xf numFmtId="0" fontId="41" fillId="3" borderId="8" xfId="0" applyFont="1" applyFill="1" applyBorder="1" applyAlignment="1" applyProtection="1">
      <protection hidden="1"/>
    </xf>
    <xf numFmtId="0" fontId="47" fillId="3" borderId="0" xfId="0" applyFont="1" applyFill="1" applyBorder="1" applyAlignment="1" applyProtection="1">
      <alignment horizontal="left" vertical="center" indent="1"/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1" fillId="3" borderId="19" xfId="0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9" fillId="3" borderId="0" xfId="0" applyFont="1" applyFill="1" applyBorder="1" applyAlignment="1" applyProtection="1">
      <alignment horizontal="center" vertical="center"/>
      <protection hidden="1"/>
    </xf>
    <xf numFmtId="15" fontId="41" fillId="3" borderId="0" xfId="0" applyNumberFormat="1" applyFont="1" applyFill="1" applyBorder="1" applyAlignment="1" applyProtection="1">
      <alignment horizontal="center" vertical="center" wrapText="1"/>
      <protection hidden="1"/>
    </xf>
    <xf numFmtId="165" fontId="41" fillId="6" borderId="0" xfId="0" applyNumberFormat="1" applyFont="1" applyFill="1" applyBorder="1" applyAlignment="1" applyProtection="1">
      <alignment horizontal="center" vertical="center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wrapText="1"/>
      <protection hidden="1"/>
    </xf>
    <xf numFmtId="0" fontId="43" fillId="3" borderId="8" xfId="0" applyFont="1" applyFill="1" applyBorder="1" applyAlignment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protection hidden="1"/>
    </xf>
    <xf numFmtId="164" fontId="43" fillId="0" borderId="0" xfId="0" applyNumberFormat="1" applyFont="1" applyFill="1" applyBorder="1" applyProtection="1">
      <protection hidden="1"/>
    </xf>
    <xf numFmtId="164" fontId="41" fillId="3" borderId="0" xfId="0" applyNumberFormat="1" applyFont="1" applyFill="1" applyBorder="1" applyAlignment="1" applyProtection="1">
      <alignment horizontal="center" vertical="center"/>
      <protection hidden="1"/>
    </xf>
    <xf numFmtId="164" fontId="41" fillId="0" borderId="0" xfId="0" applyNumberFormat="1" applyFont="1" applyFill="1" applyBorder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Border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Border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Fill="1" applyBorder="1" applyAlignment="1"/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17" fillId="3" borderId="0" xfId="0" applyFont="1" applyFill="1" applyAlignment="1" applyProtection="1">
      <alignment horizontal="center" wrapText="1"/>
    </xf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4" xfId="0" applyFont="1" applyBorder="1" applyAlignment="1" applyProtection="1">
      <alignment horizontal="center" vertical="center"/>
    </xf>
    <xf numFmtId="0" fontId="38" fillId="0" borderId="0" xfId="0" applyFont="1" applyProtection="1"/>
    <xf numFmtId="14" fontId="38" fillId="3" borderId="0" xfId="0" applyNumberFormat="1" applyFont="1" applyFill="1" applyProtection="1"/>
    <xf numFmtId="15" fontId="38" fillId="5" borderId="1" xfId="0" applyNumberFormat="1" applyFont="1" applyFill="1" applyBorder="1" applyAlignment="1" applyProtection="1">
      <alignment horizontal="center"/>
    </xf>
    <xf numFmtId="1" fontId="38" fillId="5" borderId="1" xfId="0" applyNumberFormat="1" applyFont="1" applyFill="1" applyBorder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28" fillId="3" borderId="0" xfId="0" applyFont="1" applyFill="1" applyAlignment="1" applyProtection="1"/>
    <xf numFmtId="0" fontId="38" fillId="3" borderId="0" xfId="0" applyFont="1" applyFill="1" applyAlignment="1" applyProtection="1">
      <alignment horizontal="center"/>
    </xf>
    <xf numFmtId="0" fontId="28" fillId="5" borderId="1" xfId="0" applyFont="1" applyFill="1" applyBorder="1" applyAlignment="1" applyProtection="1">
      <alignment horizontal="center"/>
    </xf>
    <xf numFmtId="0" fontId="38" fillId="3" borderId="0" xfId="0" applyFont="1" applyFill="1" applyProtection="1"/>
    <xf numFmtId="0" fontId="6" fillId="3" borderId="0" xfId="0" applyFont="1" applyFill="1" applyProtection="1"/>
    <xf numFmtId="14" fontId="24" fillId="3" borderId="0" xfId="0" applyNumberFormat="1" applyFont="1" applyFill="1" applyProtection="1"/>
    <xf numFmtId="1" fontId="24" fillId="5" borderId="1" xfId="0" applyNumberFormat="1" applyFont="1" applyFill="1" applyBorder="1" applyAlignment="1" applyProtection="1">
      <alignment horizontal="center"/>
    </xf>
    <xf numFmtId="0" fontId="24" fillId="3" borderId="0" xfId="0" applyFont="1" applyFill="1" applyAlignment="1" applyProtection="1">
      <alignment horizontal="center"/>
    </xf>
    <xf numFmtId="14" fontId="6" fillId="3" borderId="0" xfId="0" applyNumberFormat="1" applyFont="1" applyFill="1" applyProtection="1"/>
    <xf numFmtId="1" fontId="6" fillId="5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0" fontId="38" fillId="0" borderId="0" xfId="0" applyFont="1" applyAlignment="1" applyProtection="1">
      <alignment horizontal="center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 applyAlignment="1"/>
    <xf numFmtId="0" fontId="7" fillId="0" borderId="36" xfId="0" applyFont="1" applyBorder="1" applyAlignment="1"/>
    <xf numFmtId="0" fontId="7" fillId="0" borderId="37" xfId="0" applyFont="1" applyBorder="1" applyAlignment="1"/>
    <xf numFmtId="0" fontId="4" fillId="0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0" fontId="7" fillId="0" borderId="38" xfId="0" applyFont="1" applyBorder="1" applyAlignment="1"/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7" fillId="0" borderId="0" xfId="0" applyFont="1" applyAlignme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 applyAlignment="1"/>
    <xf numFmtId="0" fontId="0" fillId="0" borderId="15" xfId="0" applyBorder="1" applyAlignment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Border="1" applyAlignment="1">
      <alignment horizontal="center"/>
    </xf>
    <xf numFmtId="0" fontId="7" fillId="0" borderId="25" xfId="0" applyFont="1" applyBorder="1" applyAlignment="1"/>
    <xf numFmtId="0" fontId="0" fillId="0" borderId="24" xfId="0" applyBorder="1" applyAlignment="1"/>
    <xf numFmtId="0" fontId="0" fillId="0" borderId="40" xfId="0" applyBorder="1" applyAlignment="1"/>
    <xf numFmtId="14" fontId="7" fillId="2" borderId="0" xfId="0" applyNumberFormat="1" applyFont="1" applyFill="1" applyBorder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 applyFill="1" applyAlignme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/>
    </xf>
    <xf numFmtId="166" fontId="27" fillId="0" borderId="17" xfId="0" applyNumberFormat="1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Fill="1" applyBorder="1" applyAlignment="1">
      <alignment horizontal="center" vertical="center" wrapText="1"/>
    </xf>
    <xf numFmtId="166" fontId="27" fillId="0" borderId="41" xfId="0" applyNumberFormat="1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Fill="1" applyBorder="1" applyAlignme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Border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Border="1" applyAlignment="1" applyProtection="1">
      <alignment vertical="center"/>
      <protection hidden="1"/>
    </xf>
    <xf numFmtId="0" fontId="43" fillId="0" borderId="0" xfId="0" applyFont="1" applyAlignme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0" fillId="0" borderId="0" xfId="0" applyFont="1" applyBorder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Fill="1" applyBorder="1" applyAlignment="1" applyProtection="1">
      <protection hidden="1"/>
    </xf>
    <xf numFmtId="0" fontId="40" fillId="0" borderId="13" xfId="0" applyFont="1" applyBorder="1" applyAlignment="1" applyProtection="1"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Border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 applyAlignment="1"/>
    <xf numFmtId="0" fontId="39" fillId="3" borderId="49" xfId="0" applyFont="1" applyFill="1" applyBorder="1" applyAlignment="1" applyProtection="1">
      <alignment horizontal="right" vertical="center"/>
    </xf>
    <xf numFmtId="0" fontId="39" fillId="3" borderId="50" xfId="0" applyFont="1" applyFill="1" applyBorder="1" applyAlignment="1" applyProtection="1">
      <alignment horizontal="right" vertical="center"/>
    </xf>
    <xf numFmtId="168" fontId="39" fillId="3" borderId="50" xfId="0" applyNumberFormat="1" applyFont="1" applyFill="1" applyBorder="1" applyAlignment="1" applyProtection="1">
      <alignment horizontal="left" vertical="center" indent="1"/>
    </xf>
    <xf numFmtId="168" fontId="0" fillId="3" borderId="51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40" xfId="0" applyFont="1" applyFill="1" applyBorder="1" applyAlignment="1" applyProtection="1">
      <alignment horizontal="center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2" activePane="bottomLeft" state="frozen"/>
      <selection pane="bottomLeft" activeCell="D5" sqref="D5:F5"/>
    </sheetView>
  </sheetViews>
  <sheetFormatPr defaultColWidth="9.109375" defaultRowHeight="12" x14ac:dyDescent="0.25"/>
  <cols>
    <col min="1" max="1" width="0.88671875" style="6" customWidth="1"/>
    <col min="2" max="2" width="24.6640625" style="6" customWidth="1"/>
    <col min="3" max="3" width="0.88671875" style="6" customWidth="1"/>
    <col min="4" max="4" width="10.6640625" style="6" customWidth="1"/>
    <col min="5" max="5" width="2.88671875" style="6" customWidth="1"/>
    <col min="6" max="6" width="10.6640625" style="6" customWidth="1"/>
    <col min="7" max="7" width="0.88671875" style="6" customWidth="1"/>
    <col min="8" max="8" width="11.6640625" style="6" customWidth="1"/>
    <col min="9" max="10" width="0.88671875" style="6" customWidth="1"/>
    <col min="11" max="11" width="24.6640625" style="6" customWidth="1"/>
    <col min="12" max="12" width="1.33203125" style="6" customWidth="1"/>
    <col min="13" max="13" width="10.6640625" style="6" customWidth="1"/>
    <col min="14" max="14" width="1.33203125" style="6" customWidth="1"/>
    <col min="15" max="15" width="10.6640625" style="6" customWidth="1"/>
    <col min="16" max="16" width="2.6640625" style="169" customWidth="1"/>
    <col min="17" max="17" width="10.6640625" style="6" customWidth="1"/>
    <col min="18" max="18" width="0.88671875" style="5" customWidth="1"/>
    <col min="19" max="19" width="10.6640625" style="6" customWidth="1"/>
    <col min="20" max="20" width="0.88671875" style="6" customWidth="1"/>
    <col min="21" max="21" width="4.33203125" style="6" customWidth="1"/>
    <col min="22" max="24" width="10.5546875" style="6" hidden="1" customWidth="1"/>
    <col min="25" max="25" width="10.5546875" style="6" customWidth="1"/>
    <col min="26" max="16384" width="9.109375" style="6"/>
  </cols>
  <sheetData>
    <row r="1" spans="1:24" ht="6" customHeight="1" x14ac:dyDescent="0.25">
      <c r="A1" s="372"/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69"/>
    </row>
    <row r="2" spans="1:24" ht="6" customHeight="1" thickBot="1" x14ac:dyDescent="0.3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59"/>
      <c r="Q2" s="72"/>
      <c r="R2" s="91"/>
      <c r="S2" s="91"/>
      <c r="T2" s="92"/>
      <c r="U2" s="369"/>
      <c r="W2" s="233">
        <f>Admin!B2</f>
        <v>42466</v>
      </c>
      <c r="X2" s="6">
        <v>1</v>
      </c>
    </row>
    <row r="3" spans="1:24" ht="17.25" customHeight="1" thickTop="1" thickBot="1" x14ac:dyDescent="0.35">
      <c r="A3" s="73"/>
      <c r="B3" s="97" t="s">
        <v>18</v>
      </c>
      <c r="C3" s="8"/>
      <c r="D3" s="8"/>
      <c r="E3" s="8"/>
      <c r="F3" s="8"/>
      <c r="G3" s="8"/>
      <c r="H3" s="377" t="s">
        <v>135</v>
      </c>
      <c r="I3" s="377"/>
      <c r="J3" s="377"/>
      <c r="K3" s="377"/>
      <c r="L3" s="377"/>
      <c r="M3" s="377"/>
      <c r="N3" s="10"/>
      <c r="O3" s="76"/>
      <c r="P3" s="160"/>
      <c r="Q3" s="374" t="s">
        <v>66</v>
      </c>
      <c r="R3" s="375"/>
      <c r="S3" s="376"/>
      <c r="T3" s="94"/>
      <c r="U3" s="369"/>
      <c r="W3" s="233">
        <f>Admin!B3</f>
        <v>42467</v>
      </c>
      <c r="X3" s="6">
        <f>X2+1</f>
        <v>2</v>
      </c>
    </row>
    <row r="4" spans="1:24" ht="3.75" customHeight="1" thickTop="1" x14ac:dyDescent="0.25">
      <c r="A4" s="7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61"/>
      <c r="Q4" s="8"/>
      <c r="R4" s="93"/>
      <c r="S4" s="93"/>
      <c r="T4" s="94"/>
      <c r="U4" s="369"/>
      <c r="W4" s="233">
        <f>Admin!B4</f>
        <v>42468</v>
      </c>
      <c r="X4" s="6">
        <f t="shared" ref="X4:X53" si="0">X3+1</f>
        <v>3</v>
      </c>
    </row>
    <row r="5" spans="1:24" ht="12" customHeight="1" x14ac:dyDescent="0.25">
      <c r="A5" s="73"/>
      <c r="B5" s="8" t="s">
        <v>19</v>
      </c>
      <c r="C5" s="9"/>
      <c r="D5" s="378"/>
      <c r="E5" s="379"/>
      <c r="F5" s="380"/>
      <c r="G5" s="9"/>
      <c r="H5" s="381" t="s">
        <v>136</v>
      </c>
      <c r="I5" s="381"/>
      <c r="J5" s="381"/>
      <c r="K5" s="381"/>
      <c r="L5" s="381"/>
      <c r="M5" s="381"/>
      <c r="N5" s="381"/>
      <c r="O5" s="381"/>
      <c r="P5" s="82"/>
      <c r="Q5" s="8"/>
      <c r="R5" s="93"/>
      <c r="S5" s="93"/>
      <c r="T5" s="94"/>
      <c r="U5" s="369"/>
      <c r="V5" s="6" t="s">
        <v>78</v>
      </c>
      <c r="W5" s="233">
        <f>Admin!B5</f>
        <v>42469</v>
      </c>
      <c r="X5" s="6">
        <f t="shared" si="0"/>
        <v>4</v>
      </c>
    </row>
    <row r="6" spans="1:24" ht="12" customHeight="1" x14ac:dyDescent="0.25">
      <c r="A6" s="73"/>
      <c r="B6" s="8" t="s">
        <v>13</v>
      </c>
      <c r="C6" s="9"/>
      <c r="D6" s="378"/>
      <c r="E6" s="379"/>
      <c r="F6" s="380"/>
      <c r="G6" s="9"/>
      <c r="H6" s="381"/>
      <c r="I6" s="381"/>
      <c r="J6" s="381"/>
      <c r="K6" s="381"/>
      <c r="L6" s="381"/>
      <c r="M6" s="381"/>
      <c r="N6" s="381"/>
      <c r="O6" s="381"/>
      <c r="P6" s="82"/>
      <c r="Q6" s="8"/>
      <c r="R6" s="93"/>
      <c r="S6" s="93"/>
      <c r="T6" s="94"/>
      <c r="U6" s="369"/>
      <c r="V6" s="6" t="s">
        <v>79</v>
      </c>
      <c r="W6" s="233">
        <f>Admin!B6</f>
        <v>42470</v>
      </c>
      <c r="X6" s="6">
        <f t="shared" si="0"/>
        <v>5</v>
      </c>
    </row>
    <row r="7" spans="1:24" ht="12" customHeight="1" x14ac:dyDescent="0.25">
      <c r="A7" s="73"/>
      <c r="B7" s="8" t="s">
        <v>14</v>
      </c>
      <c r="C7" s="9"/>
      <c r="D7" s="378"/>
      <c r="E7" s="379"/>
      <c r="F7" s="380"/>
      <c r="G7" s="9"/>
      <c r="H7" s="381"/>
      <c r="I7" s="381"/>
      <c r="J7" s="381"/>
      <c r="K7" s="381"/>
      <c r="L7" s="381"/>
      <c r="M7" s="381"/>
      <c r="N7" s="381"/>
      <c r="O7" s="381"/>
      <c r="P7" s="82"/>
      <c r="Q7" s="8"/>
      <c r="R7" s="93"/>
      <c r="S7" s="93"/>
      <c r="T7" s="94"/>
      <c r="U7" s="369"/>
      <c r="V7" s="6" t="s">
        <v>80</v>
      </c>
      <c r="W7" s="233">
        <f>Admin!B7</f>
        <v>42471</v>
      </c>
      <c r="X7" s="6">
        <f t="shared" si="0"/>
        <v>6</v>
      </c>
    </row>
    <row r="8" spans="1:24" ht="12" customHeight="1" x14ac:dyDescent="0.25">
      <c r="A8" s="73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61"/>
      <c r="Q8" s="8"/>
      <c r="R8" s="93"/>
      <c r="S8" s="93"/>
      <c r="T8" s="94"/>
      <c r="U8" s="369"/>
      <c r="V8" s="6" t="s">
        <v>78</v>
      </c>
      <c r="W8" s="233">
        <f>Admin!B8</f>
        <v>42472</v>
      </c>
      <c r="X8" s="6">
        <f t="shared" si="0"/>
        <v>7</v>
      </c>
    </row>
    <row r="9" spans="1:24" ht="12" customHeight="1" x14ac:dyDescent="0.25">
      <c r="A9" s="73"/>
      <c r="B9" s="8" t="s">
        <v>15</v>
      </c>
      <c r="C9" s="9"/>
      <c r="D9" s="11"/>
      <c r="E9" s="9"/>
      <c r="F9" s="9"/>
      <c r="G9" s="9"/>
      <c r="H9" s="82"/>
      <c r="I9" s="8"/>
      <c r="J9" s="8"/>
      <c r="K9" s="83" t="s">
        <v>56</v>
      </c>
      <c r="L9" s="83"/>
      <c r="M9" s="185">
        <f>Admin!B2</f>
        <v>42466</v>
      </c>
      <c r="N9" s="10"/>
      <c r="O9" s="185">
        <f>Admin!I1</f>
        <v>42830</v>
      </c>
      <c r="P9" s="162"/>
      <c r="Q9" s="157"/>
      <c r="R9" s="158"/>
      <c r="S9" s="158"/>
      <c r="T9" s="94"/>
      <c r="U9" s="369"/>
      <c r="W9" s="233">
        <f>Admin!B9</f>
        <v>42473</v>
      </c>
      <c r="X9" s="6">
        <f t="shared" si="0"/>
        <v>8</v>
      </c>
    </row>
    <row r="10" spans="1:24" ht="6" customHeight="1" x14ac:dyDescent="0.25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63"/>
      <c r="Q10" s="75"/>
      <c r="R10" s="95"/>
      <c r="S10" s="95"/>
      <c r="T10" s="96"/>
      <c r="U10" s="369"/>
      <c r="V10" s="6" t="s">
        <v>81</v>
      </c>
      <c r="W10" s="233">
        <f>Admin!B10</f>
        <v>42474</v>
      </c>
      <c r="X10" s="6">
        <f t="shared" si="0"/>
        <v>9</v>
      </c>
    </row>
    <row r="11" spans="1:24" ht="15" customHeight="1" thickBot="1" x14ac:dyDescent="0.3">
      <c r="A11" s="370"/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1"/>
      <c r="S11" s="371"/>
      <c r="T11" s="371"/>
      <c r="U11" s="369"/>
      <c r="W11" s="233">
        <f>Admin!B11</f>
        <v>42475</v>
      </c>
      <c r="X11" s="6">
        <f t="shared" si="0"/>
        <v>10</v>
      </c>
    </row>
    <row r="12" spans="1:24" ht="9" customHeight="1" thickBo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77"/>
      <c r="K12" s="16"/>
      <c r="L12" s="16"/>
      <c r="M12" s="16"/>
      <c r="N12" s="16"/>
      <c r="O12" s="16"/>
      <c r="P12" s="164"/>
      <c r="Q12" s="16"/>
      <c r="R12" s="16"/>
      <c r="S12" s="16"/>
      <c r="T12" s="17"/>
      <c r="U12" s="369"/>
      <c r="V12" s="6" t="s">
        <v>82</v>
      </c>
      <c r="W12" s="233">
        <f>Admin!B12</f>
        <v>42476</v>
      </c>
      <c r="X12" s="6">
        <f t="shared" si="0"/>
        <v>11</v>
      </c>
    </row>
    <row r="13" spans="1:24" ht="15" customHeight="1" thickTop="1" thickBot="1" x14ac:dyDescent="0.3">
      <c r="A13" s="18"/>
      <c r="B13" s="97" t="s">
        <v>33</v>
      </c>
      <c r="C13" s="65"/>
      <c r="D13" s="20"/>
      <c r="E13" s="20"/>
      <c r="F13" s="20"/>
      <c r="G13" s="20"/>
      <c r="H13" s="362" t="s">
        <v>50</v>
      </c>
      <c r="I13" s="20"/>
      <c r="J13" s="29"/>
      <c r="K13" s="97" t="s">
        <v>20</v>
      </c>
      <c r="L13" s="65"/>
      <c r="M13" s="84"/>
      <c r="N13" s="19"/>
      <c r="O13" s="367"/>
      <c r="P13" s="368"/>
      <c r="Q13" s="364"/>
      <c r="R13" s="66"/>
      <c r="S13" s="354"/>
      <c r="T13" s="21"/>
      <c r="U13" s="369"/>
      <c r="V13" s="6" t="s">
        <v>83</v>
      </c>
      <c r="W13" s="233">
        <f>Admin!B13</f>
        <v>42477</v>
      </c>
      <c r="X13" s="6">
        <f t="shared" si="0"/>
        <v>12</v>
      </c>
    </row>
    <row r="14" spans="1:24" ht="6" customHeight="1" thickTop="1" thickBot="1" x14ac:dyDescent="0.3">
      <c r="A14" s="18"/>
      <c r="B14" s="65"/>
      <c r="C14" s="65"/>
      <c r="D14" s="20"/>
      <c r="E14" s="20"/>
      <c r="F14" s="20"/>
      <c r="G14" s="20"/>
      <c r="H14" s="362"/>
      <c r="I14" s="20"/>
      <c r="J14" s="29"/>
      <c r="K14" s="65"/>
      <c r="L14" s="65"/>
      <c r="M14" s="84"/>
      <c r="N14" s="19"/>
      <c r="O14" s="20"/>
      <c r="P14" s="165"/>
      <c r="Q14" s="365"/>
      <c r="R14" s="20"/>
      <c r="S14" s="355"/>
      <c r="T14" s="21"/>
      <c r="U14" s="369"/>
      <c r="W14" s="233">
        <f>Admin!B14</f>
        <v>42478</v>
      </c>
      <c r="X14" s="6">
        <f t="shared" si="0"/>
        <v>13</v>
      </c>
    </row>
    <row r="15" spans="1:24" ht="14.4" thickTop="1" thickBot="1" x14ac:dyDescent="0.3">
      <c r="A15" s="18"/>
      <c r="B15" s="20" t="s">
        <v>55</v>
      </c>
      <c r="C15" s="20"/>
      <c r="D15" s="356"/>
      <c r="E15" s="357"/>
      <c r="F15" s="358"/>
      <c r="G15" s="22"/>
      <c r="H15" s="28" t="s">
        <v>51</v>
      </c>
      <c r="I15" s="22"/>
      <c r="J15" s="64"/>
      <c r="K15" s="20" t="s">
        <v>17</v>
      </c>
      <c r="L15" s="20"/>
      <c r="M15" s="359"/>
      <c r="N15" s="360"/>
      <c r="O15" s="361"/>
      <c r="P15" s="166"/>
      <c r="Q15" s="155"/>
      <c r="R15" s="153"/>
      <c r="S15" s="156"/>
      <c r="T15" s="21"/>
      <c r="U15" s="369"/>
      <c r="W15" s="233">
        <f>Admin!B15</f>
        <v>42479</v>
      </c>
      <c r="X15" s="6">
        <f t="shared" si="0"/>
        <v>14</v>
      </c>
    </row>
    <row r="16" spans="1:24" ht="13.2" thickTop="1" thickBot="1" x14ac:dyDescent="0.3">
      <c r="A16" s="18"/>
      <c r="B16" s="20" t="s">
        <v>12</v>
      </c>
      <c r="C16" s="20"/>
      <c r="D16" s="356"/>
      <c r="E16" s="357"/>
      <c r="F16" s="358"/>
      <c r="G16" s="22"/>
      <c r="H16" s="170"/>
      <c r="I16" s="22"/>
      <c r="J16" s="29"/>
      <c r="K16" s="20"/>
      <c r="L16" s="20"/>
      <c r="M16" s="63"/>
      <c r="N16" s="63"/>
      <c r="O16" s="173"/>
      <c r="P16" s="165"/>
      <c r="Q16" s="37"/>
      <c r="R16" s="66"/>
      <c r="S16" s="37"/>
      <c r="T16" s="21"/>
      <c r="U16" s="369"/>
      <c r="W16" s="233">
        <f>Admin!B16</f>
        <v>42480</v>
      </c>
      <c r="X16" s="6">
        <f t="shared" si="0"/>
        <v>15</v>
      </c>
    </row>
    <row r="17" spans="1:24" ht="13.5" customHeight="1" thickTop="1" x14ac:dyDescent="0.25">
      <c r="A17" s="18"/>
      <c r="B17" s="20"/>
      <c r="C17" s="20"/>
      <c r="D17" s="20"/>
      <c r="E17" s="20"/>
      <c r="F17" s="20"/>
      <c r="G17" s="22"/>
      <c r="H17" s="34" t="s">
        <v>52</v>
      </c>
      <c r="I17" s="22"/>
      <c r="J17" s="29"/>
      <c r="K17" s="22"/>
      <c r="L17" s="22"/>
      <c r="M17" s="20"/>
      <c r="N17" s="20"/>
      <c r="O17" s="20"/>
      <c r="P17" s="20"/>
      <c r="Q17" s="20"/>
      <c r="R17" s="20"/>
      <c r="S17" s="99"/>
      <c r="T17" s="21"/>
      <c r="U17" s="369"/>
      <c r="W17" s="233">
        <f>Admin!B17</f>
        <v>42481</v>
      </c>
      <c r="X17" s="6">
        <f t="shared" si="0"/>
        <v>16</v>
      </c>
    </row>
    <row r="18" spans="1:24" x14ac:dyDescent="0.25">
      <c r="A18" s="18"/>
      <c r="B18" s="20"/>
      <c r="C18" s="20"/>
      <c r="D18" s="20"/>
      <c r="E18" s="20"/>
      <c r="F18" s="20"/>
      <c r="G18" s="22"/>
      <c r="H18" s="171"/>
      <c r="I18" s="22"/>
      <c r="J18" s="29"/>
      <c r="K18" s="22"/>
      <c r="L18" s="22"/>
      <c r="M18" s="20"/>
      <c r="N18" s="20"/>
      <c r="O18" s="20"/>
      <c r="P18" s="20"/>
      <c r="Q18" s="20"/>
      <c r="R18" s="35"/>
      <c r="S18" s="99"/>
      <c r="T18" s="21"/>
      <c r="U18" s="369"/>
      <c r="W18" s="233">
        <f>Admin!B18</f>
        <v>42482</v>
      </c>
      <c r="X18" s="6">
        <f t="shared" si="0"/>
        <v>17</v>
      </c>
    </row>
    <row r="19" spans="1:24" x14ac:dyDescent="0.25">
      <c r="A19" s="18"/>
      <c r="B19" s="20"/>
      <c r="C19" s="20"/>
      <c r="D19" s="20"/>
      <c r="E19" s="20"/>
      <c r="F19" s="20"/>
      <c r="G19" s="22"/>
      <c r="H19" s="34" t="s">
        <v>53</v>
      </c>
      <c r="I19" s="22"/>
      <c r="J19" s="29"/>
      <c r="K19" s="22"/>
      <c r="L19" s="22"/>
      <c r="M19" s="20"/>
      <c r="N19" s="20"/>
      <c r="O19" s="20"/>
      <c r="P19" s="20"/>
      <c r="Q19" s="20"/>
      <c r="R19" s="36"/>
      <c r="S19" s="99"/>
      <c r="T19" s="21"/>
      <c r="U19" s="369"/>
      <c r="W19" s="233">
        <f>Admin!B19</f>
        <v>42483</v>
      </c>
      <c r="X19" s="6">
        <f t="shared" si="0"/>
        <v>18</v>
      </c>
    </row>
    <row r="20" spans="1:24" x14ac:dyDescent="0.25">
      <c r="A20" s="18"/>
      <c r="B20" s="20"/>
      <c r="C20" s="20"/>
      <c r="D20" s="20"/>
      <c r="E20" s="20"/>
      <c r="F20" s="20"/>
      <c r="G20" s="22"/>
      <c r="H20" s="170"/>
      <c r="I20" s="22"/>
      <c r="J20" s="29"/>
      <c r="K20" s="69"/>
      <c r="L20" s="69"/>
      <c r="M20" s="20"/>
      <c r="N20" s="20"/>
      <c r="O20" s="20"/>
      <c r="P20" s="165"/>
      <c r="Q20" s="20"/>
      <c r="R20" s="20"/>
      <c r="S20" s="20"/>
      <c r="T20" s="21"/>
      <c r="U20" s="369"/>
      <c r="W20" s="233">
        <f>Admin!B20</f>
        <v>42484</v>
      </c>
      <c r="X20" s="6">
        <f t="shared" si="0"/>
        <v>19</v>
      </c>
    </row>
    <row r="21" spans="1:24" ht="12" customHeight="1" x14ac:dyDescent="0.25">
      <c r="A21" s="18"/>
      <c r="B21" s="20"/>
      <c r="C21" s="20"/>
      <c r="D21" s="22"/>
      <c r="E21" s="22"/>
      <c r="F21" s="22"/>
      <c r="G21" s="22"/>
      <c r="H21" s="28" t="s">
        <v>54</v>
      </c>
      <c r="I21" s="22"/>
      <c r="J21" s="29"/>
      <c r="K21" s="20"/>
      <c r="L21" s="20"/>
      <c r="M21" s="20"/>
      <c r="N21" s="20"/>
      <c r="O21" s="20"/>
      <c r="P21" s="165"/>
      <c r="Q21" s="20"/>
      <c r="R21" s="20"/>
      <c r="S21" s="20"/>
      <c r="T21" s="78"/>
      <c r="U21" s="369"/>
      <c r="W21" s="233">
        <f>Admin!B21</f>
        <v>42485</v>
      </c>
      <c r="X21" s="6">
        <f t="shared" si="0"/>
        <v>20</v>
      </c>
    </row>
    <row r="22" spans="1:24" ht="15" customHeight="1" x14ac:dyDescent="0.25">
      <c r="A22" s="18"/>
      <c r="B22" s="20"/>
      <c r="C22" s="20"/>
      <c r="D22" s="20"/>
      <c r="E22" s="20"/>
      <c r="F22" s="20"/>
      <c r="G22" s="20"/>
      <c r="H22" s="172"/>
      <c r="I22" s="20"/>
      <c r="J22" s="29"/>
      <c r="K22" s="99"/>
      <c r="L22" s="99"/>
      <c r="M22" s="99"/>
      <c r="N22" s="99"/>
      <c r="O22" s="99"/>
      <c r="P22" s="99"/>
      <c r="Q22" s="99"/>
      <c r="R22" s="66"/>
      <c r="S22" s="67"/>
      <c r="T22" s="21"/>
      <c r="U22" s="369"/>
      <c r="W22" s="233">
        <f>Admin!B22</f>
        <v>42486</v>
      </c>
      <c r="X22" s="6">
        <f t="shared" si="0"/>
        <v>21</v>
      </c>
    </row>
    <row r="23" spans="1:24" ht="12.6" thickBot="1" x14ac:dyDescent="0.3">
      <c r="A23" s="18"/>
      <c r="B23" s="20"/>
      <c r="C23" s="20"/>
      <c r="D23" s="62"/>
      <c r="E23" s="20"/>
      <c r="F23" s="37" t="s">
        <v>30</v>
      </c>
      <c r="G23" s="66"/>
      <c r="H23" s="20"/>
      <c r="I23" s="22"/>
      <c r="J23" s="29"/>
      <c r="K23" s="99"/>
      <c r="L23" s="99"/>
      <c r="M23" s="99"/>
      <c r="N23" s="99"/>
      <c r="O23" s="99"/>
      <c r="P23" s="99"/>
      <c r="Q23" s="99"/>
      <c r="R23" s="20"/>
      <c r="S23" s="99"/>
      <c r="T23" s="21"/>
      <c r="U23" s="369"/>
      <c r="W23" s="233">
        <f>Admin!B23</f>
        <v>42487</v>
      </c>
      <c r="X23" s="6">
        <f t="shared" si="0"/>
        <v>22</v>
      </c>
    </row>
    <row r="24" spans="1:24" ht="13.2" thickTop="1" thickBot="1" x14ac:dyDescent="0.3">
      <c r="A24" s="18"/>
      <c r="B24" s="20" t="str">
        <f>"Starting date (existing = " &amp; TEXT(M9,"dd/mm/yy") &amp; ")"</f>
        <v>Starting date (existing = 06/04/16)</v>
      </c>
      <c r="C24" s="20"/>
      <c r="D24" s="148"/>
      <c r="E24" s="20"/>
      <c r="F24" s="98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99"/>
      <c r="L24" s="99"/>
      <c r="M24" s="99"/>
      <c r="N24" s="99"/>
      <c r="O24" s="99"/>
      <c r="P24" s="99"/>
      <c r="Q24" s="99" t="str">
        <f>IF(O24&gt;0,"Enter Date"," ")</f>
        <v xml:space="preserve"> </v>
      </c>
      <c r="R24" s="24"/>
      <c r="S24" s="99" t="str">
        <f>IF(Q24=" "," ",IF(D28="W",LOOKUP(Q24,Admin!B:B,Admin!C:C),IF(D28="m",LOOKUP(Q24,Admin!B:B,Admin!D:D),"Check D28")))</f>
        <v xml:space="preserve"> </v>
      </c>
      <c r="T24" s="21"/>
      <c r="U24" s="369"/>
      <c r="W24" s="233">
        <f>Admin!B24</f>
        <v>42488</v>
      </c>
      <c r="X24" s="6">
        <f t="shared" si="0"/>
        <v>23</v>
      </c>
    </row>
    <row r="25" spans="1:24" ht="6" customHeight="1" thickTop="1" thickBot="1" x14ac:dyDescent="0.3">
      <c r="A25" s="18"/>
      <c r="B25" s="20"/>
      <c r="C25" s="20"/>
      <c r="D25" s="62"/>
      <c r="E25" s="20"/>
      <c r="F25" s="98"/>
      <c r="G25" s="68"/>
      <c r="H25" s="20"/>
      <c r="I25" s="327"/>
      <c r="J25" s="20"/>
      <c r="K25" s="99"/>
      <c r="L25" s="99"/>
      <c r="M25" s="99"/>
      <c r="N25" s="99"/>
      <c r="O25" s="99"/>
      <c r="P25" s="99"/>
      <c r="Q25" s="99"/>
      <c r="R25" s="24"/>
      <c r="S25" s="99"/>
      <c r="T25" s="21"/>
      <c r="U25" s="369"/>
      <c r="W25" s="233">
        <f>Admin!B25</f>
        <v>42489</v>
      </c>
      <c r="X25" s="6">
        <f t="shared" si="0"/>
        <v>24</v>
      </c>
    </row>
    <row r="26" spans="1:24" ht="13.2" thickTop="1" thickBot="1" x14ac:dyDescent="0.3">
      <c r="A26" s="18"/>
      <c r="B26" s="20" t="s">
        <v>68</v>
      </c>
      <c r="C26" s="20"/>
      <c r="D26" s="148"/>
      <c r="E26" s="20"/>
      <c r="F26" s="98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99"/>
      <c r="L26" s="99"/>
      <c r="M26" s="99"/>
      <c r="N26" s="99"/>
      <c r="O26" s="99"/>
      <c r="P26" s="99"/>
      <c r="Q26" s="99"/>
      <c r="R26" s="66"/>
      <c r="S26" s="67"/>
      <c r="T26" s="21"/>
      <c r="U26" s="369"/>
      <c r="W26" s="233">
        <f>Admin!B26</f>
        <v>42490</v>
      </c>
      <c r="X26" s="6">
        <f t="shared" si="0"/>
        <v>25</v>
      </c>
    </row>
    <row r="27" spans="1:24" ht="13.2" thickTop="1" thickBot="1" x14ac:dyDescent="0.3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99"/>
      <c r="L27" s="99"/>
      <c r="M27" s="99"/>
      <c r="N27" s="99"/>
      <c r="O27" s="99"/>
      <c r="P27" s="99"/>
      <c r="Q27" s="99" t="str">
        <f>IF(M27&gt;0,D24," ")</f>
        <v xml:space="preserve"> </v>
      </c>
      <c r="R27" s="24"/>
      <c r="S27" s="99" t="str">
        <f>IF(Q27=" "," ",IF(D28="W",LOOKUP(Q27,Admin!B:B,Admin!C:C),IF(D28="m",LOOKUP(Q27,Admin!B:B,Admin!D:D),"Check D28")))</f>
        <v xml:space="preserve"> </v>
      </c>
      <c r="T27" s="21"/>
      <c r="U27" s="369"/>
      <c r="W27" s="233">
        <f>Admin!B27</f>
        <v>42491</v>
      </c>
      <c r="X27" s="6">
        <f t="shared" si="0"/>
        <v>26</v>
      </c>
    </row>
    <row r="28" spans="1:24" ht="13.2" thickTop="1" thickBot="1" x14ac:dyDescent="0.3">
      <c r="A28" s="18"/>
      <c r="B28" s="22" t="s">
        <v>21</v>
      </c>
      <c r="C28" s="22"/>
      <c r="D28" s="85"/>
      <c r="E28" s="28" t="s">
        <v>29</v>
      </c>
      <c r="F28" s="200" t="str">
        <f>IF(D30="D","Enter M for Director","Enter M or W for Employee")</f>
        <v>Enter M or W for Employee</v>
      </c>
      <c r="G28" s="20"/>
      <c r="H28" s="23"/>
      <c r="I28" s="23"/>
      <c r="J28" s="29"/>
      <c r="K28" s="99"/>
      <c r="L28" s="99"/>
      <c r="M28" s="99"/>
      <c r="N28" s="99"/>
      <c r="O28" s="99"/>
      <c r="P28" s="99"/>
      <c r="Q28" s="99" t="str">
        <f>IF(M28&gt;0,"Enter Date"," ")</f>
        <v xml:space="preserve"> </v>
      </c>
      <c r="R28" s="24"/>
      <c r="S28" s="99" t="str">
        <f>IF(Q28=" "," ",IF(D28="W",LOOKUP(Q28,Admin!B:B,Admin!C:C),IF(D28="m",LOOKUP(Q28,Admin!B:B,Admin!D:D),"Check D28")))</f>
        <v xml:space="preserve"> </v>
      </c>
      <c r="T28" s="21"/>
      <c r="U28" s="369"/>
      <c r="W28" s="233">
        <f>Admin!B28</f>
        <v>42492</v>
      </c>
      <c r="X28" s="6">
        <f t="shared" si="0"/>
        <v>27</v>
      </c>
    </row>
    <row r="29" spans="1:24" ht="12.6" thickTop="1" x14ac:dyDescent="0.25">
      <c r="A29" s="18"/>
      <c r="B29" s="22" t="s">
        <v>16</v>
      </c>
      <c r="C29" s="22"/>
      <c r="D29" s="154">
        <v>1</v>
      </c>
      <c r="E29" s="25"/>
      <c r="F29" s="70"/>
      <c r="G29" s="34"/>
      <c r="H29" s="20"/>
      <c r="I29" s="20"/>
      <c r="J29" s="29"/>
      <c r="K29" s="99"/>
      <c r="L29" s="99"/>
      <c r="M29" s="99"/>
      <c r="N29" s="99"/>
      <c r="O29" s="99"/>
      <c r="P29" s="99"/>
      <c r="Q29" s="99" t="str">
        <f>IF(M29&gt;0,"Enter Date"," ")</f>
        <v xml:space="preserve"> </v>
      </c>
      <c r="R29" s="24"/>
      <c r="S29" s="99" t="str">
        <f>IF(Q29=" "," ",IF(D28="W",LOOKUP(Q29,Admin!B:B,Admin!C:C),IF(D28="m",LOOKUP(Q29,Admin!B:B,Admin!D:D),"Check D28")))</f>
        <v xml:space="preserve"> </v>
      </c>
      <c r="T29" s="21"/>
      <c r="U29" s="369"/>
      <c r="W29" s="233">
        <f>Admin!B29</f>
        <v>42493</v>
      </c>
      <c r="X29" s="6">
        <f t="shared" si="0"/>
        <v>28</v>
      </c>
    </row>
    <row r="30" spans="1:24" ht="13.5" customHeight="1" x14ac:dyDescent="0.25">
      <c r="A30" s="18"/>
      <c r="B30" s="22" t="s">
        <v>67</v>
      </c>
      <c r="C30" s="22"/>
      <c r="D30" s="226"/>
      <c r="E30" s="20"/>
      <c r="F30" s="199" t="s">
        <v>75</v>
      </c>
      <c r="G30" s="34"/>
      <c r="H30" s="20"/>
      <c r="I30" s="20"/>
      <c r="J30" s="29"/>
      <c r="K30" s="99"/>
      <c r="L30" s="99"/>
      <c r="M30" s="99"/>
      <c r="N30" s="99"/>
      <c r="O30" s="99"/>
      <c r="P30" s="99"/>
      <c r="Q30" s="99" t="str">
        <f>IF(M30&gt;0,"Enter Date"," ")</f>
        <v xml:space="preserve"> </v>
      </c>
      <c r="R30" s="24"/>
      <c r="S30" s="99" t="str">
        <f>IF(Q30=" "," ",IF(D28="W",LOOKUP(Q30,Admin!B:B,Admin!C:C),IF(D28="m",LOOKUP(Q30,Admin!B:B,Admin!D:D),"Check D28")))</f>
        <v xml:space="preserve"> </v>
      </c>
      <c r="T30" s="21"/>
      <c r="U30" s="369"/>
      <c r="W30" s="233">
        <f>Admin!B30</f>
        <v>42494</v>
      </c>
      <c r="X30" s="6">
        <f t="shared" si="0"/>
        <v>29</v>
      </c>
    </row>
    <row r="31" spans="1:24" ht="12" customHeight="1" x14ac:dyDescent="0.25">
      <c r="A31" s="18"/>
      <c r="B31" s="20"/>
      <c r="C31" s="20"/>
      <c r="D31" s="20"/>
      <c r="E31" s="20"/>
      <c r="F31" s="234"/>
      <c r="G31" s="234"/>
      <c r="H31" s="234"/>
      <c r="I31" s="20"/>
      <c r="J31" s="29"/>
      <c r="K31" s="99"/>
      <c r="L31" s="99"/>
      <c r="M31" s="99"/>
      <c r="N31" s="99"/>
      <c r="O31" s="99"/>
      <c r="P31" s="99"/>
      <c r="Q31" s="99"/>
      <c r="R31" s="20"/>
      <c r="S31" s="37"/>
      <c r="T31" s="21"/>
      <c r="U31" s="369"/>
      <c r="W31" s="233">
        <f>Admin!B31</f>
        <v>42495</v>
      </c>
      <c r="X31" s="6">
        <f t="shared" si="0"/>
        <v>30</v>
      </c>
    </row>
    <row r="32" spans="1:24" ht="6" customHeight="1" x14ac:dyDescent="0.25">
      <c r="A32" s="18"/>
      <c r="B32" s="20"/>
      <c r="C32" s="20"/>
      <c r="D32" s="20"/>
      <c r="E32" s="20"/>
      <c r="F32" s="235"/>
      <c r="G32" s="235"/>
      <c r="H32" s="235"/>
      <c r="I32" s="20"/>
      <c r="J32" s="29"/>
      <c r="K32" s="69"/>
      <c r="L32" s="69"/>
      <c r="M32" s="69"/>
      <c r="N32" s="69"/>
      <c r="O32" s="69"/>
      <c r="P32" s="167"/>
      <c r="Q32" s="69"/>
      <c r="R32" s="20"/>
      <c r="S32" s="37"/>
      <c r="T32" s="21"/>
      <c r="U32" s="369"/>
      <c r="W32" s="233">
        <f>Admin!B32</f>
        <v>42496</v>
      </c>
      <c r="X32" s="6">
        <f t="shared" si="0"/>
        <v>31</v>
      </c>
    </row>
    <row r="33" spans="1:24" ht="12" customHeight="1" x14ac:dyDescent="0.25">
      <c r="A33" s="18"/>
      <c r="B33" s="99"/>
      <c r="C33" s="99"/>
      <c r="D33" s="99"/>
      <c r="E33" s="99"/>
      <c r="F33" s="99"/>
      <c r="G33" s="99"/>
      <c r="H33" s="99"/>
      <c r="I33" s="20"/>
      <c r="J33" s="29"/>
      <c r="K33" s="99"/>
      <c r="L33" s="99"/>
      <c r="M33" s="99"/>
      <c r="N33" s="99"/>
      <c r="O33" s="99"/>
      <c r="P33" s="99"/>
      <c r="Q33" s="99"/>
      <c r="R33" s="99"/>
      <c r="S33" s="99"/>
      <c r="T33" s="21"/>
      <c r="U33" s="369"/>
      <c r="W33" s="233">
        <f>Admin!B33</f>
        <v>42497</v>
      </c>
      <c r="X33" s="6">
        <f t="shared" si="0"/>
        <v>32</v>
      </c>
    </row>
    <row r="34" spans="1:24" x14ac:dyDescent="0.25">
      <c r="A34" s="18"/>
      <c r="B34" s="99"/>
      <c r="C34" s="99"/>
      <c r="D34" s="99"/>
      <c r="E34" s="99"/>
      <c r="F34" s="99"/>
      <c r="G34" s="99"/>
      <c r="H34" s="99"/>
      <c r="I34" s="20"/>
      <c r="J34" s="29"/>
      <c r="K34" s="99"/>
      <c r="L34" s="99"/>
      <c r="M34" s="99"/>
      <c r="N34" s="99"/>
      <c r="O34" s="99"/>
      <c r="P34" s="99"/>
      <c r="Q34" s="99" t="str">
        <f>IF(O34="Y","Enter Date"," ")</f>
        <v xml:space="preserve"> </v>
      </c>
      <c r="R34" s="99"/>
      <c r="S34" s="99"/>
      <c r="T34" s="21"/>
      <c r="U34" s="369"/>
      <c r="W34" s="233">
        <f>Admin!B34</f>
        <v>42498</v>
      </c>
      <c r="X34" s="6">
        <f t="shared" si="0"/>
        <v>33</v>
      </c>
    </row>
    <row r="35" spans="1:24" ht="13.5" customHeight="1" x14ac:dyDescent="0.25">
      <c r="A35" s="18"/>
      <c r="B35" s="99"/>
      <c r="C35" s="99"/>
      <c r="D35" s="99"/>
      <c r="E35" s="99"/>
      <c r="F35" s="99"/>
      <c r="G35" s="99"/>
      <c r="H35" s="99"/>
      <c r="I35" s="20"/>
      <c r="J35" s="29"/>
      <c r="K35" s="99"/>
      <c r="L35" s="99"/>
      <c r="M35" s="99"/>
      <c r="N35" s="99"/>
      <c r="O35" s="99"/>
      <c r="P35" s="99"/>
      <c r="Q35" s="99"/>
      <c r="R35" s="99"/>
      <c r="S35" s="99"/>
      <c r="T35" s="21"/>
      <c r="U35" s="369"/>
      <c r="W35" s="233">
        <f>Admin!B35</f>
        <v>42499</v>
      </c>
      <c r="X35" s="6">
        <f t="shared" si="0"/>
        <v>34</v>
      </c>
    </row>
    <row r="36" spans="1:24" ht="9" customHeight="1" thickBot="1" x14ac:dyDescent="0.3">
      <c r="A36" s="79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68"/>
      <c r="Q36" s="26"/>
      <c r="R36" s="26"/>
      <c r="S36" s="26"/>
      <c r="T36" s="32"/>
      <c r="U36" s="369"/>
      <c r="W36" s="233">
        <f>Admin!B36</f>
        <v>42500</v>
      </c>
      <c r="X36" s="6">
        <f t="shared" si="0"/>
        <v>35</v>
      </c>
    </row>
    <row r="37" spans="1:24" ht="22.5" customHeight="1" thickBot="1" x14ac:dyDescent="0.3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  <c r="U37" s="365"/>
      <c r="W37" s="233">
        <f>Admin!B37</f>
        <v>42501</v>
      </c>
      <c r="X37" s="6">
        <f t="shared" si="0"/>
        <v>36</v>
      </c>
    </row>
    <row r="38" spans="1:24" ht="9" customHeight="1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77"/>
      <c r="K38" s="16"/>
      <c r="L38" s="16"/>
      <c r="M38" s="16"/>
      <c r="N38" s="16"/>
      <c r="O38" s="16"/>
      <c r="P38" s="164"/>
      <c r="Q38" s="16"/>
      <c r="R38" s="16"/>
      <c r="S38" s="16"/>
      <c r="T38" s="17"/>
      <c r="U38" s="365"/>
      <c r="W38" s="233">
        <f>Admin!B38</f>
        <v>42502</v>
      </c>
      <c r="X38" s="6">
        <f t="shared" si="0"/>
        <v>37</v>
      </c>
    </row>
    <row r="39" spans="1:24" ht="15" customHeight="1" thickTop="1" thickBot="1" x14ac:dyDescent="0.3">
      <c r="A39" s="18"/>
      <c r="B39" s="97" t="s">
        <v>34</v>
      </c>
      <c r="C39" s="65"/>
      <c r="D39" s="20"/>
      <c r="E39" s="20"/>
      <c r="F39" s="20"/>
      <c r="G39" s="20"/>
      <c r="H39" s="362" t="s">
        <v>50</v>
      </c>
      <c r="I39" s="20"/>
      <c r="J39" s="29"/>
      <c r="K39" s="97" t="s">
        <v>20</v>
      </c>
      <c r="L39" s="65"/>
      <c r="M39" s="84"/>
      <c r="N39" s="19"/>
      <c r="O39" s="367"/>
      <c r="P39" s="368"/>
      <c r="Q39" s="364"/>
      <c r="R39" s="66"/>
      <c r="S39" s="354"/>
      <c r="T39" s="21"/>
      <c r="U39" s="365"/>
      <c r="W39" s="233">
        <f>Admin!B39</f>
        <v>42503</v>
      </c>
      <c r="X39" s="6">
        <f t="shared" si="0"/>
        <v>38</v>
      </c>
    </row>
    <row r="40" spans="1:24" ht="6" customHeight="1" thickTop="1" thickBot="1" x14ac:dyDescent="0.3">
      <c r="A40" s="18"/>
      <c r="B40" s="65"/>
      <c r="C40" s="65"/>
      <c r="D40" s="20"/>
      <c r="E40" s="20"/>
      <c r="F40" s="20"/>
      <c r="G40" s="20"/>
      <c r="H40" s="362"/>
      <c r="I40" s="20"/>
      <c r="J40" s="29"/>
      <c r="K40" s="65"/>
      <c r="L40" s="65"/>
      <c r="M40" s="84"/>
      <c r="N40" s="19"/>
      <c r="O40" s="20"/>
      <c r="P40" s="165"/>
      <c r="Q40" s="365"/>
      <c r="R40" s="20"/>
      <c r="S40" s="355"/>
      <c r="T40" s="21"/>
      <c r="U40" s="365"/>
      <c r="W40" s="233">
        <f>Admin!B40</f>
        <v>42504</v>
      </c>
      <c r="X40" s="6">
        <f t="shared" si="0"/>
        <v>39</v>
      </c>
    </row>
    <row r="41" spans="1:24" ht="14.4" thickTop="1" thickBot="1" x14ac:dyDescent="0.3">
      <c r="A41" s="18"/>
      <c r="B41" s="20" t="s">
        <v>11</v>
      </c>
      <c r="C41" s="20"/>
      <c r="D41" s="356"/>
      <c r="E41" s="357"/>
      <c r="F41" s="358"/>
      <c r="G41" s="22"/>
      <c r="H41" s="28" t="s">
        <v>51</v>
      </c>
      <c r="I41" s="22"/>
      <c r="J41" s="64"/>
      <c r="K41" s="20" t="s">
        <v>17</v>
      </c>
      <c r="L41" s="20"/>
      <c r="M41" s="359"/>
      <c r="N41" s="360"/>
      <c r="O41" s="361"/>
      <c r="P41" s="166"/>
      <c r="Q41" s="155"/>
      <c r="R41" s="153"/>
      <c r="S41" s="156"/>
      <c r="T41" s="21"/>
      <c r="U41" s="365"/>
      <c r="W41" s="233">
        <f>Admin!B41</f>
        <v>42505</v>
      </c>
      <c r="X41" s="6">
        <f t="shared" si="0"/>
        <v>40</v>
      </c>
    </row>
    <row r="42" spans="1:24" ht="13.2" thickTop="1" thickBot="1" x14ac:dyDescent="0.3">
      <c r="A42" s="18"/>
      <c r="B42" s="20" t="s">
        <v>12</v>
      </c>
      <c r="C42" s="20"/>
      <c r="D42" s="356"/>
      <c r="E42" s="357"/>
      <c r="F42" s="358"/>
      <c r="G42" s="22"/>
      <c r="H42" s="170"/>
      <c r="I42" s="22"/>
      <c r="J42" s="29"/>
      <c r="K42" s="20"/>
      <c r="L42" s="20"/>
      <c r="M42" s="63"/>
      <c r="N42" s="63"/>
      <c r="O42" s="173"/>
      <c r="P42" s="174"/>
      <c r="Q42" s="37"/>
      <c r="R42" s="28"/>
      <c r="S42" s="37"/>
      <c r="T42" s="21"/>
      <c r="U42" s="365"/>
      <c r="W42" s="233">
        <f>Admin!B42</f>
        <v>42506</v>
      </c>
      <c r="X42" s="6">
        <f t="shared" si="0"/>
        <v>41</v>
      </c>
    </row>
    <row r="43" spans="1:24" ht="12.6" thickTop="1" x14ac:dyDescent="0.25">
      <c r="A43" s="18"/>
      <c r="B43" s="20"/>
      <c r="C43" s="20"/>
      <c r="D43" s="99"/>
      <c r="E43" s="99"/>
      <c r="F43" s="99"/>
      <c r="G43" s="22"/>
      <c r="H43" s="34" t="s">
        <v>52</v>
      </c>
      <c r="I43" s="22"/>
      <c r="J43" s="29"/>
      <c r="K43" s="99"/>
      <c r="L43" s="99"/>
      <c r="M43" s="99"/>
      <c r="N43" s="99"/>
      <c r="O43" s="99"/>
      <c r="P43" s="99"/>
      <c r="Q43" s="99"/>
      <c r="R43" s="99"/>
      <c r="S43" s="99"/>
      <c r="T43" s="21"/>
      <c r="U43" s="365"/>
      <c r="W43" s="233">
        <f>Admin!B43</f>
        <v>42507</v>
      </c>
      <c r="X43" s="6">
        <f t="shared" si="0"/>
        <v>42</v>
      </c>
    </row>
    <row r="44" spans="1:24" x14ac:dyDescent="0.25">
      <c r="A44" s="18"/>
      <c r="B44" s="20"/>
      <c r="C44" s="20"/>
      <c r="D44" s="99"/>
      <c r="E44" s="99"/>
      <c r="F44" s="99"/>
      <c r="G44" s="22"/>
      <c r="H44" s="171"/>
      <c r="I44" s="22"/>
      <c r="J44" s="29"/>
      <c r="K44" s="99"/>
      <c r="L44" s="99"/>
      <c r="M44" s="99"/>
      <c r="N44" s="99"/>
      <c r="O44" s="99"/>
      <c r="P44" s="99"/>
      <c r="Q44" s="99"/>
      <c r="R44" s="99"/>
      <c r="S44" s="99"/>
      <c r="T44" s="21"/>
      <c r="U44" s="365"/>
      <c r="W44" s="233">
        <f>Admin!B44</f>
        <v>42508</v>
      </c>
      <c r="X44" s="6">
        <f t="shared" si="0"/>
        <v>43</v>
      </c>
    </row>
    <row r="45" spans="1:24" x14ac:dyDescent="0.25">
      <c r="A45" s="18"/>
      <c r="B45" s="20"/>
      <c r="C45" s="20"/>
      <c r="D45" s="99"/>
      <c r="E45" s="99"/>
      <c r="F45" s="99"/>
      <c r="G45" s="22"/>
      <c r="H45" s="34" t="s">
        <v>53</v>
      </c>
      <c r="I45" s="22"/>
      <c r="J45" s="29"/>
      <c r="K45" s="99"/>
      <c r="L45" s="99"/>
      <c r="M45" s="99"/>
      <c r="N45" s="99"/>
      <c r="O45" s="99"/>
      <c r="P45" s="99"/>
      <c r="Q45" s="99"/>
      <c r="R45" s="99"/>
      <c r="S45" s="99"/>
      <c r="T45" s="21"/>
      <c r="U45" s="365"/>
      <c r="W45" s="233">
        <f>Admin!B45</f>
        <v>42509</v>
      </c>
      <c r="X45" s="6">
        <f t="shared" si="0"/>
        <v>44</v>
      </c>
    </row>
    <row r="46" spans="1:24" x14ac:dyDescent="0.25">
      <c r="A46" s="18"/>
      <c r="B46" s="20"/>
      <c r="C46" s="20"/>
      <c r="D46" s="99"/>
      <c r="E46" s="99"/>
      <c r="F46" s="99"/>
      <c r="G46" s="22"/>
      <c r="H46" s="170"/>
      <c r="I46" s="22"/>
      <c r="J46" s="29"/>
      <c r="K46" s="99"/>
      <c r="L46" s="99"/>
      <c r="M46" s="99"/>
      <c r="N46" s="99"/>
      <c r="O46" s="99"/>
      <c r="P46" s="99"/>
      <c r="Q46" s="99"/>
      <c r="R46" s="99"/>
      <c r="S46" s="99"/>
      <c r="T46" s="21"/>
      <c r="U46" s="365"/>
      <c r="W46" s="233">
        <f>Admin!B46</f>
        <v>42510</v>
      </c>
      <c r="X46" s="6">
        <f t="shared" si="0"/>
        <v>45</v>
      </c>
    </row>
    <row r="47" spans="1:24" ht="12" customHeight="1" x14ac:dyDescent="0.25">
      <c r="A47" s="18"/>
      <c r="B47" s="20"/>
      <c r="C47" s="20"/>
      <c r="D47" s="99"/>
      <c r="E47" s="99"/>
      <c r="F47" s="99"/>
      <c r="G47" s="22"/>
      <c r="H47" s="28" t="s">
        <v>54</v>
      </c>
      <c r="I47" s="22"/>
      <c r="J47" s="29"/>
      <c r="K47" s="99"/>
      <c r="L47" s="99"/>
      <c r="M47" s="99"/>
      <c r="N47" s="99"/>
      <c r="O47" s="99"/>
      <c r="P47" s="99"/>
      <c r="Q47" s="99"/>
      <c r="R47" s="99"/>
      <c r="S47" s="99"/>
      <c r="T47" s="78"/>
      <c r="U47" s="365"/>
      <c r="W47" s="233">
        <f>Admin!B47</f>
        <v>42511</v>
      </c>
      <c r="X47" s="6">
        <f t="shared" si="0"/>
        <v>46</v>
      </c>
    </row>
    <row r="48" spans="1:24" ht="15" customHeight="1" x14ac:dyDescent="0.25">
      <c r="A48" s="18"/>
      <c r="B48" s="20"/>
      <c r="C48" s="20"/>
      <c r="D48" s="20"/>
      <c r="E48" s="99"/>
      <c r="F48" s="99"/>
      <c r="G48" s="20"/>
      <c r="H48" s="172"/>
      <c r="I48" s="20"/>
      <c r="J48" s="29"/>
      <c r="K48" s="99"/>
      <c r="L48" s="99"/>
      <c r="M48" s="99"/>
      <c r="N48" s="99"/>
      <c r="O48" s="99"/>
      <c r="P48" s="99"/>
      <c r="Q48" s="99"/>
      <c r="R48" s="99"/>
      <c r="S48" s="99"/>
      <c r="T48" s="21"/>
      <c r="U48" s="365"/>
      <c r="W48" s="233">
        <f>Admin!B48</f>
        <v>42512</v>
      </c>
      <c r="X48" s="6">
        <f t="shared" si="0"/>
        <v>47</v>
      </c>
    </row>
    <row r="49" spans="1:24" ht="12.6" thickBot="1" x14ac:dyDescent="0.3">
      <c r="A49" s="18"/>
      <c r="B49" s="20"/>
      <c r="C49" s="20"/>
      <c r="D49" s="62"/>
      <c r="E49" s="20"/>
      <c r="F49" s="37" t="s">
        <v>30</v>
      </c>
      <c r="G49" s="66"/>
      <c r="H49" s="20"/>
      <c r="I49" s="22"/>
      <c r="J49" s="29"/>
      <c r="K49" s="99"/>
      <c r="L49" s="99"/>
      <c r="M49" s="99"/>
      <c r="N49" s="99"/>
      <c r="O49" s="99"/>
      <c r="P49" s="99"/>
      <c r="Q49" s="99"/>
      <c r="R49" s="99"/>
      <c r="S49" s="99"/>
      <c r="T49" s="21"/>
      <c r="U49" s="365"/>
      <c r="W49" s="233">
        <f>Admin!B49</f>
        <v>42513</v>
      </c>
      <c r="X49" s="6">
        <f t="shared" si="0"/>
        <v>48</v>
      </c>
    </row>
    <row r="50" spans="1:24" ht="13.2" thickTop="1" thickBot="1" x14ac:dyDescent="0.3">
      <c r="A50" s="18"/>
      <c r="B50" s="20" t="str">
        <f>B24</f>
        <v>Starting date (existing = 06/04/16)</v>
      </c>
      <c r="C50" s="20"/>
      <c r="D50" s="148"/>
      <c r="E50" s="20"/>
      <c r="F50" s="98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99"/>
      <c r="L50" s="99"/>
      <c r="M50" s="99"/>
      <c r="N50" s="99"/>
      <c r="O50" s="99"/>
      <c r="P50" s="99"/>
      <c r="Q50" s="99"/>
      <c r="R50" s="99"/>
      <c r="S50" s="99"/>
      <c r="T50" s="21"/>
      <c r="U50" s="365"/>
      <c r="W50" s="233">
        <f>Admin!B50</f>
        <v>42514</v>
      </c>
      <c r="X50" s="6">
        <f t="shared" si="0"/>
        <v>49</v>
      </c>
    </row>
    <row r="51" spans="1:24" ht="6" customHeight="1" thickTop="1" thickBot="1" x14ac:dyDescent="0.3">
      <c r="A51" s="18"/>
      <c r="B51" s="20"/>
      <c r="C51" s="20"/>
      <c r="D51" s="62"/>
      <c r="E51" s="20"/>
      <c r="F51" s="98"/>
      <c r="G51" s="68"/>
      <c r="H51" s="20"/>
      <c r="I51" s="327"/>
      <c r="J51" s="20"/>
      <c r="K51" s="99"/>
      <c r="L51" s="99"/>
      <c r="M51" s="99"/>
      <c r="N51" s="99"/>
      <c r="O51" s="99"/>
      <c r="P51" s="99"/>
      <c r="Q51" s="99"/>
      <c r="R51" s="99"/>
      <c r="S51" s="99"/>
      <c r="T51" s="21"/>
      <c r="U51" s="365"/>
      <c r="W51" s="233">
        <f>Admin!B51</f>
        <v>42515</v>
      </c>
      <c r="X51" s="6">
        <f t="shared" si="0"/>
        <v>50</v>
      </c>
    </row>
    <row r="52" spans="1:24" ht="14.25" customHeight="1" thickTop="1" thickBot="1" x14ac:dyDescent="0.3">
      <c r="A52" s="18"/>
      <c r="B52" s="20" t="s">
        <v>68</v>
      </c>
      <c r="C52" s="20"/>
      <c r="D52" s="148"/>
      <c r="E52" s="20"/>
      <c r="F52" s="98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99"/>
      <c r="L52" s="99"/>
      <c r="M52" s="99"/>
      <c r="N52" s="99"/>
      <c r="O52" s="99"/>
      <c r="P52" s="99"/>
      <c r="Q52" s="99"/>
      <c r="R52" s="99"/>
      <c r="S52" s="99"/>
      <c r="T52" s="21"/>
      <c r="U52" s="365"/>
      <c r="W52" s="233">
        <f>Admin!B52</f>
        <v>42516</v>
      </c>
      <c r="X52" s="6">
        <f t="shared" si="0"/>
        <v>51</v>
      </c>
    </row>
    <row r="53" spans="1:24" ht="13.2" thickTop="1" thickBot="1" x14ac:dyDescent="0.3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99"/>
      <c r="L53" s="99"/>
      <c r="M53" s="99"/>
      <c r="N53" s="99"/>
      <c r="O53" s="99"/>
      <c r="P53" s="99"/>
      <c r="Q53" s="99"/>
      <c r="R53" s="99"/>
      <c r="S53" s="99"/>
      <c r="T53" s="21"/>
      <c r="U53" s="365"/>
      <c r="W53" s="233">
        <f>Admin!B53</f>
        <v>42517</v>
      </c>
      <c r="X53" s="6">
        <f t="shared" si="0"/>
        <v>52</v>
      </c>
    </row>
    <row r="54" spans="1:24" ht="13.2" thickTop="1" thickBot="1" x14ac:dyDescent="0.3">
      <c r="A54" s="18"/>
      <c r="B54" s="22" t="s">
        <v>21</v>
      </c>
      <c r="C54" s="22"/>
      <c r="D54" s="85"/>
      <c r="E54" s="28" t="s">
        <v>29</v>
      </c>
      <c r="F54" s="200" t="str">
        <f>IF(D56="D","Enter M for Director","Enter M or W for Employee")</f>
        <v>Enter M or W for Employee</v>
      </c>
      <c r="G54" s="20"/>
      <c r="H54" s="23"/>
      <c r="I54" s="23"/>
      <c r="J54" s="29"/>
      <c r="K54" s="99"/>
      <c r="L54" s="99"/>
      <c r="M54" s="99"/>
      <c r="N54" s="99"/>
      <c r="O54" s="99"/>
      <c r="P54" s="99"/>
      <c r="Q54" s="99"/>
      <c r="R54" s="99"/>
      <c r="S54" s="99"/>
      <c r="T54" s="21"/>
      <c r="U54" s="365"/>
      <c r="W54" s="233">
        <f>Admin!B54</f>
        <v>42518</v>
      </c>
      <c r="X54" s="6">
        <v>53</v>
      </c>
    </row>
    <row r="55" spans="1:24" ht="12.6" thickTop="1" x14ac:dyDescent="0.25">
      <c r="A55" s="18"/>
      <c r="B55" s="22" t="s">
        <v>16</v>
      </c>
      <c r="C55" s="22"/>
      <c r="D55" s="154">
        <v>2</v>
      </c>
      <c r="E55" s="25"/>
      <c r="F55" s="70"/>
      <c r="G55" s="34"/>
      <c r="H55" s="20"/>
      <c r="I55" s="20"/>
      <c r="J55" s="29"/>
      <c r="K55" s="99"/>
      <c r="L55" s="99"/>
      <c r="M55" s="99"/>
      <c r="N55" s="99"/>
      <c r="O55" s="99"/>
      <c r="P55" s="99"/>
      <c r="Q55" s="99"/>
      <c r="R55" s="99"/>
      <c r="S55" s="99"/>
      <c r="T55" s="21"/>
      <c r="U55" s="365"/>
      <c r="W55" s="233">
        <f>Admin!B55</f>
        <v>42519</v>
      </c>
    </row>
    <row r="56" spans="1:24" x14ac:dyDescent="0.25">
      <c r="A56" s="18"/>
      <c r="B56" s="22" t="s">
        <v>67</v>
      </c>
      <c r="C56" s="22"/>
      <c r="D56" s="226"/>
      <c r="E56" s="20"/>
      <c r="F56" s="199" t="s">
        <v>75</v>
      </c>
      <c r="G56" s="34"/>
      <c r="H56" s="20"/>
      <c r="I56" s="20"/>
      <c r="J56" s="29"/>
      <c r="K56" s="99"/>
      <c r="L56" s="99"/>
      <c r="M56" s="99"/>
      <c r="N56" s="99"/>
      <c r="O56" s="99"/>
      <c r="P56" s="99"/>
      <c r="Q56" s="99"/>
      <c r="R56" s="99"/>
      <c r="S56" s="99"/>
      <c r="T56" s="21"/>
      <c r="U56" s="365"/>
      <c r="W56" s="233">
        <f>Admin!B56</f>
        <v>42520</v>
      </c>
    </row>
    <row r="57" spans="1:24" ht="12" customHeight="1" x14ac:dyDescent="0.25">
      <c r="A57" s="18"/>
      <c r="B57" s="20"/>
      <c r="C57" s="20"/>
      <c r="D57" s="20"/>
      <c r="E57" s="20"/>
      <c r="F57" s="234"/>
      <c r="G57" s="234"/>
      <c r="H57" s="234"/>
      <c r="I57" s="20"/>
      <c r="J57" s="29"/>
      <c r="K57" s="99"/>
      <c r="L57" s="99"/>
      <c r="M57" s="99"/>
      <c r="N57" s="99"/>
      <c r="O57" s="99"/>
      <c r="P57" s="99"/>
      <c r="Q57" s="99"/>
      <c r="R57" s="99"/>
      <c r="S57" s="99"/>
      <c r="T57" s="21"/>
      <c r="U57" s="365"/>
      <c r="W57" s="233">
        <f>Admin!B57</f>
        <v>42521</v>
      </c>
    </row>
    <row r="58" spans="1:24" ht="6" customHeight="1" x14ac:dyDescent="0.25">
      <c r="A58" s="18"/>
      <c r="B58" s="20"/>
      <c r="C58" s="20"/>
      <c r="D58" s="20"/>
      <c r="E58" s="20"/>
      <c r="F58" s="235"/>
      <c r="G58" s="235"/>
      <c r="H58" s="235"/>
      <c r="I58" s="20"/>
      <c r="J58" s="29"/>
      <c r="K58" s="99"/>
      <c r="L58" s="99"/>
      <c r="M58" s="99"/>
      <c r="N58" s="99"/>
      <c r="O58" s="99"/>
      <c r="P58" s="99"/>
      <c r="Q58" s="99"/>
      <c r="R58" s="99"/>
      <c r="S58" s="99"/>
      <c r="T58" s="21"/>
      <c r="U58" s="365"/>
      <c r="W58" s="233">
        <f>Admin!B58</f>
        <v>42522</v>
      </c>
    </row>
    <row r="59" spans="1:24" ht="12" customHeight="1" x14ac:dyDescent="0.25">
      <c r="A59" s="18"/>
      <c r="B59" s="99"/>
      <c r="C59" s="99"/>
      <c r="D59" s="99"/>
      <c r="E59" s="99"/>
      <c r="F59" s="99"/>
      <c r="G59" s="99"/>
      <c r="H59" s="99"/>
      <c r="I59" s="20"/>
      <c r="J59" s="29"/>
      <c r="K59" s="99"/>
      <c r="L59" s="99"/>
      <c r="M59" s="99"/>
      <c r="N59" s="99"/>
      <c r="O59" s="99"/>
      <c r="P59" s="99"/>
      <c r="Q59" s="99"/>
      <c r="R59" s="99"/>
      <c r="S59" s="99"/>
      <c r="T59" s="21"/>
      <c r="U59" s="365"/>
      <c r="W59" s="233">
        <f>Admin!B59</f>
        <v>42523</v>
      </c>
    </row>
    <row r="60" spans="1:24" x14ac:dyDescent="0.25">
      <c r="A60" s="18"/>
      <c r="B60" s="99"/>
      <c r="C60" s="99"/>
      <c r="D60" s="99"/>
      <c r="E60" s="99"/>
      <c r="F60" s="99"/>
      <c r="G60" s="99"/>
      <c r="H60" s="99"/>
      <c r="I60" s="20"/>
      <c r="J60" s="29"/>
      <c r="K60" s="99"/>
      <c r="L60" s="99"/>
      <c r="M60" s="99"/>
      <c r="N60" s="99"/>
      <c r="O60" s="99"/>
      <c r="P60" s="99"/>
      <c r="Q60" s="99"/>
      <c r="R60" s="99"/>
      <c r="S60" s="99"/>
      <c r="T60" s="21"/>
      <c r="U60" s="365"/>
      <c r="W60" s="233">
        <f>Admin!B60</f>
        <v>42524</v>
      </c>
    </row>
    <row r="61" spans="1:24" ht="13.5" customHeight="1" x14ac:dyDescent="0.25">
      <c r="A61" s="18"/>
      <c r="B61" s="99"/>
      <c r="C61" s="99"/>
      <c r="D61" s="99"/>
      <c r="E61" s="99"/>
      <c r="F61" s="99"/>
      <c r="G61" s="99"/>
      <c r="H61" s="99"/>
      <c r="I61" s="20"/>
      <c r="J61" s="29"/>
      <c r="K61" s="362"/>
      <c r="L61" s="362"/>
      <c r="M61" s="363"/>
      <c r="N61" s="363"/>
      <c r="O61" s="363"/>
      <c r="P61" s="363"/>
      <c r="Q61" s="363"/>
      <c r="R61" s="363"/>
      <c r="S61" s="363"/>
      <c r="T61" s="21"/>
      <c r="U61" s="365"/>
      <c r="W61" s="233">
        <f>Admin!B61</f>
        <v>42525</v>
      </c>
    </row>
    <row r="62" spans="1:24" ht="9" customHeight="1" thickBot="1" x14ac:dyDescent="0.3">
      <c r="A62" s="79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68"/>
      <c r="Q62" s="26"/>
      <c r="R62" s="26"/>
      <c r="S62" s="26"/>
      <c r="T62" s="32"/>
      <c r="U62" s="365"/>
      <c r="W62" s="233">
        <f>Admin!B62</f>
        <v>42526</v>
      </c>
    </row>
    <row r="63" spans="1:24" ht="22.5" customHeight="1" thickBot="1" x14ac:dyDescent="0.3">
      <c r="A63" s="366"/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5"/>
      <c r="W63" s="233">
        <f>Admin!B63</f>
        <v>42527</v>
      </c>
    </row>
    <row r="64" spans="1:24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77"/>
      <c r="K64" s="16"/>
      <c r="L64" s="16"/>
      <c r="M64" s="16"/>
      <c r="N64" s="16"/>
      <c r="O64" s="16"/>
      <c r="P64" s="164"/>
      <c r="Q64" s="16"/>
      <c r="R64" s="16"/>
      <c r="S64" s="16"/>
      <c r="T64" s="17"/>
      <c r="U64" s="365"/>
      <c r="W64" s="233">
        <f>Admin!B64</f>
        <v>42528</v>
      </c>
    </row>
    <row r="65" spans="1:23" ht="15" customHeight="1" thickTop="1" thickBot="1" x14ac:dyDescent="0.3">
      <c r="A65" s="18"/>
      <c r="B65" s="97" t="s">
        <v>35</v>
      </c>
      <c r="C65" s="65"/>
      <c r="D65" s="20"/>
      <c r="E65" s="20"/>
      <c r="F65" s="20"/>
      <c r="G65" s="20"/>
      <c r="H65" s="362" t="s">
        <v>50</v>
      </c>
      <c r="I65" s="20"/>
      <c r="J65" s="29"/>
      <c r="K65" s="97" t="s">
        <v>20</v>
      </c>
      <c r="L65" s="65"/>
      <c r="M65" s="84"/>
      <c r="N65" s="19"/>
      <c r="O65" s="367"/>
      <c r="P65" s="368"/>
      <c r="Q65" s="364"/>
      <c r="R65" s="66"/>
      <c r="S65" s="354"/>
      <c r="T65" s="21"/>
      <c r="U65" s="365"/>
      <c r="W65" s="233">
        <f>Admin!B65</f>
        <v>42529</v>
      </c>
    </row>
    <row r="66" spans="1:23" ht="6" customHeight="1" thickTop="1" thickBot="1" x14ac:dyDescent="0.3">
      <c r="A66" s="18"/>
      <c r="B66" s="65"/>
      <c r="C66" s="65"/>
      <c r="D66" s="20"/>
      <c r="E66" s="20"/>
      <c r="F66" s="20"/>
      <c r="G66" s="20"/>
      <c r="H66" s="362"/>
      <c r="I66" s="20"/>
      <c r="J66" s="29"/>
      <c r="K66" s="65"/>
      <c r="L66" s="65"/>
      <c r="M66" s="84"/>
      <c r="N66" s="19"/>
      <c r="O66" s="20"/>
      <c r="P66" s="165"/>
      <c r="Q66" s="365"/>
      <c r="R66" s="20"/>
      <c r="S66" s="355"/>
      <c r="T66" s="21"/>
      <c r="U66" s="365"/>
      <c r="W66" s="233">
        <f>Admin!B66</f>
        <v>42530</v>
      </c>
    </row>
    <row r="67" spans="1:23" ht="14.4" thickTop="1" thickBot="1" x14ac:dyDescent="0.3">
      <c r="A67" s="18"/>
      <c r="B67" s="20" t="s">
        <v>11</v>
      </c>
      <c r="C67" s="20"/>
      <c r="D67" s="356"/>
      <c r="E67" s="357"/>
      <c r="F67" s="358"/>
      <c r="G67" s="22"/>
      <c r="H67" s="28" t="s">
        <v>51</v>
      </c>
      <c r="I67" s="22"/>
      <c r="J67" s="64"/>
      <c r="K67" s="20" t="s">
        <v>17</v>
      </c>
      <c r="L67" s="20"/>
      <c r="M67" s="359"/>
      <c r="N67" s="360"/>
      <c r="O67" s="361"/>
      <c r="P67" s="166"/>
      <c r="Q67" s="155"/>
      <c r="R67" s="153"/>
      <c r="S67" s="156"/>
      <c r="T67" s="21"/>
      <c r="U67" s="365"/>
      <c r="W67" s="233">
        <f>Admin!B67</f>
        <v>42531</v>
      </c>
    </row>
    <row r="68" spans="1:23" ht="13.2" thickTop="1" thickBot="1" x14ac:dyDescent="0.3">
      <c r="A68" s="18"/>
      <c r="B68" s="20" t="s">
        <v>12</v>
      </c>
      <c r="C68" s="20"/>
      <c r="D68" s="356"/>
      <c r="E68" s="357"/>
      <c r="F68" s="358"/>
      <c r="G68" s="22"/>
      <c r="H68" s="170"/>
      <c r="I68" s="22"/>
      <c r="J68" s="29"/>
      <c r="K68" s="20"/>
      <c r="L68" s="20"/>
      <c r="M68" s="63"/>
      <c r="N68" s="63"/>
      <c r="O68" s="173"/>
      <c r="P68" s="174"/>
      <c r="Q68" s="37"/>
      <c r="R68" s="28"/>
      <c r="S68" s="37"/>
      <c r="T68" s="21"/>
      <c r="U68" s="365"/>
      <c r="W68" s="233">
        <f>Admin!B68</f>
        <v>42532</v>
      </c>
    </row>
    <row r="69" spans="1:23" ht="12.6" thickTop="1" x14ac:dyDescent="0.25">
      <c r="A69" s="18"/>
      <c r="B69" s="20"/>
      <c r="C69" s="20"/>
      <c r="D69" s="99"/>
      <c r="E69" s="99"/>
      <c r="F69" s="99"/>
      <c r="G69" s="22"/>
      <c r="H69" s="34" t="s">
        <v>52</v>
      </c>
      <c r="I69" s="22"/>
      <c r="J69" s="29"/>
      <c r="K69" s="99"/>
      <c r="L69" s="99"/>
      <c r="M69" s="99"/>
      <c r="N69" s="99"/>
      <c r="O69" s="99"/>
      <c r="P69" s="99"/>
      <c r="Q69" s="99"/>
      <c r="R69" s="99"/>
      <c r="S69" s="99"/>
      <c r="T69" s="21"/>
      <c r="U69" s="365"/>
      <c r="W69" s="233">
        <f>Admin!B69</f>
        <v>42533</v>
      </c>
    </row>
    <row r="70" spans="1:23" x14ac:dyDescent="0.25">
      <c r="A70" s="18"/>
      <c r="B70" s="20"/>
      <c r="C70" s="20"/>
      <c r="D70" s="99"/>
      <c r="E70" s="99"/>
      <c r="F70" s="99"/>
      <c r="G70" s="22"/>
      <c r="H70" s="171"/>
      <c r="I70" s="22"/>
      <c r="J70" s="29"/>
      <c r="K70" s="99"/>
      <c r="L70" s="99"/>
      <c r="M70" s="99"/>
      <c r="N70" s="99"/>
      <c r="O70" s="99"/>
      <c r="P70" s="99"/>
      <c r="Q70" s="99"/>
      <c r="R70" s="99"/>
      <c r="S70" s="99"/>
      <c r="T70" s="21"/>
      <c r="U70" s="365"/>
      <c r="W70" s="233">
        <f>Admin!B70</f>
        <v>42534</v>
      </c>
    </row>
    <row r="71" spans="1:23" x14ac:dyDescent="0.25">
      <c r="A71" s="18"/>
      <c r="B71" s="20"/>
      <c r="C71" s="20"/>
      <c r="D71" s="99"/>
      <c r="E71" s="99"/>
      <c r="F71" s="99"/>
      <c r="G71" s="22"/>
      <c r="H71" s="34" t="s">
        <v>53</v>
      </c>
      <c r="I71" s="22"/>
      <c r="J71" s="29"/>
      <c r="K71" s="99"/>
      <c r="L71" s="99"/>
      <c r="M71" s="99"/>
      <c r="N71" s="99"/>
      <c r="O71" s="99"/>
      <c r="P71" s="99"/>
      <c r="Q71" s="99"/>
      <c r="R71" s="99"/>
      <c r="S71" s="99"/>
      <c r="T71" s="21"/>
      <c r="U71" s="365"/>
      <c r="W71" s="233">
        <f>Admin!B71</f>
        <v>42535</v>
      </c>
    </row>
    <row r="72" spans="1:23" x14ac:dyDescent="0.25">
      <c r="A72" s="18"/>
      <c r="B72" s="20"/>
      <c r="C72" s="20"/>
      <c r="D72" s="99"/>
      <c r="E72" s="99"/>
      <c r="F72" s="99"/>
      <c r="G72" s="22"/>
      <c r="H72" s="170"/>
      <c r="I72" s="22"/>
      <c r="J72" s="29"/>
      <c r="K72" s="99"/>
      <c r="L72" s="99"/>
      <c r="M72" s="99"/>
      <c r="N72" s="99"/>
      <c r="O72" s="99"/>
      <c r="P72" s="99"/>
      <c r="Q72" s="99"/>
      <c r="R72" s="99"/>
      <c r="S72" s="99"/>
      <c r="T72" s="21"/>
      <c r="U72" s="365"/>
      <c r="W72" s="233">
        <f>Admin!B72</f>
        <v>42536</v>
      </c>
    </row>
    <row r="73" spans="1:23" ht="12" customHeight="1" x14ac:dyDescent="0.25">
      <c r="A73" s="18"/>
      <c r="B73" s="20"/>
      <c r="C73" s="20"/>
      <c r="D73" s="99"/>
      <c r="E73" s="99"/>
      <c r="F73" s="99"/>
      <c r="G73" s="22"/>
      <c r="H73" s="28" t="s">
        <v>54</v>
      </c>
      <c r="I73" s="22"/>
      <c r="J73" s="29"/>
      <c r="K73" s="99"/>
      <c r="L73" s="99"/>
      <c r="M73" s="99"/>
      <c r="N73" s="99"/>
      <c r="O73" s="99"/>
      <c r="P73" s="99"/>
      <c r="Q73" s="99"/>
      <c r="R73" s="99"/>
      <c r="S73" s="99"/>
      <c r="T73" s="78"/>
      <c r="U73" s="365"/>
      <c r="W73" s="233">
        <f>Admin!B73</f>
        <v>42537</v>
      </c>
    </row>
    <row r="74" spans="1:23" ht="15" customHeight="1" x14ac:dyDescent="0.25">
      <c r="A74" s="18"/>
      <c r="B74" s="201"/>
      <c r="C74" s="20"/>
      <c r="D74" s="20"/>
      <c r="E74" s="99"/>
      <c r="F74" s="99"/>
      <c r="G74" s="20"/>
      <c r="H74" s="172"/>
      <c r="I74" s="20"/>
      <c r="J74" s="29"/>
      <c r="K74" s="99"/>
      <c r="L74" s="99"/>
      <c r="M74" s="99"/>
      <c r="N74" s="99"/>
      <c r="O74" s="99"/>
      <c r="P74" s="99"/>
      <c r="Q74" s="99"/>
      <c r="R74" s="99"/>
      <c r="S74" s="99"/>
      <c r="T74" s="21"/>
      <c r="U74" s="365"/>
      <c r="W74" s="233">
        <f>Admin!B74</f>
        <v>42538</v>
      </c>
    </row>
    <row r="75" spans="1:23" ht="12.6" thickBot="1" x14ac:dyDescent="0.3">
      <c r="A75" s="18"/>
      <c r="B75" s="20"/>
      <c r="C75" s="20"/>
      <c r="D75" s="62"/>
      <c r="E75" s="20"/>
      <c r="F75" s="37" t="s">
        <v>30</v>
      </c>
      <c r="G75" s="66"/>
      <c r="H75" s="20"/>
      <c r="I75" s="22"/>
      <c r="J75" s="29"/>
      <c r="K75" s="99"/>
      <c r="L75" s="99"/>
      <c r="M75" s="99"/>
      <c r="N75" s="99"/>
      <c r="O75" s="99"/>
      <c r="P75" s="99"/>
      <c r="Q75" s="99"/>
      <c r="R75" s="99"/>
      <c r="S75" s="99"/>
      <c r="T75" s="21"/>
      <c r="U75" s="365"/>
      <c r="W75" s="233">
        <f>Admin!B75</f>
        <v>42539</v>
      </c>
    </row>
    <row r="76" spans="1:23" ht="13.2" thickTop="1" thickBot="1" x14ac:dyDescent="0.3">
      <c r="A76" s="18"/>
      <c r="B76" s="20" t="str">
        <f>B24</f>
        <v>Starting date (existing = 06/04/16)</v>
      </c>
      <c r="C76" s="20"/>
      <c r="D76" s="148"/>
      <c r="E76" s="20"/>
      <c r="F76" s="98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99"/>
      <c r="L76" s="99"/>
      <c r="M76" s="99"/>
      <c r="N76" s="99"/>
      <c r="O76" s="99"/>
      <c r="P76" s="99"/>
      <c r="Q76" s="99"/>
      <c r="R76" s="99"/>
      <c r="S76" s="99"/>
      <c r="T76" s="21"/>
      <c r="U76" s="365"/>
      <c r="W76" s="233">
        <f>Admin!B76</f>
        <v>42540</v>
      </c>
    </row>
    <row r="77" spans="1:23" ht="6" customHeight="1" thickTop="1" thickBot="1" x14ac:dyDescent="0.3">
      <c r="A77" s="18"/>
      <c r="B77" s="20"/>
      <c r="C77" s="20"/>
      <c r="D77" s="62"/>
      <c r="E77" s="20"/>
      <c r="F77" s="98"/>
      <c r="G77" s="68"/>
      <c r="H77" s="20"/>
      <c r="I77" s="327"/>
      <c r="J77" s="20"/>
      <c r="K77" s="99"/>
      <c r="L77" s="99"/>
      <c r="M77" s="99"/>
      <c r="N77" s="99"/>
      <c r="O77" s="99"/>
      <c r="P77" s="99"/>
      <c r="Q77" s="99"/>
      <c r="R77" s="99"/>
      <c r="S77" s="99"/>
      <c r="T77" s="21"/>
      <c r="U77" s="365"/>
      <c r="W77" s="233">
        <f>Admin!B77</f>
        <v>42541</v>
      </c>
    </row>
    <row r="78" spans="1:23" ht="13.5" customHeight="1" thickTop="1" thickBot="1" x14ac:dyDescent="0.3">
      <c r="A78" s="18"/>
      <c r="B78" s="20" t="s">
        <v>69</v>
      </c>
      <c r="C78" s="20"/>
      <c r="D78" s="148"/>
      <c r="E78" s="20"/>
      <c r="F78" s="98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99"/>
      <c r="L78" s="99"/>
      <c r="M78" s="99"/>
      <c r="N78" s="99"/>
      <c r="O78" s="99"/>
      <c r="P78" s="99"/>
      <c r="Q78" s="99"/>
      <c r="R78" s="99"/>
      <c r="S78" s="99"/>
      <c r="T78" s="21"/>
      <c r="U78" s="365"/>
      <c r="W78" s="233">
        <f>Admin!B78</f>
        <v>42542</v>
      </c>
    </row>
    <row r="79" spans="1:23" ht="13.2" thickTop="1" thickBot="1" x14ac:dyDescent="0.3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99"/>
      <c r="L79" s="99"/>
      <c r="M79" s="99"/>
      <c r="N79" s="99"/>
      <c r="O79" s="99"/>
      <c r="P79" s="99"/>
      <c r="Q79" s="99"/>
      <c r="R79" s="99"/>
      <c r="S79" s="99"/>
      <c r="T79" s="21"/>
      <c r="U79" s="365"/>
      <c r="W79" s="233">
        <f>Admin!B79</f>
        <v>42543</v>
      </c>
    </row>
    <row r="80" spans="1:23" ht="13.2" thickTop="1" thickBot="1" x14ac:dyDescent="0.3">
      <c r="A80" s="18"/>
      <c r="B80" s="22" t="s">
        <v>21</v>
      </c>
      <c r="C80" s="22"/>
      <c r="D80" s="85"/>
      <c r="E80" s="28" t="s">
        <v>29</v>
      </c>
      <c r="F80" s="200" t="str">
        <f>IF(D82="D","Enter M for Director","Enter M or W for Employee")</f>
        <v>Enter M or W for Employee</v>
      </c>
      <c r="G80" s="20"/>
      <c r="H80" s="23"/>
      <c r="I80" s="23"/>
      <c r="J80" s="29"/>
      <c r="K80" s="99"/>
      <c r="L80" s="99"/>
      <c r="M80" s="99"/>
      <c r="N80" s="99"/>
      <c r="O80" s="99"/>
      <c r="P80" s="99"/>
      <c r="Q80" s="99"/>
      <c r="R80" s="99"/>
      <c r="S80" s="99"/>
      <c r="T80" s="21"/>
      <c r="U80" s="365"/>
      <c r="W80" s="233">
        <f>Admin!B80</f>
        <v>42544</v>
      </c>
    </row>
    <row r="81" spans="1:23" ht="12.6" thickTop="1" x14ac:dyDescent="0.25">
      <c r="A81" s="18"/>
      <c r="B81" s="22" t="s">
        <v>16</v>
      </c>
      <c r="C81" s="22"/>
      <c r="D81" s="154">
        <v>3</v>
      </c>
      <c r="E81" s="25"/>
      <c r="F81" s="70"/>
      <c r="G81" s="34"/>
      <c r="H81" s="20"/>
      <c r="I81" s="20"/>
      <c r="J81" s="29"/>
      <c r="K81" s="99"/>
      <c r="L81" s="99"/>
      <c r="M81" s="99"/>
      <c r="N81" s="99"/>
      <c r="O81" s="99"/>
      <c r="P81" s="99"/>
      <c r="Q81" s="99"/>
      <c r="R81" s="99"/>
      <c r="S81" s="99"/>
      <c r="T81" s="21"/>
      <c r="U81" s="365"/>
      <c r="W81" s="233">
        <f>Admin!B81</f>
        <v>42545</v>
      </c>
    </row>
    <row r="82" spans="1:23" x14ac:dyDescent="0.25">
      <c r="A82" s="18"/>
      <c r="B82" s="22" t="s">
        <v>67</v>
      </c>
      <c r="C82" s="22"/>
      <c r="D82" s="226"/>
      <c r="E82" s="20"/>
      <c r="F82" s="199" t="s">
        <v>75</v>
      </c>
      <c r="G82" s="34"/>
      <c r="H82" s="20"/>
      <c r="I82" s="20"/>
      <c r="J82" s="29"/>
      <c r="K82" s="99"/>
      <c r="L82" s="99"/>
      <c r="M82" s="99"/>
      <c r="N82" s="99"/>
      <c r="O82" s="99"/>
      <c r="P82" s="99"/>
      <c r="Q82" s="99"/>
      <c r="R82" s="99"/>
      <c r="S82" s="99"/>
      <c r="T82" s="21"/>
      <c r="U82" s="365"/>
      <c r="W82" s="233">
        <f>Admin!B82</f>
        <v>42546</v>
      </c>
    </row>
    <row r="83" spans="1:23" ht="12" customHeight="1" x14ac:dyDescent="0.25">
      <c r="A83" s="18"/>
      <c r="B83" s="20"/>
      <c r="C83" s="20"/>
      <c r="D83" s="20"/>
      <c r="E83" s="20"/>
      <c r="F83" s="234"/>
      <c r="G83" s="234"/>
      <c r="H83" s="234"/>
      <c r="I83" s="20"/>
      <c r="J83" s="29"/>
      <c r="K83" s="99"/>
      <c r="L83" s="99"/>
      <c r="M83" s="99"/>
      <c r="N83" s="99"/>
      <c r="O83" s="99"/>
      <c r="P83" s="99"/>
      <c r="Q83" s="99"/>
      <c r="R83" s="99"/>
      <c r="S83" s="99"/>
      <c r="T83" s="21"/>
      <c r="U83" s="365"/>
      <c r="W83" s="233">
        <f>Admin!B83</f>
        <v>42547</v>
      </c>
    </row>
    <row r="84" spans="1:23" ht="6" customHeight="1" x14ac:dyDescent="0.25">
      <c r="A84" s="18"/>
      <c r="B84" s="20"/>
      <c r="C84" s="20"/>
      <c r="D84" s="20"/>
      <c r="E84" s="20"/>
      <c r="F84" s="235"/>
      <c r="G84" s="235"/>
      <c r="H84" s="235"/>
      <c r="I84" s="20"/>
      <c r="J84" s="29"/>
      <c r="K84" s="99"/>
      <c r="L84" s="99"/>
      <c r="M84" s="99"/>
      <c r="N84" s="99"/>
      <c r="O84" s="99"/>
      <c r="P84" s="99"/>
      <c r="Q84" s="99"/>
      <c r="R84" s="99"/>
      <c r="S84" s="99"/>
      <c r="T84" s="21"/>
      <c r="U84" s="365"/>
      <c r="W84" s="233">
        <f>Admin!B84</f>
        <v>42548</v>
      </c>
    </row>
    <row r="85" spans="1:23" ht="12" customHeight="1" x14ac:dyDescent="0.25">
      <c r="A85" s="18"/>
      <c r="B85" s="99"/>
      <c r="C85" s="99"/>
      <c r="D85" s="99"/>
      <c r="E85" s="99"/>
      <c r="F85" s="99"/>
      <c r="G85" s="99"/>
      <c r="H85" s="99"/>
      <c r="I85" s="20"/>
      <c r="J85" s="29"/>
      <c r="K85" s="99"/>
      <c r="L85" s="99"/>
      <c r="M85" s="99"/>
      <c r="N85" s="99"/>
      <c r="O85" s="99"/>
      <c r="P85" s="99"/>
      <c r="Q85" s="99"/>
      <c r="R85" s="99"/>
      <c r="S85" s="99"/>
      <c r="T85" s="21"/>
      <c r="U85" s="365"/>
      <c r="W85" s="233">
        <f>Admin!B85</f>
        <v>42549</v>
      </c>
    </row>
    <row r="86" spans="1:23" x14ac:dyDescent="0.25">
      <c r="A86" s="18"/>
      <c r="B86" s="99"/>
      <c r="C86" s="99"/>
      <c r="D86" s="99"/>
      <c r="E86" s="99"/>
      <c r="F86" s="99"/>
      <c r="G86" s="99"/>
      <c r="H86" s="99"/>
      <c r="I86" s="20"/>
      <c r="J86" s="29"/>
      <c r="K86" s="99"/>
      <c r="L86" s="99"/>
      <c r="M86" s="99"/>
      <c r="N86" s="99"/>
      <c r="O86" s="99"/>
      <c r="P86" s="99"/>
      <c r="Q86" s="99"/>
      <c r="R86" s="99"/>
      <c r="S86" s="99"/>
      <c r="T86" s="21"/>
      <c r="U86" s="365"/>
      <c r="W86" s="233">
        <f>Admin!B86</f>
        <v>42550</v>
      </c>
    </row>
    <row r="87" spans="1:23" ht="13.5" customHeight="1" x14ac:dyDescent="0.25">
      <c r="A87" s="18"/>
      <c r="B87" s="99"/>
      <c r="C87" s="99"/>
      <c r="D87" s="99"/>
      <c r="E87" s="99"/>
      <c r="F87" s="99"/>
      <c r="G87" s="99"/>
      <c r="H87" s="99"/>
      <c r="I87" s="20"/>
      <c r="J87" s="29"/>
      <c r="K87" s="99"/>
      <c r="L87" s="99"/>
      <c r="M87" s="99"/>
      <c r="N87" s="99"/>
      <c r="O87" s="99"/>
      <c r="P87" s="99"/>
      <c r="Q87" s="99"/>
      <c r="R87" s="99"/>
      <c r="S87" s="99"/>
      <c r="T87" s="21"/>
      <c r="U87" s="365"/>
      <c r="W87" s="233">
        <f>Admin!B87</f>
        <v>42551</v>
      </c>
    </row>
    <row r="88" spans="1:23" ht="9" customHeight="1" thickBot="1" x14ac:dyDescent="0.3">
      <c r="A88" s="79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68"/>
      <c r="Q88" s="26"/>
      <c r="R88" s="26"/>
      <c r="S88" s="26"/>
      <c r="T88" s="32"/>
      <c r="U88" s="365"/>
      <c r="W88" s="233">
        <f>Admin!B88</f>
        <v>42552</v>
      </c>
    </row>
    <row r="89" spans="1:23" ht="22.5" customHeight="1" thickBot="1" x14ac:dyDescent="0.3">
      <c r="A89" s="366"/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5"/>
      <c r="W89" s="233">
        <f>Admin!B89</f>
        <v>42553</v>
      </c>
    </row>
    <row r="90" spans="1:23" ht="9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77"/>
      <c r="K90" s="16"/>
      <c r="L90" s="16"/>
      <c r="M90" s="16"/>
      <c r="N90" s="16"/>
      <c r="O90" s="16"/>
      <c r="P90" s="164"/>
      <c r="Q90" s="16"/>
      <c r="R90" s="16"/>
      <c r="S90" s="16"/>
      <c r="T90" s="17"/>
      <c r="U90" s="365"/>
      <c r="W90" s="233">
        <f>Admin!B90</f>
        <v>42554</v>
      </c>
    </row>
    <row r="91" spans="1:23" ht="15" customHeight="1" thickTop="1" thickBot="1" x14ac:dyDescent="0.3">
      <c r="A91" s="18"/>
      <c r="B91" s="97" t="s">
        <v>36</v>
      </c>
      <c r="C91" s="65"/>
      <c r="D91" s="20"/>
      <c r="E91" s="20"/>
      <c r="F91" s="20"/>
      <c r="G91" s="20"/>
      <c r="H91" s="362" t="s">
        <v>50</v>
      </c>
      <c r="I91" s="20"/>
      <c r="J91" s="29"/>
      <c r="K91" s="97" t="s">
        <v>20</v>
      </c>
      <c r="L91" s="65"/>
      <c r="M91" s="84"/>
      <c r="N91" s="19"/>
      <c r="O91" s="367"/>
      <c r="P91" s="368"/>
      <c r="Q91" s="364"/>
      <c r="R91" s="66"/>
      <c r="S91" s="354"/>
      <c r="T91" s="21"/>
      <c r="U91" s="365"/>
      <c r="W91" s="233">
        <f>Admin!B91</f>
        <v>42555</v>
      </c>
    </row>
    <row r="92" spans="1:23" ht="6" customHeight="1" thickTop="1" thickBot="1" x14ac:dyDescent="0.3">
      <c r="A92" s="18"/>
      <c r="B92" s="65"/>
      <c r="C92" s="65"/>
      <c r="D92" s="20"/>
      <c r="E92" s="20"/>
      <c r="F92" s="20"/>
      <c r="G92" s="20"/>
      <c r="H92" s="362"/>
      <c r="I92" s="20"/>
      <c r="J92" s="29"/>
      <c r="K92" s="65"/>
      <c r="L92" s="65"/>
      <c r="M92" s="84"/>
      <c r="N92" s="19"/>
      <c r="O92" s="20"/>
      <c r="P92" s="165"/>
      <c r="Q92" s="365"/>
      <c r="R92" s="20"/>
      <c r="S92" s="355"/>
      <c r="T92" s="21"/>
      <c r="U92" s="365"/>
      <c r="W92" s="233">
        <f>Admin!B92</f>
        <v>42556</v>
      </c>
    </row>
    <row r="93" spans="1:23" ht="14.4" thickTop="1" thickBot="1" x14ac:dyDescent="0.3">
      <c r="A93" s="18"/>
      <c r="B93" s="20" t="s">
        <v>11</v>
      </c>
      <c r="C93" s="20"/>
      <c r="D93" s="356"/>
      <c r="E93" s="357"/>
      <c r="F93" s="358"/>
      <c r="G93" s="22"/>
      <c r="H93" s="28" t="s">
        <v>51</v>
      </c>
      <c r="I93" s="22"/>
      <c r="J93" s="64"/>
      <c r="K93" s="20" t="s">
        <v>17</v>
      </c>
      <c r="L93" s="20"/>
      <c r="M93" s="359"/>
      <c r="N93" s="360"/>
      <c r="O93" s="361"/>
      <c r="P93" s="166"/>
      <c r="Q93" s="155"/>
      <c r="R93" s="153"/>
      <c r="S93" s="156"/>
      <c r="T93" s="21"/>
      <c r="U93" s="365"/>
      <c r="W93" s="233">
        <f>Admin!B93</f>
        <v>42557</v>
      </c>
    </row>
    <row r="94" spans="1:23" ht="13.2" thickTop="1" thickBot="1" x14ac:dyDescent="0.3">
      <c r="A94" s="18"/>
      <c r="B94" s="20" t="s">
        <v>12</v>
      </c>
      <c r="C94" s="20"/>
      <c r="D94" s="356"/>
      <c r="E94" s="357"/>
      <c r="F94" s="358"/>
      <c r="G94" s="22"/>
      <c r="H94" s="170"/>
      <c r="I94" s="22"/>
      <c r="J94" s="29"/>
      <c r="K94" s="20"/>
      <c r="L94" s="20"/>
      <c r="M94" s="63"/>
      <c r="N94" s="63"/>
      <c r="O94" s="173"/>
      <c r="P94" s="174"/>
      <c r="Q94" s="37"/>
      <c r="R94" s="28"/>
      <c r="S94" s="37"/>
      <c r="T94" s="21"/>
      <c r="U94" s="365"/>
      <c r="W94" s="233">
        <f>Admin!B94</f>
        <v>42558</v>
      </c>
    </row>
    <row r="95" spans="1:23" ht="13.2" thickTop="1" thickBot="1" x14ac:dyDescent="0.3">
      <c r="A95" s="18"/>
      <c r="B95" s="20" t="s">
        <v>13</v>
      </c>
      <c r="C95" s="20"/>
      <c r="D95" s="356"/>
      <c r="E95" s="357"/>
      <c r="F95" s="358"/>
      <c r="G95" s="22"/>
      <c r="H95" s="34" t="s">
        <v>52</v>
      </c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365"/>
      <c r="W95" s="233">
        <f>Admin!B95</f>
        <v>42559</v>
      </c>
    </row>
    <row r="96" spans="1:23" ht="12.6" thickTop="1" x14ac:dyDescent="0.25">
      <c r="A96" s="18"/>
      <c r="B96" s="20"/>
      <c r="C96" s="20"/>
      <c r="D96" s="99"/>
      <c r="E96" s="99"/>
      <c r="F96" s="99"/>
      <c r="G96" s="22"/>
      <c r="H96" s="171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365"/>
      <c r="W96" s="233">
        <f>Admin!B96</f>
        <v>42560</v>
      </c>
    </row>
    <row r="97" spans="1:23" x14ac:dyDescent="0.25">
      <c r="A97" s="18"/>
      <c r="B97" s="20"/>
      <c r="C97" s="20"/>
      <c r="D97" s="99"/>
      <c r="E97" s="99"/>
      <c r="F97" s="99"/>
      <c r="G97" s="22"/>
      <c r="H97" s="34" t="s">
        <v>53</v>
      </c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1"/>
      <c r="U97" s="365"/>
      <c r="W97" s="233">
        <f>Admin!B97</f>
        <v>42561</v>
      </c>
    </row>
    <row r="98" spans="1:23" x14ac:dyDescent="0.25">
      <c r="A98" s="18"/>
      <c r="B98" s="20"/>
      <c r="C98" s="20"/>
      <c r="D98" s="99"/>
      <c r="E98" s="99"/>
      <c r="F98" s="99"/>
      <c r="G98" s="22"/>
      <c r="H98" s="170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1"/>
      <c r="U98" s="365"/>
      <c r="W98" s="233">
        <f>Admin!B98</f>
        <v>42562</v>
      </c>
    </row>
    <row r="99" spans="1:23" ht="12" customHeight="1" x14ac:dyDescent="0.25">
      <c r="A99" s="18"/>
      <c r="B99" s="20"/>
      <c r="C99" s="20"/>
      <c r="D99" s="99"/>
      <c r="E99" s="99"/>
      <c r="F99" s="99"/>
      <c r="G99" s="22"/>
      <c r="H99" s="28" t="s">
        <v>54</v>
      </c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78"/>
      <c r="U99" s="365"/>
      <c r="W99" s="233">
        <f>Admin!B99</f>
        <v>42563</v>
      </c>
    </row>
    <row r="100" spans="1:23" ht="15" customHeight="1" x14ac:dyDescent="0.25">
      <c r="A100" s="18"/>
      <c r="B100" s="20"/>
      <c r="C100" s="20"/>
      <c r="D100" s="20"/>
      <c r="E100" s="99"/>
      <c r="F100" s="99"/>
      <c r="G100" s="20"/>
      <c r="H100" s="172"/>
      <c r="I100" s="20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1"/>
      <c r="U100" s="365"/>
      <c r="W100" s="233">
        <f>Admin!B100</f>
        <v>42564</v>
      </c>
    </row>
    <row r="101" spans="1:23" ht="12.6" thickBot="1" x14ac:dyDescent="0.3">
      <c r="A101" s="18"/>
      <c r="B101" s="20"/>
      <c r="C101" s="20"/>
      <c r="D101" s="62"/>
      <c r="E101" s="20"/>
      <c r="F101" s="37" t="s">
        <v>30</v>
      </c>
      <c r="G101" s="66"/>
      <c r="H101" s="20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1"/>
      <c r="U101" s="365"/>
      <c r="W101" s="233">
        <f>Admin!B101</f>
        <v>42565</v>
      </c>
    </row>
    <row r="102" spans="1:23" ht="13.2" thickTop="1" thickBot="1" x14ac:dyDescent="0.3">
      <c r="A102" s="18"/>
      <c r="B102" s="20" t="str">
        <f>B24</f>
        <v>Starting date (existing = 06/04/16)</v>
      </c>
      <c r="C102" s="20"/>
      <c r="D102" s="148"/>
      <c r="E102" s="20"/>
      <c r="F102" s="98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1"/>
      <c r="U102" s="365"/>
      <c r="W102" s="233">
        <f>Admin!B102</f>
        <v>42566</v>
      </c>
    </row>
    <row r="103" spans="1:23" ht="6" customHeight="1" thickTop="1" thickBot="1" x14ac:dyDescent="0.3">
      <c r="A103" s="18"/>
      <c r="B103" s="20"/>
      <c r="C103" s="20"/>
      <c r="D103" s="62"/>
      <c r="E103" s="20"/>
      <c r="F103" s="98"/>
      <c r="G103" s="68"/>
      <c r="H103" s="20"/>
      <c r="I103" s="327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1"/>
      <c r="U103" s="365"/>
      <c r="W103" s="233">
        <f>Admin!B103</f>
        <v>42567</v>
      </c>
    </row>
    <row r="104" spans="1:23" ht="13.5" customHeight="1" thickTop="1" thickBot="1" x14ac:dyDescent="0.3">
      <c r="A104" s="18"/>
      <c r="B104" s="20" t="s">
        <v>69</v>
      </c>
      <c r="C104" s="20"/>
      <c r="D104" s="148"/>
      <c r="E104" s="20"/>
      <c r="F104" s="98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1"/>
      <c r="U104" s="365"/>
      <c r="W104" s="233">
        <f>Admin!B104</f>
        <v>42568</v>
      </c>
    </row>
    <row r="105" spans="1:23" ht="13.2" thickTop="1" thickBot="1" x14ac:dyDescent="0.3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1"/>
      <c r="U105" s="365"/>
      <c r="W105" s="233">
        <f>Admin!B105</f>
        <v>42569</v>
      </c>
    </row>
    <row r="106" spans="1:23" ht="13.2" thickTop="1" thickBot="1" x14ac:dyDescent="0.3">
      <c r="A106" s="18"/>
      <c r="B106" s="22" t="s">
        <v>21</v>
      </c>
      <c r="C106" s="22"/>
      <c r="D106" s="85"/>
      <c r="E106" s="28" t="s">
        <v>29</v>
      </c>
      <c r="F106" s="200" t="str">
        <f>IF(D108="D","Enter M for Director","Enter M or W for Employee")</f>
        <v>Enter M or W for Employee</v>
      </c>
      <c r="G106" s="20"/>
      <c r="H106" s="23"/>
      <c r="I106" s="23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1"/>
      <c r="U106" s="365"/>
      <c r="W106" s="233">
        <f>Admin!B106</f>
        <v>42570</v>
      </c>
    </row>
    <row r="107" spans="1:23" ht="12.6" thickTop="1" x14ac:dyDescent="0.25">
      <c r="A107" s="18"/>
      <c r="B107" s="22" t="s">
        <v>16</v>
      </c>
      <c r="C107" s="22"/>
      <c r="D107" s="154">
        <v>4</v>
      </c>
      <c r="E107" s="25"/>
      <c r="F107" s="70"/>
      <c r="G107" s="34"/>
      <c r="H107" s="20"/>
      <c r="I107" s="20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365"/>
      <c r="W107" s="233">
        <f>Admin!B107</f>
        <v>42571</v>
      </c>
    </row>
    <row r="108" spans="1:23" x14ac:dyDescent="0.25">
      <c r="A108" s="18"/>
      <c r="B108" s="22" t="s">
        <v>67</v>
      </c>
      <c r="C108" s="22"/>
      <c r="D108" s="226"/>
      <c r="E108" s="20"/>
      <c r="F108" s="199" t="s">
        <v>75</v>
      </c>
      <c r="G108" s="34"/>
      <c r="H108" s="20"/>
      <c r="I108" s="20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365"/>
      <c r="W108" s="233">
        <f>Admin!B108</f>
        <v>42572</v>
      </c>
    </row>
    <row r="109" spans="1:23" ht="12" customHeight="1" x14ac:dyDescent="0.25">
      <c r="A109" s="18"/>
      <c r="B109" s="20"/>
      <c r="C109" s="20"/>
      <c r="D109" s="20"/>
      <c r="E109" s="20"/>
      <c r="F109" s="234"/>
      <c r="G109" s="234"/>
      <c r="H109" s="234"/>
      <c r="I109" s="20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1"/>
      <c r="U109" s="365"/>
      <c r="W109" s="233">
        <f>Admin!B109</f>
        <v>42573</v>
      </c>
    </row>
    <row r="110" spans="1:23" ht="6" customHeight="1" x14ac:dyDescent="0.25">
      <c r="A110" s="18"/>
      <c r="B110" s="20"/>
      <c r="C110" s="20"/>
      <c r="D110" s="20"/>
      <c r="E110" s="20"/>
      <c r="F110" s="235"/>
      <c r="G110" s="235"/>
      <c r="H110" s="235"/>
      <c r="I110" s="20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1"/>
      <c r="U110" s="365"/>
      <c r="W110" s="233">
        <f>Admin!B110</f>
        <v>42574</v>
      </c>
    </row>
    <row r="111" spans="1:23" ht="12" customHeight="1" x14ac:dyDescent="0.25">
      <c r="A111" s="18"/>
      <c r="B111" s="22"/>
      <c r="C111" s="22"/>
      <c r="D111" s="22"/>
      <c r="E111" s="22"/>
      <c r="F111" s="22"/>
      <c r="G111" s="22"/>
      <c r="H111" s="22"/>
      <c r="I111" s="20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1"/>
      <c r="U111" s="365"/>
      <c r="W111" s="233">
        <f>Admin!B111</f>
        <v>42575</v>
      </c>
    </row>
    <row r="112" spans="1:23" x14ac:dyDescent="0.25">
      <c r="A112" s="18"/>
      <c r="B112" s="22"/>
      <c r="C112" s="22"/>
      <c r="D112" s="22"/>
      <c r="E112" s="22"/>
      <c r="F112" s="22"/>
      <c r="G112" s="22"/>
      <c r="H112" s="22"/>
      <c r="I112" s="20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1"/>
      <c r="U112" s="365"/>
      <c r="W112" s="233">
        <f>Admin!B112</f>
        <v>42576</v>
      </c>
    </row>
    <row r="113" spans="1:23" ht="13.5" customHeight="1" x14ac:dyDescent="0.25">
      <c r="A113" s="18"/>
      <c r="B113" s="22"/>
      <c r="C113" s="22"/>
      <c r="D113" s="22"/>
      <c r="E113" s="22"/>
      <c r="F113" s="22"/>
      <c r="G113" s="22"/>
      <c r="H113" s="22"/>
      <c r="I113" s="20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1"/>
      <c r="U113" s="365"/>
      <c r="W113" s="233">
        <f>Admin!B113</f>
        <v>42577</v>
      </c>
    </row>
    <row r="114" spans="1:23" ht="9" customHeight="1" thickBot="1" x14ac:dyDescent="0.3">
      <c r="A114" s="79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68"/>
      <c r="Q114" s="26"/>
      <c r="R114" s="26"/>
      <c r="S114" s="26"/>
      <c r="T114" s="32"/>
      <c r="U114" s="365"/>
      <c r="W114" s="233">
        <f>Admin!B114</f>
        <v>42578</v>
      </c>
    </row>
    <row r="115" spans="1:23" ht="22.5" customHeight="1" thickBot="1" x14ac:dyDescent="0.3">
      <c r="A115" s="366"/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5"/>
      <c r="W115" s="233">
        <f>Admin!B115</f>
        <v>42579</v>
      </c>
    </row>
    <row r="116" spans="1:23" ht="9" customHeight="1" thickBot="1" x14ac:dyDescent="0.3">
      <c r="A116" s="15"/>
      <c r="B116" s="16"/>
      <c r="C116" s="16"/>
      <c r="D116" s="16"/>
      <c r="E116" s="16"/>
      <c r="F116" s="16"/>
      <c r="G116" s="16"/>
      <c r="H116" s="16"/>
      <c r="I116" s="16"/>
      <c r="J116" s="77"/>
      <c r="K116" s="16"/>
      <c r="L116" s="16"/>
      <c r="M116" s="16"/>
      <c r="N116" s="16"/>
      <c r="O116" s="16"/>
      <c r="P116" s="164"/>
      <c r="Q116" s="16"/>
      <c r="R116" s="16"/>
      <c r="S116" s="16"/>
      <c r="T116" s="17"/>
      <c r="U116" s="365"/>
      <c r="W116" s="233">
        <f>Admin!B116</f>
        <v>42580</v>
      </c>
    </row>
    <row r="117" spans="1:23" ht="15" customHeight="1" thickTop="1" thickBot="1" x14ac:dyDescent="0.3">
      <c r="A117" s="18"/>
      <c r="B117" s="97" t="s">
        <v>37</v>
      </c>
      <c r="C117" s="65"/>
      <c r="D117" s="20"/>
      <c r="E117" s="20"/>
      <c r="F117" s="20"/>
      <c r="G117" s="20"/>
      <c r="H117" s="362" t="s">
        <v>50</v>
      </c>
      <c r="I117" s="20"/>
      <c r="J117" s="29"/>
      <c r="K117" s="97" t="s">
        <v>20</v>
      </c>
      <c r="L117" s="65"/>
      <c r="M117" s="84"/>
      <c r="N117" s="19"/>
      <c r="O117" s="367"/>
      <c r="P117" s="368"/>
      <c r="Q117" s="364"/>
      <c r="R117" s="66"/>
      <c r="S117" s="354"/>
      <c r="T117" s="21"/>
      <c r="U117" s="365"/>
      <c r="W117" s="233">
        <f>Admin!B117</f>
        <v>42581</v>
      </c>
    </row>
    <row r="118" spans="1:23" ht="6" customHeight="1" thickTop="1" thickBot="1" x14ac:dyDescent="0.3">
      <c r="A118" s="18"/>
      <c r="B118" s="65"/>
      <c r="C118" s="65"/>
      <c r="D118" s="20"/>
      <c r="E118" s="20"/>
      <c r="F118" s="20"/>
      <c r="G118" s="20"/>
      <c r="H118" s="362"/>
      <c r="I118" s="20"/>
      <c r="J118" s="29"/>
      <c r="K118" s="65"/>
      <c r="L118" s="65"/>
      <c r="M118" s="84"/>
      <c r="N118" s="19"/>
      <c r="O118" s="20"/>
      <c r="P118" s="165"/>
      <c r="Q118" s="365"/>
      <c r="R118" s="20"/>
      <c r="S118" s="355"/>
      <c r="T118" s="21"/>
      <c r="U118" s="365"/>
      <c r="W118" s="233">
        <f>Admin!B118</f>
        <v>42582</v>
      </c>
    </row>
    <row r="119" spans="1:23" ht="14.4" thickTop="1" thickBot="1" x14ac:dyDescent="0.3">
      <c r="A119" s="18"/>
      <c r="B119" s="20" t="s">
        <v>11</v>
      </c>
      <c r="C119" s="20"/>
      <c r="D119" s="356"/>
      <c r="E119" s="357"/>
      <c r="F119" s="358"/>
      <c r="G119" s="22"/>
      <c r="H119" s="28" t="s">
        <v>51</v>
      </c>
      <c r="I119" s="22"/>
      <c r="J119" s="64"/>
      <c r="K119" s="20" t="s">
        <v>17</v>
      </c>
      <c r="L119" s="20"/>
      <c r="M119" s="359"/>
      <c r="N119" s="360"/>
      <c r="O119" s="361"/>
      <c r="P119" s="166"/>
      <c r="Q119" s="37"/>
      <c r="R119" s="153"/>
      <c r="S119" s="156"/>
      <c r="T119" s="21"/>
      <c r="U119" s="365"/>
      <c r="W119" s="233">
        <f>Admin!B119</f>
        <v>42583</v>
      </c>
    </row>
    <row r="120" spans="1:23" ht="13.2" thickTop="1" thickBot="1" x14ac:dyDescent="0.3">
      <c r="A120" s="18"/>
      <c r="B120" s="20" t="s">
        <v>12</v>
      </c>
      <c r="C120" s="20"/>
      <c r="D120" s="356"/>
      <c r="E120" s="357"/>
      <c r="F120" s="358"/>
      <c r="G120" s="22"/>
      <c r="H120" s="170"/>
      <c r="I120" s="22"/>
      <c r="J120" s="29"/>
      <c r="K120" s="20"/>
      <c r="L120" s="20"/>
      <c r="M120" s="63"/>
      <c r="N120" s="63"/>
      <c r="O120" s="173"/>
      <c r="P120" s="174"/>
      <c r="Q120" s="37"/>
      <c r="R120" s="28"/>
      <c r="S120" s="37"/>
      <c r="T120" s="21"/>
      <c r="U120" s="365"/>
      <c r="W120" s="233">
        <f>Admin!B120</f>
        <v>42584</v>
      </c>
    </row>
    <row r="121" spans="1:23" ht="12.6" thickTop="1" x14ac:dyDescent="0.25">
      <c r="A121" s="18"/>
      <c r="B121" s="20"/>
      <c r="C121" s="20"/>
      <c r="D121" s="20"/>
      <c r="E121" s="20"/>
      <c r="F121" s="20"/>
      <c r="G121" s="22"/>
      <c r="H121" s="34" t="s">
        <v>52</v>
      </c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1"/>
      <c r="U121" s="365"/>
      <c r="W121" s="233">
        <f>Admin!B121</f>
        <v>42585</v>
      </c>
    </row>
    <row r="122" spans="1:23" x14ac:dyDescent="0.25">
      <c r="A122" s="18"/>
      <c r="B122" s="20"/>
      <c r="C122" s="20"/>
      <c r="D122" s="20"/>
      <c r="E122" s="20"/>
      <c r="F122" s="20"/>
      <c r="G122" s="22"/>
      <c r="H122" s="171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1"/>
      <c r="U122" s="365"/>
      <c r="W122" s="233">
        <f>Admin!B122</f>
        <v>42586</v>
      </c>
    </row>
    <row r="123" spans="1:23" x14ac:dyDescent="0.25">
      <c r="A123" s="18"/>
      <c r="B123" s="20"/>
      <c r="C123" s="20"/>
      <c r="D123" s="20"/>
      <c r="E123" s="20"/>
      <c r="F123" s="20"/>
      <c r="G123" s="22"/>
      <c r="H123" s="34" t="s">
        <v>53</v>
      </c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1"/>
      <c r="U123" s="365"/>
      <c r="W123" s="233">
        <f>Admin!B123</f>
        <v>42587</v>
      </c>
    </row>
    <row r="124" spans="1:23" x14ac:dyDescent="0.25">
      <c r="A124" s="18"/>
      <c r="B124" s="20"/>
      <c r="C124" s="20"/>
      <c r="D124" s="20"/>
      <c r="E124" s="20"/>
      <c r="F124" s="20"/>
      <c r="G124" s="22"/>
      <c r="H124" s="170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1"/>
      <c r="U124" s="365"/>
      <c r="W124" s="233">
        <f>Admin!B124</f>
        <v>42588</v>
      </c>
    </row>
    <row r="125" spans="1:23" ht="12" customHeight="1" x14ac:dyDescent="0.25">
      <c r="A125" s="18"/>
      <c r="B125" s="20"/>
      <c r="C125" s="20"/>
      <c r="D125" s="20"/>
      <c r="E125" s="20"/>
      <c r="F125" s="20"/>
      <c r="G125" s="22"/>
      <c r="H125" s="28" t="s">
        <v>54</v>
      </c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78"/>
      <c r="U125" s="365"/>
      <c r="W125" s="233">
        <f>Admin!B125</f>
        <v>42589</v>
      </c>
    </row>
    <row r="126" spans="1:23" ht="14.25" customHeight="1" x14ac:dyDescent="0.25">
      <c r="A126" s="18"/>
      <c r="B126" s="20"/>
      <c r="C126" s="20"/>
      <c r="D126" s="20"/>
      <c r="E126" s="20"/>
      <c r="F126" s="20"/>
      <c r="G126" s="20"/>
      <c r="H126" s="172"/>
      <c r="I126" s="20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1"/>
      <c r="U126" s="365"/>
      <c r="W126" s="233">
        <f>Admin!B126</f>
        <v>42590</v>
      </c>
    </row>
    <row r="127" spans="1:23" ht="12.6" thickBot="1" x14ac:dyDescent="0.3">
      <c r="A127" s="18"/>
      <c r="B127" s="20"/>
      <c r="C127" s="20"/>
      <c r="D127" s="62"/>
      <c r="E127" s="20"/>
      <c r="F127" s="37" t="s">
        <v>30</v>
      </c>
      <c r="G127" s="66"/>
      <c r="H127" s="20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1"/>
      <c r="U127" s="365"/>
      <c r="W127" s="233">
        <f>Admin!B127</f>
        <v>42591</v>
      </c>
    </row>
    <row r="128" spans="1:23" ht="13.2" thickTop="1" thickBot="1" x14ac:dyDescent="0.3">
      <c r="A128" s="18"/>
      <c r="B128" s="20" t="str">
        <f>B24</f>
        <v>Starting date (existing = 06/04/16)</v>
      </c>
      <c r="C128" s="20"/>
      <c r="D128" s="148"/>
      <c r="E128" s="20"/>
      <c r="F128" s="98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1"/>
      <c r="U128" s="365"/>
      <c r="W128" s="233">
        <f>Admin!B128</f>
        <v>42592</v>
      </c>
    </row>
    <row r="129" spans="1:23" ht="6" customHeight="1" thickTop="1" thickBot="1" x14ac:dyDescent="0.3">
      <c r="A129" s="18"/>
      <c r="B129" s="20"/>
      <c r="C129" s="20"/>
      <c r="D129" s="62"/>
      <c r="E129" s="20"/>
      <c r="F129" s="98"/>
      <c r="G129" s="68"/>
      <c r="H129" s="20"/>
      <c r="I129" s="327"/>
      <c r="J129" s="20"/>
      <c r="K129" s="22"/>
      <c r="L129" s="22"/>
      <c r="M129" s="22"/>
      <c r="N129" s="22"/>
      <c r="O129" s="22"/>
      <c r="P129" s="22"/>
      <c r="Q129" s="22"/>
      <c r="R129" s="22"/>
      <c r="S129" s="22"/>
      <c r="T129" s="21"/>
      <c r="U129" s="365"/>
      <c r="W129" s="233">
        <f>Admin!B129</f>
        <v>42593</v>
      </c>
    </row>
    <row r="130" spans="1:23" ht="13.5" customHeight="1" thickTop="1" thickBot="1" x14ac:dyDescent="0.3">
      <c r="A130" s="18"/>
      <c r="B130" s="20" t="s">
        <v>69</v>
      </c>
      <c r="C130" s="20"/>
      <c r="D130" s="148"/>
      <c r="E130" s="20"/>
      <c r="F130" s="98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1"/>
      <c r="U130" s="365"/>
      <c r="W130" s="233">
        <f>Admin!B130</f>
        <v>42594</v>
      </c>
    </row>
    <row r="131" spans="1:23" ht="13.2" thickTop="1" thickBot="1" x14ac:dyDescent="0.3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1"/>
      <c r="U131" s="365"/>
      <c r="W131" s="233">
        <f>Admin!B131</f>
        <v>42595</v>
      </c>
    </row>
    <row r="132" spans="1:23" ht="13.2" thickTop="1" thickBot="1" x14ac:dyDescent="0.3">
      <c r="A132" s="18"/>
      <c r="B132" s="22" t="s">
        <v>21</v>
      </c>
      <c r="C132" s="22"/>
      <c r="D132" s="85"/>
      <c r="E132" s="28" t="s">
        <v>29</v>
      </c>
      <c r="F132" s="200" t="str">
        <f>IF(D134="D","Enter M for Director","Enter M or W for Employee")</f>
        <v>Enter M or W for Employee</v>
      </c>
      <c r="G132" s="20"/>
      <c r="H132" s="23"/>
      <c r="I132" s="23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1"/>
      <c r="U132" s="365"/>
      <c r="W132" s="233">
        <f>Admin!B132</f>
        <v>42596</v>
      </c>
    </row>
    <row r="133" spans="1:23" ht="12.6" thickTop="1" x14ac:dyDescent="0.25">
      <c r="A133" s="18"/>
      <c r="B133" s="22" t="s">
        <v>16</v>
      </c>
      <c r="C133" s="22"/>
      <c r="D133" s="154">
        <v>5</v>
      </c>
      <c r="E133" s="25"/>
      <c r="F133" s="70"/>
      <c r="G133" s="34"/>
      <c r="H133" s="20"/>
      <c r="I133" s="20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1"/>
      <c r="U133" s="365"/>
      <c r="W133" s="233">
        <f>Admin!B133</f>
        <v>42597</v>
      </c>
    </row>
    <row r="134" spans="1:23" x14ac:dyDescent="0.25">
      <c r="A134" s="18"/>
      <c r="B134" s="22" t="s">
        <v>67</v>
      </c>
      <c r="C134" s="22"/>
      <c r="D134" s="226"/>
      <c r="E134" s="20"/>
      <c r="F134" s="199" t="s">
        <v>75</v>
      </c>
      <c r="G134" s="34"/>
      <c r="H134" s="20"/>
      <c r="I134" s="20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1"/>
      <c r="U134" s="365"/>
      <c r="W134" s="233">
        <f>Admin!B134</f>
        <v>42598</v>
      </c>
    </row>
    <row r="135" spans="1:23" ht="12" customHeight="1" x14ac:dyDescent="0.25">
      <c r="A135" s="18"/>
      <c r="B135" s="20"/>
      <c r="C135" s="20"/>
      <c r="D135" s="20"/>
      <c r="E135" s="20"/>
      <c r="F135" s="234"/>
      <c r="G135" s="234"/>
      <c r="H135" s="234"/>
      <c r="I135" s="20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1"/>
      <c r="U135" s="365"/>
      <c r="W135" s="233">
        <f>Admin!B135</f>
        <v>42599</v>
      </c>
    </row>
    <row r="136" spans="1:23" ht="6" customHeight="1" x14ac:dyDescent="0.25">
      <c r="A136" s="18"/>
      <c r="B136" s="20"/>
      <c r="C136" s="20"/>
      <c r="D136" s="20"/>
      <c r="E136" s="20"/>
      <c r="F136" s="235"/>
      <c r="G136" s="235"/>
      <c r="H136" s="235"/>
      <c r="I136" s="20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365"/>
      <c r="W136" s="233">
        <f>Admin!B136</f>
        <v>42600</v>
      </c>
    </row>
    <row r="137" spans="1:23" ht="12" customHeight="1" x14ac:dyDescent="0.25">
      <c r="A137" s="18"/>
      <c r="B137" s="22"/>
      <c r="C137" s="22"/>
      <c r="D137" s="22"/>
      <c r="E137" s="22"/>
      <c r="F137" s="22"/>
      <c r="G137" s="22"/>
      <c r="H137" s="22"/>
      <c r="I137" s="20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1"/>
      <c r="U137" s="365"/>
      <c r="W137" s="233">
        <f>Admin!B137</f>
        <v>42601</v>
      </c>
    </row>
    <row r="138" spans="1:23" x14ac:dyDescent="0.25">
      <c r="A138" s="18"/>
      <c r="B138" s="22"/>
      <c r="C138" s="22"/>
      <c r="D138" s="22"/>
      <c r="E138" s="22"/>
      <c r="F138" s="22"/>
      <c r="G138" s="22"/>
      <c r="H138" s="22"/>
      <c r="I138" s="20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1"/>
      <c r="U138" s="365"/>
      <c r="W138" s="233">
        <f>Admin!B138</f>
        <v>42602</v>
      </c>
    </row>
    <row r="139" spans="1:23" ht="13.5" customHeight="1" x14ac:dyDescent="0.25">
      <c r="A139" s="18"/>
      <c r="B139" s="22"/>
      <c r="C139" s="22"/>
      <c r="D139" s="22"/>
      <c r="E139" s="22"/>
      <c r="F139" s="22"/>
      <c r="G139" s="22"/>
      <c r="H139" s="22"/>
      <c r="I139" s="20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1"/>
      <c r="U139" s="365"/>
      <c r="W139" s="233">
        <f>Admin!B139</f>
        <v>42603</v>
      </c>
    </row>
    <row r="140" spans="1:23" ht="9" customHeight="1" thickBot="1" x14ac:dyDescent="0.3">
      <c r="A140" s="79"/>
      <c r="B140" s="26"/>
      <c r="C140" s="26"/>
      <c r="D140" s="26"/>
      <c r="E140" s="26"/>
      <c r="F140" s="26"/>
      <c r="G140" s="26"/>
      <c r="H140" s="26"/>
      <c r="I140" s="26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65"/>
      <c r="W140" s="233">
        <f>Admin!B140</f>
        <v>42604</v>
      </c>
    </row>
    <row r="141" spans="1:23" ht="22.5" customHeight="1" thickBot="1" x14ac:dyDescent="0.3">
      <c r="A141" s="366"/>
      <c r="B141" s="366"/>
      <c r="C141" s="366"/>
      <c r="D141" s="366"/>
      <c r="E141" s="366"/>
      <c r="F141" s="366"/>
      <c r="G141" s="366"/>
      <c r="H141" s="366"/>
      <c r="I141" s="366"/>
      <c r="J141" s="366"/>
      <c r="K141" s="366"/>
      <c r="L141" s="366"/>
      <c r="M141" s="366"/>
      <c r="N141" s="366"/>
      <c r="O141" s="366"/>
      <c r="P141" s="366"/>
      <c r="Q141" s="366"/>
      <c r="R141" s="366"/>
      <c r="S141" s="366"/>
      <c r="T141" s="366"/>
      <c r="U141" s="365"/>
      <c r="W141" s="233">
        <f>Admin!B141</f>
        <v>42605</v>
      </c>
    </row>
    <row r="142" spans="1:23" x14ac:dyDescent="0.25">
      <c r="W142" s="233">
        <f>Admin!B142</f>
        <v>42606</v>
      </c>
    </row>
    <row r="143" spans="1:23" x14ac:dyDescent="0.25">
      <c r="W143" s="233">
        <f>Admin!B143</f>
        <v>42607</v>
      </c>
    </row>
    <row r="144" spans="1:23" x14ac:dyDescent="0.25">
      <c r="W144" s="233">
        <f>Admin!B144</f>
        <v>42608</v>
      </c>
    </row>
    <row r="145" spans="23:23" x14ac:dyDescent="0.25">
      <c r="W145" s="233">
        <f>Admin!B145</f>
        <v>42609</v>
      </c>
    </row>
    <row r="146" spans="23:23" x14ac:dyDescent="0.25">
      <c r="W146" s="233">
        <f>Admin!B146</f>
        <v>42610</v>
      </c>
    </row>
    <row r="147" spans="23:23" x14ac:dyDescent="0.25">
      <c r="W147" s="233">
        <f>Admin!B147</f>
        <v>42611</v>
      </c>
    </row>
    <row r="148" spans="23:23" x14ac:dyDescent="0.25">
      <c r="W148" s="233">
        <f>Admin!B148</f>
        <v>42612</v>
      </c>
    </row>
    <row r="149" spans="23:23" x14ac:dyDescent="0.25">
      <c r="W149" s="233">
        <f>Admin!B149</f>
        <v>42613</v>
      </c>
    </row>
    <row r="150" spans="23:23" x14ac:dyDescent="0.25">
      <c r="W150" s="233">
        <f>Admin!B150</f>
        <v>42614</v>
      </c>
    </row>
    <row r="151" spans="23:23" x14ac:dyDescent="0.25">
      <c r="W151" s="233">
        <f>Admin!B151</f>
        <v>42615</v>
      </c>
    </row>
    <row r="152" spans="23:23" x14ac:dyDescent="0.25">
      <c r="W152" s="233">
        <f>Admin!B152</f>
        <v>42616</v>
      </c>
    </row>
    <row r="153" spans="23:23" x14ac:dyDescent="0.25">
      <c r="W153" s="233">
        <f>Admin!B153</f>
        <v>42617</v>
      </c>
    </row>
    <row r="154" spans="23:23" x14ac:dyDescent="0.25">
      <c r="W154" s="233">
        <f>Admin!B154</f>
        <v>42618</v>
      </c>
    </row>
    <row r="155" spans="23:23" x14ac:dyDescent="0.25">
      <c r="W155" s="233">
        <f>Admin!B155</f>
        <v>42619</v>
      </c>
    </row>
    <row r="156" spans="23:23" x14ac:dyDescent="0.25">
      <c r="W156" s="233">
        <f>Admin!B156</f>
        <v>42620</v>
      </c>
    </row>
    <row r="157" spans="23:23" x14ac:dyDescent="0.25">
      <c r="W157" s="233">
        <f>Admin!B157</f>
        <v>42621</v>
      </c>
    </row>
    <row r="158" spans="23:23" x14ac:dyDescent="0.25">
      <c r="W158" s="233">
        <f>Admin!B158</f>
        <v>42622</v>
      </c>
    </row>
    <row r="159" spans="23:23" x14ac:dyDescent="0.25">
      <c r="W159" s="233">
        <f>Admin!B159</f>
        <v>42623</v>
      </c>
    </row>
    <row r="160" spans="23:23" x14ac:dyDescent="0.25">
      <c r="W160" s="233">
        <f>Admin!B160</f>
        <v>42624</v>
      </c>
    </row>
    <row r="161" spans="23:23" x14ac:dyDescent="0.25">
      <c r="W161" s="233">
        <f>Admin!B161</f>
        <v>42625</v>
      </c>
    </row>
    <row r="162" spans="23:23" x14ac:dyDescent="0.25">
      <c r="W162" s="233">
        <f>Admin!B162</f>
        <v>42626</v>
      </c>
    </row>
    <row r="163" spans="23:23" x14ac:dyDescent="0.25">
      <c r="W163" s="233">
        <f>Admin!B163</f>
        <v>42627</v>
      </c>
    </row>
    <row r="164" spans="23:23" x14ac:dyDescent="0.25">
      <c r="W164" s="233">
        <f>Admin!B164</f>
        <v>42628</v>
      </c>
    </row>
    <row r="165" spans="23:23" x14ac:dyDescent="0.25">
      <c r="W165" s="233">
        <f>Admin!B165</f>
        <v>42629</v>
      </c>
    </row>
    <row r="166" spans="23:23" x14ac:dyDescent="0.25">
      <c r="W166" s="233">
        <f>Admin!B166</f>
        <v>42630</v>
      </c>
    </row>
    <row r="167" spans="23:23" x14ac:dyDescent="0.25">
      <c r="W167" s="233">
        <f>Admin!B167</f>
        <v>42631</v>
      </c>
    </row>
    <row r="168" spans="23:23" x14ac:dyDescent="0.25">
      <c r="W168" s="233">
        <f>Admin!B168</f>
        <v>42632</v>
      </c>
    </row>
    <row r="169" spans="23:23" x14ac:dyDescent="0.25">
      <c r="W169" s="233">
        <f>Admin!B169</f>
        <v>42633</v>
      </c>
    </row>
    <row r="170" spans="23:23" x14ac:dyDescent="0.25">
      <c r="W170" s="233">
        <f>Admin!B170</f>
        <v>42634</v>
      </c>
    </row>
    <row r="171" spans="23:23" x14ac:dyDescent="0.25">
      <c r="W171" s="233">
        <f>Admin!B171</f>
        <v>42635</v>
      </c>
    </row>
    <row r="172" spans="23:23" x14ac:dyDescent="0.25">
      <c r="W172" s="233">
        <f>Admin!B172</f>
        <v>42636</v>
      </c>
    </row>
    <row r="173" spans="23:23" x14ac:dyDescent="0.25">
      <c r="W173" s="233">
        <f>Admin!B173</f>
        <v>42637</v>
      </c>
    </row>
    <row r="174" spans="23:23" x14ac:dyDescent="0.25">
      <c r="W174" s="233">
        <f>Admin!B174</f>
        <v>42638</v>
      </c>
    </row>
    <row r="175" spans="23:23" x14ac:dyDescent="0.25">
      <c r="W175" s="233">
        <f>Admin!B175</f>
        <v>42639</v>
      </c>
    </row>
    <row r="176" spans="23:23" x14ac:dyDescent="0.25">
      <c r="W176" s="233">
        <f>Admin!B176</f>
        <v>42640</v>
      </c>
    </row>
    <row r="177" spans="23:23" x14ac:dyDescent="0.25">
      <c r="W177" s="233">
        <f>Admin!B177</f>
        <v>42641</v>
      </c>
    </row>
    <row r="178" spans="23:23" x14ac:dyDescent="0.25">
      <c r="W178" s="233">
        <f>Admin!B178</f>
        <v>42642</v>
      </c>
    </row>
    <row r="179" spans="23:23" x14ac:dyDescent="0.25">
      <c r="W179" s="233">
        <f>Admin!B179</f>
        <v>42643</v>
      </c>
    </row>
    <row r="180" spans="23:23" x14ac:dyDescent="0.25">
      <c r="W180" s="233">
        <f>Admin!B180</f>
        <v>42644</v>
      </c>
    </row>
    <row r="181" spans="23:23" x14ac:dyDescent="0.25">
      <c r="W181" s="233">
        <f>Admin!B181</f>
        <v>42645</v>
      </c>
    </row>
    <row r="182" spans="23:23" x14ac:dyDescent="0.25">
      <c r="W182" s="233">
        <f>Admin!B182</f>
        <v>42646</v>
      </c>
    </row>
    <row r="183" spans="23:23" x14ac:dyDescent="0.25">
      <c r="W183" s="233">
        <f>Admin!B183</f>
        <v>42647</v>
      </c>
    </row>
    <row r="184" spans="23:23" x14ac:dyDescent="0.25">
      <c r="W184" s="233">
        <f>Admin!B184</f>
        <v>42648</v>
      </c>
    </row>
    <row r="185" spans="23:23" x14ac:dyDescent="0.25">
      <c r="W185" s="233">
        <f>Admin!B185</f>
        <v>42649</v>
      </c>
    </row>
    <row r="186" spans="23:23" x14ac:dyDescent="0.25">
      <c r="W186" s="233">
        <f>Admin!B186</f>
        <v>42650</v>
      </c>
    </row>
    <row r="187" spans="23:23" x14ac:dyDescent="0.25">
      <c r="W187" s="233">
        <f>Admin!B187</f>
        <v>42651</v>
      </c>
    </row>
    <row r="188" spans="23:23" x14ac:dyDescent="0.25">
      <c r="W188" s="233">
        <f>Admin!B188</f>
        <v>42652</v>
      </c>
    </row>
    <row r="189" spans="23:23" x14ac:dyDescent="0.25">
      <c r="W189" s="233">
        <f>Admin!B189</f>
        <v>42653</v>
      </c>
    </row>
    <row r="190" spans="23:23" x14ac:dyDescent="0.25">
      <c r="W190" s="233">
        <f>Admin!B190</f>
        <v>42654</v>
      </c>
    </row>
    <row r="191" spans="23:23" x14ac:dyDescent="0.25">
      <c r="W191" s="233">
        <f>Admin!B191</f>
        <v>42655</v>
      </c>
    </row>
    <row r="192" spans="23:23" x14ac:dyDescent="0.25">
      <c r="W192" s="233">
        <f>Admin!B192</f>
        <v>42656</v>
      </c>
    </row>
    <row r="193" spans="23:23" x14ac:dyDescent="0.25">
      <c r="W193" s="233">
        <f>Admin!B193</f>
        <v>42657</v>
      </c>
    </row>
    <row r="194" spans="23:23" x14ac:dyDescent="0.25">
      <c r="W194" s="233">
        <f>Admin!B194</f>
        <v>42658</v>
      </c>
    </row>
    <row r="195" spans="23:23" x14ac:dyDescent="0.25">
      <c r="W195" s="233">
        <f>Admin!B195</f>
        <v>42659</v>
      </c>
    </row>
    <row r="196" spans="23:23" x14ac:dyDescent="0.25">
      <c r="W196" s="233">
        <f>Admin!B196</f>
        <v>42660</v>
      </c>
    </row>
    <row r="197" spans="23:23" x14ac:dyDescent="0.25">
      <c r="W197" s="233">
        <f>Admin!B197</f>
        <v>42661</v>
      </c>
    </row>
    <row r="198" spans="23:23" x14ac:dyDescent="0.25">
      <c r="W198" s="233">
        <f>Admin!B198</f>
        <v>42662</v>
      </c>
    </row>
    <row r="199" spans="23:23" x14ac:dyDescent="0.25">
      <c r="W199" s="233">
        <f>Admin!B199</f>
        <v>42663</v>
      </c>
    </row>
    <row r="200" spans="23:23" x14ac:dyDescent="0.25">
      <c r="W200" s="233">
        <f>Admin!B200</f>
        <v>42664</v>
      </c>
    </row>
    <row r="201" spans="23:23" x14ac:dyDescent="0.25">
      <c r="W201" s="233">
        <f>Admin!B201</f>
        <v>42665</v>
      </c>
    </row>
    <row r="202" spans="23:23" x14ac:dyDescent="0.25">
      <c r="W202" s="233">
        <f>Admin!B202</f>
        <v>42666</v>
      </c>
    </row>
    <row r="203" spans="23:23" x14ac:dyDescent="0.25">
      <c r="W203" s="233">
        <f>Admin!B203</f>
        <v>42667</v>
      </c>
    </row>
    <row r="204" spans="23:23" x14ac:dyDescent="0.25">
      <c r="W204" s="233">
        <f>Admin!B204</f>
        <v>42668</v>
      </c>
    </row>
    <row r="205" spans="23:23" x14ac:dyDescent="0.25">
      <c r="W205" s="233">
        <f>Admin!B205</f>
        <v>42669</v>
      </c>
    </row>
    <row r="206" spans="23:23" x14ac:dyDescent="0.25">
      <c r="W206" s="233">
        <f>Admin!B206</f>
        <v>42670</v>
      </c>
    </row>
    <row r="207" spans="23:23" x14ac:dyDescent="0.25">
      <c r="W207" s="233">
        <f>Admin!B207</f>
        <v>42671</v>
      </c>
    </row>
    <row r="208" spans="23:23" x14ac:dyDescent="0.25">
      <c r="W208" s="233">
        <f>Admin!B208</f>
        <v>42672</v>
      </c>
    </row>
    <row r="209" spans="23:23" x14ac:dyDescent="0.25">
      <c r="W209" s="233">
        <f>Admin!B209</f>
        <v>42673</v>
      </c>
    </row>
    <row r="210" spans="23:23" x14ac:dyDescent="0.25">
      <c r="W210" s="233">
        <f>Admin!B210</f>
        <v>42674</v>
      </c>
    </row>
    <row r="211" spans="23:23" x14ac:dyDescent="0.25">
      <c r="W211" s="233">
        <f>Admin!B211</f>
        <v>42675</v>
      </c>
    </row>
    <row r="212" spans="23:23" x14ac:dyDescent="0.25">
      <c r="W212" s="233">
        <f>Admin!B212</f>
        <v>42676</v>
      </c>
    </row>
    <row r="213" spans="23:23" x14ac:dyDescent="0.25">
      <c r="W213" s="233">
        <f>Admin!B213</f>
        <v>42677</v>
      </c>
    </row>
    <row r="214" spans="23:23" x14ac:dyDescent="0.25">
      <c r="W214" s="233">
        <f>Admin!B214</f>
        <v>42678</v>
      </c>
    </row>
    <row r="215" spans="23:23" x14ac:dyDescent="0.25">
      <c r="W215" s="233">
        <f>Admin!B215</f>
        <v>42679</v>
      </c>
    </row>
    <row r="216" spans="23:23" x14ac:dyDescent="0.25">
      <c r="W216" s="233">
        <f>Admin!B216</f>
        <v>42680</v>
      </c>
    </row>
    <row r="217" spans="23:23" x14ac:dyDescent="0.25">
      <c r="W217" s="233">
        <f>Admin!B217</f>
        <v>42681</v>
      </c>
    </row>
    <row r="218" spans="23:23" x14ac:dyDescent="0.25">
      <c r="W218" s="233">
        <f>Admin!B218</f>
        <v>42682</v>
      </c>
    </row>
    <row r="219" spans="23:23" x14ac:dyDescent="0.25">
      <c r="W219" s="233">
        <f>Admin!B219</f>
        <v>42683</v>
      </c>
    </row>
    <row r="220" spans="23:23" x14ac:dyDescent="0.25">
      <c r="W220" s="233">
        <f>Admin!B220</f>
        <v>42684</v>
      </c>
    </row>
    <row r="221" spans="23:23" x14ac:dyDescent="0.25">
      <c r="W221" s="233">
        <f>Admin!B221</f>
        <v>42685</v>
      </c>
    </row>
    <row r="222" spans="23:23" x14ac:dyDescent="0.25">
      <c r="W222" s="233">
        <f>Admin!B222</f>
        <v>42686</v>
      </c>
    </row>
    <row r="223" spans="23:23" x14ac:dyDescent="0.25">
      <c r="W223" s="233">
        <f>Admin!B223</f>
        <v>42687</v>
      </c>
    </row>
    <row r="224" spans="23:23" x14ac:dyDescent="0.25">
      <c r="W224" s="233">
        <f>Admin!B224</f>
        <v>42688</v>
      </c>
    </row>
    <row r="225" spans="23:23" x14ac:dyDescent="0.25">
      <c r="W225" s="233">
        <f>Admin!B225</f>
        <v>42689</v>
      </c>
    </row>
    <row r="226" spans="23:23" x14ac:dyDescent="0.25">
      <c r="W226" s="233">
        <f>Admin!B226</f>
        <v>42690</v>
      </c>
    </row>
    <row r="227" spans="23:23" x14ac:dyDescent="0.25">
      <c r="W227" s="233">
        <f>Admin!B227</f>
        <v>42691</v>
      </c>
    </row>
    <row r="228" spans="23:23" x14ac:dyDescent="0.25">
      <c r="W228" s="233">
        <f>Admin!B228</f>
        <v>42692</v>
      </c>
    </row>
    <row r="229" spans="23:23" x14ac:dyDescent="0.25">
      <c r="W229" s="233">
        <f>Admin!B229</f>
        <v>42693</v>
      </c>
    </row>
    <row r="230" spans="23:23" x14ac:dyDescent="0.25">
      <c r="W230" s="233">
        <f>Admin!B230</f>
        <v>42694</v>
      </c>
    </row>
    <row r="231" spans="23:23" x14ac:dyDescent="0.25">
      <c r="W231" s="233">
        <f>Admin!B231</f>
        <v>42695</v>
      </c>
    </row>
    <row r="232" spans="23:23" x14ac:dyDescent="0.25">
      <c r="W232" s="233">
        <f>Admin!B232</f>
        <v>42696</v>
      </c>
    </row>
    <row r="233" spans="23:23" x14ac:dyDescent="0.25">
      <c r="W233" s="233">
        <f>Admin!B233</f>
        <v>42697</v>
      </c>
    </row>
    <row r="234" spans="23:23" x14ac:dyDescent="0.25">
      <c r="W234" s="233">
        <f>Admin!B234</f>
        <v>42698</v>
      </c>
    </row>
    <row r="235" spans="23:23" x14ac:dyDescent="0.25">
      <c r="W235" s="233">
        <f>Admin!B235</f>
        <v>42699</v>
      </c>
    </row>
    <row r="236" spans="23:23" x14ac:dyDescent="0.25">
      <c r="W236" s="233">
        <f>Admin!B236</f>
        <v>42700</v>
      </c>
    </row>
    <row r="237" spans="23:23" x14ac:dyDescent="0.25">
      <c r="W237" s="233">
        <f>Admin!B237</f>
        <v>42701</v>
      </c>
    </row>
    <row r="238" spans="23:23" x14ac:dyDescent="0.25">
      <c r="W238" s="233">
        <f>Admin!B238</f>
        <v>42702</v>
      </c>
    </row>
    <row r="239" spans="23:23" x14ac:dyDescent="0.25">
      <c r="W239" s="233">
        <f>Admin!B239</f>
        <v>42703</v>
      </c>
    </row>
    <row r="240" spans="23:23" x14ac:dyDescent="0.25">
      <c r="W240" s="233">
        <f>Admin!B240</f>
        <v>42704</v>
      </c>
    </row>
    <row r="241" spans="23:23" x14ac:dyDescent="0.25">
      <c r="W241" s="233">
        <f>Admin!B241</f>
        <v>42705</v>
      </c>
    </row>
    <row r="242" spans="23:23" x14ac:dyDescent="0.25">
      <c r="W242" s="233">
        <f>Admin!B242</f>
        <v>42706</v>
      </c>
    </row>
    <row r="243" spans="23:23" x14ac:dyDescent="0.25">
      <c r="W243" s="233">
        <f>Admin!B243</f>
        <v>42707</v>
      </c>
    </row>
    <row r="244" spans="23:23" x14ac:dyDescent="0.25">
      <c r="W244" s="233">
        <f>Admin!B244</f>
        <v>42708</v>
      </c>
    </row>
    <row r="245" spans="23:23" x14ac:dyDescent="0.25">
      <c r="W245" s="233">
        <f>Admin!B245</f>
        <v>42709</v>
      </c>
    </row>
    <row r="246" spans="23:23" x14ac:dyDescent="0.25">
      <c r="W246" s="233">
        <f>Admin!B246</f>
        <v>42710</v>
      </c>
    </row>
    <row r="247" spans="23:23" x14ac:dyDescent="0.25">
      <c r="W247" s="233">
        <f>Admin!B247</f>
        <v>42711</v>
      </c>
    </row>
    <row r="248" spans="23:23" x14ac:dyDescent="0.25">
      <c r="W248" s="233">
        <f>Admin!B248</f>
        <v>42712</v>
      </c>
    </row>
    <row r="249" spans="23:23" x14ac:dyDescent="0.25">
      <c r="W249" s="233">
        <f>Admin!B249</f>
        <v>42713</v>
      </c>
    </row>
    <row r="250" spans="23:23" x14ac:dyDescent="0.25">
      <c r="W250" s="233">
        <f>Admin!B250</f>
        <v>42714</v>
      </c>
    </row>
    <row r="251" spans="23:23" x14ac:dyDescent="0.25">
      <c r="W251" s="233">
        <f>Admin!B251</f>
        <v>42715</v>
      </c>
    </row>
    <row r="252" spans="23:23" x14ac:dyDescent="0.25">
      <c r="W252" s="233">
        <f>Admin!B252</f>
        <v>42716</v>
      </c>
    </row>
    <row r="253" spans="23:23" x14ac:dyDescent="0.25">
      <c r="W253" s="233">
        <f>Admin!B253</f>
        <v>42717</v>
      </c>
    </row>
    <row r="254" spans="23:23" x14ac:dyDescent="0.25">
      <c r="W254" s="233">
        <f>Admin!B254</f>
        <v>42718</v>
      </c>
    </row>
    <row r="255" spans="23:23" x14ac:dyDescent="0.25">
      <c r="W255" s="233">
        <f>Admin!B255</f>
        <v>42719</v>
      </c>
    </row>
    <row r="256" spans="23:23" x14ac:dyDescent="0.25">
      <c r="W256" s="233">
        <f>Admin!B256</f>
        <v>42720</v>
      </c>
    </row>
    <row r="257" spans="23:23" x14ac:dyDescent="0.25">
      <c r="W257" s="233">
        <f>Admin!B257</f>
        <v>42721</v>
      </c>
    </row>
    <row r="258" spans="23:23" x14ac:dyDescent="0.25">
      <c r="W258" s="233">
        <f>Admin!B258</f>
        <v>42722</v>
      </c>
    </row>
    <row r="259" spans="23:23" x14ac:dyDescent="0.25">
      <c r="W259" s="233">
        <f>Admin!B259</f>
        <v>42723</v>
      </c>
    </row>
    <row r="260" spans="23:23" x14ac:dyDescent="0.25">
      <c r="W260" s="233">
        <f>Admin!B260</f>
        <v>42724</v>
      </c>
    </row>
    <row r="261" spans="23:23" x14ac:dyDescent="0.25">
      <c r="W261" s="233">
        <f>Admin!B261</f>
        <v>42725</v>
      </c>
    </row>
    <row r="262" spans="23:23" x14ac:dyDescent="0.25">
      <c r="W262" s="233">
        <f>Admin!B262</f>
        <v>42726</v>
      </c>
    </row>
    <row r="263" spans="23:23" x14ac:dyDescent="0.25">
      <c r="W263" s="233">
        <f>Admin!B263</f>
        <v>42727</v>
      </c>
    </row>
    <row r="264" spans="23:23" x14ac:dyDescent="0.25">
      <c r="W264" s="233">
        <f>Admin!B264</f>
        <v>42728</v>
      </c>
    </row>
    <row r="265" spans="23:23" x14ac:dyDescent="0.25">
      <c r="W265" s="233">
        <f>Admin!B265</f>
        <v>42729</v>
      </c>
    </row>
    <row r="266" spans="23:23" x14ac:dyDescent="0.25">
      <c r="W266" s="233">
        <f>Admin!B266</f>
        <v>42730</v>
      </c>
    </row>
    <row r="267" spans="23:23" x14ac:dyDescent="0.25">
      <c r="W267" s="233">
        <f>Admin!B267</f>
        <v>42731</v>
      </c>
    </row>
    <row r="268" spans="23:23" x14ac:dyDescent="0.25">
      <c r="W268" s="233">
        <f>Admin!B268</f>
        <v>42732</v>
      </c>
    </row>
    <row r="269" spans="23:23" x14ac:dyDescent="0.25">
      <c r="W269" s="233">
        <f>Admin!B269</f>
        <v>42733</v>
      </c>
    </row>
    <row r="270" spans="23:23" x14ac:dyDescent="0.25">
      <c r="W270" s="233">
        <f>Admin!B270</f>
        <v>42734</v>
      </c>
    </row>
    <row r="271" spans="23:23" x14ac:dyDescent="0.25">
      <c r="W271" s="233">
        <f>Admin!B271</f>
        <v>42735</v>
      </c>
    </row>
    <row r="272" spans="23:23" x14ac:dyDescent="0.25">
      <c r="W272" s="233">
        <f>Admin!B272</f>
        <v>42736</v>
      </c>
    </row>
    <row r="273" spans="23:23" x14ac:dyDescent="0.25">
      <c r="W273" s="233">
        <f>Admin!B273</f>
        <v>42737</v>
      </c>
    </row>
    <row r="274" spans="23:23" x14ac:dyDescent="0.25">
      <c r="W274" s="233">
        <f>Admin!B274</f>
        <v>42738</v>
      </c>
    </row>
    <row r="275" spans="23:23" x14ac:dyDescent="0.25">
      <c r="W275" s="233">
        <f>Admin!B275</f>
        <v>42739</v>
      </c>
    </row>
    <row r="276" spans="23:23" x14ac:dyDescent="0.25">
      <c r="W276" s="233">
        <f>Admin!B276</f>
        <v>42740</v>
      </c>
    </row>
    <row r="277" spans="23:23" x14ac:dyDescent="0.25">
      <c r="W277" s="233">
        <f>Admin!B277</f>
        <v>42741</v>
      </c>
    </row>
    <row r="278" spans="23:23" x14ac:dyDescent="0.25">
      <c r="W278" s="233">
        <f>Admin!B278</f>
        <v>42742</v>
      </c>
    </row>
    <row r="279" spans="23:23" x14ac:dyDescent="0.25">
      <c r="W279" s="233">
        <f>Admin!B279</f>
        <v>42743</v>
      </c>
    </row>
    <row r="280" spans="23:23" x14ac:dyDescent="0.25">
      <c r="W280" s="233">
        <f>Admin!B280</f>
        <v>42744</v>
      </c>
    </row>
    <row r="281" spans="23:23" x14ac:dyDescent="0.25">
      <c r="W281" s="233">
        <f>Admin!B281</f>
        <v>42745</v>
      </c>
    </row>
    <row r="282" spans="23:23" x14ac:dyDescent="0.25">
      <c r="W282" s="233">
        <f>Admin!B282</f>
        <v>42746</v>
      </c>
    </row>
    <row r="283" spans="23:23" x14ac:dyDescent="0.25">
      <c r="W283" s="233">
        <f>Admin!B283</f>
        <v>42747</v>
      </c>
    </row>
    <row r="284" spans="23:23" x14ac:dyDescent="0.25">
      <c r="W284" s="233">
        <f>Admin!B284</f>
        <v>42748</v>
      </c>
    </row>
    <row r="285" spans="23:23" x14ac:dyDescent="0.25">
      <c r="W285" s="233">
        <f>Admin!B285</f>
        <v>42749</v>
      </c>
    </row>
    <row r="286" spans="23:23" x14ac:dyDescent="0.25">
      <c r="W286" s="233">
        <f>Admin!B286</f>
        <v>42750</v>
      </c>
    </row>
    <row r="287" spans="23:23" x14ac:dyDescent="0.25">
      <c r="W287" s="233">
        <f>Admin!B287</f>
        <v>42751</v>
      </c>
    </row>
    <row r="288" spans="23:23" x14ac:dyDescent="0.25">
      <c r="W288" s="233">
        <f>Admin!B288</f>
        <v>42752</v>
      </c>
    </row>
    <row r="289" spans="23:23" x14ac:dyDescent="0.25">
      <c r="W289" s="233">
        <f>Admin!B289</f>
        <v>42753</v>
      </c>
    </row>
    <row r="290" spans="23:23" x14ac:dyDescent="0.25">
      <c r="W290" s="233">
        <f>Admin!B290</f>
        <v>42754</v>
      </c>
    </row>
    <row r="291" spans="23:23" x14ac:dyDescent="0.25">
      <c r="W291" s="233">
        <f>Admin!B291</f>
        <v>42755</v>
      </c>
    </row>
    <row r="292" spans="23:23" x14ac:dyDescent="0.25">
      <c r="W292" s="233">
        <f>Admin!B292</f>
        <v>42756</v>
      </c>
    </row>
    <row r="293" spans="23:23" x14ac:dyDescent="0.25">
      <c r="W293" s="233">
        <f>Admin!B293</f>
        <v>42757</v>
      </c>
    </row>
    <row r="294" spans="23:23" x14ac:dyDescent="0.25">
      <c r="W294" s="233">
        <f>Admin!B294</f>
        <v>42758</v>
      </c>
    </row>
    <row r="295" spans="23:23" x14ac:dyDescent="0.25">
      <c r="W295" s="233">
        <f>Admin!B295</f>
        <v>42759</v>
      </c>
    </row>
    <row r="296" spans="23:23" x14ac:dyDescent="0.25">
      <c r="W296" s="233">
        <f>Admin!B296</f>
        <v>42760</v>
      </c>
    </row>
    <row r="297" spans="23:23" x14ac:dyDescent="0.25">
      <c r="W297" s="233">
        <f>Admin!B297</f>
        <v>42761</v>
      </c>
    </row>
    <row r="298" spans="23:23" x14ac:dyDescent="0.25">
      <c r="W298" s="233">
        <f>Admin!B298</f>
        <v>42762</v>
      </c>
    </row>
    <row r="299" spans="23:23" x14ac:dyDescent="0.25">
      <c r="W299" s="233">
        <f>Admin!B299</f>
        <v>42763</v>
      </c>
    </row>
    <row r="300" spans="23:23" x14ac:dyDescent="0.25">
      <c r="W300" s="233">
        <f>Admin!B300</f>
        <v>42764</v>
      </c>
    </row>
    <row r="301" spans="23:23" x14ac:dyDescent="0.25">
      <c r="W301" s="233">
        <f>Admin!B301</f>
        <v>42765</v>
      </c>
    </row>
    <row r="302" spans="23:23" x14ac:dyDescent="0.25">
      <c r="W302" s="233">
        <f>Admin!B302</f>
        <v>42766</v>
      </c>
    </row>
    <row r="303" spans="23:23" x14ac:dyDescent="0.25">
      <c r="W303" s="233">
        <f>Admin!B303</f>
        <v>42767</v>
      </c>
    </row>
    <row r="304" spans="23:23" x14ac:dyDescent="0.25">
      <c r="W304" s="233">
        <f>Admin!B304</f>
        <v>42768</v>
      </c>
    </row>
    <row r="305" spans="23:23" x14ac:dyDescent="0.25">
      <c r="W305" s="233">
        <f>Admin!B305</f>
        <v>42769</v>
      </c>
    </row>
    <row r="306" spans="23:23" x14ac:dyDescent="0.25">
      <c r="W306" s="233">
        <f>Admin!B306</f>
        <v>42770</v>
      </c>
    </row>
    <row r="307" spans="23:23" x14ac:dyDescent="0.25">
      <c r="W307" s="233">
        <f>Admin!B307</f>
        <v>42771</v>
      </c>
    </row>
    <row r="308" spans="23:23" x14ac:dyDescent="0.25">
      <c r="W308" s="233">
        <f>Admin!B308</f>
        <v>42772</v>
      </c>
    </row>
    <row r="309" spans="23:23" x14ac:dyDescent="0.25">
      <c r="W309" s="233">
        <f>Admin!B309</f>
        <v>42773</v>
      </c>
    </row>
    <row r="310" spans="23:23" x14ac:dyDescent="0.25">
      <c r="W310" s="233">
        <f>Admin!B310</f>
        <v>42774</v>
      </c>
    </row>
    <row r="311" spans="23:23" x14ac:dyDescent="0.25">
      <c r="W311" s="233">
        <f>Admin!B311</f>
        <v>42775</v>
      </c>
    </row>
    <row r="312" spans="23:23" x14ac:dyDescent="0.25">
      <c r="W312" s="233">
        <f>Admin!B312</f>
        <v>42776</v>
      </c>
    </row>
    <row r="313" spans="23:23" x14ac:dyDescent="0.25">
      <c r="W313" s="233">
        <f>Admin!B313</f>
        <v>42777</v>
      </c>
    </row>
    <row r="314" spans="23:23" x14ac:dyDescent="0.25">
      <c r="W314" s="233">
        <f>Admin!B314</f>
        <v>42778</v>
      </c>
    </row>
    <row r="315" spans="23:23" x14ac:dyDescent="0.25">
      <c r="W315" s="233">
        <f>Admin!B315</f>
        <v>42779</v>
      </c>
    </row>
    <row r="316" spans="23:23" x14ac:dyDescent="0.25">
      <c r="W316" s="233">
        <f>Admin!B316</f>
        <v>42780</v>
      </c>
    </row>
    <row r="317" spans="23:23" x14ac:dyDescent="0.25">
      <c r="W317" s="233">
        <f>Admin!B317</f>
        <v>42781</v>
      </c>
    </row>
    <row r="318" spans="23:23" x14ac:dyDescent="0.25">
      <c r="W318" s="233">
        <f>Admin!B318</f>
        <v>42782</v>
      </c>
    </row>
    <row r="319" spans="23:23" x14ac:dyDescent="0.25">
      <c r="W319" s="233">
        <f>Admin!B319</f>
        <v>42783</v>
      </c>
    </row>
    <row r="320" spans="23:23" x14ac:dyDescent="0.25">
      <c r="W320" s="233">
        <f>Admin!B320</f>
        <v>42784</v>
      </c>
    </row>
    <row r="321" spans="23:23" x14ac:dyDescent="0.25">
      <c r="W321" s="233">
        <f>Admin!B321</f>
        <v>42785</v>
      </c>
    </row>
    <row r="322" spans="23:23" x14ac:dyDescent="0.25">
      <c r="W322" s="233">
        <f>Admin!B322</f>
        <v>42786</v>
      </c>
    </row>
    <row r="323" spans="23:23" x14ac:dyDescent="0.25">
      <c r="W323" s="233">
        <f>Admin!B323</f>
        <v>42787</v>
      </c>
    </row>
    <row r="324" spans="23:23" x14ac:dyDescent="0.25">
      <c r="W324" s="233">
        <f>Admin!B324</f>
        <v>42788</v>
      </c>
    </row>
    <row r="325" spans="23:23" x14ac:dyDescent="0.25">
      <c r="W325" s="233">
        <f>Admin!B325</f>
        <v>42789</v>
      </c>
    </row>
    <row r="326" spans="23:23" x14ac:dyDescent="0.25">
      <c r="W326" s="233">
        <f>Admin!B326</f>
        <v>42790</v>
      </c>
    </row>
    <row r="327" spans="23:23" x14ac:dyDescent="0.25">
      <c r="W327" s="233">
        <f>Admin!B327</f>
        <v>42791</v>
      </c>
    </row>
    <row r="328" spans="23:23" x14ac:dyDescent="0.25">
      <c r="W328" s="233">
        <f>Admin!B328</f>
        <v>42792</v>
      </c>
    </row>
    <row r="329" spans="23:23" x14ac:dyDescent="0.25">
      <c r="W329" s="233">
        <f>Admin!B329</f>
        <v>42793</v>
      </c>
    </row>
    <row r="330" spans="23:23" x14ac:dyDescent="0.25">
      <c r="W330" s="233">
        <f>Admin!B330</f>
        <v>42794</v>
      </c>
    </row>
    <row r="331" spans="23:23" x14ac:dyDescent="0.25">
      <c r="W331" s="233">
        <f>Admin!B331</f>
        <v>42795</v>
      </c>
    </row>
    <row r="332" spans="23:23" x14ac:dyDescent="0.25">
      <c r="W332" s="233">
        <f>Admin!B332</f>
        <v>42796</v>
      </c>
    </row>
    <row r="333" spans="23:23" x14ac:dyDescent="0.25">
      <c r="W333" s="233">
        <f>Admin!B333</f>
        <v>42797</v>
      </c>
    </row>
    <row r="334" spans="23:23" x14ac:dyDescent="0.25">
      <c r="W334" s="233">
        <f>Admin!B334</f>
        <v>42798</v>
      </c>
    </row>
    <row r="335" spans="23:23" x14ac:dyDescent="0.25">
      <c r="W335" s="233">
        <f>Admin!B335</f>
        <v>42799</v>
      </c>
    </row>
    <row r="336" spans="23:23" x14ac:dyDescent="0.25">
      <c r="W336" s="233">
        <f>Admin!B336</f>
        <v>42800</v>
      </c>
    </row>
    <row r="337" spans="23:23" x14ac:dyDescent="0.25">
      <c r="W337" s="233">
        <f>Admin!B337</f>
        <v>42801</v>
      </c>
    </row>
    <row r="338" spans="23:23" x14ac:dyDescent="0.25">
      <c r="W338" s="233">
        <f>Admin!B338</f>
        <v>42802</v>
      </c>
    </row>
    <row r="339" spans="23:23" x14ac:dyDescent="0.25">
      <c r="W339" s="233">
        <f>Admin!B339</f>
        <v>42803</v>
      </c>
    </row>
    <row r="340" spans="23:23" x14ac:dyDescent="0.25">
      <c r="W340" s="233">
        <f>Admin!B340</f>
        <v>42804</v>
      </c>
    </row>
    <row r="341" spans="23:23" x14ac:dyDescent="0.25">
      <c r="W341" s="233">
        <f>Admin!B341</f>
        <v>42805</v>
      </c>
    </row>
    <row r="342" spans="23:23" x14ac:dyDescent="0.25">
      <c r="W342" s="233">
        <f>Admin!B342</f>
        <v>42806</v>
      </c>
    </row>
    <row r="343" spans="23:23" x14ac:dyDescent="0.25">
      <c r="W343" s="233">
        <f>Admin!B343</f>
        <v>42807</v>
      </c>
    </row>
    <row r="344" spans="23:23" x14ac:dyDescent="0.25">
      <c r="W344" s="233">
        <f>Admin!B344</f>
        <v>42808</v>
      </c>
    </row>
    <row r="345" spans="23:23" x14ac:dyDescent="0.25">
      <c r="W345" s="233">
        <f>Admin!B345</f>
        <v>42809</v>
      </c>
    </row>
    <row r="346" spans="23:23" x14ac:dyDescent="0.25">
      <c r="W346" s="233">
        <f>Admin!B346</f>
        <v>42810</v>
      </c>
    </row>
    <row r="347" spans="23:23" x14ac:dyDescent="0.25">
      <c r="W347" s="233">
        <f>Admin!B347</f>
        <v>42811</v>
      </c>
    </row>
    <row r="348" spans="23:23" x14ac:dyDescent="0.25">
      <c r="W348" s="233">
        <f>Admin!B348</f>
        <v>42812</v>
      </c>
    </row>
    <row r="349" spans="23:23" x14ac:dyDescent="0.25">
      <c r="W349" s="233">
        <f>Admin!B349</f>
        <v>42813</v>
      </c>
    </row>
    <row r="350" spans="23:23" x14ac:dyDescent="0.25">
      <c r="W350" s="233">
        <f>Admin!B350</f>
        <v>42814</v>
      </c>
    </row>
    <row r="351" spans="23:23" x14ac:dyDescent="0.25">
      <c r="W351" s="233">
        <f>Admin!B351</f>
        <v>42815</v>
      </c>
    </row>
    <row r="352" spans="23:23" x14ac:dyDescent="0.25">
      <c r="W352" s="233">
        <f>Admin!B352</f>
        <v>42816</v>
      </c>
    </row>
    <row r="353" spans="23:23" x14ac:dyDescent="0.25">
      <c r="W353" s="233">
        <f>Admin!B353</f>
        <v>42817</v>
      </c>
    </row>
    <row r="354" spans="23:23" x14ac:dyDescent="0.25">
      <c r="W354" s="233">
        <f>Admin!B354</f>
        <v>42818</v>
      </c>
    </row>
    <row r="355" spans="23:23" x14ac:dyDescent="0.25">
      <c r="W355" s="233">
        <f>Admin!B355</f>
        <v>42819</v>
      </c>
    </row>
    <row r="356" spans="23:23" x14ac:dyDescent="0.25">
      <c r="W356" s="233">
        <f>Admin!B356</f>
        <v>42820</v>
      </c>
    </row>
    <row r="357" spans="23:23" x14ac:dyDescent="0.25">
      <c r="W357" s="233">
        <f>Admin!B357</f>
        <v>42821</v>
      </c>
    </row>
    <row r="358" spans="23:23" x14ac:dyDescent="0.25">
      <c r="W358" s="233">
        <f>Admin!B358</f>
        <v>42822</v>
      </c>
    </row>
    <row r="359" spans="23:23" x14ac:dyDescent="0.25">
      <c r="W359" s="233">
        <f>Admin!B359</f>
        <v>42823</v>
      </c>
    </row>
    <row r="360" spans="23:23" x14ac:dyDescent="0.25">
      <c r="W360" s="233">
        <f>Admin!B360</f>
        <v>42824</v>
      </c>
    </row>
    <row r="361" spans="23:23" x14ac:dyDescent="0.25">
      <c r="W361" s="233">
        <f>Admin!B361</f>
        <v>42825</v>
      </c>
    </row>
    <row r="362" spans="23:23" x14ac:dyDescent="0.25">
      <c r="W362" s="233">
        <f>Admin!B362</f>
        <v>42826</v>
      </c>
    </row>
    <row r="363" spans="23:23" x14ac:dyDescent="0.25">
      <c r="W363" s="233">
        <f>Admin!B363</f>
        <v>42827</v>
      </c>
    </row>
    <row r="364" spans="23:23" x14ac:dyDescent="0.25">
      <c r="W364" s="233">
        <f>Admin!B364</f>
        <v>42828</v>
      </c>
    </row>
    <row r="365" spans="23:23" x14ac:dyDescent="0.25">
      <c r="W365" s="233">
        <f>Admin!B365</f>
        <v>42829</v>
      </c>
    </row>
    <row r="366" spans="23:23" x14ac:dyDescent="0.25">
      <c r="W366" s="233">
        <f>Admin!B366</f>
        <v>42830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>
      <formula1>1</formula1>
      <formula2>2002</formula2>
    </dataValidation>
    <dataValidation type="list" allowBlank="1" showInputMessage="1" showErrorMessage="1" sqref="D126">
      <formula1>$V$5:$V$6</formula1>
    </dataValidation>
    <dataValidation type="list" allowBlank="1" showInputMessage="1" showErrorMessage="1" sqref="D54 D106 D132 D80 D28">
      <formula1>$V$7:$V$8</formula1>
    </dataValidation>
    <dataValidation type="list" allowBlank="1" showInputMessage="1" showErrorMessage="1" sqref="D30 D108 D56 D82 D134">
      <formula1>$V$9:$V$10</formula1>
    </dataValidation>
    <dataValidation type="list" allowBlank="1" showInputMessage="1" showErrorMessage="1" sqref="O24 O50 O76 O102 O128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>
      <formula1>1</formula1>
      <formula2>53</formula2>
    </dataValidation>
    <dataValidation type="date" allowBlank="1" showInputMessage="1" showErrorMessage="1" errorTitle="DATE OF BIRTH ERROR" error="Correct format is DD/MM/YYYY" sqref="M43 M121 M69 M95 M17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>
      <formula1>$W$2:$W$366</formula1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'Apr16'!H3:H6</f>
        <v>Statutory Pay</v>
      </c>
      <c r="I3" s="389" t="str">
        <f>'Apr16'!I3:I6</f>
        <v>Basic hours</v>
      </c>
      <c r="J3" s="389" t="str">
        <f>'Apr16'!J3:J6</f>
        <v>Hourly rate</v>
      </c>
      <c r="K3" s="389" t="str">
        <f>'Apr16'!K3:K6</f>
        <v>Basic    wages</v>
      </c>
      <c r="L3" s="389" t="str">
        <f>'Apr16'!L3:L6</f>
        <v>Overtime Bonus Gratuities</v>
      </c>
      <c r="M3" s="452" t="str">
        <f>'Apr16'!M3:M6</f>
        <v>GROSS WAGES</v>
      </c>
      <c r="N3" s="389" t="str">
        <f>'Apr16'!N3:N6</f>
        <v>Income Tax</v>
      </c>
      <c r="O3" s="389" t="str">
        <f>'Apr16'!O3:O6</f>
        <v>Employees National Insurance</v>
      </c>
      <c r="P3" s="389" t="str">
        <f>'Apr16'!P3:P6</f>
        <v>Student Loans</v>
      </c>
      <c r="Q3" s="389" t="str">
        <f>'Apr16'!Q3:Q6</f>
        <v>Other Deductions</v>
      </c>
      <c r="R3" s="452" t="str">
        <f>'Apr16'!R3:R6</f>
        <v>NET      PAY</v>
      </c>
      <c r="S3" s="51"/>
      <c r="T3" s="389" t="str">
        <f>'Apr16'!T3:T6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35</v>
      </c>
      <c r="F9" s="61"/>
      <c r="G9" s="61"/>
      <c r="H9" s="384" t="s">
        <v>28</v>
      </c>
      <c r="I9" s="385"/>
      <c r="J9" s="383"/>
      <c r="K9" s="231">
        <f>'Nov16'!M39+1</f>
        <v>42702</v>
      </c>
      <c r="L9" s="230" t="s">
        <v>76</v>
      </c>
      <c r="M9" s="232">
        <f>K9+6</f>
        <v>42708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IF(T$9="Y",'Nov16'!H41,0)</f>
        <v>0</v>
      </c>
      <c r="I11" s="104">
        <f>IF(T$9="Y",'Nov16'!I41,0)</f>
        <v>0</v>
      </c>
      <c r="J11" s="104">
        <f>IF(T$9="Y",'Nov16'!J41,0)</f>
        <v>0</v>
      </c>
      <c r="K11" s="104">
        <f>IF(T$9="Y",'Nov16'!K41,I11*J11)</f>
        <v>0</v>
      </c>
      <c r="L11" s="139">
        <f>IF(T$9="Y",'Nov16'!L41,0)</f>
        <v>0</v>
      </c>
      <c r="M11" s="125" t="str">
        <f>IF(E11=" "," ",IF(T$9="Y",'Nov16'!M41,IF((H11+K11+L11)&gt;0,H11+K11+L11,"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IF(Employee!H$34=E$9,Employee!D$34+SUM(M11)+'Nov16'!V41,SUM(M11)+'Nov16'!V41)</f>
        <v>0</v>
      </c>
      <c r="W11" s="59">
        <f>IF(Employee!H$34=E$9,Employee!D$35+SUM(N11)+'Nov16'!W41,SUM(N11)+'Nov16'!W41)</f>
        <v>0</v>
      </c>
      <c r="X11" s="59">
        <f>IF(O11=" ",'Nov16'!X41,O11+'Nov16'!X41)</f>
        <v>0</v>
      </c>
      <c r="Y11" s="59">
        <f>IF(P11=" ",'Nov16'!Y41,P11+'Nov16'!Y41)</f>
        <v>0</v>
      </c>
      <c r="Z11" s="59">
        <f>IF(Q11=" ",'Nov16'!Z41,Q11+'Nov16'!Z41)</f>
        <v>0</v>
      </c>
      <c r="AA11" s="59">
        <f>IF(R11=" ",'Nov16'!AA41,R11+'Nov16'!AA41)</f>
        <v>0</v>
      </c>
      <c r="AB11" s="60"/>
      <c r="AC11" s="59">
        <f>IF(T11=" ",'Nov16'!AC41,T11+'Nov16'!AC41)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IF(T$9="Y",'Nov16'!H42,0)</f>
        <v>0</v>
      </c>
      <c r="I12" s="107">
        <f>IF(T$9="Y",'Nov16'!I42,0)</f>
        <v>0</v>
      </c>
      <c r="J12" s="107">
        <f>IF(T$9="Y",'Nov16'!J42,0)</f>
        <v>0</v>
      </c>
      <c r="K12" s="107">
        <f>IF(T$9="Y",'Nov16'!K42,I12*J12)</f>
        <v>0</v>
      </c>
      <c r="L12" s="140">
        <f>IF(T$9="Y",'Nov16'!L42,0)</f>
        <v>0</v>
      </c>
      <c r="M12" s="126" t="str">
        <f>IF(E12=" "," ",IF(T$9="Y",'Nov16'!M42,IF((H12+K12+L12)&gt;0,H12+K12+L12,"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IF(Employee!H$60=E$9,Employee!D$60+SUM(M12)+'Nov16'!V42,SUM(M12)+'Nov16'!V42)</f>
        <v>0</v>
      </c>
      <c r="W12" s="59">
        <f>IF(Employee!H$60=E$9,Employee!D$61+SUM(N12)+'Nov16'!W42,SUM(N12)+'Nov16'!W42)</f>
        <v>0</v>
      </c>
      <c r="X12" s="59">
        <f>IF(O12=" ",'Nov16'!X42,O12+'Nov16'!X42)</f>
        <v>0</v>
      </c>
      <c r="Y12" s="59">
        <f>IF(P12=" ",'Nov16'!Y42,P12+'Nov16'!Y42)</f>
        <v>0</v>
      </c>
      <c r="Z12" s="59">
        <f>IF(Q12=" ",'Nov16'!Z42,Q12+'Nov16'!Z42)</f>
        <v>0</v>
      </c>
      <c r="AA12" s="59">
        <f>IF(R12=" ",'Nov16'!AA42,R12+'Nov16'!AA42)</f>
        <v>0</v>
      </c>
      <c r="AB12" s="60"/>
      <c r="AC12" s="59">
        <f>IF(T12=" ",'Nov16'!AC42,T12+'Nov16'!AC42)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IF(T$9="Y",'Nov16'!H43,0)</f>
        <v>0</v>
      </c>
      <c r="I13" s="107">
        <f>IF(T$9="Y",'Nov16'!I43,0)</f>
        <v>0</v>
      </c>
      <c r="J13" s="107">
        <f>IF(T$9="Y",'Nov16'!J43,0)</f>
        <v>0</v>
      </c>
      <c r="K13" s="107">
        <f>IF(T$9="Y",'Nov16'!K43,I13*J13)</f>
        <v>0</v>
      </c>
      <c r="L13" s="140">
        <f>IF(T$9="Y",'Nov16'!L43,0)</f>
        <v>0</v>
      </c>
      <c r="M13" s="126" t="str">
        <f>IF(E13=" "," ",IF(T$9="Y",'Nov16'!M43,IF((H13+K13+L13)&gt;0,H13+K13+L13,"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IF(Employee!H$86=E$9,Employee!D$86+SUM(M13)+'Nov16'!V43,SUM(M13)+'Nov16'!V43)</f>
        <v>0</v>
      </c>
      <c r="W13" s="59">
        <f>IF(Employee!H$86=E$9,Employee!D$87+SUM(N13)+'Nov16'!W43,SUM(N13)+'Nov16'!W43)</f>
        <v>0</v>
      </c>
      <c r="X13" s="59">
        <f>IF(O13=" ",'Nov16'!X43,O13+'Nov16'!X43)</f>
        <v>0</v>
      </c>
      <c r="Y13" s="59">
        <f>IF(P13=" ",'Nov16'!Y43,P13+'Nov16'!Y43)</f>
        <v>0</v>
      </c>
      <c r="Z13" s="59">
        <f>IF(Q13=" ",'Nov16'!Z43,Q13+'Nov16'!Z43)</f>
        <v>0</v>
      </c>
      <c r="AA13" s="59">
        <f>IF(R13=" ",'Nov16'!AA43,R13+'Nov16'!AA43)</f>
        <v>0</v>
      </c>
      <c r="AB13" s="60"/>
      <c r="AC13" s="59">
        <f>IF(T13=" ",'Nov16'!AC43,T13+'Nov16'!AC43)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IF(T$9="Y",'Nov16'!H44,0)</f>
        <v>0</v>
      </c>
      <c r="I14" s="107">
        <f>IF(T$9="Y",'Nov16'!I44,0)</f>
        <v>0</v>
      </c>
      <c r="J14" s="107">
        <f>IF(T$9="Y",'Nov16'!J44,0)</f>
        <v>0</v>
      </c>
      <c r="K14" s="107">
        <f>IF(T$9="Y",'Nov16'!K44,I14*J14)</f>
        <v>0</v>
      </c>
      <c r="L14" s="140">
        <f>IF(T$9="Y",'Nov16'!L44,0)</f>
        <v>0</v>
      </c>
      <c r="M14" s="126" t="str">
        <f>IF(E14=" "," ",IF(T$9="Y",'Nov16'!M44,IF((H14+K14+L14)&gt;0,H14+K14+L14,"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IF(Employee!H$112=E$9,Employee!D$112+SUM(M14)+'Nov16'!V44,SUM(M14)+'Nov16'!V44)</f>
        <v>0</v>
      </c>
      <c r="W14" s="59">
        <f>IF(Employee!H$112=E$9,Employee!D$113+SUM(N14)+'Nov16'!W44,SUM(N14)+'Nov16'!W44)</f>
        <v>0</v>
      </c>
      <c r="X14" s="59">
        <f>IF(O14=" ",'Nov16'!X44,O14+'Nov16'!X44)</f>
        <v>0</v>
      </c>
      <c r="Y14" s="59">
        <f>IF(P14=" ",'Nov16'!Y44,P14+'Nov16'!Y44)</f>
        <v>0</v>
      </c>
      <c r="Z14" s="59">
        <f>IF(Q14=" ",'Nov16'!Z44,Q14+'Nov16'!Z44)</f>
        <v>0</v>
      </c>
      <c r="AA14" s="59">
        <f>IF(R14=" ",'Nov16'!AA44,R14+'Nov16'!AA44)</f>
        <v>0</v>
      </c>
      <c r="AB14" s="60"/>
      <c r="AC14" s="59">
        <f>IF(T14=" ",'Nov16'!AC44,T14+'Nov16'!AC44)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IF(T$9="Y",'Nov16'!H45,0)</f>
        <v>0</v>
      </c>
      <c r="I15" s="272">
        <f>IF(T$9="Y",'Nov16'!I45,0)</f>
        <v>0</v>
      </c>
      <c r="J15" s="272">
        <f>IF(T$9="Y",'Nov16'!J45,0)</f>
        <v>0</v>
      </c>
      <c r="K15" s="272">
        <f>IF(T$9="Y",'Nov16'!K45,I15*J15)</f>
        <v>0</v>
      </c>
      <c r="L15" s="273">
        <f>IF(T$9="Y",'Nov16'!L45,0)</f>
        <v>0</v>
      </c>
      <c r="M15" s="126" t="str">
        <f>IF(E15=" "," ",IF(T$9="Y",'Nov16'!M45,IF((H15+K15+L15)&gt;0,H15+K15+L15,"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IF(Employee!H$138=E$9,Employee!D$138+SUM(M15)+'Nov16'!V45,SUM(M15)+'Nov16'!V45)</f>
        <v>0</v>
      </c>
      <c r="W15" s="59">
        <f>IF(Employee!H$138=E$9,Employee!D$139+SUM(N15)+'Nov16'!W45,SUM(N15)+'Nov16'!W45)</f>
        <v>0</v>
      </c>
      <c r="X15" s="59">
        <f>IF(O15=" ",'Nov16'!X45,O15+'Nov16'!X45)</f>
        <v>0</v>
      </c>
      <c r="Y15" s="59">
        <f>IF(P15=" ",'Nov16'!Y45,P15+'Nov16'!Y45)</f>
        <v>0</v>
      </c>
      <c r="Z15" s="59">
        <f>IF(Q15=" ",'Nov16'!Z45,Q15+'Nov16'!Z45)</f>
        <v>0</v>
      </c>
      <c r="AA15" s="59">
        <f>IF(R15=" ",'Nov16'!AA45,R15+'Nov16'!AA45)</f>
        <v>0</v>
      </c>
      <c r="AB15" s="60"/>
      <c r="AC15" s="59">
        <f>IF(T15=" ",'Nov16'!AC45,T15+'Nov16'!AC45)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36</v>
      </c>
      <c r="F19" s="61"/>
      <c r="G19" s="61"/>
      <c r="H19" s="384" t="s">
        <v>28</v>
      </c>
      <c r="I19" s="385"/>
      <c r="J19" s="383"/>
      <c r="K19" s="231">
        <f>M9+1</f>
        <v>42709</v>
      </c>
      <c r="L19" s="230" t="s">
        <v>76</v>
      </c>
      <c r="M19" s="232">
        <f>K19+6</f>
        <v>42715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37</v>
      </c>
      <c r="F29" s="61"/>
      <c r="G29" s="61"/>
      <c r="H29" s="384" t="s">
        <v>28</v>
      </c>
      <c r="I29" s="385"/>
      <c r="J29" s="383"/>
      <c r="K29" s="231">
        <f>M19+1</f>
        <v>42716</v>
      </c>
      <c r="L29" s="230" t="s">
        <v>76</v>
      </c>
      <c r="M29" s="232">
        <f>K29+6</f>
        <v>42722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38</v>
      </c>
      <c r="F39" s="61"/>
      <c r="G39" s="61"/>
      <c r="H39" s="384" t="s">
        <v>28</v>
      </c>
      <c r="I39" s="466"/>
      <c r="J39" s="467"/>
      <c r="K39" s="231">
        <f>M29+1</f>
        <v>42723</v>
      </c>
      <c r="L39" s="230" t="s">
        <v>76</v>
      </c>
      <c r="M39" s="232">
        <f>K39+6</f>
        <v>42729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39</v>
      </c>
      <c r="F49" s="61"/>
      <c r="G49" s="61"/>
      <c r="H49" s="384" t="s">
        <v>28</v>
      </c>
      <c r="I49" s="466"/>
      <c r="J49" s="467"/>
      <c r="K49" s="231">
        <f>M39+1</f>
        <v>42730</v>
      </c>
      <c r="L49" s="230" t="s">
        <v>76</v>
      </c>
      <c r="M49" s="232">
        <f>K49+6</f>
        <v>42736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9</v>
      </c>
      <c r="F59" s="61"/>
      <c r="G59" s="61"/>
      <c r="H59" s="384" t="s">
        <v>28</v>
      </c>
      <c r="I59" s="385"/>
      <c r="J59" s="383"/>
      <c r="K59" s="231">
        <f>Admin!B246</f>
        <v>42710</v>
      </c>
      <c r="L59" s="230" t="s">
        <v>76</v>
      </c>
      <c r="M59" s="232">
        <f>Admin!B276</f>
        <v>42740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IF(T$59="Y",'Nov16'!H51,0)</f>
        <v>0</v>
      </c>
      <c r="I61" s="104">
        <f>IF(T$59="Y",'Nov16'!I51,0)</f>
        <v>0</v>
      </c>
      <c r="J61" s="104">
        <f>IF(T$59="Y",'Nov16'!J51,0)</f>
        <v>0</v>
      </c>
      <c r="K61" s="104">
        <f>IF(T$59="Y",'Nov16'!K51,I61*J61)</f>
        <v>0</v>
      </c>
      <c r="L61" s="139">
        <f>IF(T$59="Y",'Nov16'!L51,0)</f>
        <v>0</v>
      </c>
      <c r="M61" s="114" t="str">
        <f>IF(E61=" "," ",IF(T$59="Y",'Nov16'!M51,IF((H61+K61+L61)&gt;0,H61+K61+L61,"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IF(Employee!H$35=E$59,Employee!D$34+SUM(M61)+'Nov16'!V51,SUM(M61)+'Nov16'!V51)</f>
        <v>0</v>
      </c>
      <c r="W61" s="59">
        <f>IF(Employee!H$35=E$59,Employee!D$35+SUM(N61)+'Nov16'!W51,SUM(N61)+'Nov16'!W51)</f>
        <v>0</v>
      </c>
      <c r="X61" s="59">
        <f>IF(O61=" ",'Nov16'!X51,O61+'Nov16'!X51)</f>
        <v>0</v>
      </c>
      <c r="Y61" s="59">
        <f>IF(P61=" ",'Nov16'!Y51,P61+'Nov16'!Y51)</f>
        <v>0</v>
      </c>
      <c r="Z61" s="59">
        <f>IF(Q61=" ",'Nov16'!Z51,Q61+'Nov16'!Z51)</f>
        <v>0</v>
      </c>
      <c r="AA61" s="59">
        <f>IF(R61=" ",'Nov16'!AA51,R61+'Nov16'!AA51)</f>
        <v>0</v>
      </c>
      <c r="AB61" s="60"/>
      <c r="AC61" s="59">
        <f>IF(T61=" ",'Nov16'!AC51,T61+'Nov16'!AC51)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IF(T$59="Y",'Nov16'!H52,0)</f>
        <v>0</v>
      </c>
      <c r="I62" s="107">
        <f>IF(T$59="Y",'Nov16'!I52,0)</f>
        <v>0</v>
      </c>
      <c r="J62" s="107">
        <f>IF(T$59="Y",'Nov16'!J52,0)</f>
        <v>0</v>
      </c>
      <c r="K62" s="107">
        <f>IF(T$59="Y",'Nov16'!K52,I62*J62)</f>
        <v>0</v>
      </c>
      <c r="L62" s="140">
        <f>IF(T$59="Y",'Nov16'!L52,0)</f>
        <v>0</v>
      </c>
      <c r="M62" s="115" t="str">
        <f>IF(E62=" "," ",IF(T$59="Y",'Nov16'!M52,IF((H62+K62+L62)&gt;0,H62+K62+L62,"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IF(Employee!H$61=E$59,Employee!D$60+SUM(M62)+'Nov16'!V52,SUM(M62)+'Nov16'!V52)</f>
        <v>0</v>
      </c>
      <c r="W62" s="59">
        <f>IF(Employee!H$61=E$59,Employee!D$61+SUM(N62)+'Nov16'!W52,SUM(N62)+'Nov16'!W52)</f>
        <v>0</v>
      </c>
      <c r="X62" s="59">
        <f>IF(O62=" ",'Nov16'!X52,O62+'Nov16'!X52)</f>
        <v>0</v>
      </c>
      <c r="Y62" s="59">
        <f>IF(P62=" ",'Nov16'!Y52,P62+'Nov16'!Y52)</f>
        <v>0</v>
      </c>
      <c r="Z62" s="59">
        <f>IF(Q62=" ",'Nov16'!Z52,Q62+'Nov16'!Z52)</f>
        <v>0</v>
      </c>
      <c r="AA62" s="59">
        <f>IF(R62=" ",'Nov16'!AA52,R62+'Nov16'!AA52)</f>
        <v>0</v>
      </c>
      <c r="AB62" s="60"/>
      <c r="AC62" s="59">
        <f>IF(T62=" ",'Nov16'!AC52,T62+'Nov16'!AC52)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IF(T$59="Y",'Nov16'!H53,0)</f>
        <v>0</v>
      </c>
      <c r="I63" s="107">
        <f>IF(T$59="Y",'Nov16'!I53,0)</f>
        <v>0</v>
      </c>
      <c r="J63" s="107">
        <f>IF(T$59="Y",'Nov16'!J53,0)</f>
        <v>0</v>
      </c>
      <c r="K63" s="107">
        <f>IF(T$59="Y",'Nov16'!K53,I63*J63)</f>
        <v>0</v>
      </c>
      <c r="L63" s="140">
        <f>IF(T$59="Y",'Nov16'!L53,0)</f>
        <v>0</v>
      </c>
      <c r="M63" s="115" t="str">
        <f>IF(E63=" "," ",IF(T$59="Y",'Nov16'!M53,IF((H63+K63+L63)&gt;0,H63+K63+L63,"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IF(Employee!H$87=E$59,Employee!D$86+SUM(M63)+'Nov16'!V53,SUM(M63)+'Nov16'!V53)</f>
        <v>0</v>
      </c>
      <c r="W63" s="59">
        <f>IF(Employee!H$87=E$59,Employee!D$87+SUM(N63)+'Nov16'!W53,SUM(N63)+'Nov16'!W53)</f>
        <v>0</v>
      </c>
      <c r="X63" s="59">
        <f>IF(O63=" ",'Nov16'!X53,O63+'Nov16'!X53)</f>
        <v>0</v>
      </c>
      <c r="Y63" s="59">
        <f>IF(P63=" ",'Nov16'!Y53,P63+'Nov16'!Y53)</f>
        <v>0</v>
      </c>
      <c r="Z63" s="59">
        <f>IF(Q63=" ",'Nov16'!Z53,Q63+'Nov16'!Z53)</f>
        <v>0</v>
      </c>
      <c r="AA63" s="59">
        <f>IF(R63=" ",'Nov16'!AA53,R63+'Nov16'!AA53)</f>
        <v>0</v>
      </c>
      <c r="AB63" s="60"/>
      <c r="AC63" s="59">
        <f>IF(T63=" ",'Nov16'!AC53,T63+'Nov16'!AC53)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IF(T$59="Y",'Nov16'!H54,0)</f>
        <v>0</v>
      </c>
      <c r="I64" s="107">
        <f>IF(T$59="Y",'Nov16'!I54,0)</f>
        <v>0</v>
      </c>
      <c r="J64" s="107">
        <f>IF(T$59="Y",'Nov16'!J54,0)</f>
        <v>0</v>
      </c>
      <c r="K64" s="107">
        <f>IF(T$59="Y",'Nov16'!K54,I64*J64)</f>
        <v>0</v>
      </c>
      <c r="L64" s="140">
        <f>IF(T$59="Y",'Nov16'!L54,0)</f>
        <v>0</v>
      </c>
      <c r="M64" s="115" t="str">
        <f>IF(E64=" "," ",IF(T$59="Y",'Nov16'!M54,IF((H64+K64+L64)&gt;0,H64+K64+L64,"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IF(Employee!H$113=E$59,Employee!D$112+SUM(M64)+'Nov16'!V54,SUM(M64)+'Nov16'!V54)</f>
        <v>0</v>
      </c>
      <c r="W64" s="59">
        <f>IF(Employee!H$113=E$59,Employee!D$113+SUM(N64)+'Nov16'!W54,SUM(N64)+'Nov16'!W54)</f>
        <v>0</v>
      </c>
      <c r="X64" s="59">
        <f>IF(O64=" ",'Nov16'!X54,O64+'Nov16'!X54)</f>
        <v>0</v>
      </c>
      <c r="Y64" s="59">
        <f>IF(P64=" ",'Nov16'!Y54,P64+'Nov16'!Y54)</f>
        <v>0</v>
      </c>
      <c r="Z64" s="59">
        <f>IF(Q64=" ",'Nov16'!Z54,Q64+'Nov16'!Z54)</f>
        <v>0</v>
      </c>
      <c r="AA64" s="59">
        <f>IF(R64=" ",'Nov16'!AA54,R64+'Nov16'!AA54)</f>
        <v>0</v>
      </c>
      <c r="AB64" s="60"/>
      <c r="AC64" s="59">
        <f>IF(T64=" ",'Nov16'!AC54,T64+'Nov16'!AC54)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IF(T$59="Y",'Nov16'!H55,0)</f>
        <v>0</v>
      </c>
      <c r="I65" s="272">
        <f>IF(T$59="Y",'Nov16'!I55,0)</f>
        <v>0</v>
      </c>
      <c r="J65" s="272">
        <f>IF(T$59="Y",'Nov16'!J55,0)</f>
        <v>0</v>
      </c>
      <c r="K65" s="272">
        <f>IF(T$59="Y",'Nov16'!K55,I65*J65)</f>
        <v>0</v>
      </c>
      <c r="L65" s="273">
        <f>IF(T$59="Y",'Nov16'!L55,0)</f>
        <v>0</v>
      </c>
      <c r="M65" s="115" t="str">
        <f>IF(E65=" "," ",IF(T$59="Y",'Nov16'!M55,IF((H65+K65+L65)&gt;0,H65+K65+L65,"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IF(Employee!H$139=E$59,Employee!D$138+SUM(M65)+'Nov16'!V55,SUM(M65)+'Nov16'!V55)</f>
        <v>0</v>
      </c>
      <c r="W65" s="59">
        <f>IF(Employee!H$139=E$59,Employee!D$139+SUM(N65)+'Nov16'!W55,SUM(N65)+'Nov16'!W55)</f>
        <v>0</v>
      </c>
      <c r="X65" s="59">
        <f>IF(O65=" ",'Nov16'!X55,O65+'Nov16'!X55)</f>
        <v>0</v>
      </c>
      <c r="Y65" s="59">
        <f>IF(P65=" ",'Nov16'!Y55,P65+'Nov16'!Y55)</f>
        <v>0</v>
      </c>
      <c r="Z65" s="59">
        <f>IF(Q65=" ",'Nov16'!Z55,Q65+'Nov16'!Z55)</f>
        <v>0</v>
      </c>
      <c r="AA65" s="59">
        <f>IF(R65=" ",'Nov16'!AA55,R65+'Nov16'!AA55)</f>
        <v>0</v>
      </c>
      <c r="AB65" s="60"/>
      <c r="AC65" s="59">
        <f>IF(T65=" ",'Nov16'!AC55,T65+'Nov16'!AC55)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AD70+'Nov16'!AD65</f>
        <v>0</v>
      </c>
      <c r="AE75" s="177">
        <f>AE70+'Nov16'!AE65</f>
        <v>0</v>
      </c>
      <c r="AF75" s="177">
        <f>AF70+'Nov16'!AF65</f>
        <v>0</v>
      </c>
      <c r="AG75" s="177">
        <f>AG70+'Nov16'!AG65</f>
        <v>0</v>
      </c>
    </row>
    <row r="76" spans="1:34" ht="13.8" thickTop="1" x14ac:dyDescent="0.25"/>
    <row r="77" spans="1:34" x14ac:dyDescent="0.25">
      <c r="AD77" s="184"/>
      <c r="AE77" s="177">
        <f>AE72+'Nov16'!AE67</f>
        <v>0</v>
      </c>
      <c r="AF77" s="177">
        <f>AF72+'Nov16'!AF67</f>
        <v>0</v>
      </c>
      <c r="AG77" s="177">
        <f>AG72+'Nov16'!AG67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'Apr16'!H3:H6</f>
        <v>Statutory Pay</v>
      </c>
      <c r="I3" s="389" t="str">
        <f>'Apr16'!I3:I6</f>
        <v>Basic hours</v>
      </c>
      <c r="J3" s="389" t="str">
        <f>'Apr16'!J3:J6</f>
        <v>Hourly rate</v>
      </c>
      <c r="K3" s="389" t="str">
        <f>'Apr16'!K3:K6</f>
        <v>Basic    wages</v>
      </c>
      <c r="L3" s="389" t="str">
        <f>'Apr16'!L3:L6</f>
        <v>Overtime Bonus Gratuities</v>
      </c>
      <c r="M3" s="452" t="str">
        <f>'Apr16'!M3:M6</f>
        <v>GROSS WAGES</v>
      </c>
      <c r="N3" s="389" t="str">
        <f>'Apr16'!N3:N6</f>
        <v>Income Tax</v>
      </c>
      <c r="O3" s="389" t="str">
        <f>'Apr16'!O3:O6</f>
        <v>Employees National Insurance</v>
      </c>
      <c r="P3" s="389" t="str">
        <f>'Apr16'!P3:P6</f>
        <v>Student Loans</v>
      </c>
      <c r="Q3" s="389" t="str">
        <f>'Apr16'!Q3:Q6</f>
        <v>Other Deductions</v>
      </c>
      <c r="R3" s="452" t="str">
        <f>'Apr16'!R3:R6</f>
        <v>NET      PAY</v>
      </c>
      <c r="S3" s="51"/>
      <c r="T3" s="389" t="str">
        <f>'Apr16'!T3:T6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40</v>
      </c>
      <c r="F9" s="61"/>
      <c r="G9" s="61"/>
      <c r="H9" s="384" t="s">
        <v>28</v>
      </c>
      <c r="I9" s="385"/>
      <c r="J9" s="383"/>
      <c r="K9" s="231">
        <f>'Dec16'!M49+1</f>
        <v>42737</v>
      </c>
      <c r="L9" s="230" t="s">
        <v>76</v>
      </c>
      <c r="M9" s="232">
        <f>K9+6</f>
        <v>42743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IF(T$9="Y",'Dec16'!H51,0)</f>
        <v>0</v>
      </c>
      <c r="I11" s="104">
        <f>IF(T$9="Y",'Dec16'!I51,0)</f>
        <v>0</v>
      </c>
      <c r="J11" s="104">
        <f>IF(T$9="Y",'Dec16'!J51,0)</f>
        <v>0</v>
      </c>
      <c r="K11" s="104">
        <f>IF(T$9="Y",'Dec16'!K51,I11*J11)</f>
        <v>0</v>
      </c>
      <c r="L11" s="139">
        <f>IF(T$9="Y",'Dec16'!L51,0)</f>
        <v>0</v>
      </c>
      <c r="M11" s="125" t="str">
        <f>IF(E11=" "," ",IF(T$9="Y",'Dec16'!M51,IF((H11+K11+L11)&gt;0,H11+K11+L11,"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IF(Employee!H$34=E$9,Employee!D$34+SUM(M11)+'Dec16'!V51,SUM(M11)+'Dec16'!V51)</f>
        <v>0</v>
      </c>
      <c r="W11" s="59">
        <f>IF(Employee!H$34=E$9,Employee!D$35+SUM(N11)+'Dec16'!W51,SUM(N11)+'Dec16'!W51)</f>
        <v>0</v>
      </c>
      <c r="X11" s="59">
        <f>IF(O11=" ",'Dec16'!X51,O11+'Dec16'!X51)</f>
        <v>0</v>
      </c>
      <c r="Y11" s="59">
        <f>IF(P11=" ",'Dec16'!Y51,P11+'Dec16'!Y51)</f>
        <v>0</v>
      </c>
      <c r="Z11" s="59">
        <f>IF(Q11=" ",'Dec16'!Z51,Q11+'Dec16'!Z51)</f>
        <v>0</v>
      </c>
      <c r="AA11" s="59">
        <f>IF(R11=" ",'Dec16'!AA51,R11+'Dec16'!AA51)</f>
        <v>0</v>
      </c>
      <c r="AB11" s="60"/>
      <c r="AC11" s="59">
        <f>IF(T11=" ",'Dec16'!AC51,T11+'Dec16'!AC51)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IF(T$9="Y",'Dec16'!H52,0)</f>
        <v>0</v>
      </c>
      <c r="I12" s="107">
        <f>IF(T$9="Y",'Dec16'!I52,0)</f>
        <v>0</v>
      </c>
      <c r="J12" s="107">
        <f>IF(T$9="Y",'Dec16'!J52,0)</f>
        <v>0</v>
      </c>
      <c r="K12" s="107">
        <f>IF(T$9="Y",'Dec16'!K52,I12*J12)</f>
        <v>0</v>
      </c>
      <c r="L12" s="140">
        <f>IF(T$9="Y",'Dec16'!L52,0)</f>
        <v>0</v>
      </c>
      <c r="M12" s="126" t="str">
        <f>IF(E12=" "," ",IF(T$9="Y",'Dec16'!M52,IF((H12+K12+L12)&gt;0,H12+K12+L12,"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IF(Employee!H$60=E$9,Employee!D$60+SUM(M12)+'Dec16'!V52,SUM(M12)+'Dec16'!V52)</f>
        <v>0</v>
      </c>
      <c r="W12" s="59">
        <f>IF(Employee!H$60=E$9,Employee!D$61+SUM(N12)+'Dec16'!W52,SUM(N12)+'Dec16'!W52)</f>
        <v>0</v>
      </c>
      <c r="X12" s="59">
        <f>IF(O12=" ",'Dec16'!X52,O12+'Dec16'!X52)</f>
        <v>0</v>
      </c>
      <c r="Y12" s="59">
        <f>IF(P12=" ",'Dec16'!Y52,P12+'Dec16'!Y52)</f>
        <v>0</v>
      </c>
      <c r="Z12" s="59">
        <f>IF(Q12=" ",'Dec16'!Z52,Q12+'Dec16'!Z52)</f>
        <v>0</v>
      </c>
      <c r="AA12" s="59">
        <f>IF(R12=" ",'Dec16'!AA52,R12+'Dec16'!AA52)</f>
        <v>0</v>
      </c>
      <c r="AB12" s="60"/>
      <c r="AC12" s="59">
        <f>IF(T12=" ",'Dec16'!AC52,T12+'Dec16'!AC52)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IF(T$9="Y",'Dec16'!H53,0)</f>
        <v>0</v>
      </c>
      <c r="I13" s="107">
        <f>IF(T$9="Y",'Dec16'!I53,0)</f>
        <v>0</v>
      </c>
      <c r="J13" s="107">
        <f>IF(T$9="Y",'Dec16'!J53,0)</f>
        <v>0</v>
      </c>
      <c r="K13" s="107">
        <f>IF(T$9="Y",'Dec16'!K53,I13*J13)</f>
        <v>0</v>
      </c>
      <c r="L13" s="140">
        <f>IF(T$9="Y",'Dec16'!L53,0)</f>
        <v>0</v>
      </c>
      <c r="M13" s="126" t="str">
        <f>IF(E13=" "," ",IF(T$9="Y",'Dec16'!M53,IF((H13+K13+L13)&gt;0,H13+K13+L13,"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IF(Employee!H$86=E$9,Employee!D$86+SUM(M13)+'Dec16'!V53,SUM(M13)+'Dec16'!V53)</f>
        <v>0</v>
      </c>
      <c r="W13" s="59">
        <f>IF(Employee!H$86=E$9,Employee!D$87+SUM(N13)+'Dec16'!W53,SUM(N13)+'Dec16'!W53)</f>
        <v>0</v>
      </c>
      <c r="X13" s="59">
        <f>IF(O13=" ",'Dec16'!X53,O13+'Dec16'!X53)</f>
        <v>0</v>
      </c>
      <c r="Y13" s="59">
        <f>IF(P13=" ",'Dec16'!Y53,P13+'Dec16'!Y53)</f>
        <v>0</v>
      </c>
      <c r="Z13" s="59">
        <f>IF(Q13=" ",'Dec16'!Z53,Q13+'Dec16'!Z53)</f>
        <v>0</v>
      </c>
      <c r="AA13" s="59">
        <f>IF(R13=" ",'Dec16'!AA53,R13+'Dec16'!AA53)</f>
        <v>0</v>
      </c>
      <c r="AB13" s="60"/>
      <c r="AC13" s="59">
        <f>IF(T13=" ",'Dec16'!AC53,T13+'Dec16'!AC53)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IF(T$9="Y",'Dec16'!H54,0)</f>
        <v>0</v>
      </c>
      <c r="I14" s="107">
        <f>IF(T$9="Y",'Dec16'!I54,0)</f>
        <v>0</v>
      </c>
      <c r="J14" s="107">
        <f>IF(T$9="Y",'Dec16'!J54,0)</f>
        <v>0</v>
      </c>
      <c r="K14" s="107">
        <f>IF(T$9="Y",'Dec16'!K54,I14*J14)</f>
        <v>0</v>
      </c>
      <c r="L14" s="140">
        <f>IF(T$9="Y",'Dec16'!L54,0)</f>
        <v>0</v>
      </c>
      <c r="M14" s="126" t="str">
        <f>IF(E14=" "," ",IF(T$9="Y",'Dec16'!M54,IF((H14+K14+L14)&gt;0,H14+K14+L14,"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IF(Employee!H$112=E$9,Employee!D$112+SUM(M14)+'Dec16'!V54,SUM(M14)+'Dec16'!V54)</f>
        <v>0</v>
      </c>
      <c r="W14" s="59">
        <f>IF(Employee!H$112=E$9,Employee!D$113+SUM(N14)+'Dec16'!W54,SUM(N14)+'Dec16'!W54)</f>
        <v>0</v>
      </c>
      <c r="X14" s="59">
        <f>IF(O14=" ",'Dec16'!X54,O14+'Dec16'!X54)</f>
        <v>0</v>
      </c>
      <c r="Y14" s="59">
        <f>IF(P14=" ",'Dec16'!Y54,P14+'Dec16'!Y54)</f>
        <v>0</v>
      </c>
      <c r="Z14" s="59">
        <f>IF(Q14=" ",'Dec16'!Z54,Q14+'Dec16'!Z54)</f>
        <v>0</v>
      </c>
      <c r="AA14" s="59">
        <f>IF(R14=" ",'Dec16'!AA54,R14+'Dec16'!AA54)</f>
        <v>0</v>
      </c>
      <c r="AB14" s="60"/>
      <c r="AC14" s="59">
        <f>IF(T14=" ",'Dec16'!AC54,T14+'Dec16'!AC54)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IF(T$9="Y",'Dec16'!H55,0)</f>
        <v>0</v>
      </c>
      <c r="I15" s="272">
        <f>IF(T$9="Y",'Dec16'!I55,0)</f>
        <v>0</v>
      </c>
      <c r="J15" s="272">
        <f>IF(T$9="Y",'Dec16'!J55,0)</f>
        <v>0</v>
      </c>
      <c r="K15" s="272">
        <f>IF(T$9="Y",'Dec16'!K55,I15*J15)</f>
        <v>0</v>
      </c>
      <c r="L15" s="273">
        <f>IF(T$9="Y",'Dec16'!L55,0)</f>
        <v>0</v>
      </c>
      <c r="M15" s="126" t="str">
        <f>IF(E15=" "," ",IF(T$9="Y",'Dec16'!M55,IF((H15+K15+L15)&gt;0,H15+K15+L15,"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IF(Employee!H$138=E$9,Employee!D$138+SUM(M15)+'Dec16'!V55,SUM(M15)+'Dec16'!V55)</f>
        <v>0</v>
      </c>
      <c r="W15" s="59">
        <f>IF(Employee!H$138=E$9,Employee!D$139+SUM(N15)+'Dec16'!W55,SUM(N15)+'Dec16'!W55)</f>
        <v>0</v>
      </c>
      <c r="X15" s="59">
        <f>IF(O15=" ",'Dec16'!X55,O15+'Dec16'!X55)</f>
        <v>0</v>
      </c>
      <c r="Y15" s="59">
        <f>IF(P15=" ",'Dec16'!Y55,P15+'Dec16'!Y55)</f>
        <v>0</v>
      </c>
      <c r="Z15" s="59">
        <f>IF(Q15=" ",'Dec16'!Z55,Q15+'Dec16'!Z55)</f>
        <v>0</v>
      </c>
      <c r="AA15" s="59">
        <f>IF(R15=" ",'Dec16'!AA55,R15+'Dec16'!AA55)</f>
        <v>0</v>
      </c>
      <c r="AB15" s="60"/>
      <c r="AC15" s="59">
        <f>IF(T15=" ",'Dec16'!AC55,T15+'Dec16'!AC55)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41</v>
      </c>
      <c r="F19" s="61"/>
      <c r="G19" s="61"/>
      <c r="H19" s="384" t="s">
        <v>28</v>
      </c>
      <c r="I19" s="385"/>
      <c r="J19" s="383"/>
      <c r="K19" s="231">
        <f>M9+1</f>
        <v>42744</v>
      </c>
      <c r="L19" s="230" t="s">
        <v>76</v>
      </c>
      <c r="M19" s="232">
        <f>K19+6</f>
        <v>42750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42</v>
      </c>
      <c r="F29" s="61"/>
      <c r="G29" s="61"/>
      <c r="H29" s="384" t="s">
        <v>28</v>
      </c>
      <c r="I29" s="385"/>
      <c r="J29" s="383"/>
      <c r="K29" s="231">
        <f>M19+1</f>
        <v>42751</v>
      </c>
      <c r="L29" s="230" t="s">
        <v>76</v>
      </c>
      <c r="M29" s="232">
        <f>K29+6</f>
        <v>42757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43</v>
      </c>
      <c r="F39" s="61"/>
      <c r="G39" s="61"/>
      <c r="H39" s="384" t="s">
        <v>28</v>
      </c>
      <c r="I39" s="466"/>
      <c r="J39" s="467"/>
      <c r="K39" s="231">
        <f>M29+1</f>
        <v>42758</v>
      </c>
      <c r="L39" s="230" t="s">
        <v>76</v>
      </c>
      <c r="M39" s="232">
        <f>K39+6</f>
        <v>42764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10</v>
      </c>
      <c r="F49" s="61"/>
      <c r="G49" s="61"/>
      <c r="H49" s="384" t="s">
        <v>28</v>
      </c>
      <c r="I49" s="385"/>
      <c r="J49" s="383"/>
      <c r="K49" s="231">
        <f>Admin!B277</f>
        <v>42741</v>
      </c>
      <c r="L49" s="230" t="s">
        <v>76</v>
      </c>
      <c r="M49" s="232">
        <f>Admin!B307</f>
        <v>42771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IF(T$49="Y",'Dec16'!H61,0)</f>
        <v>0</v>
      </c>
      <c r="I51" s="104">
        <f>IF(T$49="Y",'Dec16'!I61,0)</f>
        <v>0</v>
      </c>
      <c r="J51" s="104">
        <f>IF(T$49="Y",'Dec16'!J61,0)</f>
        <v>0</v>
      </c>
      <c r="K51" s="104">
        <f>IF(T$49="Y",'Dec16'!K61,I51*J51)</f>
        <v>0</v>
      </c>
      <c r="L51" s="139">
        <f>IF(T$49="Y",'Dec16'!L61,0)</f>
        <v>0</v>
      </c>
      <c r="M51" s="114" t="str">
        <f>IF(E51=" "," ",IF(T$49="Y",'Dec16'!M61,IF((H51+K51+L51)&gt;0,H51+K51+L51,"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IF(Employee!H$35=E$49,Employee!D$34+SUM(M51)+'Dec16'!V61,SUM(M51)+'Dec16'!V61)</f>
        <v>0</v>
      </c>
      <c r="W51" s="59">
        <f>IF(Employee!H$35=E$49,Employee!D$35+SUM(N51)+'Dec16'!W61,SUM(N51)+'Dec16'!W61)</f>
        <v>0</v>
      </c>
      <c r="X51" s="59">
        <f>IF(O51=" ",'Dec16'!X61,O51+'Dec16'!X61)</f>
        <v>0</v>
      </c>
      <c r="Y51" s="59">
        <f>IF(P51=" ",'Dec16'!Y61,P51+'Dec16'!Y61)</f>
        <v>0</v>
      </c>
      <c r="Z51" s="59">
        <f>IF(Q51=" ",'Dec16'!Z61,Q51+'Dec16'!Z61)</f>
        <v>0</v>
      </c>
      <c r="AA51" s="59">
        <f>IF(R51=" ",'Dec16'!AA61,R51+'Dec16'!AA61)</f>
        <v>0</v>
      </c>
      <c r="AB51" s="60"/>
      <c r="AC51" s="59">
        <f>IF(T51=" ",'Dec16'!AC61,T51+'Dec16'!AC61)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IF(T$49="Y",'Dec16'!H62,0)</f>
        <v>0</v>
      </c>
      <c r="I52" s="107">
        <f>IF(T$49="Y",'Dec16'!I62,0)</f>
        <v>0</v>
      </c>
      <c r="J52" s="107">
        <f>IF(T$49="Y",'Dec16'!J62,0)</f>
        <v>0</v>
      </c>
      <c r="K52" s="107">
        <f>IF(T$49="Y",'Dec16'!K62,I52*J52)</f>
        <v>0</v>
      </c>
      <c r="L52" s="140">
        <f>IF(T$49="Y",'Dec16'!L62,0)</f>
        <v>0</v>
      </c>
      <c r="M52" s="115" t="str">
        <f>IF(E52=" "," ",IF(T$49="Y",'Dec16'!M62,IF((H52+K52+L52)&gt;0,H52+K52+L52,"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IF(Employee!H$61=E$49,Employee!D$60+SUM(M52)+'Dec16'!V62,SUM(M52)+'Dec16'!V62)</f>
        <v>0</v>
      </c>
      <c r="W52" s="59">
        <f>IF(Employee!H$61=E$49,Employee!D$61+SUM(N52)+'Dec16'!W62,SUM(N52)+'Dec16'!W62)</f>
        <v>0</v>
      </c>
      <c r="X52" s="59">
        <f>IF(O52=" ",'Dec16'!X62,O52+'Dec16'!X62)</f>
        <v>0</v>
      </c>
      <c r="Y52" s="59">
        <f>IF(P52=" ",'Dec16'!Y62,P52+'Dec16'!Y62)</f>
        <v>0</v>
      </c>
      <c r="Z52" s="59">
        <f>IF(Q52=" ",'Dec16'!Z62,Q52+'Dec16'!Z62)</f>
        <v>0</v>
      </c>
      <c r="AA52" s="59">
        <f>IF(R52=" ",'Dec16'!AA62,R52+'Dec16'!AA62)</f>
        <v>0</v>
      </c>
      <c r="AB52" s="60"/>
      <c r="AC52" s="59">
        <f>IF(T52=" ",'Dec16'!AC62,T52+'Dec16'!AC62)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IF(T$49="Y",'Dec16'!H63,0)</f>
        <v>0</v>
      </c>
      <c r="I53" s="107">
        <f>IF(T$49="Y",'Dec16'!I63,0)</f>
        <v>0</v>
      </c>
      <c r="J53" s="107">
        <f>IF(T$49="Y",'Dec16'!J63,0)</f>
        <v>0</v>
      </c>
      <c r="K53" s="107">
        <f>IF(T$49="Y",'Dec16'!K63,I53*J53)</f>
        <v>0</v>
      </c>
      <c r="L53" s="140">
        <f>IF(T$49="Y",'Dec16'!L63,0)</f>
        <v>0</v>
      </c>
      <c r="M53" s="115" t="str">
        <f>IF(E53=" "," ",IF(T$49="Y",'Dec16'!M63,IF((H53+K53+L53)&gt;0,H53+K53+L53,"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IF(Employee!H$87=E$49,Employee!D$86+SUM(M53)+'Dec16'!V63,SUM(M53)+'Dec16'!V63)</f>
        <v>0</v>
      </c>
      <c r="W53" s="59">
        <f>IF(Employee!H$87=E$49,Employee!D$87+SUM(N53)+'Dec16'!W63,SUM(N53)+'Dec16'!W63)</f>
        <v>0</v>
      </c>
      <c r="X53" s="59">
        <f>IF(O53=" ",'Dec16'!X63,O53+'Dec16'!X63)</f>
        <v>0</v>
      </c>
      <c r="Y53" s="59">
        <f>IF(P53=" ",'Dec16'!Y63,P53+'Dec16'!Y63)</f>
        <v>0</v>
      </c>
      <c r="Z53" s="59">
        <f>IF(Q53=" ",'Dec16'!Z63,Q53+'Dec16'!Z63)</f>
        <v>0</v>
      </c>
      <c r="AA53" s="59">
        <f>IF(R53=" ",'Dec16'!AA63,R53+'Dec16'!AA63)</f>
        <v>0</v>
      </c>
      <c r="AB53" s="60"/>
      <c r="AC53" s="59">
        <f>IF(T53=" ",'Dec16'!AC63,T53+'Dec16'!AC63)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IF(T$49="Y",'Dec16'!H64,0)</f>
        <v>0</v>
      </c>
      <c r="I54" s="107">
        <f>IF(T$49="Y",'Dec16'!I64,0)</f>
        <v>0</v>
      </c>
      <c r="J54" s="107">
        <f>IF(T$49="Y",'Dec16'!J64,0)</f>
        <v>0</v>
      </c>
      <c r="K54" s="107">
        <f>IF(T$49="Y",'Dec16'!K64,I54*J54)</f>
        <v>0</v>
      </c>
      <c r="L54" s="140">
        <f>IF(T$49="Y",'Dec16'!L64,0)</f>
        <v>0</v>
      </c>
      <c r="M54" s="115" t="str">
        <f>IF(E54=" "," ",IF(T$49="Y",'Dec16'!M64,IF((H54+K54+L54)&gt;0,H54+K54+L54,"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IF(Employee!H$113=E$49,Employee!D$112+SUM(M54)+'Dec16'!V64,SUM(M54)+'Dec16'!V64)</f>
        <v>0</v>
      </c>
      <c r="W54" s="59">
        <f>IF(Employee!H$113=E$49,Employee!D$113+SUM(N54)+'Dec16'!W64,SUM(N54)+'Dec16'!W64)</f>
        <v>0</v>
      </c>
      <c r="X54" s="59">
        <f>IF(O54=" ",'Dec16'!X64,O54+'Dec16'!X64)</f>
        <v>0</v>
      </c>
      <c r="Y54" s="59">
        <f>IF(P54=" ",'Dec16'!Y64,P54+'Dec16'!Y64)</f>
        <v>0</v>
      </c>
      <c r="Z54" s="59">
        <f>IF(Q54=" ",'Dec16'!Z64,Q54+'Dec16'!Z64)</f>
        <v>0</v>
      </c>
      <c r="AA54" s="59">
        <f>IF(R54=" ",'Dec16'!AA64,R54+'Dec16'!AA64)</f>
        <v>0</v>
      </c>
      <c r="AB54" s="60"/>
      <c r="AC54" s="59">
        <f>IF(T54=" ",'Dec16'!AC64,T54+'Dec16'!AC64)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IF(T$49="Y",'Dec16'!H65,0)</f>
        <v>0</v>
      </c>
      <c r="I55" s="272">
        <f>IF(T$49="Y",'Dec16'!I65,0)</f>
        <v>0</v>
      </c>
      <c r="J55" s="272">
        <f>IF(T$49="Y",'Dec16'!J65,0)</f>
        <v>0</v>
      </c>
      <c r="K55" s="272">
        <f>IF(T$49="Y",'Dec16'!K65,I55*J55)</f>
        <v>0</v>
      </c>
      <c r="L55" s="273">
        <f>IF(T$49="Y",'Dec16'!L65,0)</f>
        <v>0</v>
      </c>
      <c r="M55" s="115" t="str">
        <f>IF(E55=" "," ",IF(T$49="Y",'Dec16'!M65,IF((H55+K55+L55)&gt;0,H55+K55+L55,"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IF(Employee!H$139=E$49,Employee!D$138+SUM(M55)+'Dec16'!V65,SUM(M55)+'Dec16'!V65)</f>
        <v>0</v>
      </c>
      <c r="W55" s="59">
        <f>IF(Employee!H$139=E$49,Employee!D$139+SUM(N55)+'Dec16'!W65,SUM(N55)+'Dec16'!W65)</f>
        <v>0</v>
      </c>
      <c r="X55" s="59">
        <f>IF(O55=" ",'Dec16'!X65,O55+'Dec16'!X65)</f>
        <v>0</v>
      </c>
      <c r="Y55" s="59">
        <f>IF(P55=" ",'Dec16'!Y65,P55+'Dec16'!Y65)</f>
        <v>0</v>
      </c>
      <c r="Z55" s="59">
        <f>IF(Q55=" ",'Dec16'!Z65,Q55+'Dec16'!Z65)</f>
        <v>0</v>
      </c>
      <c r="AA55" s="59">
        <f>IF(R55=" ",'Dec16'!AA65,R55+'Dec16'!AA65)</f>
        <v>0</v>
      </c>
      <c r="AB55" s="60"/>
      <c r="AC55" s="59">
        <f>IF(T55=" ",'Dec16'!AC65,T55+'Dec16'!AC65)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AD60+'Dec16'!AD75</f>
        <v>0</v>
      </c>
      <c r="AE65" s="177">
        <f>AE60+'Dec16'!AE75</f>
        <v>0</v>
      </c>
      <c r="AF65" s="177">
        <f>AF60+'Dec16'!AF75</f>
        <v>0</v>
      </c>
      <c r="AG65" s="177">
        <f>AG60+'Dec16'!AG75</f>
        <v>0</v>
      </c>
    </row>
    <row r="66" spans="6:33" ht="13.8" thickTop="1" x14ac:dyDescent="0.25"/>
    <row r="67" spans="6:33" x14ac:dyDescent="0.25">
      <c r="AD67" s="184"/>
      <c r="AE67" s="177">
        <f>AE62+'Dec16'!AE77</f>
        <v>0</v>
      </c>
      <c r="AF67" s="177">
        <f>AF62+'Dec16'!AF77</f>
        <v>0</v>
      </c>
      <c r="AG67" s="177">
        <f>AG62+'Dec16'!AG77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70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'Apr16'!H3:H6</f>
        <v>Statutory Pay</v>
      </c>
      <c r="I3" s="389" t="str">
        <f>'Apr16'!I3:I6</f>
        <v>Basic hours</v>
      </c>
      <c r="J3" s="389" t="str">
        <f>'Apr16'!J3:J6</f>
        <v>Hourly rate</v>
      </c>
      <c r="K3" s="389" t="str">
        <f>'Apr16'!K3:K6</f>
        <v>Basic    wages</v>
      </c>
      <c r="L3" s="389" t="str">
        <f>'Apr16'!L3:L6</f>
        <v>Overtime Bonus Gratuities</v>
      </c>
      <c r="M3" s="452" t="str">
        <f>'Apr16'!M3:M6</f>
        <v>GROSS WAGES</v>
      </c>
      <c r="N3" s="389" t="str">
        <f>'Apr16'!N3:N6</f>
        <v>Income Tax</v>
      </c>
      <c r="O3" s="389" t="str">
        <f>'Apr16'!O3:O6</f>
        <v>Employees National Insurance</v>
      </c>
      <c r="P3" s="389" t="str">
        <f>'Apr16'!P3:P6</f>
        <v>Student Loans</v>
      </c>
      <c r="Q3" s="389" t="str">
        <f>'Apr16'!Q3:Q6</f>
        <v>Other Deductions</v>
      </c>
      <c r="R3" s="452" t="str">
        <f>'Apr16'!R3:R6</f>
        <v>NET      PAY</v>
      </c>
      <c r="S3" s="51"/>
      <c r="T3" s="389" t="str">
        <f>'Apr16'!T3:T6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44</v>
      </c>
      <c r="F9" s="61"/>
      <c r="G9" s="61"/>
      <c r="H9" s="384" t="s">
        <v>28</v>
      </c>
      <c r="I9" s="385"/>
      <c r="J9" s="383"/>
      <c r="K9" s="231">
        <f>'Jan17'!M39+1</f>
        <v>42765</v>
      </c>
      <c r="L9" s="230" t="s">
        <v>76</v>
      </c>
      <c r="M9" s="232">
        <f>K9+6</f>
        <v>42771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IF(T$9="Y",'Jan17'!H41,0)</f>
        <v>0</v>
      </c>
      <c r="I11" s="104">
        <f>IF(T$9="Y",'Jan17'!I41,0)</f>
        <v>0</v>
      </c>
      <c r="J11" s="104">
        <f>IF(T$9="Y",'Jan17'!J41,0)</f>
        <v>0</v>
      </c>
      <c r="K11" s="104">
        <f>IF(T$9="Y",'Jan17'!K41,I11*J11)</f>
        <v>0</v>
      </c>
      <c r="L11" s="139">
        <f>IF(T$9="Y",'Jan17'!L41,0)</f>
        <v>0</v>
      </c>
      <c r="M11" s="125" t="str">
        <f>IF(E11=" "," ",IF(T$9="Y",'Jan17'!M41,IF((H11+K11+L11)&gt;0,H11+K11+L11,"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IF(Employee!H$34=E$9,Employee!D$34+SUM(M11)+'Jan17'!V41,SUM(M11)+'Jan17'!V41)</f>
        <v>0</v>
      </c>
      <c r="W11" s="59">
        <f>IF(Employee!H$34=E$9,Employee!D$35+SUM(N11)+'Jan17'!W41,SUM(N11)+'Jan17'!W41)</f>
        <v>0</v>
      </c>
      <c r="X11" s="59">
        <f>IF(O11=" ",'Jan17'!X41,O11+'Jan17'!X41)</f>
        <v>0</v>
      </c>
      <c r="Y11" s="59">
        <f>IF(P11=" ",'Jan17'!Y41,P11+'Jan17'!Y41)</f>
        <v>0</v>
      </c>
      <c r="Z11" s="59">
        <f>IF(Q11=" ",'Jan17'!Z41,Q11+'Jan17'!Z41)</f>
        <v>0</v>
      </c>
      <c r="AA11" s="59">
        <f>IF(R11=" ",'Jan17'!AA41,R11+'Jan17'!AA41)</f>
        <v>0</v>
      </c>
      <c r="AB11" s="60"/>
      <c r="AC11" s="59">
        <f>IF(T11=" ",'Jan17'!AC41,T11+'Jan17'!AC41)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IF(T$9="Y",'Jan17'!H42,0)</f>
        <v>0</v>
      </c>
      <c r="I12" s="107">
        <f>IF(T$9="Y",'Jan17'!I42,0)</f>
        <v>0</v>
      </c>
      <c r="J12" s="107">
        <f>IF(T$9="Y",'Jan17'!J42,0)</f>
        <v>0</v>
      </c>
      <c r="K12" s="107">
        <f>IF(T$9="Y",'Jan17'!K42,I12*J12)</f>
        <v>0</v>
      </c>
      <c r="L12" s="140">
        <f>IF(T$9="Y",'Jan17'!L42,0)</f>
        <v>0</v>
      </c>
      <c r="M12" s="126" t="str">
        <f>IF(E12=" "," ",IF(T$9="Y",'Jan17'!M42,IF((H12+K12+L12)&gt;0,H12+K12+L12,"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IF(Employee!H$60=E$9,Employee!D$60+SUM(M12)+'Jan17'!V42,SUM(M12)+'Jan17'!V42)</f>
        <v>0</v>
      </c>
      <c r="W12" s="59">
        <f>IF(Employee!H$60=E$9,Employee!D$61+SUM(N12)+'Jan17'!W42,SUM(N12)+'Jan17'!W42)</f>
        <v>0</v>
      </c>
      <c r="X12" s="59">
        <f>IF(O12=" ",'Jan17'!X42,O12+'Jan17'!X42)</f>
        <v>0</v>
      </c>
      <c r="Y12" s="59">
        <f>IF(P12=" ",'Jan17'!Y42,P12+'Jan17'!Y42)</f>
        <v>0</v>
      </c>
      <c r="Z12" s="59">
        <f>IF(Q12=" ",'Jan17'!Z42,Q12+'Jan17'!Z42)</f>
        <v>0</v>
      </c>
      <c r="AA12" s="59">
        <f>IF(R12=" ",'Jan17'!AA42,R12+'Jan17'!AA42)</f>
        <v>0</v>
      </c>
      <c r="AB12" s="60"/>
      <c r="AC12" s="59">
        <f>IF(T12=" ",'Jan17'!AC42,T12+'Jan17'!AC42)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IF(T$9="Y",'Jan17'!H43,0)</f>
        <v>0</v>
      </c>
      <c r="I13" s="107">
        <f>IF(T$9="Y",'Jan17'!I43,0)</f>
        <v>0</v>
      </c>
      <c r="J13" s="107">
        <f>IF(T$9="Y",'Jan17'!J43,0)</f>
        <v>0</v>
      </c>
      <c r="K13" s="107">
        <f>IF(T$9="Y",'Jan17'!K43,I13*J13)</f>
        <v>0</v>
      </c>
      <c r="L13" s="140">
        <f>IF(T$9="Y",'Jan17'!L43,0)</f>
        <v>0</v>
      </c>
      <c r="M13" s="126" t="str">
        <f>IF(E13=" "," ",IF(T$9="Y",'Jan17'!M43,IF((H13+K13+L13)&gt;0,H13+K13+L13,"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IF(Employee!H$86=E$9,Employee!D$86+SUM(M13)+'Jan17'!V43,SUM(M13)+'Jan17'!V43)</f>
        <v>0</v>
      </c>
      <c r="W13" s="59">
        <f>IF(Employee!H$86=E$9,Employee!D$87+SUM(N13)+'Jan17'!W43,SUM(N13)+'Jan17'!W43)</f>
        <v>0</v>
      </c>
      <c r="X13" s="59">
        <f>IF(O13=" ",'Jan17'!X43,O13+'Jan17'!X43)</f>
        <v>0</v>
      </c>
      <c r="Y13" s="59">
        <f>IF(P13=" ",'Jan17'!Y43,P13+'Jan17'!Y43)</f>
        <v>0</v>
      </c>
      <c r="Z13" s="59">
        <f>IF(Q13=" ",'Jan17'!Z43,Q13+'Jan17'!Z43)</f>
        <v>0</v>
      </c>
      <c r="AA13" s="59">
        <f>IF(R13=" ",'Jan17'!AA43,R13+'Jan17'!AA43)</f>
        <v>0</v>
      </c>
      <c r="AB13" s="60"/>
      <c r="AC13" s="59">
        <f>IF(T13=" ",'Jan17'!AC43,T13+'Jan17'!AC43)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IF(T$9="Y",'Jan17'!H44,0)</f>
        <v>0</v>
      </c>
      <c r="I14" s="107">
        <f>IF(T$9="Y",'Jan17'!I44,0)</f>
        <v>0</v>
      </c>
      <c r="J14" s="107">
        <f>IF(T$9="Y",'Jan17'!J44,0)</f>
        <v>0</v>
      </c>
      <c r="K14" s="107">
        <f>IF(T$9="Y",'Jan17'!K44,I14*J14)</f>
        <v>0</v>
      </c>
      <c r="L14" s="140">
        <f>IF(T$9="Y",'Jan17'!L44,0)</f>
        <v>0</v>
      </c>
      <c r="M14" s="126" t="str">
        <f>IF(E14=" "," ",IF(T$9="Y",'Jan17'!M44,IF((H14+K14+L14)&gt;0,H14+K14+L14,"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IF(Employee!H$112=E$9,Employee!D$112+SUM(M14)+'Jan17'!V44,SUM(M14)+'Jan17'!V44)</f>
        <v>0</v>
      </c>
      <c r="W14" s="59">
        <f>IF(Employee!H$112=E$9,Employee!D$113+SUM(N14)+'Jan17'!W44,SUM(N14)+'Jan17'!W44)</f>
        <v>0</v>
      </c>
      <c r="X14" s="59">
        <f>IF(O14=" ",'Jan17'!X44,O14+'Jan17'!X44)</f>
        <v>0</v>
      </c>
      <c r="Y14" s="59">
        <f>IF(P14=" ",'Jan17'!Y44,P14+'Jan17'!Y44)</f>
        <v>0</v>
      </c>
      <c r="Z14" s="59">
        <f>IF(Q14=" ",'Jan17'!Z44,Q14+'Jan17'!Z44)</f>
        <v>0</v>
      </c>
      <c r="AA14" s="59">
        <f>IF(R14=" ",'Jan17'!AA44,R14+'Jan17'!AA44)</f>
        <v>0</v>
      </c>
      <c r="AB14" s="60"/>
      <c r="AC14" s="59">
        <f>IF(T14=" ",'Jan17'!AC44,T14+'Jan17'!AC44)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IF(T$9="Y",'Jan17'!H45,0)</f>
        <v>0</v>
      </c>
      <c r="I15" s="272">
        <f>IF(T$9="Y",'Jan17'!I45,0)</f>
        <v>0</v>
      </c>
      <c r="J15" s="272">
        <f>IF(T$9="Y",'Jan17'!J45,0)</f>
        <v>0</v>
      </c>
      <c r="K15" s="272">
        <f>IF(T$9="Y",'Jan17'!K45,I15*J15)</f>
        <v>0</v>
      </c>
      <c r="L15" s="273">
        <f>IF(T$19="Y",'Jan17'!L45,0)</f>
        <v>0</v>
      </c>
      <c r="M15" s="126" t="str">
        <f>IF(E15=" "," ",IF(T$9="Y",'Jan17'!M45,IF((H15+K15+L15)&gt;0,H15+K15+L15,"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IF(Employee!H$138=E$9,Employee!D$138+SUM(M15)+'Jan17'!V45,SUM(M15)+'Jan17'!V45)</f>
        <v>0</v>
      </c>
      <c r="W15" s="59">
        <f>IF(Employee!H$138=E$9,Employee!D$139+SUM(N15)+'Jan17'!W45,SUM(N15)+'Jan17'!W45)</f>
        <v>0</v>
      </c>
      <c r="X15" s="59">
        <f>IF(O15=" ",'Jan17'!X45,O15+'Jan17'!X45)</f>
        <v>0</v>
      </c>
      <c r="Y15" s="59">
        <f>IF(P15=" ",'Jan17'!Y45,P15+'Jan17'!Y45)</f>
        <v>0</v>
      </c>
      <c r="Z15" s="59">
        <f>IF(Q15=" ",'Jan17'!Z45,Q15+'Jan17'!Z45)</f>
        <v>0</v>
      </c>
      <c r="AA15" s="59">
        <f>IF(R15=" ",'Jan17'!AA45,R15+'Jan17'!AA45)</f>
        <v>0</v>
      </c>
      <c r="AB15" s="60"/>
      <c r="AC15" s="59">
        <f>IF(T15=" ",'Jan17'!AC45,T15+'Jan17'!AC45)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45</v>
      </c>
      <c r="F19" s="61"/>
      <c r="G19" s="61"/>
      <c r="H19" s="384" t="s">
        <v>28</v>
      </c>
      <c r="I19" s="385"/>
      <c r="J19" s="383"/>
      <c r="K19" s="231">
        <f>M9+1</f>
        <v>42772</v>
      </c>
      <c r="L19" s="230" t="s">
        <v>76</v>
      </c>
      <c r="M19" s="232">
        <f>K19+6</f>
        <v>42778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46</v>
      </c>
      <c r="F29" s="61"/>
      <c r="G29" s="61"/>
      <c r="H29" s="384" t="s">
        <v>28</v>
      </c>
      <c r="I29" s="385"/>
      <c r="J29" s="383"/>
      <c r="K29" s="231">
        <f>M19+1</f>
        <v>42779</v>
      </c>
      <c r="L29" s="230" t="s">
        <v>76</v>
      </c>
      <c r="M29" s="232">
        <f>K29+6</f>
        <v>42785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47</v>
      </c>
      <c r="F39" s="61"/>
      <c r="G39" s="61"/>
      <c r="H39" s="384" t="s">
        <v>28</v>
      </c>
      <c r="I39" s="466"/>
      <c r="J39" s="467"/>
      <c r="K39" s="231">
        <f>M29+1</f>
        <v>42786</v>
      </c>
      <c r="L39" s="230" t="s">
        <v>76</v>
      </c>
      <c r="M39" s="232">
        <f>K39+6</f>
        <v>42792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11</v>
      </c>
      <c r="F49" s="61"/>
      <c r="G49" s="61"/>
      <c r="H49" s="384" t="s">
        <v>28</v>
      </c>
      <c r="I49" s="385"/>
      <c r="J49" s="383"/>
      <c r="K49" s="231">
        <f>Admin!B308</f>
        <v>42772</v>
      </c>
      <c r="L49" s="230" t="s">
        <v>76</v>
      </c>
      <c r="M49" s="232">
        <f>Admin!B335</f>
        <v>42799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IF(T$49="Y",'Jan17'!H51,0)</f>
        <v>0</v>
      </c>
      <c r="I51" s="104">
        <f>IF(T$49="Y",'Jan17'!I51,0)</f>
        <v>0</v>
      </c>
      <c r="J51" s="104">
        <f>IF(T$49="Y",'Jan17'!J51,0)</f>
        <v>0</v>
      </c>
      <c r="K51" s="104">
        <f>IF(T$49="Y",'Jan17'!K51,I51*J51)</f>
        <v>0</v>
      </c>
      <c r="L51" s="139">
        <f>IF(T$49="Y",'Jan17'!L51,0)</f>
        <v>0</v>
      </c>
      <c r="M51" s="114" t="str">
        <f>IF(E51=" "," ",IF(T$49="Y",'Jan17'!M51,IF((H51+K51+L51)&gt;0,H51+K51+L51,"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IF(Employee!H$35=E$49,Employee!D$34+SUM(M51)+'Jan17'!V51,SUM(M51)+'Jan17'!V51)</f>
        <v>0</v>
      </c>
      <c r="W51" s="59">
        <f>IF(Employee!H$35=E$49,Employee!D$35+SUM(N51)+'Jan17'!W51,SUM(N51)+'Jan17'!W51)</f>
        <v>0</v>
      </c>
      <c r="X51" s="59">
        <f>IF(O51=" ",'Jan17'!X51,O51+'Jan17'!X51)</f>
        <v>0</v>
      </c>
      <c r="Y51" s="59">
        <f>IF(P51=" ",'Jan17'!Y51,P51+'Jan17'!Y51)</f>
        <v>0</v>
      </c>
      <c r="Z51" s="59">
        <f>IF(Q51=" ",'Jan17'!Z51,Q51+'Jan17'!Z51)</f>
        <v>0</v>
      </c>
      <c r="AA51" s="59">
        <f>IF(R51=" ",'Jan17'!AA51,R51+'Jan17'!AA51)</f>
        <v>0</v>
      </c>
      <c r="AB51" s="60"/>
      <c r="AC51" s="59">
        <f>IF(T51=" ",'Jan17'!AC51,T51+'Jan17'!AC51)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IF(T$49="Y",'Jan17'!H52,0)</f>
        <v>0</v>
      </c>
      <c r="I52" s="107">
        <f>IF(T$49="Y",'Jan17'!I52,0)</f>
        <v>0</v>
      </c>
      <c r="J52" s="107">
        <f>IF(T$49="Y",'Jan17'!J52,0)</f>
        <v>0</v>
      </c>
      <c r="K52" s="107">
        <f>IF(T$49="Y",'Jan17'!K52,I52*J52)</f>
        <v>0</v>
      </c>
      <c r="L52" s="140">
        <f>IF(T$49="Y",'Jan17'!L52,0)</f>
        <v>0</v>
      </c>
      <c r="M52" s="115" t="str">
        <f>IF(E52=" "," ",IF(T$49="Y",'Jan17'!M52,IF((H52+K52+L52)&gt;0,H52+K52+L52,"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IF(Employee!H$61=E$49,Employee!D$60+SUM(M52)+'Jan17'!V52,SUM(M52)+'Jan17'!V52)</f>
        <v>0</v>
      </c>
      <c r="W52" s="59">
        <f>IF(Employee!H$61=E$49,Employee!D$61+SUM(N52)+'Jan17'!W52,SUM(N52)+'Jan17'!W52)</f>
        <v>0</v>
      </c>
      <c r="X52" s="59">
        <f>IF(O52=" ",'Jan17'!X52,O52+'Jan17'!X52)</f>
        <v>0</v>
      </c>
      <c r="Y52" s="59">
        <f>IF(P52=" ",'Jan17'!Y52,P52+'Jan17'!Y52)</f>
        <v>0</v>
      </c>
      <c r="Z52" s="59">
        <f>IF(Q52=" ",'Jan17'!Z52,Q52+'Jan17'!Z52)</f>
        <v>0</v>
      </c>
      <c r="AA52" s="59">
        <f>IF(R52=" ",'Jan17'!AA52,R52+'Jan17'!AA52)</f>
        <v>0</v>
      </c>
      <c r="AB52" s="60"/>
      <c r="AC52" s="59">
        <f>IF(T52=" ",'Jan17'!AC52,T52+'Jan17'!AC52)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IF(T$49="Y",'Jan17'!H53,0)</f>
        <v>0</v>
      </c>
      <c r="I53" s="107">
        <f>IF(T$49="Y",'Jan17'!I53,0)</f>
        <v>0</v>
      </c>
      <c r="J53" s="107">
        <f>IF(T$49="Y",'Jan17'!J53,0)</f>
        <v>0</v>
      </c>
      <c r="K53" s="107">
        <f>IF(T$49="Y",'Jan17'!K53,I53*J53)</f>
        <v>0</v>
      </c>
      <c r="L53" s="140">
        <f>IF(T$49="Y",'Jan17'!L53,0)</f>
        <v>0</v>
      </c>
      <c r="M53" s="115" t="str">
        <f>IF(E53=" "," ",IF(T$49="Y",'Jan17'!M53,IF((H53+K53+L53)&gt;0,H53+K53+L53,"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IF(Employee!H$87=E$49,Employee!D$86+SUM(M53)+'Jan17'!V53,SUM(M53)+'Jan17'!V53)</f>
        <v>0</v>
      </c>
      <c r="W53" s="59">
        <f>IF(Employee!H$87=E$49,Employee!D$87+SUM(N53)+'Jan17'!W53,SUM(N53)+'Jan17'!W53)</f>
        <v>0</v>
      </c>
      <c r="X53" s="59">
        <f>IF(O53=" ",'Jan17'!X53,O53+'Jan17'!X53)</f>
        <v>0</v>
      </c>
      <c r="Y53" s="59">
        <f>IF(P53=" ",'Jan17'!Y53,P53+'Jan17'!Y53)</f>
        <v>0</v>
      </c>
      <c r="Z53" s="59">
        <f>IF(Q53=" ",'Jan17'!Z53,Q53+'Jan17'!Z53)</f>
        <v>0</v>
      </c>
      <c r="AA53" s="59">
        <f>IF(R53=" ",'Jan17'!AA53,R53+'Jan17'!AA53)</f>
        <v>0</v>
      </c>
      <c r="AB53" s="60"/>
      <c r="AC53" s="59">
        <f>IF(T53=" ",'Jan17'!AC53,T53+'Jan17'!AC53)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IF(T$49="Y",'Jan17'!H54,0)</f>
        <v>0</v>
      </c>
      <c r="I54" s="107">
        <f>IF(T$49="Y",'Jan17'!I54,0)</f>
        <v>0</v>
      </c>
      <c r="J54" s="107">
        <f>IF(T$49="Y",'Jan17'!J54,0)</f>
        <v>0</v>
      </c>
      <c r="K54" s="107">
        <f>IF(T$49="Y",'Jan17'!K54,I54*J54)</f>
        <v>0</v>
      </c>
      <c r="L54" s="140">
        <f>IF(T$49="Y",'Jan17'!L54,0)</f>
        <v>0</v>
      </c>
      <c r="M54" s="115" t="str">
        <f>IF(E54=" "," ",IF(T$49="Y",'Jan17'!M54,IF((H54+K54+L54)&gt;0,H54+K54+L54,"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IF(Employee!H$113=E$49,Employee!D$112+SUM(M54)+'Jan17'!V54,SUM(M54)+'Jan17'!V54)</f>
        <v>0</v>
      </c>
      <c r="W54" s="59">
        <f>IF(Employee!H$113=E$49,Employee!D$113+SUM(N54)+'Jan17'!W54,SUM(N54)+'Jan17'!W54)</f>
        <v>0</v>
      </c>
      <c r="X54" s="59">
        <f>IF(O54=" ",'Jan17'!X54,O54+'Jan17'!X54)</f>
        <v>0</v>
      </c>
      <c r="Y54" s="59">
        <f>IF(P54=" ",'Jan17'!Y54,P54+'Jan17'!Y54)</f>
        <v>0</v>
      </c>
      <c r="Z54" s="59">
        <f>IF(Q54=" ",'Jan17'!Z54,Q54+'Jan17'!Z54)</f>
        <v>0</v>
      </c>
      <c r="AA54" s="59">
        <f>IF(R54=" ",'Jan17'!AA54,R54+'Jan17'!AA54)</f>
        <v>0</v>
      </c>
      <c r="AB54" s="60"/>
      <c r="AC54" s="59">
        <f>IF(T54=" ",'Jan17'!AC54,T54+'Jan17'!AC54)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IF(T$49="Y",'Jan17'!H55,0)</f>
        <v>0</v>
      </c>
      <c r="I55" s="272">
        <f>IF(T$49="Y",'Jan17'!I55,0)</f>
        <v>0</v>
      </c>
      <c r="J55" s="272">
        <f>IF(T$49="Y",'Jan17'!J55,0)</f>
        <v>0</v>
      </c>
      <c r="K55" s="272">
        <f>IF(T$49="Y",'Jan17'!K55,I55*J55)</f>
        <v>0</v>
      </c>
      <c r="L55" s="273">
        <f>IF(T$49="Y",'Jan17'!L55,0)</f>
        <v>0</v>
      </c>
      <c r="M55" s="115" t="str">
        <f>IF(E55=" "," ",IF(T$49="Y",'Jan17'!M55,IF((H55+K55+L55)&gt;0,H55+K55+L55,"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IF(Employee!H$139=E$49,Employee!D$138+SUM(M55)+'Jan17'!V55,SUM(M55)+'Jan17'!V55)</f>
        <v>0</v>
      </c>
      <c r="W55" s="59">
        <f>IF(Employee!H$139=E$49,Employee!D$139+SUM(N55)+'Jan17'!W55,SUM(N55)+'Jan17'!W55)</f>
        <v>0</v>
      </c>
      <c r="X55" s="59">
        <f>IF(O55=" ",'Jan17'!X55,O55+'Jan17'!X55)</f>
        <v>0</v>
      </c>
      <c r="Y55" s="59">
        <f>IF(P55=" ",'Jan17'!Y55,P55+'Jan17'!Y55)</f>
        <v>0</v>
      </c>
      <c r="Z55" s="59">
        <f>IF(Q55=" ",'Jan17'!Z55,Q55+'Jan17'!Z55)</f>
        <v>0</v>
      </c>
      <c r="AA55" s="59">
        <f>IF(R55=" ",'Jan17'!AA55,R55+'Jan17'!AA55)</f>
        <v>0</v>
      </c>
      <c r="AB55" s="60"/>
      <c r="AC55" s="59">
        <f>IF(T55=" ",'Jan17'!AC55,T55+'Jan17'!AC55)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AD60+'Jan17'!AD65</f>
        <v>0</v>
      </c>
      <c r="AE65" s="177">
        <f>AE60+'Jan17'!AE65</f>
        <v>0</v>
      </c>
      <c r="AF65" s="177">
        <f>AF60+'Jan17'!AF65</f>
        <v>0</v>
      </c>
      <c r="AG65" s="177">
        <f>AG60+'Jan17'!AG65</f>
        <v>0</v>
      </c>
    </row>
    <row r="66" spans="6:33" ht="13.8" thickTop="1" x14ac:dyDescent="0.25"/>
    <row r="67" spans="6:33" x14ac:dyDescent="0.25">
      <c r="AD67" s="184"/>
      <c r="AE67" s="177">
        <f>AE62+'Jan17'!AE67</f>
        <v>0</v>
      </c>
      <c r="AF67" s="177">
        <f>AF62+'Jan17'!AF67</f>
        <v>0</v>
      </c>
      <c r="AG67" s="177">
        <f>AG62+'Jan17'!AG67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8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SUM(AD80:AG80)+SUM(AE82:AG82)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M16+M26+M36+M46+M56+M66+M76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T16+T26+T36+T46+T56+T66+T76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M85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T85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'Apr16'!H3:H6</f>
        <v>Statutory Pay</v>
      </c>
      <c r="I3" s="389" t="str">
        <f>'Apr16'!I3:I6</f>
        <v>Basic hours</v>
      </c>
      <c r="J3" s="389" t="str">
        <f>'Apr16'!J3:J6</f>
        <v>Hourly rate</v>
      </c>
      <c r="K3" s="389" t="str">
        <f>'Apr16'!K3:K6</f>
        <v>Basic    wages</v>
      </c>
      <c r="L3" s="389" t="str">
        <f>'Apr16'!L3:L6</f>
        <v>Overtime Bonus Gratuities</v>
      </c>
      <c r="M3" s="452" t="str">
        <f>'Apr16'!M3:M6</f>
        <v>GROSS WAGES</v>
      </c>
      <c r="N3" s="389" t="str">
        <f>'Apr16'!N3:N6</f>
        <v>Income Tax</v>
      </c>
      <c r="O3" s="389" t="str">
        <f>'Apr16'!O3:O6</f>
        <v>Employees National Insurance</v>
      </c>
      <c r="P3" s="389" t="str">
        <f>'Apr16'!P3:P6</f>
        <v>Student Loans</v>
      </c>
      <c r="Q3" s="389" t="str">
        <f>'Apr16'!Q3:Q6</f>
        <v>Other Deductions</v>
      </c>
      <c r="R3" s="452" t="str">
        <f>'Apr16'!R3:R6</f>
        <v>NET      PAY</v>
      </c>
      <c r="S3" s="51"/>
      <c r="T3" s="389" t="str">
        <f>'Apr16'!T3:T6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48</v>
      </c>
      <c r="F9" s="61"/>
      <c r="G9" s="61"/>
      <c r="H9" s="384" t="s">
        <v>28</v>
      </c>
      <c r="I9" s="385"/>
      <c r="J9" s="383"/>
      <c r="K9" s="231">
        <f>'Feb17'!M39+1</f>
        <v>42793</v>
      </c>
      <c r="L9" s="230" t="s">
        <v>76</v>
      </c>
      <c r="M9" s="232">
        <f>K9+6</f>
        <v>42799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IF(T$9="Y",'Feb17'!H41,0)</f>
        <v>0</v>
      </c>
      <c r="I11" s="104">
        <f>IF(T$9="Y",'Feb17'!I41,0)</f>
        <v>0</v>
      </c>
      <c r="J11" s="104">
        <f>IF(T$9="Y",'Feb17'!J41,0)</f>
        <v>0</v>
      </c>
      <c r="K11" s="104">
        <f>IF(T$9="Y",'Feb17'!K41,I11*J11)</f>
        <v>0</v>
      </c>
      <c r="L11" s="139">
        <f>IF(T$9="Y",'Feb17'!L41,0)</f>
        <v>0</v>
      </c>
      <c r="M11" s="125" t="str">
        <f>IF(E11=" "," ",IF(T$9="Y",'Feb17'!M41,IF((H11+K11+L11)&gt;0,H11+K11+L11,"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IF(Employee!H$34=E$9,Employee!D$34+SUM(M11)+'Feb17'!V41,SUM(M11)+'Feb17'!V41)</f>
        <v>0</v>
      </c>
      <c r="W11" s="59">
        <f>IF(Employee!H$34=E$9,Employee!D$35+SUM(N11)+'Feb17'!W41,SUM(N11)+'Feb17'!W41)</f>
        <v>0</v>
      </c>
      <c r="X11" s="59">
        <f>IF(O11=" ",'Feb17'!X41,O11+'Feb17'!X41)</f>
        <v>0</v>
      </c>
      <c r="Y11" s="59">
        <f>IF(P11=" ",'Feb17'!Y41,P11+'Feb17'!Y41)</f>
        <v>0</v>
      </c>
      <c r="Z11" s="59">
        <f>IF(Q11=" ",'Feb17'!Z41,Q11+'Feb17'!Z41)</f>
        <v>0</v>
      </c>
      <c r="AA11" s="59">
        <f>IF(R11=" ",'Feb17'!AA41,R11+'Feb17'!AA41)</f>
        <v>0</v>
      </c>
      <c r="AB11" s="60"/>
      <c r="AC11" s="59">
        <f>IF(T11=" ",'Feb17'!AC41,T11+'Feb17'!AC41)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IF(T$9="Y",'Feb17'!H42,0)</f>
        <v>0</v>
      </c>
      <c r="I12" s="107">
        <f>IF(T$9="Y",'Feb17'!I42,0)</f>
        <v>0</v>
      </c>
      <c r="J12" s="107">
        <f>IF(T$9="Y",'Feb17'!J42,0)</f>
        <v>0</v>
      </c>
      <c r="K12" s="107">
        <f>IF(T$9="Y",'Feb17'!K42,I12*J12)</f>
        <v>0</v>
      </c>
      <c r="L12" s="140">
        <f>IF(T$9="Y",'Feb17'!L42,0)</f>
        <v>0</v>
      </c>
      <c r="M12" s="126" t="str">
        <f>IF(E12=" "," ",IF(T$9="Y",'Feb17'!M42,IF((H12+K12+L12)&gt;0,H12+K12+L12,"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IF(Employee!H$60=E$9,Employee!D$60+SUM(M12)+'Feb17'!V42,SUM(M12)+'Feb17'!V42)</f>
        <v>0</v>
      </c>
      <c r="W12" s="59">
        <f>IF(Employee!H$60=E$9,Employee!D$61+SUM(N12)+'Feb17'!W42,SUM(N12)+'Feb17'!W42)</f>
        <v>0</v>
      </c>
      <c r="X12" s="59">
        <f>IF(O12=" ",'Feb17'!X42,O12+'Feb17'!X42)</f>
        <v>0</v>
      </c>
      <c r="Y12" s="59">
        <f>IF(P12=" ",'Feb17'!Y42,P12+'Feb17'!Y42)</f>
        <v>0</v>
      </c>
      <c r="Z12" s="59">
        <f>IF(Q12=" ",'Feb17'!Z42,Q12+'Feb17'!Z42)</f>
        <v>0</v>
      </c>
      <c r="AA12" s="59">
        <f>IF(R12=" ",'Feb17'!AA42,R12+'Feb17'!AA42)</f>
        <v>0</v>
      </c>
      <c r="AB12" s="60"/>
      <c r="AC12" s="59">
        <f>IF(T12=" ",'Feb17'!AC42,T12+'Feb17'!AC42)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IF(T$9="Y",'Feb17'!H43,0)</f>
        <v>0</v>
      </c>
      <c r="I13" s="107">
        <f>IF(T$9="Y",'Feb17'!I43,0)</f>
        <v>0</v>
      </c>
      <c r="J13" s="107">
        <f>IF(T$9="Y",'Feb17'!J43,0)</f>
        <v>0</v>
      </c>
      <c r="K13" s="107">
        <f>IF(T$9="Y",'Feb17'!K43,I13*J13)</f>
        <v>0</v>
      </c>
      <c r="L13" s="140">
        <f>IF(T$9="Y",'Feb17'!L43,0)</f>
        <v>0</v>
      </c>
      <c r="M13" s="126" t="str">
        <f>IF(E13=" "," ",IF(T$9="Y",'Feb17'!M43,IF((H13+K13+L13)&gt;0,H13+K13+L13,"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IF(Employee!H$86=E$9,Employee!D$86+SUM(M13)+'Feb17'!V43,SUM(M13)+'Feb17'!V43)</f>
        <v>0</v>
      </c>
      <c r="W13" s="59">
        <f>IF(Employee!H$86=E$9,Employee!D$87+SUM(N13)+'Feb17'!W43,SUM(N13)+'Feb17'!W43)</f>
        <v>0</v>
      </c>
      <c r="X13" s="59">
        <f>IF(O13=" ",'Feb17'!X43,O13+'Feb17'!X43)</f>
        <v>0</v>
      </c>
      <c r="Y13" s="59">
        <f>IF(P13=" ",'Feb17'!Y43,P13+'Feb17'!Y43)</f>
        <v>0</v>
      </c>
      <c r="Z13" s="59">
        <f>IF(Q13=" ",'Feb17'!Z43,Q13+'Feb17'!Z43)</f>
        <v>0</v>
      </c>
      <c r="AA13" s="59">
        <f>IF(R13=" ",'Feb17'!AA43,R13+'Feb17'!AA43)</f>
        <v>0</v>
      </c>
      <c r="AB13" s="60"/>
      <c r="AC13" s="59">
        <f>IF(T13=" ",'Feb17'!AC43,T13+'Feb17'!AC43)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IF(T$9="Y",'Feb17'!H44,0)</f>
        <v>0</v>
      </c>
      <c r="I14" s="107">
        <f>IF(T$9="Y",'Feb17'!I44,0)</f>
        <v>0</v>
      </c>
      <c r="J14" s="107">
        <f>IF(T$9="Y",'Feb17'!J44,0)</f>
        <v>0</v>
      </c>
      <c r="K14" s="107">
        <f>IF(T$9="Y",'Feb17'!K44,I14*J14)</f>
        <v>0</v>
      </c>
      <c r="L14" s="140">
        <f>IF(T$9="Y",'Feb17'!L44,0)</f>
        <v>0</v>
      </c>
      <c r="M14" s="126" t="str">
        <f>IF(E14=" "," ",IF(T$9="Y",'Feb17'!M44,IF((H14+K14+L14)&gt;0,H14+K14+L14,"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IF(Employee!H$112=E$9,Employee!D$112+SUM(M14)+'Feb17'!V44,SUM(M14)+'Feb17'!V44)</f>
        <v>0</v>
      </c>
      <c r="W14" s="59">
        <f>IF(Employee!H$112=E$9,Employee!D$113+SUM(N14)+'Feb17'!W44,SUM(N14)+'Feb17'!W44)</f>
        <v>0</v>
      </c>
      <c r="X14" s="59">
        <f>IF(O14=" ",'Feb17'!X44,O14+'Feb17'!X44)</f>
        <v>0</v>
      </c>
      <c r="Y14" s="59">
        <f>IF(P14=" ",'Feb17'!Y44,P14+'Feb17'!Y44)</f>
        <v>0</v>
      </c>
      <c r="Z14" s="59">
        <f>IF(Q14=" ",'Feb17'!Z44,Q14+'Feb17'!Z44)</f>
        <v>0</v>
      </c>
      <c r="AA14" s="59">
        <f>IF(R14=" ",'Feb17'!AA44,R14+'Feb17'!AA44)</f>
        <v>0</v>
      </c>
      <c r="AB14" s="60"/>
      <c r="AC14" s="59">
        <f>IF(T14=" ",'Feb17'!AC44,T14+'Feb17'!AC44)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IF(T$9="Y",'Feb17'!H45,0)</f>
        <v>0</v>
      </c>
      <c r="I15" s="272">
        <f>IF(T$9="Y",'Feb17'!I45,0)</f>
        <v>0</v>
      </c>
      <c r="J15" s="272">
        <f>IF(T$9="Y",'Feb17'!J45,0)</f>
        <v>0</v>
      </c>
      <c r="K15" s="272">
        <f>IF(T$9="Y",'Feb17'!K45,I15*J15)</f>
        <v>0</v>
      </c>
      <c r="L15" s="273">
        <f>IF(T$9="Y",'Feb17'!L45,0)</f>
        <v>0</v>
      </c>
      <c r="M15" s="126" t="str">
        <f>IF(E15=" "," ",IF(T$9="Y",'Feb17'!M45,IF((H15+K15+L15)&gt;0,H15+K15+L15,"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IF(Employee!H$138=E$9,Employee!D$138+SUM(M15)+'Feb17'!V45,SUM(M15)+'Feb17'!V45)</f>
        <v>0</v>
      </c>
      <c r="W15" s="59">
        <f>IF(Employee!H$138=E$9,Employee!D$139+SUM(N15)+'Feb17'!W45,SUM(N15)+'Feb17'!W45)</f>
        <v>0</v>
      </c>
      <c r="X15" s="59">
        <f>IF(O15=" ",'Feb17'!X45,O15+'Feb17'!X45)</f>
        <v>0</v>
      </c>
      <c r="Y15" s="59">
        <f>IF(P15=" ",'Feb17'!Y45,P15+'Feb17'!Y45)</f>
        <v>0</v>
      </c>
      <c r="Z15" s="59">
        <f>IF(Q15=" ",'Feb17'!Z45,Q15+'Feb17'!Z45)</f>
        <v>0</v>
      </c>
      <c r="AA15" s="59">
        <f>IF(R15=" ",'Feb17'!AA45,R15+'Feb17'!AA45)</f>
        <v>0</v>
      </c>
      <c r="AB15" s="60"/>
      <c r="AC15" s="59">
        <f>IF(T15=" ",'Feb17'!AC45,T15+'Feb17'!AC45)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49</v>
      </c>
      <c r="F19" s="61"/>
      <c r="G19" s="61"/>
      <c r="H19" s="384" t="s">
        <v>28</v>
      </c>
      <c r="I19" s="385"/>
      <c r="J19" s="383"/>
      <c r="K19" s="231">
        <f>M9+1</f>
        <v>42800</v>
      </c>
      <c r="L19" s="230" t="s">
        <v>76</v>
      </c>
      <c r="M19" s="232">
        <f>K19+6</f>
        <v>42806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50</v>
      </c>
      <c r="F29" s="61"/>
      <c r="G29" s="61"/>
      <c r="H29" s="384" t="s">
        <v>28</v>
      </c>
      <c r="I29" s="385"/>
      <c r="J29" s="383"/>
      <c r="K29" s="231">
        <f>M19+1</f>
        <v>42807</v>
      </c>
      <c r="L29" s="230" t="s">
        <v>76</v>
      </c>
      <c r="M29" s="232">
        <f>K29+6</f>
        <v>42813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51</v>
      </c>
      <c r="F39" s="61"/>
      <c r="G39" s="61"/>
      <c r="H39" s="384" t="s">
        <v>28</v>
      </c>
      <c r="I39" s="466"/>
      <c r="J39" s="467"/>
      <c r="K39" s="231">
        <f>M29+1</f>
        <v>42814</v>
      </c>
      <c r="L39" s="230" t="s">
        <v>76</v>
      </c>
      <c r="M39" s="232">
        <f>K39+6</f>
        <v>42820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52</v>
      </c>
      <c r="F49" s="61"/>
      <c r="G49" s="61"/>
      <c r="H49" s="384" t="s">
        <v>28</v>
      </c>
      <c r="I49" s="466"/>
      <c r="J49" s="467"/>
      <c r="K49" s="231">
        <f>M39+1</f>
        <v>42821</v>
      </c>
      <c r="L49" s="230" t="s">
        <v>76</v>
      </c>
      <c r="M49" s="232">
        <f>K49+6</f>
        <v>42827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23</v>
      </c>
      <c r="C58" s="464"/>
      <c r="D58" s="464"/>
      <c r="E58" s="465"/>
      <c r="F58" s="40"/>
      <c r="G58" s="40"/>
      <c r="H58" s="41"/>
      <c r="I58" s="41"/>
      <c r="J58" s="41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9</v>
      </c>
      <c r="C59" s="466"/>
      <c r="D59" s="467"/>
      <c r="E59" s="175">
        <v>53</v>
      </c>
      <c r="F59" s="61"/>
      <c r="G59" s="61"/>
      <c r="H59" s="384" t="s">
        <v>28</v>
      </c>
      <c r="I59" s="466"/>
      <c r="J59" s="467"/>
      <c r="K59" s="231">
        <f>M49+1</f>
        <v>42828</v>
      </c>
      <c r="L59" s="230" t="s">
        <v>76</v>
      </c>
      <c r="M59" s="232">
        <f>K59+2</f>
        <v>42830</v>
      </c>
      <c r="N59" s="27"/>
      <c r="O59" s="425" t="s">
        <v>63</v>
      </c>
      <c r="P59" s="461"/>
      <c r="Q59" s="461"/>
      <c r="R59" s="462"/>
      <c r="S59" s="44"/>
      <c r="T59" s="186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471" t="s">
        <v>65</v>
      </c>
      <c r="C60" s="472"/>
      <c r="D60" s="472"/>
      <c r="E60" s="472"/>
      <c r="F60" s="61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IF(Employee!D$28="m","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IF(T$49="Y",H51,0)</f>
        <v>0</v>
      </c>
      <c r="I61" s="104">
        <f>IF(T$49="Y",I51,0)</f>
        <v>0</v>
      </c>
      <c r="J61" s="104">
        <f>IF(T$49="Y",J51,0)</f>
        <v>0</v>
      </c>
      <c r="K61" s="104">
        <f>IF(T$49="Y",K51,I61*J61)</f>
        <v>0</v>
      </c>
      <c r="L61" s="139">
        <f>IF(T$49="Y",L51,0)</f>
        <v>0</v>
      </c>
      <c r="M61" s="114" t="str">
        <f>IF(E61=" "," ",IF(T$59="Y",M51,IF((H61+K61+L61)&gt;0,H61+K61+L61,"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18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IF(Employee!H$34=E$59,Employee!D$34+SUM(M61)+V51,SUM(M61)+V51)</f>
        <v>0</v>
      </c>
      <c r="W61" s="59">
        <f>IF(Employee!H$34=E$59,Employee!D$35+SUM(N61)+W51,SUM(N61)+W51)</f>
        <v>0</v>
      </c>
      <c r="X61" s="59">
        <f>IF(O61=" ",X51,O61+X51)</f>
        <v>0</v>
      </c>
      <c r="Y61" s="59">
        <f t="shared" ref="Y61:Z65" si="11">IF(P61=0,Y51,P61+Y51)</f>
        <v>0</v>
      </c>
      <c r="Z61" s="59">
        <f t="shared" si="11"/>
        <v>0</v>
      </c>
      <c r="AA61" s="59">
        <f>IF(R61=" ",AA51,AA51+R61)</f>
        <v>0</v>
      </c>
      <c r="AC61" s="59">
        <f>IF(T61=" ",AC51,T61+AC51)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IF(Employee!D$54="m","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IF(T$49="Y",H52,0)</f>
        <v>0</v>
      </c>
      <c r="I62" s="107">
        <f>IF(T$49="Y",I52,0)</f>
        <v>0</v>
      </c>
      <c r="J62" s="107">
        <f>IF(T$49="Y",J52,0)</f>
        <v>0</v>
      </c>
      <c r="K62" s="107">
        <f>IF(T$49="Y",K52,I62*J62)</f>
        <v>0</v>
      </c>
      <c r="L62" s="140">
        <f>IF(T$49="Y",L52,0)</f>
        <v>0</v>
      </c>
      <c r="M62" s="115" t="str">
        <f>IF(E62=" "," ",IF(T$59="Y",M52,IF((H62+K62+L62)&gt;0,H62+K62+L62,"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19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IF(Employee!H$60=E$59,Employee!D$60+SUM(M62)+V52,SUM(M62)+V52)</f>
        <v>0</v>
      </c>
      <c r="W62" s="59">
        <f>IF(Employee!H$60=E$59,Employee!D$61+SUM(N62)+W52,SUM(N62)+W52)</f>
        <v>0</v>
      </c>
      <c r="X62" s="59">
        <f>IF(O62=" ",X52,O62+X52)</f>
        <v>0</v>
      </c>
      <c r="Y62" s="59">
        <f t="shared" si="11"/>
        <v>0</v>
      </c>
      <c r="Z62" s="59">
        <f t="shared" si="11"/>
        <v>0</v>
      </c>
      <c r="AA62" s="59">
        <f>IF(R62=" ",AA52,AA52+R62)</f>
        <v>0</v>
      </c>
      <c r="AC62" s="59">
        <f>IF(T62=" ",AC52,T62+AC52)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IF(Employee!D$80="m","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IF(T$49="Y",H53,0)</f>
        <v>0</v>
      </c>
      <c r="I63" s="107">
        <f>IF(T$49="Y",I53,0)</f>
        <v>0</v>
      </c>
      <c r="J63" s="107">
        <f>IF(T$49="Y",J53,0)</f>
        <v>0</v>
      </c>
      <c r="K63" s="107">
        <f>IF(T$49="Y",K53,I63*J63)</f>
        <v>0</v>
      </c>
      <c r="L63" s="140">
        <f>IF(T$49="Y",L53,0)</f>
        <v>0</v>
      </c>
      <c r="M63" s="115" t="str">
        <f>IF(E63=" "," ",IF(T$59="Y",M53,IF((H63+K63+L63)&gt;0,H63+K63+L63,"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19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IF(Employee!H$86=E$59,Employee!D$86+SUM(M63)+V53,SUM(M63)+V53)</f>
        <v>0</v>
      </c>
      <c r="W63" s="59">
        <f>IF(Employee!H$86=E$59,Employee!D$87+SUM(N63)+W53,SUM(N63)+W53)</f>
        <v>0</v>
      </c>
      <c r="X63" s="59">
        <f>IF(O63=" ",X53,O63+X53)</f>
        <v>0</v>
      </c>
      <c r="Y63" s="59">
        <f t="shared" si="11"/>
        <v>0</v>
      </c>
      <c r="Z63" s="59">
        <f t="shared" si="11"/>
        <v>0</v>
      </c>
      <c r="AA63" s="59">
        <f>IF(R63=" ",AA53,AA53+R63)</f>
        <v>0</v>
      </c>
      <c r="AC63" s="59">
        <f>IF(T63=" ",AC53,T63+AC53)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IF(Employee!D$106="m","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IF(T$49="Y",H54,0)</f>
        <v>0</v>
      </c>
      <c r="I64" s="107">
        <f>IF(T$49="Y",I54,0)</f>
        <v>0</v>
      </c>
      <c r="J64" s="107">
        <f>IF(T$49="Y",J54,0)</f>
        <v>0</v>
      </c>
      <c r="K64" s="107">
        <f>IF(T$49="Y",K54,I64*J64)</f>
        <v>0</v>
      </c>
      <c r="L64" s="140">
        <f>IF(T$49="Y",L54,0)</f>
        <v>0</v>
      </c>
      <c r="M64" s="115" t="str">
        <f>IF(E64=" "," ",IF(T$59="Y",M54,IF((H64+K64+L64)&gt;0,H64+K64+L64,"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19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IF(Employee!H$112=E$59,Employee!D$112+SUM(M64)+V54,SUM(M64)+V54)</f>
        <v>0</v>
      </c>
      <c r="W64" s="59">
        <f>IF(Employee!H$112=E$59,Employee!D$113+SUM(N64)+W54,SUM(N64)+W54)</f>
        <v>0</v>
      </c>
      <c r="X64" s="59">
        <f>IF(O64=" ",X54,O64+X54)</f>
        <v>0</v>
      </c>
      <c r="Y64" s="59">
        <f t="shared" si="11"/>
        <v>0</v>
      </c>
      <c r="Z64" s="59">
        <f t="shared" si="11"/>
        <v>0</v>
      </c>
      <c r="AA64" s="59">
        <f>IF(R64=" ",AA54,AA54+R64)</f>
        <v>0</v>
      </c>
      <c r="AC64" s="59">
        <f>IF(T64=" ",AC54,T64+AC54)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IF(Employee!D$132="m","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IF(T$49="Y",H55,0)</f>
        <v>0</v>
      </c>
      <c r="I65" s="272">
        <f>IF(T$49="Y",I55,0)</f>
        <v>0</v>
      </c>
      <c r="J65" s="272">
        <f>IF(T$49="Y",J55,0)</f>
        <v>0</v>
      </c>
      <c r="K65" s="272">
        <f>IF(T$49="Y",K55,I65*J65)</f>
        <v>0</v>
      </c>
      <c r="L65" s="273">
        <f>IF(T$49="Y",L55,0)</f>
        <v>0</v>
      </c>
      <c r="M65" s="115" t="str">
        <f>IF(E65=" "," ",IF(T$59="Y",M55,IF((H65+K65+L65)&gt;0,H65+K65+L65,"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19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IF(Employee!H$138=E$59,Employee!D$138+SUM(M65)+V55,SUM(M65)+V55)</f>
        <v>0</v>
      </c>
      <c r="W65" s="59">
        <f>IF(Employee!H$138=E$59,Employee!D$139+SUM(N65)+W55,SUM(N65)+W55)</f>
        <v>0</v>
      </c>
      <c r="X65" s="59">
        <f>IF(O65=" ",X55,O65+X55)</f>
        <v>0</v>
      </c>
      <c r="Y65" s="59">
        <f t="shared" si="11"/>
        <v>0</v>
      </c>
      <c r="Z65" s="59">
        <f t="shared" si="11"/>
        <v>0</v>
      </c>
      <c r="AA65" s="59">
        <f>IF(R65=" ",AA55,AA55+R65)</f>
        <v>0</v>
      </c>
      <c r="AC65" s="59">
        <f>IF(T65=" ",AC55,T65+AC55)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463"/>
      <c r="H66" s="116"/>
      <c r="I66" s="117"/>
      <c r="J66" s="117"/>
      <c r="K66" s="151"/>
      <c r="L66" s="151"/>
      <c r="M66" s="144">
        <f t="shared" ref="M66:R66" si="12">SUM(M61:M65)</f>
        <v>0</v>
      </c>
      <c r="N66" s="144">
        <f t="shared" si="12"/>
        <v>0</v>
      </c>
      <c r="O66" s="144">
        <f t="shared" si="12"/>
        <v>0</v>
      </c>
      <c r="P66" s="144">
        <f t="shared" si="12"/>
        <v>0</v>
      </c>
      <c r="Q66" s="144">
        <f t="shared" si="12"/>
        <v>0</v>
      </c>
      <c r="R66" s="144">
        <f t="shared" si="12"/>
        <v>0</v>
      </c>
      <c r="S66" s="109"/>
      <c r="T66" s="144">
        <f>SUM(T61:T65)</f>
        <v>0</v>
      </c>
      <c r="U66" s="49"/>
      <c r="V66" s="59"/>
      <c r="AH66" s="61"/>
    </row>
    <row r="67" spans="1:34" s="52" customFormat="1" ht="24" customHeight="1" thickBot="1" x14ac:dyDescent="0.3">
      <c r="A67" s="123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187"/>
      <c r="V67" s="80"/>
      <c r="W67" s="80"/>
      <c r="X67" s="80"/>
      <c r="Y67" s="188"/>
      <c r="Z67" s="80"/>
      <c r="AA67" s="80"/>
      <c r="AB67" s="81"/>
      <c r="AC67" s="80"/>
      <c r="AD67" s="90"/>
      <c r="AE67" s="90"/>
      <c r="AF67" s="90"/>
      <c r="AG67" s="90"/>
      <c r="AH67" s="61"/>
    </row>
    <row r="68" spans="1:34" ht="18" customHeight="1" thickTop="1" thickBot="1" x14ac:dyDescent="0.3">
      <c r="A68" s="39"/>
      <c r="B68" s="399" t="s">
        <v>24</v>
      </c>
      <c r="C68" s="385"/>
      <c r="D68" s="385"/>
      <c r="E68" s="383"/>
      <c r="F68" s="40"/>
      <c r="G68" s="40"/>
      <c r="H68" s="53"/>
      <c r="I68" s="53"/>
      <c r="J68" s="53"/>
      <c r="K68" s="56"/>
      <c r="L68" s="56"/>
      <c r="M68" s="53"/>
      <c r="N68" s="41"/>
      <c r="O68" s="386" t="s">
        <v>28</v>
      </c>
      <c r="P68" s="387"/>
      <c r="Q68" s="388"/>
      <c r="R68" s="423"/>
      <c r="S68" s="424"/>
      <c r="T68" s="424"/>
      <c r="U68" s="42"/>
      <c r="AH68" s="61"/>
    </row>
    <row r="69" spans="1:34" ht="18" customHeight="1" thickTop="1" thickBot="1" x14ac:dyDescent="0.3">
      <c r="A69" s="43"/>
      <c r="B69" s="384" t="s">
        <v>10</v>
      </c>
      <c r="C69" s="385"/>
      <c r="D69" s="383"/>
      <c r="E69" s="175">
        <v>12</v>
      </c>
      <c r="F69" s="61"/>
      <c r="G69" s="61"/>
      <c r="H69" s="384" t="s">
        <v>28</v>
      </c>
      <c r="I69" s="385"/>
      <c r="J69" s="383"/>
      <c r="K69" s="231">
        <f>Admin!B336</f>
        <v>42800</v>
      </c>
      <c r="L69" s="230" t="s">
        <v>76</v>
      </c>
      <c r="M69" s="232">
        <f>Admin!B366</f>
        <v>42830</v>
      </c>
      <c r="N69" s="27"/>
      <c r="O69" s="425" t="s">
        <v>64</v>
      </c>
      <c r="P69" s="426"/>
      <c r="Q69" s="426"/>
      <c r="R69" s="427"/>
      <c r="S69" s="44"/>
      <c r="T69" s="149"/>
      <c r="U69" s="46"/>
      <c r="AH69" s="61"/>
    </row>
    <row r="70" spans="1:34" ht="18" customHeight="1" thickTop="1" x14ac:dyDescent="0.25">
      <c r="A70" s="43"/>
      <c r="B70" s="86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3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28" t="str">
        <f>IF(E71=" "," ",IF(Employee!F$24&gt;E$69," ",IF(Employee!F$26&lt;E$69," ",Employee!D$30)))</f>
        <v xml:space="preserve"> </v>
      </c>
      <c r="C71" s="328"/>
      <c r="D71" s="328" t="s">
        <v>107</v>
      </c>
      <c r="E71" s="135" t="str">
        <f>IF(Employee!D$28="w"," ",IF(Employee!F$24&gt;E$69," ",IF(Employee!F$26&lt;E$69," ",Employee!D$29)))</f>
        <v xml:space="preserve"> </v>
      </c>
      <c r="F71" s="132" t="str">
        <f>IF(E71=" "," ",IF(Employee!F$24&gt;E$69," ",IF(Employee!F$26&lt;E$69," ",Employee!D$15)))</f>
        <v xml:space="preserve"> </v>
      </c>
      <c r="G71" s="147"/>
      <c r="H71" s="110">
        <f>IF(T$69="Y",'Feb17'!H51,0)</f>
        <v>0</v>
      </c>
      <c r="I71" s="104">
        <f>IF(T$69="Y",'Feb17'!I51,0)</f>
        <v>0</v>
      </c>
      <c r="J71" s="104">
        <f>IF(T$69="Y",'Feb17'!J51,0)</f>
        <v>0</v>
      </c>
      <c r="K71" s="104">
        <f>IF(T$69="Y",'Feb17'!K51,I71*J71)</f>
        <v>0</v>
      </c>
      <c r="L71" s="139">
        <f>IF(T$69="Y",'Feb17'!L51,0)</f>
        <v>0</v>
      </c>
      <c r="M71" s="114" t="str">
        <f>IF(E71=" "," ",IF(T$69="Y",'Feb17'!M51,IF((H71+K71+L71)&gt;0,H71+K71+L71," ")))</f>
        <v xml:space="preserve"> </v>
      </c>
      <c r="N71" s="110">
        <v>0</v>
      </c>
      <c r="O71" s="104">
        <v>0</v>
      </c>
      <c r="P71" s="104">
        <v>0</v>
      </c>
      <c r="Q71" s="139">
        <v>0</v>
      </c>
      <c r="R71" s="196" t="str">
        <f>IF(M71=" "," ",IF(M71=0," ",M71-SUM(N71:Q71)))</f>
        <v xml:space="preserve"> </v>
      </c>
      <c r="S71" s="109"/>
      <c r="T71" s="274">
        <v>0</v>
      </c>
      <c r="U71" s="48"/>
      <c r="V71" s="59">
        <f>IF(Employee!H$35=E$69,Employee!D$34+SUM(M71)+'Feb17'!V51,SUM(M71)+'Feb17'!V51)</f>
        <v>0</v>
      </c>
      <c r="W71" s="59">
        <f>IF(Employee!H$35=E$69,Employee!D$35+SUM(N71)+'Feb17'!W51,SUM(N71)+'Feb17'!W51)</f>
        <v>0</v>
      </c>
      <c r="X71" s="59">
        <f>IF(O71=" ",'Feb17'!X51,O71+'Feb17'!X51)</f>
        <v>0</v>
      </c>
      <c r="Y71" s="59">
        <f>IF(P71=" ",'Feb17'!Y51,P71+'Feb17'!Y51)</f>
        <v>0</v>
      </c>
      <c r="Z71" s="59">
        <f>IF(Q71=" ",'Feb17'!Z51,Q71+'Feb17'!Z51)</f>
        <v>0</v>
      </c>
      <c r="AA71" s="59">
        <f>IF(R71=" ",'Feb17'!AA51,R71+'Feb17'!AA51)</f>
        <v>0</v>
      </c>
      <c r="AB71" s="60"/>
      <c r="AC71" s="59">
        <f>IF(T71=" ",'Feb17'!AC51,T71+'Feb17'!AC51)</f>
        <v>0</v>
      </c>
      <c r="AD71" s="90">
        <f>IF(G71="SSP",H71,0)</f>
        <v>0</v>
      </c>
      <c r="AE71" s="90">
        <f>IF(G71="SMP",H71,0)</f>
        <v>0</v>
      </c>
      <c r="AF71" s="90">
        <f>IF(G71="SPP",H71,0)</f>
        <v>0</v>
      </c>
      <c r="AG71" s="90">
        <f>IF(G71="SAP",H71,0)</f>
        <v>0</v>
      </c>
      <c r="AH71" s="61"/>
    </row>
    <row r="72" spans="1:34" ht="18" customHeight="1" x14ac:dyDescent="0.25">
      <c r="A72" s="43"/>
      <c r="B72" s="130" t="str">
        <f>IF(E72=" "," ",IF(Employee!F$50&gt;E$69," ",IF(Employee!F$52&lt;E$69," ",Employee!D$56)))</f>
        <v xml:space="preserve"> </v>
      </c>
      <c r="C72" s="328"/>
      <c r="D72" s="328" t="s">
        <v>107</v>
      </c>
      <c r="E72" s="127" t="str">
        <f>IF(Employee!D$54="w"," ",IF(Employee!F$50&gt;E$69," ",IF(Employee!F$52&lt;E$69," ",Employee!D$55)))</f>
        <v xml:space="preserve"> </v>
      </c>
      <c r="F72" s="133" t="str">
        <f>IF(E72=" "," ",IF(Employee!F$50&gt;E$69," ",IF(Employee!F$52&lt;E$69," ",Employee!D$41)))</f>
        <v xml:space="preserve"> </v>
      </c>
      <c r="G72" s="147"/>
      <c r="H72" s="111">
        <f>IF(T$69="Y",'Feb17'!H52,0)</f>
        <v>0</v>
      </c>
      <c r="I72" s="107">
        <f>IF(T$69="Y",'Feb17'!I52,0)</f>
        <v>0</v>
      </c>
      <c r="J72" s="107">
        <f>IF(T$69="Y",'Feb17'!J52,0)</f>
        <v>0</v>
      </c>
      <c r="K72" s="107">
        <f>IF(T$69="Y",'Feb17'!K52,I72*J72)</f>
        <v>0</v>
      </c>
      <c r="L72" s="140">
        <f>IF(T$69="Y",'Feb17'!L52,0)</f>
        <v>0</v>
      </c>
      <c r="M72" s="115" t="str">
        <f>IF(E72=" "," ",IF(T$69="Y",'Feb17'!M52,IF((H72+K72+L72)&gt;0,H72+K72+L72," ")))</f>
        <v xml:space="preserve"> </v>
      </c>
      <c r="N72" s="111">
        <v>0</v>
      </c>
      <c r="O72" s="107">
        <v>0</v>
      </c>
      <c r="P72" s="107">
        <v>0</v>
      </c>
      <c r="Q72" s="140">
        <v>0</v>
      </c>
      <c r="R72" s="197" t="str">
        <f>IF(M72=" "," ",IF(M72=0," ",M72-SUM(N72:Q72)))</f>
        <v xml:space="preserve"> </v>
      </c>
      <c r="S72" s="109"/>
      <c r="T72" s="275">
        <v>0</v>
      </c>
      <c r="U72" s="48"/>
      <c r="V72" s="59">
        <f>IF(Employee!H$61=E$69,Employee!D$60+SUM(M72)+'Feb17'!V52,SUM(M72)+'Feb17'!V52)</f>
        <v>0</v>
      </c>
      <c r="W72" s="59">
        <f>IF(Employee!H$61=E$69,Employee!D$61+SUM(N72)+'Feb17'!W52,SUM(N72)+'Feb17'!W52)</f>
        <v>0</v>
      </c>
      <c r="X72" s="59">
        <f>IF(O72=" ",'Feb17'!X52,O72+'Feb17'!X52)</f>
        <v>0</v>
      </c>
      <c r="Y72" s="59">
        <f>IF(P72=" ",'Feb17'!Y52,P72+'Feb17'!Y52)</f>
        <v>0</v>
      </c>
      <c r="Z72" s="59">
        <f>IF(Q72=" ",'Feb17'!Z52,Q72+'Feb17'!Z52)</f>
        <v>0</v>
      </c>
      <c r="AA72" s="59">
        <f>IF(R72=" ",'Feb17'!AA52,R72+'Feb17'!AA52)</f>
        <v>0</v>
      </c>
      <c r="AB72" s="60"/>
      <c r="AC72" s="59">
        <f>IF(T72=" ",'Feb17'!AC52,T72+'Feb17'!AC52)</f>
        <v>0</v>
      </c>
      <c r="AD72" s="90">
        <f>IF(G72="SSP",H72,0)</f>
        <v>0</v>
      </c>
      <c r="AE72" s="90">
        <f>IF(G72="SMP",H72,0)</f>
        <v>0</v>
      </c>
      <c r="AF72" s="90">
        <f>IF(G72="SPP",H72,0)</f>
        <v>0</v>
      </c>
      <c r="AG72" s="90">
        <f>IF(G72="SAP",H72,0)</f>
        <v>0</v>
      </c>
      <c r="AH72" s="61"/>
    </row>
    <row r="73" spans="1:34" ht="18" customHeight="1" x14ac:dyDescent="0.25">
      <c r="A73" s="43"/>
      <c r="B73" s="130" t="str">
        <f>IF(E73=" "," ",IF(Employee!F$76&gt;E$69," ",IF(Employee!F$78&lt;E$69," ",Employee!D$82)))</f>
        <v xml:space="preserve"> </v>
      </c>
      <c r="C73" s="328"/>
      <c r="D73" s="328" t="s">
        <v>107</v>
      </c>
      <c r="E73" s="127" t="str">
        <f>IF(Employee!D$80="w"," ",IF(Employee!F$76&gt;E$69," ",IF(Employee!F$78&lt;E$69," ",Employee!D$81)))</f>
        <v xml:space="preserve"> </v>
      </c>
      <c r="F73" s="133" t="str">
        <f>IF(E73=" "," ",IF(Employee!F$76&gt;E$69," ",IF(Employee!F$78&lt;E$69," ",Employee!D$67)))</f>
        <v xml:space="preserve"> </v>
      </c>
      <c r="G73" s="147"/>
      <c r="H73" s="111">
        <f>IF(T$69="Y",'Feb17'!H53,0)</f>
        <v>0</v>
      </c>
      <c r="I73" s="107">
        <f>IF(T$69="Y",'Feb17'!I53,0)</f>
        <v>0</v>
      </c>
      <c r="J73" s="107">
        <f>IF(T$69="Y",'Feb17'!J53,0)</f>
        <v>0</v>
      </c>
      <c r="K73" s="107">
        <f>IF(T$69="Y",'Feb17'!K53,I73*J73)</f>
        <v>0</v>
      </c>
      <c r="L73" s="140">
        <f>IF(T$69="Y",'Feb17'!L53,0)</f>
        <v>0</v>
      </c>
      <c r="M73" s="115" t="str">
        <f>IF(E73=" "," ",IF(T$69="Y",'Feb17'!M53,IF((H73+K73+L73)&gt;0,H73+K73+L73," ")))</f>
        <v xml:space="preserve"> </v>
      </c>
      <c r="N73" s="111">
        <v>0</v>
      </c>
      <c r="O73" s="107">
        <v>0</v>
      </c>
      <c r="P73" s="107">
        <v>0</v>
      </c>
      <c r="Q73" s="140">
        <v>0</v>
      </c>
      <c r="R73" s="197" t="str">
        <f>IF(M73=" "," ",IF(M73=0," ",M73-SUM(N73:Q73)))</f>
        <v xml:space="preserve"> </v>
      </c>
      <c r="S73" s="109"/>
      <c r="T73" s="275">
        <v>0</v>
      </c>
      <c r="U73" s="48"/>
      <c r="V73" s="59">
        <f>IF(Employee!H$87=E$69,Employee!D$86+SUM(M73)+'Feb17'!V53,SUM(M73)+'Feb17'!V53)</f>
        <v>0</v>
      </c>
      <c r="W73" s="59">
        <f>IF(Employee!H$87=E$69,Employee!D$87+SUM(N73)+'Feb17'!W53,SUM(N73)+'Feb17'!W53)</f>
        <v>0</v>
      </c>
      <c r="X73" s="59">
        <f>IF(O73=" ",'Feb17'!X53,O73+'Feb17'!X53)</f>
        <v>0</v>
      </c>
      <c r="Y73" s="59">
        <f>IF(P73=" ",'Feb17'!Y53,P73+'Feb17'!Y53)</f>
        <v>0</v>
      </c>
      <c r="Z73" s="59">
        <f>IF(Q73=" ",'Feb17'!Z53,Q73+'Feb17'!Z53)</f>
        <v>0</v>
      </c>
      <c r="AA73" s="59">
        <f>IF(R73=" ",'Feb17'!AA53,R73+'Feb17'!AA53)</f>
        <v>0</v>
      </c>
      <c r="AB73" s="60"/>
      <c r="AC73" s="59">
        <f>IF(T73=" ",'Feb17'!AC53,T73+'Feb17'!AC53)</f>
        <v>0</v>
      </c>
      <c r="AD73" s="90">
        <f>IF(G73="SSP",H73,0)</f>
        <v>0</v>
      </c>
      <c r="AE73" s="90">
        <f>IF(G73="SMP",H73,0)</f>
        <v>0</v>
      </c>
      <c r="AF73" s="90">
        <f>IF(G73="SPP",H73,0)</f>
        <v>0</v>
      </c>
      <c r="AG73" s="90">
        <f>IF(G73="SAP",H73,0)</f>
        <v>0</v>
      </c>
      <c r="AH73" s="61"/>
    </row>
    <row r="74" spans="1:34" ht="18" customHeight="1" x14ac:dyDescent="0.25">
      <c r="A74" s="43"/>
      <c r="B74" s="130" t="str">
        <f>IF(E74=" "," ",IF(Employee!F$102&gt;E$69," ",IF(Employee!F$104&lt;E$69," ",Employee!D$108)))</f>
        <v xml:space="preserve"> </v>
      </c>
      <c r="C74" s="328"/>
      <c r="D74" s="328" t="s">
        <v>107</v>
      </c>
      <c r="E74" s="127" t="str">
        <f>IF(Employee!D$106="w"," ",IF(Employee!F$102&gt;E$69," ",IF(Employee!F$104&lt;E$69," ",Employee!D$107)))</f>
        <v xml:space="preserve"> </v>
      </c>
      <c r="F74" s="133" t="str">
        <f>IF(E74=" "," ",IF(Employee!F$102&gt;E$69," ",IF(Employee!F$104&lt;E$69," ",Employee!D$93)))</f>
        <v xml:space="preserve"> </v>
      </c>
      <c r="G74" s="147"/>
      <c r="H74" s="111">
        <f>IF(T$69="Y",'Feb17'!H54,0)</f>
        <v>0</v>
      </c>
      <c r="I74" s="107">
        <f>IF(T$69="Y",'Feb17'!I54,0)</f>
        <v>0</v>
      </c>
      <c r="J74" s="107">
        <f>IF(T$69="Y",'Feb17'!J54,0)</f>
        <v>0</v>
      </c>
      <c r="K74" s="107">
        <f>IF(T$69="Y",'Feb17'!K54,I74*J74)</f>
        <v>0</v>
      </c>
      <c r="L74" s="140">
        <f>IF(T$69="Y",'Feb17'!L54,0)</f>
        <v>0</v>
      </c>
      <c r="M74" s="115" t="str">
        <f>IF(E74=" "," ",IF(T$69="Y",'Feb17'!M54,IF((H74+K74+L74)&gt;0,H74+K74+L74," ")))</f>
        <v xml:space="preserve"> </v>
      </c>
      <c r="N74" s="111">
        <v>0</v>
      </c>
      <c r="O74" s="107">
        <v>0</v>
      </c>
      <c r="P74" s="107">
        <v>0</v>
      </c>
      <c r="Q74" s="140">
        <v>0</v>
      </c>
      <c r="R74" s="197" t="str">
        <f>IF(M74=" "," ",IF(M74=0," ",M74-SUM(N74:Q74)))</f>
        <v xml:space="preserve"> </v>
      </c>
      <c r="S74" s="109"/>
      <c r="T74" s="275">
        <v>0</v>
      </c>
      <c r="U74" s="48"/>
      <c r="V74" s="59">
        <f>IF(Employee!H$113=E$69,Employee!D$112+SUM(M74)+'Feb17'!V54,SUM(M74)+'Feb17'!V54)</f>
        <v>0</v>
      </c>
      <c r="W74" s="59">
        <f>IF(Employee!H$113=E$69,Employee!D$113+SUM(N74)+'Feb17'!W54,SUM(N74)+'Feb17'!W54)</f>
        <v>0</v>
      </c>
      <c r="X74" s="59">
        <f>IF(O74=" ",'Feb17'!X54,O74+'Feb17'!X54)</f>
        <v>0</v>
      </c>
      <c r="Y74" s="59">
        <f>IF(P74=" ",'Feb17'!Y54,P74+'Feb17'!Y54)</f>
        <v>0</v>
      </c>
      <c r="Z74" s="59">
        <f>IF(Q74=" ",'Feb17'!Z54,Q74+'Feb17'!Z54)</f>
        <v>0</v>
      </c>
      <c r="AA74" s="59">
        <f>IF(R74=" ",'Feb17'!AA54,R74+'Feb17'!AA54)</f>
        <v>0</v>
      </c>
      <c r="AB74" s="60"/>
      <c r="AC74" s="59">
        <f>IF(T74=" ",'Feb17'!AC54,T74+'Feb17'!AC54)</f>
        <v>0</v>
      </c>
      <c r="AD74" s="90">
        <f>IF(G74="SSP",H74,0)</f>
        <v>0</v>
      </c>
      <c r="AE74" s="90">
        <f>IF(G74="SMP",H74,0)</f>
        <v>0</v>
      </c>
      <c r="AF74" s="90">
        <f>IF(G74="SPP",H74,0)</f>
        <v>0</v>
      </c>
      <c r="AG74" s="90">
        <f>IF(G74="SAP",H74,0)</f>
        <v>0</v>
      </c>
      <c r="AH74" s="61"/>
    </row>
    <row r="75" spans="1:34" ht="18" customHeight="1" thickBot="1" x14ac:dyDescent="0.3">
      <c r="A75" s="43"/>
      <c r="B75" s="130" t="str">
        <f>IF(E75=" "," ",IF(Employee!F$128&gt;E$69," ",IF(Employee!F$130&lt;E$69," ",Employee!D$134)))</f>
        <v xml:space="preserve"> </v>
      </c>
      <c r="C75" s="328"/>
      <c r="D75" s="328" t="s">
        <v>107</v>
      </c>
      <c r="E75" s="127" t="str">
        <f>IF(Employee!D$132="w"," ",IF(Employee!F$128&gt;E$69," ",IF(Employee!F$130&lt;E$69," ",Employee!D$133)))</f>
        <v xml:space="preserve"> </v>
      </c>
      <c r="F75" s="133" t="str">
        <f>IF(E75=" "," ",IF(Employee!F$128&gt;E$69," ",IF(Employee!F$130&lt;E$69," ",Employee!D$119)))</f>
        <v xml:space="preserve"> </v>
      </c>
      <c r="G75" s="147"/>
      <c r="H75" s="271">
        <f>IF(T$69="Y",'Feb17'!H55,0)</f>
        <v>0</v>
      </c>
      <c r="I75" s="272">
        <f>IF(T$69="Y",'Feb17'!I55,0)</f>
        <v>0</v>
      </c>
      <c r="J75" s="272">
        <f>IF(T$69="Y",'Feb17'!J55,0)</f>
        <v>0</v>
      </c>
      <c r="K75" s="272">
        <f>IF(T$69="Y",'Feb17'!K55,I75*J75)</f>
        <v>0</v>
      </c>
      <c r="L75" s="273">
        <f>IF(T$69="Y",'Feb17'!L55,0)</f>
        <v>0</v>
      </c>
      <c r="M75" s="115" t="str">
        <f>IF(E75=" "," ",IF(T$69="Y",'Feb17'!M55,IF((H75+K75+L75)&gt;0,H75+K75+L75," ")))</f>
        <v xml:space="preserve"> </v>
      </c>
      <c r="N75" s="271">
        <v>0</v>
      </c>
      <c r="O75" s="272">
        <v>0</v>
      </c>
      <c r="P75" s="272">
        <v>0</v>
      </c>
      <c r="Q75" s="273">
        <v>0</v>
      </c>
      <c r="R75" s="197" t="str">
        <f>IF(M75=" "," ",IF(M75=0," ",M75-SUM(N75:Q75)))</f>
        <v xml:space="preserve"> </v>
      </c>
      <c r="S75" s="109"/>
      <c r="T75" s="276">
        <v>0</v>
      </c>
      <c r="U75" s="48"/>
      <c r="V75" s="59">
        <f>IF(Employee!H$139=E$69,Employee!D$138+SUM(M75)+'Feb17'!V55,SUM(M75)+'Feb17'!V55)</f>
        <v>0</v>
      </c>
      <c r="W75" s="59">
        <f>IF(Employee!H$139=E$69,Employee!D$139+SUM(N75)+'Feb17'!W55,SUM(N75)+'Feb17'!W55)</f>
        <v>0</v>
      </c>
      <c r="X75" s="59">
        <f>IF(O75=" ",'Feb17'!X55,O75+'Feb17'!X55)</f>
        <v>0</v>
      </c>
      <c r="Y75" s="59">
        <f>IF(P75=" ",'Feb17'!Y55,P75+'Feb17'!Y55)</f>
        <v>0</v>
      </c>
      <c r="Z75" s="59">
        <f>IF(Q75=" ",'Feb17'!Z55,Q75+'Feb17'!Z55)</f>
        <v>0</v>
      </c>
      <c r="AA75" s="59">
        <f>IF(R75=" ",'Feb17'!AA55,R75+'Feb17'!AA55)</f>
        <v>0</v>
      </c>
      <c r="AB75" s="60"/>
      <c r="AC75" s="59">
        <f>IF(T75=" ",'Feb17'!AC55,T75+'Feb17'!AC55)</f>
        <v>0</v>
      </c>
      <c r="AD75" s="90">
        <f>IF(G75="SSP",H75,0)</f>
        <v>0</v>
      </c>
      <c r="AE75" s="90">
        <f>IF(G75="SMP",H75,0)</f>
        <v>0</v>
      </c>
      <c r="AF75" s="90">
        <f>IF(G75="SPP",H75,0)</f>
        <v>0</v>
      </c>
      <c r="AG75" s="90">
        <f>IF(G75="SAP",H75,0)</f>
        <v>0</v>
      </c>
      <c r="AH75" s="61"/>
    </row>
    <row r="76" spans="1:34" ht="18" customHeight="1" thickTop="1" thickBot="1" x14ac:dyDescent="0.3">
      <c r="A76" s="47"/>
      <c r="B76" s="138"/>
      <c r="C76" s="136"/>
      <c r="D76" s="136"/>
      <c r="E76" s="137"/>
      <c r="F76" s="382" t="s">
        <v>7</v>
      </c>
      <c r="G76" s="383"/>
      <c r="H76" s="116"/>
      <c r="I76" s="117"/>
      <c r="J76" s="117"/>
      <c r="K76" s="151"/>
      <c r="L76" s="151"/>
      <c r="M76" s="144">
        <f t="shared" ref="M76:R76" si="13">SUM(M71:M75)</f>
        <v>0</v>
      </c>
      <c r="N76" s="144">
        <f t="shared" si="13"/>
        <v>0</v>
      </c>
      <c r="O76" s="144">
        <f t="shared" si="13"/>
        <v>0</v>
      </c>
      <c r="P76" s="144">
        <f t="shared" si="13"/>
        <v>0</v>
      </c>
      <c r="Q76" s="144">
        <f t="shared" si="13"/>
        <v>0</v>
      </c>
      <c r="R76" s="144">
        <f t="shared" si="13"/>
        <v>0</v>
      </c>
      <c r="S76" s="109"/>
      <c r="T76" s="144">
        <f>SUM(T71:T75)</f>
        <v>0</v>
      </c>
      <c r="U76" s="49"/>
      <c r="V76" s="59"/>
      <c r="AH76" s="61"/>
    </row>
    <row r="77" spans="1:34" ht="24" customHeight="1" x14ac:dyDescent="0.25">
      <c r="A77" s="207"/>
      <c r="B77" s="394"/>
      <c r="C77" s="394"/>
      <c r="D77" s="394"/>
      <c r="E77" s="394"/>
      <c r="F77" s="394"/>
      <c r="G77" s="394"/>
      <c r="H77" s="394"/>
      <c r="I77" s="394"/>
      <c r="J77" s="394"/>
      <c r="K77" s="394"/>
      <c r="L77" s="394"/>
      <c r="M77" s="394"/>
      <c r="N77" s="394"/>
      <c r="O77" s="394"/>
      <c r="P77" s="394"/>
      <c r="Q77" s="394"/>
      <c r="R77" s="394"/>
      <c r="S77" s="394"/>
      <c r="T77" s="394"/>
      <c r="U77" s="44"/>
    </row>
    <row r="78" spans="1:34" ht="12.75" customHeight="1" x14ac:dyDescent="0.25">
      <c r="AD78" s="176">
        <f>SUM(AD11:AD76)</f>
        <v>0</v>
      </c>
      <c r="AE78" s="176">
        <f>SUM(AE11:AE76)</f>
        <v>0</v>
      </c>
      <c r="AF78" s="176">
        <f>SUM(AF11:AF76)</f>
        <v>0</v>
      </c>
      <c r="AG78" s="176">
        <f>SUM(AG11:AG76)</f>
        <v>0</v>
      </c>
    </row>
    <row r="79" spans="1:34" ht="13.5" customHeight="1" thickBot="1" x14ac:dyDescent="0.3">
      <c r="F79" s="208" t="s">
        <v>71</v>
      </c>
      <c r="G79" s="206"/>
      <c r="H79" s="206"/>
      <c r="M79" s="439" t="s">
        <v>74</v>
      </c>
      <c r="N79" s="440"/>
      <c r="O79" s="440"/>
      <c r="P79" s="440"/>
      <c r="Q79" s="440"/>
      <c r="R79" s="440"/>
      <c r="T79" s="210"/>
    </row>
    <row r="80" spans="1:34" ht="12.75" customHeight="1" x14ac:dyDescent="0.25">
      <c r="F80" s="225" t="str">
        <f>IF(B71="D",Employee!D15," ")</f>
        <v xml:space="preserve"> </v>
      </c>
      <c r="M80" s="212" t="str">
        <f>IF(B71="D",M71," ")</f>
        <v xml:space="preserve"> </v>
      </c>
      <c r="N80" s="213" t="str">
        <f>IF(B71="D",N71," ")</f>
        <v xml:space="preserve"> </v>
      </c>
      <c r="O80" s="213" t="str">
        <f>IF(B71="D",O71," ")</f>
        <v xml:space="preserve"> </v>
      </c>
      <c r="P80" s="213" t="str">
        <f>IF(B71="D",P71," ")</f>
        <v xml:space="preserve"> </v>
      </c>
      <c r="Q80" s="213" t="str">
        <f>IF(B71="D",Q71," ")</f>
        <v xml:space="preserve"> </v>
      </c>
      <c r="R80" s="214" t="str">
        <f>IF(B71="D",R71," ")</f>
        <v xml:space="preserve"> </v>
      </c>
      <c r="S80" s="215"/>
      <c r="T80" s="216" t="str">
        <f>IF(B71="D",T71," ")</f>
        <v xml:space="preserve"> </v>
      </c>
      <c r="AD80" s="178">
        <f>IF((AD78-(O1+T1)*0.13)&gt;0,AD78-(Q1+T1)*0.13,0)</f>
        <v>0</v>
      </c>
      <c r="AE80" s="178">
        <f>AE78</f>
        <v>0</v>
      </c>
      <c r="AF80" s="178">
        <f>AF78</f>
        <v>0</v>
      </c>
      <c r="AG80" s="178">
        <f>AG78</f>
        <v>0</v>
      </c>
    </row>
    <row r="81" spans="6:33" x14ac:dyDescent="0.25">
      <c r="F81" s="225" t="str">
        <f>IF(B72="D",Employee!D41," ")</f>
        <v xml:space="preserve"> </v>
      </c>
      <c r="M81" s="217" t="str">
        <f>IF(B72="D",M72," ")</f>
        <v xml:space="preserve"> </v>
      </c>
      <c r="N81" s="218" t="str">
        <f>IF(B72="D",N72," ")</f>
        <v xml:space="preserve"> </v>
      </c>
      <c r="O81" s="218" t="str">
        <f>IF(B72="D",O72," ")</f>
        <v xml:space="preserve"> </v>
      </c>
      <c r="P81" s="218" t="str">
        <f>IF(B72="D",P72," ")</f>
        <v xml:space="preserve"> </v>
      </c>
      <c r="Q81" s="218" t="str">
        <f>IF(B72="D",Q72," ")</f>
        <v xml:space="preserve"> </v>
      </c>
      <c r="R81" s="219" t="str">
        <f>IF(B72="D",R72," ")</f>
        <v xml:space="preserve"> </v>
      </c>
      <c r="S81" s="215"/>
      <c r="T81" s="220" t="str">
        <f>IF(B72="D",T72," ")</f>
        <v xml:space="preserve"> </v>
      </c>
    </row>
    <row r="82" spans="6:33" ht="12.75" customHeight="1" x14ac:dyDescent="0.25">
      <c r="F82" s="225" t="str">
        <f>IF(B73="D",Employee!D67," ")</f>
        <v xml:space="preserve"> </v>
      </c>
      <c r="M82" s="217" t="str">
        <f>IF(B73="D",M73," ")</f>
        <v xml:space="preserve"> </v>
      </c>
      <c r="N82" s="218" t="str">
        <f>IF(B73="D",N73," ")</f>
        <v xml:space="preserve"> </v>
      </c>
      <c r="O82" s="218" t="str">
        <f>IF(B73="D",O73," ")</f>
        <v xml:space="preserve"> </v>
      </c>
      <c r="P82" s="218" t="str">
        <f>IF(B73="D",P73," ")</f>
        <v xml:space="preserve"> </v>
      </c>
      <c r="Q82" s="218" t="str">
        <f>IF(B73="D",Q73," ")</f>
        <v xml:space="preserve"> </v>
      </c>
      <c r="R82" s="219" t="str">
        <f>IF(B73="D",R73," ")</f>
        <v xml:space="preserve"> </v>
      </c>
      <c r="S82" s="215"/>
      <c r="T82" s="220" t="str">
        <f>IF(B73="D",T73," ")</f>
        <v xml:space="preserve"> </v>
      </c>
      <c r="AD82" s="184"/>
      <c r="AE82" s="178">
        <f>AE80*0.045</f>
        <v>0</v>
      </c>
      <c r="AF82" s="178">
        <f>AF80*0.045</f>
        <v>0</v>
      </c>
      <c r="AG82" s="178">
        <f>AG80*0.045</f>
        <v>0</v>
      </c>
    </row>
    <row r="83" spans="6:33" x14ac:dyDescent="0.25">
      <c r="F83" s="225" t="str">
        <f>IF(B74="D",Employee!D93," ")</f>
        <v xml:space="preserve"> </v>
      </c>
      <c r="M83" s="217" t="str">
        <f>IF(B74="D",M74," ")</f>
        <v xml:space="preserve"> </v>
      </c>
      <c r="N83" s="218" t="str">
        <f>IF(B74="D",N74," ")</f>
        <v xml:space="preserve"> </v>
      </c>
      <c r="O83" s="218" t="str">
        <f>IF(B74="D",O74," ")</f>
        <v xml:space="preserve"> </v>
      </c>
      <c r="P83" s="218" t="str">
        <f>IF(B74="D",P74," ")</f>
        <v xml:space="preserve"> </v>
      </c>
      <c r="Q83" s="218" t="str">
        <f>IF(B74="D",Q74," ")</f>
        <v xml:space="preserve"> </v>
      </c>
      <c r="R83" s="219" t="str">
        <f>IF(B74="D",R74," ")</f>
        <v xml:space="preserve"> </v>
      </c>
      <c r="S83" s="215"/>
      <c r="T83" s="220" t="str">
        <f>IF(B74="D",T74," ")</f>
        <v xml:space="preserve"> </v>
      </c>
    </row>
    <row r="84" spans="6:33" ht="13.8" thickBot="1" x14ac:dyDescent="0.3">
      <c r="F84" s="225" t="str">
        <f>IF(B75="D",Employee!D119," ")</f>
        <v xml:space="preserve"> </v>
      </c>
      <c r="M84" s="221" t="str">
        <f>IF(B75="D",M75," ")</f>
        <v xml:space="preserve"> </v>
      </c>
      <c r="N84" s="222" t="str">
        <f>IF(B75="D",N75," ")</f>
        <v xml:space="preserve"> </v>
      </c>
      <c r="O84" s="222" t="str">
        <f>IF(B75="D",O75," ")</f>
        <v xml:space="preserve"> </v>
      </c>
      <c r="P84" s="222" t="str">
        <f>IF(B75="D",P75," ")</f>
        <v xml:space="preserve"> </v>
      </c>
      <c r="Q84" s="222" t="str">
        <f>IF(B75="D",Q75," ")</f>
        <v xml:space="preserve"> </v>
      </c>
      <c r="R84" s="223" t="str">
        <f>IF(B75="D",R75," ")</f>
        <v xml:space="preserve"> </v>
      </c>
      <c r="S84" s="215"/>
      <c r="T84" s="224" t="str">
        <f>IF(B75="D",T75," ")</f>
        <v xml:space="preserve"> </v>
      </c>
    </row>
    <row r="85" spans="6:33" ht="13.8" thickBot="1" x14ac:dyDescent="0.3">
      <c r="F85" s="209" t="s">
        <v>73</v>
      </c>
      <c r="M85" s="211">
        <f t="shared" ref="M85:R85" si="14">SUM(M80:M84)</f>
        <v>0</v>
      </c>
      <c r="N85" s="211">
        <f t="shared" si="14"/>
        <v>0</v>
      </c>
      <c r="O85" s="211">
        <f t="shared" si="14"/>
        <v>0</v>
      </c>
      <c r="P85" s="211">
        <f t="shared" si="14"/>
        <v>0</v>
      </c>
      <c r="Q85" s="211">
        <f t="shared" si="14"/>
        <v>0</v>
      </c>
      <c r="R85" s="211">
        <f t="shared" si="14"/>
        <v>0</v>
      </c>
      <c r="S85" s="215"/>
      <c r="T85" s="211">
        <f>SUM(T80:T84)</f>
        <v>0</v>
      </c>
      <c r="AD85" s="177">
        <f>AD80+'Feb17'!AD65</f>
        <v>0</v>
      </c>
      <c r="AE85" s="177">
        <f>AE80+'Feb17'!AE65</f>
        <v>0</v>
      </c>
      <c r="AF85" s="177">
        <f>AF80+'Feb17'!AF65</f>
        <v>0</v>
      </c>
      <c r="AG85" s="177">
        <f>AG80+'Feb17'!AG65</f>
        <v>0</v>
      </c>
    </row>
    <row r="86" spans="6:33" ht="13.8" thickTop="1" x14ac:dyDescent="0.25"/>
    <row r="87" spans="6:33" x14ac:dyDescent="0.25">
      <c r="AD87" s="184"/>
      <c r="AE87" s="177">
        <f>AE82+'Feb17'!AE67</f>
        <v>0</v>
      </c>
      <c r="AF87" s="177">
        <f>AF82+'Feb17'!AF67</f>
        <v>0</v>
      </c>
      <c r="AG87" s="177">
        <f>AG82+'Feb17'!AG67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selection activeCell="F3" sqref="F3"/>
    </sheetView>
  </sheetViews>
  <sheetFormatPr defaultColWidth="9.109375" defaultRowHeight="10.199999999999999" x14ac:dyDescent="0.2"/>
  <cols>
    <col min="1" max="1" width="2.6640625" style="283" customWidth="1"/>
    <col min="2" max="2" width="12.6640625" style="283" customWidth="1"/>
    <col min="3" max="4" width="10.6640625" style="283" customWidth="1"/>
    <col min="5" max="7" width="12.6640625" style="283" customWidth="1"/>
    <col min="8" max="9" width="10.6640625" style="283" customWidth="1"/>
    <col min="10" max="11" width="5.6640625" style="283" customWidth="1"/>
    <col min="12" max="12" width="10.6640625" style="283" customWidth="1"/>
    <col min="13" max="13" width="12.6640625" style="283" customWidth="1"/>
    <col min="14" max="14" width="2.6640625" style="283" customWidth="1"/>
    <col min="15" max="16384" width="9.109375" style="283"/>
  </cols>
  <sheetData>
    <row r="2" spans="1:14" ht="11.4" x14ac:dyDescent="0.2">
      <c r="B2" s="322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8"/>
    </row>
    <row r="3" spans="1:14" s="284" customFormat="1" ht="12.6" x14ac:dyDescent="0.2">
      <c r="B3" s="323" t="s">
        <v>129</v>
      </c>
      <c r="C3" s="293"/>
      <c r="D3" s="293"/>
      <c r="E3" s="293"/>
      <c r="F3" s="238" t="s">
        <v>80</v>
      </c>
      <c r="G3" s="326" t="s">
        <v>131</v>
      </c>
      <c r="H3" s="326" t="str">
        <f>LOOKUP(F4,IF(F3="W",Admin!C2:C381,IF(F3="M",Admin!D2:D381," ")),Admin!A2:A381)</f>
        <v>Apr16</v>
      </c>
      <c r="I3" s="497" t="str">
        <f>IF(M3="ERROR","Enter W or M in cell F3"," ")</f>
        <v xml:space="preserve"> </v>
      </c>
      <c r="J3" s="497"/>
      <c r="K3" s="497"/>
      <c r="L3" s="497"/>
      <c r="M3" s="325" t="b">
        <f>IF(ISERROR(H3),"ERROR")</f>
        <v>0</v>
      </c>
    </row>
    <row r="4" spans="1:14" s="284" customFormat="1" ht="12.6" x14ac:dyDescent="0.2">
      <c r="B4" s="323" t="s">
        <v>130</v>
      </c>
      <c r="C4" s="293"/>
      <c r="D4" s="293"/>
      <c r="E4" s="293"/>
      <c r="F4" s="237">
        <v>1</v>
      </c>
      <c r="G4" s="326" t="s">
        <v>132</v>
      </c>
      <c r="H4" s="326">
        <f>IF(F$3="W",8+10*(LOOKUP(F4,Admin!C2:C381,Admin!F2:F381)-1),8+10*LOOKUP(F4,Admin!H8:H19,Admin!I8:I19))</f>
        <v>8</v>
      </c>
      <c r="I4" s="497" t="str">
        <f>IF(M3="ERROR","Enter 1 to 53 in cell F4"," ")</f>
        <v xml:space="preserve"> </v>
      </c>
      <c r="J4" s="497"/>
      <c r="K4" s="497"/>
      <c r="L4" s="497"/>
      <c r="M4" s="324"/>
    </row>
    <row r="5" spans="1:14" s="284" customFormat="1" ht="12.6" x14ac:dyDescent="0.2">
      <c r="B5" s="321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4" ht="21" customHeight="1" x14ac:dyDescent="0.2">
      <c r="A6" s="473"/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</row>
    <row r="7" spans="1:14" ht="24.9" customHeight="1" x14ac:dyDescent="0.3">
      <c r="A7" s="285"/>
      <c r="B7" s="491" t="str">
        <f ca="1">IF(M14=" "," ",Employee!$D$5)</f>
        <v xml:space="preserve"> </v>
      </c>
      <c r="C7" s="491"/>
      <c r="D7" s="491"/>
      <c r="E7" s="491"/>
      <c r="F7" s="491"/>
      <c r="G7" s="486" t="str">
        <f ca="1">IF(G14=" "," ",Employee!$D$15)</f>
        <v xml:space="preserve"> </v>
      </c>
      <c r="H7" s="487"/>
      <c r="I7" s="498" t="str">
        <f ca="1">IF(G14=" "," ",Employee!$D$16)</f>
        <v xml:space="preserve"> </v>
      </c>
      <c r="J7" s="499"/>
      <c r="K7" s="499"/>
      <c r="L7" s="478" t="str">
        <f ca="1">INDIRECT($H$3 &amp; "!B" &amp; $H$4)</f>
        <v>WEEKLY PAYROLL</v>
      </c>
      <c r="M7" s="478"/>
      <c r="N7" s="286"/>
    </row>
    <row r="8" spans="1:14" ht="18" customHeight="1" x14ac:dyDescent="0.2">
      <c r="A8" s="287"/>
      <c r="B8" s="482" t="str">
        <f ca="1">IF(M14=" "," ",Employee!$D$6)</f>
        <v xml:space="preserve"> </v>
      </c>
      <c r="C8" s="482"/>
      <c r="D8" s="483"/>
      <c r="E8" s="484"/>
      <c r="F8" s="485"/>
      <c r="G8" s="288"/>
      <c r="H8" s="289"/>
      <c r="I8" s="290"/>
      <c r="J8" s="290"/>
      <c r="K8" s="290"/>
      <c r="L8" s="290"/>
      <c r="M8" s="290" t="str">
        <f ca="1">INDIRECT($H$3 &amp; "!E" &amp; $H$4+2+C10)</f>
        <v xml:space="preserve"> </v>
      </c>
      <c r="N8" s="291"/>
    </row>
    <row r="9" spans="1:14" ht="21" customHeight="1" x14ac:dyDescent="0.2">
      <c r="A9" s="287"/>
      <c r="B9" s="482" t="str">
        <f ca="1">IF(M14=" "," ",Employee!$D$7)</f>
        <v xml:space="preserve"> </v>
      </c>
      <c r="C9" s="482"/>
      <c r="D9" s="482"/>
      <c r="E9" s="292" t="str">
        <f ca="1">IF(M14=" "," ",Employee!$D$9)</f>
        <v xml:space="preserve"> </v>
      </c>
      <c r="F9" s="293"/>
      <c r="G9" s="294"/>
      <c r="H9" s="278" t="s">
        <v>127</v>
      </c>
      <c r="I9" s="295">
        <f ca="1">INDIRECT($H$3 &amp; "!M" &amp; $H$4+1)</f>
        <v>42470</v>
      </c>
      <c r="J9" s="500" t="s">
        <v>6</v>
      </c>
      <c r="K9" s="500"/>
      <c r="L9" s="278" t="s">
        <v>126</v>
      </c>
      <c r="M9" s="290" t="str">
        <f ca="1">IF(M8=" "," ",Employee!$M$15)</f>
        <v xml:space="preserve"> </v>
      </c>
      <c r="N9" s="291"/>
    </row>
    <row r="10" spans="1:14" ht="21" customHeight="1" x14ac:dyDescent="0.2">
      <c r="A10" s="287"/>
      <c r="B10" s="278" t="s">
        <v>125</v>
      </c>
      <c r="C10" s="296">
        <f>Employee!$D$29</f>
        <v>1</v>
      </c>
      <c r="D10" s="506"/>
      <c r="E10" s="507"/>
      <c r="F10" s="504"/>
      <c r="G10" s="504"/>
      <c r="H10" s="282" t="str">
        <f>"Tax "&amp;IF($F$3="W","Week","Month")</f>
        <v>Tax Week</v>
      </c>
      <c r="I10" s="297">
        <f ca="1">INDIRECT($H$3 &amp; "!E" &amp; $H$4+1)</f>
        <v>1</v>
      </c>
      <c r="J10" s="496" t="str">
        <f ca="1">IF(M8=" "," ",INDIRECT($H$3 &amp; "!D" &amp; $H$4+2+C10))</f>
        <v xml:space="preserve"> </v>
      </c>
      <c r="K10" s="496"/>
      <c r="L10" s="278" t="s">
        <v>123</v>
      </c>
      <c r="M10" s="290" t="str">
        <f ca="1">IF(M8=" "," ",INDIRECT($H$3 &amp; "!C" &amp; $H$4+2+C10))</f>
        <v xml:space="preserve"> </v>
      </c>
      <c r="N10" s="291"/>
    </row>
    <row r="11" spans="1:14" ht="6" customHeight="1" x14ac:dyDescent="0.2">
      <c r="A11" s="287"/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291"/>
    </row>
    <row r="12" spans="1:14" ht="21" customHeight="1" x14ac:dyDescent="0.2">
      <c r="A12" s="287"/>
      <c r="B12" s="492" t="s">
        <v>122</v>
      </c>
      <c r="C12" s="493"/>
      <c r="D12" s="493"/>
      <c r="E12" s="493"/>
      <c r="F12" s="493"/>
      <c r="G12" s="494" t="s">
        <v>121</v>
      </c>
      <c r="H12" s="501" t="s">
        <v>120</v>
      </c>
      <c r="I12" s="501"/>
      <c r="J12" s="501"/>
      <c r="K12" s="501"/>
      <c r="L12" s="501"/>
      <c r="M12" s="505" t="s">
        <v>119</v>
      </c>
      <c r="N12" s="291"/>
    </row>
    <row r="13" spans="1:14" s="298" customFormat="1" ht="21" customHeight="1" x14ac:dyDescent="0.2">
      <c r="A13" s="287"/>
      <c r="B13" s="281" t="s">
        <v>118</v>
      </c>
      <c r="C13" s="281" t="s">
        <v>117</v>
      </c>
      <c r="D13" s="281" t="s">
        <v>116</v>
      </c>
      <c r="E13" s="281" t="s">
        <v>115</v>
      </c>
      <c r="F13" s="277" t="s">
        <v>114</v>
      </c>
      <c r="G13" s="495"/>
      <c r="H13" s="280" t="s">
        <v>128</v>
      </c>
      <c r="I13" s="281" t="s">
        <v>112</v>
      </c>
      <c r="J13" s="481" t="s">
        <v>111</v>
      </c>
      <c r="K13" s="481"/>
      <c r="L13" s="277" t="s">
        <v>2</v>
      </c>
      <c r="M13" s="494"/>
      <c r="N13" s="291"/>
    </row>
    <row r="14" spans="1:14" s="306" customFormat="1" ht="21" customHeight="1" x14ac:dyDescent="0.2">
      <c r="A14" s="299"/>
      <c r="B14" s="300" t="str">
        <f ca="1">IF(M8=" "," ",INDIRECT($H$3 &amp; "!H" &amp; $H$4+2+C10))</f>
        <v xml:space="preserve"> </v>
      </c>
      <c r="C14" s="300" t="str">
        <f ca="1">IF(M8=" "," ",INDIRECT($H$3 &amp; "!I" &amp; $H$4+2+C10))</f>
        <v xml:space="preserve"> </v>
      </c>
      <c r="D14" s="300" t="str">
        <f ca="1">IF(M8=" "," ",INDIRECT($H$3 &amp; "!J" &amp; $H$4+2+C10))</f>
        <v xml:space="preserve"> </v>
      </c>
      <c r="E14" s="300" t="str">
        <f ca="1">IF(M8=" "," ",INDIRECT($H$3 &amp; "!K" &amp; $H$4+2+C10))</f>
        <v xml:space="preserve"> </v>
      </c>
      <c r="F14" s="301" t="str">
        <f ca="1">IF(M8=" "," ",INDIRECT($H$3 &amp; "!L" &amp; $H$4+2+C10))</f>
        <v xml:space="preserve"> </v>
      </c>
      <c r="G14" s="302" t="str">
        <f ca="1">IF(M8=" "," ",INDIRECT($H$3 &amp; "!M" &amp; $H$4+2+C10))</f>
        <v xml:space="preserve"> </v>
      </c>
      <c r="H14" s="303" t="str">
        <f ca="1">IF(M8=" "," ",INDIRECT($H$3 &amp; "!N" &amp; $H$4+2+C10))</f>
        <v xml:space="preserve"> </v>
      </c>
      <c r="I14" s="300" t="str">
        <f ca="1">IF(M8=" "," ",INDIRECT($H$3 &amp; "!O" &amp; $H$4+2+C10))</f>
        <v xml:space="preserve"> </v>
      </c>
      <c r="J14" s="476" t="str">
        <f ca="1">IF(M8=" "," ",INDIRECT($H$3 &amp; "!P" &amp; $H$4+2+C10))</f>
        <v xml:space="preserve"> </v>
      </c>
      <c r="K14" s="476"/>
      <c r="L14" s="301" t="str">
        <f ca="1">IF(M8=" "," ",INDIRECT($H$3 &amp; "!Q" &amp; $H$4+2+C10))</f>
        <v xml:space="preserve"> </v>
      </c>
      <c r="M14" s="304" t="str">
        <f ca="1">IF(M8=" "," ",INDIRECT($H$3 &amp; "!R" &amp; $H$4+2+C10))</f>
        <v xml:space="preserve"> </v>
      </c>
      <c r="N14" s="305"/>
    </row>
    <row r="15" spans="1:14" s="308" customFormat="1" ht="21" customHeight="1" x14ac:dyDescent="0.2">
      <c r="A15" s="287"/>
      <c r="B15" s="490" t="s">
        <v>110</v>
      </c>
      <c r="C15" s="490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291"/>
    </row>
    <row r="16" spans="1:14" s="308" customFormat="1" ht="21" customHeight="1" x14ac:dyDescent="0.2">
      <c r="A16" s="287"/>
      <c r="B16" s="309"/>
      <c r="C16" s="309"/>
      <c r="D16" s="307"/>
      <c r="E16" s="474" t="s">
        <v>109</v>
      </c>
      <c r="F16" s="475"/>
      <c r="G16" s="300" t="str">
        <f ca="1">IF(M8=" "," ",INDIRECT($H$3 &amp; "!V" &amp; $H$4+2+C10))</f>
        <v xml:space="preserve"> </v>
      </c>
      <c r="H16" s="300" t="str">
        <f ca="1">IF(M8=" "," ",INDIRECT($H$3 &amp; "!W" &amp; $H$4+2+C10))</f>
        <v xml:space="preserve"> </v>
      </c>
      <c r="I16" s="300" t="str">
        <f ca="1">IF(M8=" "," ",INDIRECT($H$3 &amp; "!X" &amp; $H$4+2+C10))</f>
        <v xml:space="preserve"> </v>
      </c>
      <c r="J16" s="476" t="str">
        <f ca="1">IF(M8=" "," ",INDIRECT($H$3 &amp; "!Y" &amp; $H$4+2+C10))</f>
        <v xml:space="preserve"> </v>
      </c>
      <c r="K16" s="476"/>
      <c r="L16" s="300" t="str">
        <f ca="1">IF(M8=" "," ",INDIRECT($H$3 &amp; "!Z" &amp; $H$4+2+C10))</f>
        <v xml:space="preserve"> </v>
      </c>
      <c r="M16" s="300" t="str">
        <f ca="1">IF(M8=" "," ",INDIRECT($H$3 &amp; "!AA" &amp; $H$4+2+C10))</f>
        <v xml:space="preserve"> </v>
      </c>
      <c r="N16" s="291"/>
    </row>
    <row r="17" spans="1:14" ht="6" customHeight="1" x14ac:dyDescent="0.2">
      <c r="A17" s="287"/>
      <c r="B17" s="290"/>
      <c r="C17" s="290"/>
      <c r="D17" s="290"/>
      <c r="E17" s="290"/>
      <c r="F17" s="290"/>
      <c r="G17" s="290"/>
      <c r="H17" s="290"/>
      <c r="I17" s="290"/>
      <c r="J17" s="477"/>
      <c r="K17" s="477"/>
      <c r="L17" s="290"/>
      <c r="M17" s="290"/>
      <c r="N17" s="291"/>
    </row>
    <row r="18" spans="1:14" ht="21" customHeight="1" x14ac:dyDescent="0.2">
      <c r="A18" s="287"/>
      <c r="B18" s="290"/>
      <c r="C18" s="290"/>
      <c r="D18" s="290"/>
      <c r="E18" s="290"/>
      <c r="F18" s="290"/>
      <c r="G18" s="290"/>
      <c r="H18" s="290"/>
      <c r="I18" s="290"/>
      <c r="J18" s="488" t="s">
        <v>108</v>
      </c>
      <c r="K18" s="489"/>
      <c r="L18" s="489"/>
      <c r="M18" s="310" t="str">
        <f ca="1">IF(M8=" "," ",INDIRECT($H$3 &amp; "!R" &amp; $H$4))</f>
        <v xml:space="preserve"> </v>
      </c>
      <c r="N18" s="291"/>
    </row>
    <row r="19" spans="1:14" ht="12" customHeight="1" x14ac:dyDescent="0.2">
      <c r="A19" s="311"/>
      <c r="B19" s="316" t="s">
        <v>66</v>
      </c>
      <c r="C19" s="316"/>
      <c r="D19" s="312"/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1:14" ht="21" customHeight="1" x14ac:dyDescent="0.2">
      <c r="A20" s="473"/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3"/>
    </row>
    <row r="21" spans="1:14" ht="24.9" customHeight="1" x14ac:dyDescent="0.3">
      <c r="A21" s="285"/>
      <c r="B21" s="491" t="str">
        <f ca="1">IF(M28=" "," ",Employee!$D$5)</f>
        <v xml:space="preserve"> </v>
      </c>
      <c r="C21" s="491"/>
      <c r="D21" s="491"/>
      <c r="E21" s="491"/>
      <c r="F21" s="491"/>
      <c r="G21" s="486" t="str">
        <f ca="1">IF(G28=" "," ",Employee!$D$41)</f>
        <v xml:space="preserve"> </v>
      </c>
      <c r="H21" s="487"/>
      <c r="I21" s="498" t="str">
        <f ca="1">IF(G28=" "," ",Employee!$D$42)</f>
        <v xml:space="preserve"> </v>
      </c>
      <c r="J21" s="499"/>
      <c r="K21" s="499"/>
      <c r="L21" s="478" t="s">
        <v>23</v>
      </c>
      <c r="M21" s="478"/>
      <c r="N21" s="286"/>
    </row>
    <row r="22" spans="1:14" ht="18" customHeight="1" x14ac:dyDescent="0.2">
      <c r="A22" s="287"/>
      <c r="B22" s="482" t="str">
        <f ca="1">IF(M28=" "," ",Employee!$D$6)</f>
        <v xml:space="preserve"> </v>
      </c>
      <c r="C22" s="482"/>
      <c r="D22" s="483"/>
      <c r="E22" s="484"/>
      <c r="F22" s="485"/>
      <c r="G22" s="288"/>
      <c r="H22" s="289"/>
      <c r="I22" s="290"/>
      <c r="J22" s="290"/>
      <c r="K22" s="290"/>
      <c r="L22" s="290"/>
      <c r="M22" s="290" t="str">
        <f ca="1">INDIRECT($H$3 &amp; "!E" &amp; $H$4+2+C24)</f>
        <v xml:space="preserve"> </v>
      </c>
      <c r="N22" s="291"/>
    </row>
    <row r="23" spans="1:14" ht="21" customHeight="1" x14ac:dyDescent="0.2">
      <c r="A23" s="287"/>
      <c r="B23" s="482" t="str">
        <f ca="1">IF(M28=" "," ",Employee!$D$7)</f>
        <v xml:space="preserve"> </v>
      </c>
      <c r="C23" s="482"/>
      <c r="D23" s="482"/>
      <c r="E23" s="292" t="str">
        <f ca="1">IF(M28=" "," ",Employee!$D$9)</f>
        <v xml:space="preserve"> </v>
      </c>
      <c r="F23" s="293"/>
      <c r="G23" s="294"/>
      <c r="H23" s="278" t="s">
        <v>127</v>
      </c>
      <c r="I23" s="295">
        <f ca="1">I9</f>
        <v>42470</v>
      </c>
      <c r="J23" s="500" t="s">
        <v>6</v>
      </c>
      <c r="K23" s="500"/>
      <c r="L23" s="278" t="s">
        <v>126</v>
      </c>
      <c r="M23" s="290" t="str">
        <f ca="1">IF(M22=" "," ",Employee!$M$41)</f>
        <v xml:space="preserve"> </v>
      </c>
      <c r="N23" s="291"/>
    </row>
    <row r="24" spans="1:14" ht="21" customHeight="1" x14ac:dyDescent="0.2">
      <c r="A24" s="287"/>
      <c r="B24" s="278" t="s">
        <v>125</v>
      </c>
      <c r="C24" s="296">
        <f>Employee!$D$55</f>
        <v>2</v>
      </c>
      <c r="D24" s="279"/>
      <c r="E24" s="315"/>
      <c r="F24" s="477"/>
      <c r="G24" s="477"/>
      <c r="H24" s="282" t="s">
        <v>124</v>
      </c>
      <c r="I24" s="297">
        <f ca="1">I10</f>
        <v>1</v>
      </c>
      <c r="J24" s="496" t="str">
        <f ca="1">IF(M22=" "," ",INDIRECT($H$3 &amp; "!D" &amp; $H$4+2+C24))</f>
        <v xml:space="preserve"> </v>
      </c>
      <c r="K24" s="496"/>
      <c r="L24" s="278" t="s">
        <v>123</v>
      </c>
      <c r="M24" s="290" t="str">
        <f ca="1">IF(M22=" "," ",INDIRECT($H$3 &amp; "!C" &amp; $H$4+2+C24))</f>
        <v xml:space="preserve"> </v>
      </c>
      <c r="N24" s="291"/>
    </row>
    <row r="25" spans="1:14" ht="6" customHeight="1" x14ac:dyDescent="0.2">
      <c r="A25" s="287"/>
      <c r="B25" s="477"/>
      <c r="C25" s="477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291"/>
    </row>
    <row r="26" spans="1:14" ht="21" customHeight="1" x14ac:dyDescent="0.2">
      <c r="A26" s="287"/>
      <c r="B26" s="492" t="s">
        <v>122</v>
      </c>
      <c r="C26" s="493"/>
      <c r="D26" s="493"/>
      <c r="E26" s="493"/>
      <c r="F26" s="493"/>
      <c r="G26" s="494" t="s">
        <v>121</v>
      </c>
      <c r="H26" s="492" t="s">
        <v>120</v>
      </c>
      <c r="I26" s="501"/>
      <c r="J26" s="501"/>
      <c r="K26" s="501"/>
      <c r="L26" s="501"/>
      <c r="M26" s="479" t="s">
        <v>119</v>
      </c>
      <c r="N26" s="291"/>
    </row>
    <row r="27" spans="1:14" s="298" customFormat="1" ht="21" customHeight="1" x14ac:dyDescent="0.2">
      <c r="A27" s="287"/>
      <c r="B27" s="281" t="s">
        <v>118</v>
      </c>
      <c r="C27" s="281" t="s">
        <v>117</v>
      </c>
      <c r="D27" s="281" t="s">
        <v>116</v>
      </c>
      <c r="E27" s="281" t="s">
        <v>115</v>
      </c>
      <c r="F27" s="277" t="s">
        <v>114</v>
      </c>
      <c r="G27" s="495"/>
      <c r="H27" s="281" t="s">
        <v>128</v>
      </c>
      <c r="I27" s="281" t="s">
        <v>112</v>
      </c>
      <c r="J27" s="481" t="s">
        <v>111</v>
      </c>
      <c r="K27" s="481"/>
      <c r="L27" s="277" t="s">
        <v>2</v>
      </c>
      <c r="M27" s="480"/>
      <c r="N27" s="291"/>
    </row>
    <row r="28" spans="1:14" s="308" customFormat="1" ht="21" customHeight="1" x14ac:dyDescent="0.2">
      <c r="A28" s="287"/>
      <c r="B28" s="300" t="str">
        <f ca="1">IF(M22=" "," ",INDIRECT($H$3 &amp; "!H" &amp; $H$4+2+C24))</f>
        <v xml:space="preserve"> </v>
      </c>
      <c r="C28" s="300" t="str">
        <f ca="1">IF(M22=" "," ",INDIRECT($H$3 &amp; "!I" &amp; $H$4+2+C24))</f>
        <v xml:space="preserve"> </v>
      </c>
      <c r="D28" s="300" t="str">
        <f ca="1">IF(M22=" "," ",INDIRECT($H$3 &amp; "!J" &amp; $H$4+2+C24))</f>
        <v xml:space="preserve"> </v>
      </c>
      <c r="E28" s="300" t="str">
        <f ca="1">IF(M22=" "," ",INDIRECT($H$3 &amp; "!K" &amp; $H$4+2+C24))</f>
        <v xml:space="preserve"> </v>
      </c>
      <c r="F28" s="301" t="str">
        <f ca="1">IF(M22=" "," ",INDIRECT($H$3 &amp; "!L" &amp; $H$4+2+C24))</f>
        <v xml:space="preserve"> </v>
      </c>
      <c r="G28" s="302" t="str">
        <f ca="1">IF(M22=" "," ",INDIRECT($H$3 &amp; "!M" &amp; $H$4+2+C24))</f>
        <v xml:space="preserve"> </v>
      </c>
      <c r="H28" s="303" t="str">
        <f ca="1">IF(M22=" "," ",INDIRECT($H$3 &amp; "!N" &amp; $H$4+2+C24))</f>
        <v xml:space="preserve"> </v>
      </c>
      <c r="I28" s="300" t="str">
        <f ca="1">IF(M22=" "," ",INDIRECT($H$3 &amp; "!O" &amp; $H$4+2+C24))</f>
        <v xml:space="preserve"> </v>
      </c>
      <c r="J28" s="476" t="str">
        <f ca="1">IF(M22=" "," ",INDIRECT($H$3 &amp; "!P" &amp; $H$4+2+C24))</f>
        <v xml:space="preserve"> </v>
      </c>
      <c r="K28" s="476"/>
      <c r="L28" s="301" t="str">
        <f ca="1">IF(M22=" "," ",INDIRECT($H$3 &amp; "!Q" &amp; $H$4+2+C24))</f>
        <v xml:space="preserve"> </v>
      </c>
      <c r="M28" s="304" t="str">
        <f ca="1">IF(M22=" "," ",INDIRECT($H$3 &amp; "!R" &amp; $H$4+2+C24))</f>
        <v xml:space="preserve"> </v>
      </c>
      <c r="N28" s="291"/>
    </row>
    <row r="29" spans="1:14" s="308" customFormat="1" ht="21" customHeight="1" x14ac:dyDescent="0.2">
      <c r="A29" s="287"/>
      <c r="B29" s="490" t="s">
        <v>110</v>
      </c>
      <c r="C29" s="490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1"/>
    </row>
    <row r="30" spans="1:14" s="308" customFormat="1" ht="21" customHeight="1" x14ac:dyDescent="0.2">
      <c r="A30" s="287"/>
      <c r="B30" s="309"/>
      <c r="C30" s="309"/>
      <c r="D30" s="307"/>
      <c r="E30" s="474" t="s">
        <v>109</v>
      </c>
      <c r="F30" s="475"/>
      <c r="G30" s="300" t="str">
        <f ca="1">IF(M22=" "," ",INDIRECT($H$3 &amp; "!V" &amp; $H$4+2+C24))</f>
        <v xml:space="preserve"> </v>
      </c>
      <c r="H30" s="300" t="str">
        <f ca="1">IF(M22=" "," ",INDIRECT($H$3 &amp; "!W" &amp; $H$4+2+C24))</f>
        <v xml:space="preserve"> </v>
      </c>
      <c r="I30" s="300" t="str">
        <f ca="1">IF(M22=" "," ",INDIRECT($H$3 &amp; "!X" &amp; $H$4+2+C24))</f>
        <v xml:space="preserve"> </v>
      </c>
      <c r="J30" s="476" t="str">
        <f ca="1">IF(M22=" "," ",INDIRECT($H$3 &amp; "!Y" &amp; $H$4+2+C24))</f>
        <v xml:space="preserve"> </v>
      </c>
      <c r="K30" s="476"/>
      <c r="L30" s="300" t="str">
        <f ca="1">IF(M22=" "," ",INDIRECT($H$3 &amp; "!Z" &amp; $H$4+2+C24))</f>
        <v xml:space="preserve"> </v>
      </c>
      <c r="M30" s="300" t="str">
        <f ca="1">IF(M22=" "," ",INDIRECT($H$3 &amp; "!AA" &amp; $H$4+2+C24))</f>
        <v xml:space="preserve"> </v>
      </c>
      <c r="N30" s="291"/>
    </row>
    <row r="31" spans="1:14" ht="6" customHeight="1" x14ac:dyDescent="0.2">
      <c r="A31" s="287"/>
      <c r="B31" s="290"/>
      <c r="C31" s="290"/>
      <c r="D31" s="290"/>
      <c r="E31" s="290"/>
      <c r="F31" s="290"/>
      <c r="G31" s="290"/>
      <c r="H31" s="290"/>
      <c r="I31" s="290"/>
      <c r="J31" s="477"/>
      <c r="K31" s="477"/>
      <c r="L31" s="290"/>
      <c r="M31" s="290"/>
      <c r="N31" s="291"/>
    </row>
    <row r="32" spans="1:14" ht="21" customHeight="1" x14ac:dyDescent="0.2">
      <c r="A32" s="287"/>
      <c r="B32" s="290"/>
      <c r="C32" s="290"/>
      <c r="D32" s="290"/>
      <c r="E32" s="290"/>
      <c r="F32" s="290"/>
      <c r="G32" s="290"/>
      <c r="H32" s="290"/>
      <c r="I32" s="290"/>
      <c r="J32" s="488" t="s">
        <v>108</v>
      </c>
      <c r="K32" s="489"/>
      <c r="L32" s="489"/>
      <c r="M32" s="310" t="str">
        <f ca="1">M18</f>
        <v xml:space="preserve"> </v>
      </c>
      <c r="N32" s="291"/>
    </row>
    <row r="33" spans="1:14" ht="12" customHeight="1" x14ac:dyDescent="0.2">
      <c r="A33" s="311"/>
      <c r="B33" s="316" t="s">
        <v>66</v>
      </c>
      <c r="C33" s="316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4"/>
    </row>
    <row r="34" spans="1:14" ht="21" customHeight="1" x14ac:dyDescent="0.2">
      <c r="A34" s="502"/>
      <c r="B34" s="503"/>
      <c r="C34" s="503"/>
      <c r="D34" s="503"/>
      <c r="E34" s="503"/>
      <c r="F34" s="503"/>
      <c r="G34" s="503"/>
      <c r="H34" s="503"/>
      <c r="I34" s="503"/>
      <c r="J34" s="503"/>
      <c r="K34" s="503"/>
      <c r="L34" s="503"/>
      <c r="M34" s="503"/>
      <c r="N34" s="503"/>
    </row>
    <row r="35" spans="1:14" ht="21" customHeight="1" x14ac:dyDescent="0.2">
      <c r="A35" s="473"/>
      <c r="B35" s="473"/>
      <c r="C35" s="473"/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</row>
    <row r="36" spans="1:14" ht="24.9" customHeight="1" x14ac:dyDescent="0.3">
      <c r="A36" s="285"/>
      <c r="B36" s="491" t="str">
        <f ca="1">IF(M43=" "," ",Employee!$D$5)</f>
        <v xml:space="preserve"> </v>
      </c>
      <c r="C36" s="491"/>
      <c r="D36" s="491"/>
      <c r="E36" s="491"/>
      <c r="F36" s="491"/>
      <c r="G36" s="486" t="str">
        <f ca="1">IF(G43=" "," ",Employee!$D$67)</f>
        <v xml:space="preserve"> </v>
      </c>
      <c r="H36" s="487"/>
      <c r="I36" s="498" t="str">
        <f ca="1">IF(G43=" "," ",Employee!$D$68)</f>
        <v xml:space="preserve"> </v>
      </c>
      <c r="J36" s="499"/>
      <c r="K36" s="499"/>
      <c r="L36" s="478" t="s">
        <v>23</v>
      </c>
      <c r="M36" s="478"/>
      <c r="N36" s="286"/>
    </row>
    <row r="37" spans="1:14" ht="18" customHeight="1" x14ac:dyDescent="0.2">
      <c r="A37" s="287"/>
      <c r="B37" s="482" t="str">
        <f ca="1">IF(M43=" "," ",Employee!$D$6)</f>
        <v xml:space="preserve"> </v>
      </c>
      <c r="C37" s="482"/>
      <c r="D37" s="483"/>
      <c r="E37" s="484"/>
      <c r="F37" s="485"/>
      <c r="G37" s="288"/>
      <c r="H37" s="289"/>
      <c r="I37" s="290"/>
      <c r="J37" s="290"/>
      <c r="K37" s="290"/>
      <c r="L37" s="290"/>
      <c r="M37" s="290" t="str">
        <f ca="1">INDIRECT($H$3 &amp; "!E" &amp; $H$4+2+C39)</f>
        <v xml:space="preserve"> </v>
      </c>
      <c r="N37" s="291"/>
    </row>
    <row r="38" spans="1:14" ht="21" customHeight="1" x14ac:dyDescent="0.2">
      <c r="A38" s="287"/>
      <c r="B38" s="482" t="str">
        <f ca="1">IF(M43=" "," ",Employee!$D$7)</f>
        <v xml:space="preserve"> </v>
      </c>
      <c r="C38" s="482"/>
      <c r="D38" s="482"/>
      <c r="E38" s="292" t="str">
        <f ca="1">IF(M43=" "," ",Employee!$D$9)</f>
        <v xml:space="preserve"> </v>
      </c>
      <c r="F38" s="293"/>
      <c r="G38" s="294"/>
      <c r="H38" s="278" t="s">
        <v>127</v>
      </c>
      <c r="I38" s="295">
        <f ca="1">I23</f>
        <v>42470</v>
      </c>
      <c r="J38" s="500" t="s">
        <v>6</v>
      </c>
      <c r="K38" s="500"/>
      <c r="L38" s="278" t="s">
        <v>126</v>
      </c>
      <c r="M38" s="290" t="str">
        <f ca="1">IF(M37=" "," ",Employee!$M$67)</f>
        <v xml:space="preserve"> </v>
      </c>
      <c r="N38" s="291"/>
    </row>
    <row r="39" spans="1:14" ht="21" customHeight="1" x14ac:dyDescent="0.2">
      <c r="A39" s="287"/>
      <c r="B39" s="278" t="s">
        <v>125</v>
      </c>
      <c r="C39" s="296">
        <f>Employee!$D$81</f>
        <v>3</v>
      </c>
      <c r="D39" s="279"/>
      <c r="E39" s="315"/>
      <c r="F39" s="477"/>
      <c r="G39" s="477"/>
      <c r="H39" s="282" t="s">
        <v>124</v>
      </c>
      <c r="I39" s="297">
        <f ca="1">I24</f>
        <v>1</v>
      </c>
      <c r="J39" s="496" t="str">
        <f ca="1">IF(M37=" "," ",INDIRECT($H$3 &amp; "!D" &amp; $H$4+2+C39))</f>
        <v xml:space="preserve"> </v>
      </c>
      <c r="K39" s="496"/>
      <c r="L39" s="278" t="s">
        <v>123</v>
      </c>
      <c r="M39" s="290" t="str">
        <f ca="1">IF(M37=" "," ",INDIRECT($H$3 &amp; "!C" &amp; $H$4+2+C39))</f>
        <v xml:space="preserve"> </v>
      </c>
      <c r="N39" s="291"/>
    </row>
    <row r="40" spans="1:14" ht="6" customHeight="1" x14ac:dyDescent="0.2">
      <c r="A40" s="287"/>
      <c r="B40" s="477"/>
      <c r="C40" s="477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291"/>
    </row>
    <row r="41" spans="1:14" ht="21" customHeight="1" x14ac:dyDescent="0.2">
      <c r="A41" s="287"/>
      <c r="B41" s="492" t="s">
        <v>122</v>
      </c>
      <c r="C41" s="493"/>
      <c r="D41" s="493"/>
      <c r="E41" s="493"/>
      <c r="F41" s="493"/>
      <c r="G41" s="494" t="s">
        <v>121</v>
      </c>
      <c r="H41" s="492" t="s">
        <v>120</v>
      </c>
      <c r="I41" s="501"/>
      <c r="J41" s="501"/>
      <c r="K41" s="501"/>
      <c r="L41" s="501"/>
      <c r="M41" s="479" t="s">
        <v>119</v>
      </c>
      <c r="N41" s="291"/>
    </row>
    <row r="42" spans="1:14" s="298" customFormat="1" ht="21" customHeight="1" x14ac:dyDescent="0.2">
      <c r="A42" s="287"/>
      <c r="B42" s="281" t="s">
        <v>118</v>
      </c>
      <c r="C42" s="281" t="s">
        <v>117</v>
      </c>
      <c r="D42" s="281" t="s">
        <v>116</v>
      </c>
      <c r="E42" s="281" t="s">
        <v>115</v>
      </c>
      <c r="F42" s="277" t="s">
        <v>114</v>
      </c>
      <c r="G42" s="495"/>
      <c r="H42" s="281" t="s">
        <v>128</v>
      </c>
      <c r="I42" s="281" t="s">
        <v>112</v>
      </c>
      <c r="J42" s="481" t="s">
        <v>111</v>
      </c>
      <c r="K42" s="481"/>
      <c r="L42" s="277" t="s">
        <v>2</v>
      </c>
      <c r="M42" s="480"/>
      <c r="N42" s="291"/>
    </row>
    <row r="43" spans="1:14" s="308" customFormat="1" ht="21" customHeight="1" x14ac:dyDescent="0.2">
      <c r="A43" s="287"/>
      <c r="B43" s="300" t="str">
        <f ca="1">IF(M37=" "," ",INDIRECT($H$3 &amp; "!H" &amp; $H$4+2+C39))</f>
        <v xml:space="preserve"> </v>
      </c>
      <c r="C43" s="300" t="str">
        <f ca="1">IF(M37=" "," ",INDIRECT($H$3 &amp; "!I" &amp; $H$4+2+C39))</f>
        <v xml:space="preserve"> </v>
      </c>
      <c r="D43" s="300" t="str">
        <f ca="1">IF(M37=" "," ",INDIRECT($H$3 &amp; "!J" &amp; $H$4+2+C39))</f>
        <v xml:space="preserve"> </v>
      </c>
      <c r="E43" s="300" t="str">
        <f ca="1">IF(M37=" "," ",INDIRECT($H$3 &amp; "!K" &amp; $H$4+2+C39))</f>
        <v xml:space="preserve"> </v>
      </c>
      <c r="F43" s="301" t="str">
        <f ca="1">IF(M37=" "," ",INDIRECT($H$3 &amp; "!L" &amp; $H$4+2+C39))</f>
        <v xml:space="preserve"> </v>
      </c>
      <c r="G43" s="302" t="str">
        <f ca="1">IF(M37=" "," ",INDIRECT($H$3 &amp; "!M" &amp; $H$4+2+C39))</f>
        <v xml:space="preserve"> </v>
      </c>
      <c r="H43" s="303" t="str">
        <f ca="1">IF(M37=" "," ",INDIRECT($H$3 &amp; "!N" &amp; $H$4+2+C39))</f>
        <v xml:space="preserve"> </v>
      </c>
      <c r="I43" s="300" t="str">
        <f ca="1">IF(M37=" "," ",INDIRECT($H$3 &amp; "!O" &amp; $H$4+2+C39))</f>
        <v xml:space="preserve"> </v>
      </c>
      <c r="J43" s="476" t="str">
        <f ca="1">IF(M37=" "," ",INDIRECT($H$3 &amp; "!P" &amp; $H$4+2+C39))</f>
        <v xml:space="preserve"> </v>
      </c>
      <c r="K43" s="476"/>
      <c r="L43" s="301" t="str">
        <f ca="1">IF(M37=" "," ",INDIRECT($H$3 &amp; "!Q" &amp; $H$4+2+C39))</f>
        <v xml:space="preserve"> </v>
      </c>
      <c r="M43" s="304" t="str">
        <f ca="1">IF(M37=" "," ",INDIRECT($H$3 &amp; "!R" &amp; $H$4+2+C39))</f>
        <v xml:space="preserve"> </v>
      </c>
      <c r="N43" s="291"/>
    </row>
    <row r="44" spans="1:14" s="308" customFormat="1" ht="21" customHeight="1" x14ac:dyDescent="0.2">
      <c r="A44" s="287"/>
      <c r="B44" s="490" t="s">
        <v>110</v>
      </c>
      <c r="C44" s="490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291"/>
    </row>
    <row r="45" spans="1:14" s="308" customFormat="1" ht="21" customHeight="1" x14ac:dyDescent="0.2">
      <c r="A45" s="287"/>
      <c r="B45" s="309"/>
      <c r="C45" s="309"/>
      <c r="D45" s="307"/>
      <c r="E45" s="474" t="s">
        <v>109</v>
      </c>
      <c r="F45" s="475"/>
      <c r="G45" s="300" t="str">
        <f ca="1">IF(M37=" "," ",INDIRECT($H$3 &amp; "!V" &amp; $H$4+2+C39))</f>
        <v xml:space="preserve"> </v>
      </c>
      <c r="H45" s="300" t="str">
        <f ca="1">IF(M37=" "," ",INDIRECT($H$3 &amp; "!W" &amp; $H$4+2+C39))</f>
        <v xml:space="preserve"> </v>
      </c>
      <c r="I45" s="300" t="str">
        <f ca="1">IF(M37=" "," ",INDIRECT($H$3 &amp; "!X" &amp; $H$4+2+C39))</f>
        <v xml:space="preserve"> </v>
      </c>
      <c r="J45" s="476" t="str">
        <f ca="1">IF(M37=" "," ",INDIRECT($H$3 &amp; "!Y" &amp; $H$4+2+C39))</f>
        <v xml:space="preserve"> </v>
      </c>
      <c r="K45" s="476"/>
      <c r="L45" s="300" t="str">
        <f ca="1">IF(M37=" "," ",INDIRECT($H$3 &amp; "!Z" &amp; $H$4+2+C39))</f>
        <v xml:space="preserve"> </v>
      </c>
      <c r="M45" s="300" t="str">
        <f ca="1">IF(M37=" "," ",INDIRECT($H$3 &amp; "!AA" &amp; $H$4+2+C39))</f>
        <v xml:space="preserve"> </v>
      </c>
      <c r="N45" s="291"/>
    </row>
    <row r="46" spans="1:14" ht="6" customHeight="1" x14ac:dyDescent="0.2">
      <c r="A46" s="287"/>
      <c r="B46" s="290"/>
      <c r="C46" s="290"/>
      <c r="D46" s="290"/>
      <c r="E46" s="290"/>
      <c r="F46" s="290"/>
      <c r="G46" s="290"/>
      <c r="H46" s="290"/>
      <c r="I46" s="290"/>
      <c r="J46" s="477"/>
      <c r="K46" s="477"/>
      <c r="L46" s="290"/>
      <c r="M46" s="290"/>
      <c r="N46" s="291"/>
    </row>
    <row r="47" spans="1:14" ht="21" customHeight="1" x14ac:dyDescent="0.2">
      <c r="A47" s="287"/>
      <c r="B47" s="290"/>
      <c r="C47" s="290"/>
      <c r="D47" s="290"/>
      <c r="E47" s="290"/>
      <c r="F47" s="290"/>
      <c r="G47" s="290"/>
      <c r="H47" s="290"/>
      <c r="I47" s="290"/>
      <c r="J47" s="488" t="s">
        <v>108</v>
      </c>
      <c r="K47" s="489"/>
      <c r="L47" s="489"/>
      <c r="M47" s="310" t="str">
        <f ca="1">M32</f>
        <v xml:space="preserve"> </v>
      </c>
      <c r="N47" s="291"/>
    </row>
    <row r="48" spans="1:14" ht="12" customHeight="1" x14ac:dyDescent="0.2">
      <c r="A48" s="311"/>
      <c r="B48" s="316" t="s">
        <v>66</v>
      </c>
      <c r="C48" s="316"/>
      <c r="D48" s="312"/>
      <c r="E48" s="313"/>
      <c r="F48" s="313"/>
      <c r="G48" s="313"/>
      <c r="H48" s="313"/>
      <c r="I48" s="313"/>
      <c r="J48" s="313"/>
      <c r="K48" s="313"/>
      <c r="L48" s="313"/>
      <c r="M48" s="313"/>
      <c r="N48" s="314"/>
    </row>
    <row r="49" spans="1:14" ht="21" customHeight="1" x14ac:dyDescent="0.2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</row>
    <row r="50" spans="1:14" ht="24.9" customHeight="1" x14ac:dyDescent="0.3">
      <c r="A50" s="285"/>
      <c r="B50" s="491" t="str">
        <f ca="1">IF(M57=" "," ",Employee!$D$5)</f>
        <v xml:space="preserve"> </v>
      </c>
      <c r="C50" s="491"/>
      <c r="D50" s="491"/>
      <c r="E50" s="491"/>
      <c r="F50" s="491"/>
      <c r="G50" s="486" t="str">
        <f ca="1">IF(G57=" "," ",Employee!$D$93)</f>
        <v xml:space="preserve"> </v>
      </c>
      <c r="H50" s="487"/>
      <c r="I50" s="498" t="str">
        <f ca="1">IF(G57=" "," ",Employee!$D$94)</f>
        <v xml:space="preserve"> </v>
      </c>
      <c r="J50" s="499"/>
      <c r="K50" s="499"/>
      <c r="L50" s="478" t="s">
        <v>23</v>
      </c>
      <c r="M50" s="478"/>
      <c r="N50" s="286"/>
    </row>
    <row r="51" spans="1:14" ht="18" customHeight="1" x14ac:dyDescent="0.2">
      <c r="A51" s="287"/>
      <c r="B51" s="482" t="str">
        <f ca="1">IF(M57=" "," ",Employee!$D$6)</f>
        <v xml:space="preserve"> </v>
      </c>
      <c r="C51" s="482"/>
      <c r="D51" s="483"/>
      <c r="E51" s="484"/>
      <c r="F51" s="485"/>
      <c r="G51" s="288"/>
      <c r="H51" s="289"/>
      <c r="I51" s="290"/>
      <c r="J51" s="290"/>
      <c r="K51" s="290"/>
      <c r="L51" s="290"/>
      <c r="M51" s="290" t="str">
        <f ca="1">INDIRECT($H$3 &amp; "!E" &amp; $H$4+2+C53)</f>
        <v xml:space="preserve"> </v>
      </c>
      <c r="N51" s="291"/>
    </row>
    <row r="52" spans="1:14" ht="21" customHeight="1" x14ac:dyDescent="0.2">
      <c r="A52" s="287"/>
      <c r="B52" s="482" t="str">
        <f ca="1">IF(M57=" "," ",Employee!$D$7)</f>
        <v xml:space="preserve"> </v>
      </c>
      <c r="C52" s="482"/>
      <c r="D52" s="482"/>
      <c r="E52" s="292" t="str">
        <f ca="1">IF(M57=" "," ",Employee!$D$9)</f>
        <v xml:space="preserve"> </v>
      </c>
      <c r="F52" s="293"/>
      <c r="G52" s="294"/>
      <c r="H52" s="278" t="s">
        <v>127</v>
      </c>
      <c r="I52" s="295">
        <f ca="1">I38</f>
        <v>42470</v>
      </c>
      <c r="J52" s="500" t="s">
        <v>6</v>
      </c>
      <c r="K52" s="500"/>
      <c r="L52" s="278" t="s">
        <v>126</v>
      </c>
      <c r="M52" s="290" t="str">
        <f ca="1">IF(M51=" "," ",Employee!$M$93)</f>
        <v xml:space="preserve"> </v>
      </c>
      <c r="N52" s="291"/>
    </row>
    <row r="53" spans="1:14" ht="21" customHeight="1" x14ac:dyDescent="0.2">
      <c r="A53" s="287"/>
      <c r="B53" s="278" t="s">
        <v>125</v>
      </c>
      <c r="C53" s="296">
        <f>Employee!$D$107</f>
        <v>4</v>
      </c>
      <c r="D53" s="279"/>
      <c r="E53" s="315"/>
      <c r="F53" s="477"/>
      <c r="G53" s="477"/>
      <c r="H53" s="282" t="s">
        <v>124</v>
      </c>
      <c r="I53" s="297">
        <f ca="1">I39</f>
        <v>1</v>
      </c>
      <c r="J53" s="496" t="str">
        <f ca="1">IF(M51=" "," ",INDIRECT($H$3 &amp; "!D" &amp; $H$4+2+C53))</f>
        <v xml:space="preserve"> </v>
      </c>
      <c r="K53" s="496"/>
      <c r="L53" s="278" t="s">
        <v>123</v>
      </c>
      <c r="M53" s="290" t="str">
        <f ca="1">IF(M51=" "," ",INDIRECT($H$3 &amp; "!C" &amp; $H$4+2+C53))</f>
        <v xml:space="preserve"> </v>
      </c>
      <c r="N53" s="291"/>
    </row>
    <row r="54" spans="1:14" ht="6" customHeight="1" x14ac:dyDescent="0.2">
      <c r="A54" s="287"/>
      <c r="B54" s="477"/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291"/>
    </row>
    <row r="55" spans="1:14" ht="21" customHeight="1" x14ac:dyDescent="0.2">
      <c r="A55" s="287"/>
      <c r="B55" s="492" t="s">
        <v>122</v>
      </c>
      <c r="C55" s="493"/>
      <c r="D55" s="493"/>
      <c r="E55" s="493"/>
      <c r="F55" s="493"/>
      <c r="G55" s="494" t="s">
        <v>121</v>
      </c>
      <c r="H55" s="492" t="s">
        <v>120</v>
      </c>
      <c r="I55" s="501"/>
      <c r="J55" s="501"/>
      <c r="K55" s="501"/>
      <c r="L55" s="501"/>
      <c r="M55" s="479" t="s">
        <v>119</v>
      </c>
      <c r="N55" s="291"/>
    </row>
    <row r="56" spans="1:14" s="298" customFormat="1" ht="21" customHeight="1" x14ac:dyDescent="0.2">
      <c r="A56" s="287"/>
      <c r="B56" s="281" t="s">
        <v>118</v>
      </c>
      <c r="C56" s="281" t="s">
        <v>117</v>
      </c>
      <c r="D56" s="281" t="s">
        <v>116</v>
      </c>
      <c r="E56" s="281" t="s">
        <v>115</v>
      </c>
      <c r="F56" s="277" t="s">
        <v>114</v>
      </c>
      <c r="G56" s="495"/>
      <c r="H56" s="281" t="s">
        <v>128</v>
      </c>
      <c r="I56" s="281" t="s">
        <v>112</v>
      </c>
      <c r="J56" s="481" t="s">
        <v>111</v>
      </c>
      <c r="K56" s="481"/>
      <c r="L56" s="277" t="s">
        <v>2</v>
      </c>
      <c r="M56" s="480"/>
      <c r="N56" s="291"/>
    </row>
    <row r="57" spans="1:14" s="308" customFormat="1" ht="21" customHeight="1" x14ac:dyDescent="0.2">
      <c r="A57" s="287"/>
      <c r="B57" s="300" t="str">
        <f ca="1">IF(M51=" "," ",INDIRECT($H$3 &amp; "!H" &amp; $H$4+2+C53))</f>
        <v xml:space="preserve"> </v>
      </c>
      <c r="C57" s="300" t="str">
        <f ca="1">IF(M51=" "," ",INDIRECT($H$3 &amp; "!I" &amp; $H$4+2+C53))</f>
        <v xml:space="preserve"> </v>
      </c>
      <c r="D57" s="300" t="str">
        <f ca="1">IF(M51=" "," ",INDIRECT($H$3 &amp; "!J" &amp; $H$4+2+C53))</f>
        <v xml:space="preserve"> </v>
      </c>
      <c r="E57" s="300" t="str">
        <f ca="1">IF(M51=" "," ",INDIRECT($H$3 &amp; "!K" &amp; $H$4+2+C53))</f>
        <v xml:space="preserve"> </v>
      </c>
      <c r="F57" s="301" t="str">
        <f ca="1">IF(M51=" "," ",INDIRECT($H$3 &amp; "!L" &amp; $H$4+2+C53))</f>
        <v xml:space="preserve"> </v>
      </c>
      <c r="G57" s="302" t="str">
        <f ca="1">IF(M51=" "," ",INDIRECT($H$3 &amp; "!M" &amp; $H$4+2+C53))</f>
        <v xml:space="preserve"> </v>
      </c>
      <c r="H57" s="303" t="str">
        <f ca="1">IF(M51=" "," ",INDIRECT($H$3 &amp; "!N" &amp; $H$4+2+C53))</f>
        <v xml:space="preserve"> </v>
      </c>
      <c r="I57" s="300" t="str">
        <f ca="1">IF(M51=" "," ",INDIRECT($H$3 &amp; "!O" &amp; $H$4+2+C53))</f>
        <v xml:space="preserve"> </v>
      </c>
      <c r="J57" s="476" t="str">
        <f ca="1">IF(M51=" "," ",INDIRECT($H$3 &amp; "!P" &amp; $H$4+2+C53))</f>
        <v xml:space="preserve"> </v>
      </c>
      <c r="K57" s="476"/>
      <c r="L57" s="301" t="str">
        <f ca="1">IF(M51=" "," ",INDIRECT($H$3 &amp; "!Q" &amp; $H$4+2+C53))</f>
        <v xml:space="preserve"> </v>
      </c>
      <c r="M57" s="304" t="str">
        <f ca="1">IF(M51=" "," ",INDIRECT($H$3 &amp; "!R" &amp; $H$4+2+C53))</f>
        <v xml:space="preserve"> </v>
      </c>
      <c r="N57" s="291"/>
    </row>
    <row r="58" spans="1:14" s="308" customFormat="1" ht="21" customHeight="1" x14ac:dyDescent="0.2">
      <c r="A58" s="287"/>
      <c r="B58" s="490" t="s">
        <v>110</v>
      </c>
      <c r="C58" s="490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291"/>
    </row>
    <row r="59" spans="1:14" s="308" customFormat="1" ht="21" customHeight="1" x14ac:dyDescent="0.2">
      <c r="A59" s="287"/>
      <c r="B59" s="309"/>
      <c r="C59" s="309"/>
      <c r="D59" s="307"/>
      <c r="E59" s="474" t="s">
        <v>109</v>
      </c>
      <c r="F59" s="475"/>
      <c r="G59" s="300" t="str">
        <f ca="1">IF(M51=" "," ",INDIRECT($H$3 &amp; "!V" &amp; $H$4+2+C53))</f>
        <v xml:space="preserve"> </v>
      </c>
      <c r="H59" s="300" t="str">
        <f ca="1">IF(M51=" "," ",INDIRECT($H$3 &amp; "!W" &amp; $H$4+2+C53))</f>
        <v xml:space="preserve"> </v>
      </c>
      <c r="I59" s="300" t="str">
        <f ca="1">IF(M51=" "," ",INDIRECT($H$3 &amp; "!X" &amp; $H$4+2+C53))</f>
        <v xml:space="preserve"> </v>
      </c>
      <c r="J59" s="476" t="str">
        <f ca="1">IF(M51=" "," ",INDIRECT($H$3 &amp; "!Y" &amp; $H$4+2+C53))</f>
        <v xml:space="preserve"> </v>
      </c>
      <c r="K59" s="476"/>
      <c r="L59" s="300" t="str">
        <f ca="1">IF(M51=" "," ",INDIRECT($H$3 &amp; "!Z" &amp; $H$4+2+C53))</f>
        <v xml:space="preserve"> </v>
      </c>
      <c r="M59" s="300" t="str">
        <f ca="1">IF(M51=" "," ",INDIRECT($H$3 &amp; "!AA" &amp; $H$4+2+C53))</f>
        <v xml:space="preserve"> </v>
      </c>
      <c r="N59" s="291"/>
    </row>
    <row r="60" spans="1:14" ht="6" customHeight="1" x14ac:dyDescent="0.2">
      <c r="A60" s="287"/>
      <c r="B60" s="290"/>
      <c r="C60" s="290"/>
      <c r="D60" s="290"/>
      <c r="E60" s="290"/>
      <c r="F60" s="290"/>
      <c r="G60" s="290"/>
      <c r="H60" s="290"/>
      <c r="I60" s="290"/>
      <c r="J60" s="477"/>
      <c r="K60" s="477"/>
      <c r="L60" s="290"/>
      <c r="M60" s="290"/>
      <c r="N60" s="291"/>
    </row>
    <row r="61" spans="1:14" ht="21" customHeight="1" x14ac:dyDescent="0.2">
      <c r="A61" s="287"/>
      <c r="B61" s="290"/>
      <c r="C61" s="290"/>
      <c r="D61" s="290"/>
      <c r="E61" s="290"/>
      <c r="F61" s="290"/>
      <c r="G61" s="290"/>
      <c r="H61" s="290"/>
      <c r="I61" s="290"/>
      <c r="J61" s="488" t="s">
        <v>108</v>
      </c>
      <c r="K61" s="489"/>
      <c r="L61" s="489"/>
      <c r="M61" s="310" t="str">
        <f ca="1">M47</f>
        <v xml:space="preserve"> </v>
      </c>
      <c r="N61" s="291"/>
    </row>
    <row r="62" spans="1:14" ht="12" customHeight="1" x14ac:dyDescent="0.2">
      <c r="A62" s="311"/>
      <c r="B62" s="316" t="s">
        <v>66</v>
      </c>
      <c r="C62" s="316"/>
      <c r="D62" s="312"/>
      <c r="E62" s="313"/>
      <c r="F62" s="313"/>
      <c r="G62" s="313"/>
      <c r="H62" s="313"/>
      <c r="I62" s="313"/>
      <c r="J62" s="313"/>
      <c r="K62" s="313"/>
      <c r="L62" s="313"/>
      <c r="M62" s="313"/>
      <c r="N62" s="314"/>
    </row>
    <row r="63" spans="1:14" ht="21" customHeight="1" x14ac:dyDescent="0.2">
      <c r="A63" s="502"/>
      <c r="B63" s="503"/>
      <c r="C63" s="503"/>
      <c r="D63" s="503"/>
      <c r="E63" s="503"/>
      <c r="F63" s="503"/>
      <c r="G63" s="503"/>
      <c r="H63" s="503"/>
      <c r="I63" s="503"/>
      <c r="J63" s="503"/>
      <c r="K63" s="503"/>
      <c r="L63" s="503"/>
      <c r="M63" s="503"/>
      <c r="N63" s="503"/>
    </row>
    <row r="64" spans="1:14" ht="21" customHeight="1" x14ac:dyDescent="0.2">
      <c r="A64" s="473"/>
      <c r="B64" s="473"/>
      <c r="C64" s="473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</row>
    <row r="65" spans="1:14" ht="24.9" customHeight="1" x14ac:dyDescent="0.3">
      <c r="A65" s="285"/>
      <c r="B65" s="491" t="str">
        <f ca="1">IF(M72=" "," ",Employee!$D$5)</f>
        <v xml:space="preserve"> </v>
      </c>
      <c r="C65" s="491"/>
      <c r="D65" s="491"/>
      <c r="E65" s="491"/>
      <c r="F65" s="491"/>
      <c r="G65" s="486" t="str">
        <f ca="1">IF(G72=" "," ",Employee!$D$119)</f>
        <v xml:space="preserve"> </v>
      </c>
      <c r="H65" s="487"/>
      <c r="I65" s="498" t="str">
        <f ca="1">IF(G72=" "," ",Employee!$D$120)</f>
        <v xml:space="preserve"> </v>
      </c>
      <c r="J65" s="499"/>
      <c r="K65" s="499"/>
      <c r="L65" s="478" t="s">
        <v>23</v>
      </c>
      <c r="M65" s="478"/>
      <c r="N65" s="286"/>
    </row>
    <row r="66" spans="1:14" ht="18" customHeight="1" x14ac:dyDescent="0.2">
      <c r="A66" s="287"/>
      <c r="B66" s="482" t="str">
        <f ca="1">IF(M72=" "," ",Employee!$D$6)</f>
        <v xml:space="preserve"> </v>
      </c>
      <c r="C66" s="482"/>
      <c r="D66" s="483"/>
      <c r="E66" s="484"/>
      <c r="F66" s="485"/>
      <c r="G66" s="288"/>
      <c r="H66" s="289"/>
      <c r="I66" s="290"/>
      <c r="J66" s="290"/>
      <c r="K66" s="290"/>
      <c r="L66" s="290"/>
      <c r="M66" s="290" t="str">
        <f ca="1">INDIRECT($H$3 &amp; "!E" &amp; $H$4+2+C68)</f>
        <v xml:space="preserve"> </v>
      </c>
      <c r="N66" s="291"/>
    </row>
    <row r="67" spans="1:14" ht="21" customHeight="1" x14ac:dyDescent="0.2">
      <c r="A67" s="287"/>
      <c r="B67" s="482" t="str">
        <f ca="1">IF(M72=" "," ",Employee!$D$7)</f>
        <v xml:space="preserve"> </v>
      </c>
      <c r="C67" s="482"/>
      <c r="D67" s="482"/>
      <c r="E67" s="292" t="str">
        <f ca="1">IF(M72=" "," ",Employee!$D$9)</f>
        <v xml:space="preserve"> </v>
      </c>
      <c r="F67" s="293"/>
      <c r="G67" s="294"/>
      <c r="H67" s="278" t="s">
        <v>127</v>
      </c>
      <c r="I67" s="295">
        <f ca="1">I52</f>
        <v>42470</v>
      </c>
      <c r="J67" s="500" t="s">
        <v>6</v>
      </c>
      <c r="K67" s="500"/>
      <c r="L67" s="278" t="s">
        <v>126</v>
      </c>
      <c r="M67" s="290" t="str">
        <f ca="1">IF(M66=" "," ",Employee!$M$119)</f>
        <v xml:space="preserve"> </v>
      </c>
      <c r="N67" s="291"/>
    </row>
    <row r="68" spans="1:14" ht="21" customHeight="1" x14ac:dyDescent="0.2">
      <c r="A68" s="287"/>
      <c r="B68" s="278" t="s">
        <v>125</v>
      </c>
      <c r="C68" s="296">
        <f>Employee!$D$133</f>
        <v>5</v>
      </c>
      <c r="D68" s="279"/>
      <c r="E68" s="315"/>
      <c r="F68" s="477"/>
      <c r="G68" s="477"/>
      <c r="H68" s="282" t="s">
        <v>124</v>
      </c>
      <c r="I68" s="297">
        <f ca="1">I53</f>
        <v>1</v>
      </c>
      <c r="J68" s="496" t="str">
        <f ca="1">IF(M66=" "," ",INDIRECT($H$3 &amp; "!D" &amp; $H$4+2+C68))</f>
        <v xml:space="preserve"> </v>
      </c>
      <c r="K68" s="496"/>
      <c r="L68" s="278" t="s">
        <v>123</v>
      </c>
      <c r="M68" s="290" t="str">
        <f ca="1">IF(M66=" "," ",INDIRECT($H$3 &amp; "!C" &amp; $H$4+2+C68))</f>
        <v xml:space="preserve"> </v>
      </c>
      <c r="N68" s="291"/>
    </row>
    <row r="69" spans="1:14" ht="6" customHeight="1" x14ac:dyDescent="0.2">
      <c r="A69" s="287"/>
      <c r="B69" s="477"/>
      <c r="C69" s="477"/>
      <c r="D69" s="477"/>
      <c r="E69" s="477"/>
      <c r="F69" s="477"/>
      <c r="G69" s="477"/>
      <c r="H69" s="477"/>
      <c r="I69" s="477"/>
      <c r="J69" s="477"/>
      <c r="K69" s="477"/>
      <c r="L69" s="477"/>
      <c r="M69" s="477"/>
      <c r="N69" s="291"/>
    </row>
    <row r="70" spans="1:14" ht="21" customHeight="1" x14ac:dyDescent="0.2">
      <c r="A70" s="287"/>
      <c r="B70" s="492" t="s">
        <v>122</v>
      </c>
      <c r="C70" s="493"/>
      <c r="D70" s="493"/>
      <c r="E70" s="493"/>
      <c r="F70" s="493"/>
      <c r="G70" s="494" t="s">
        <v>121</v>
      </c>
      <c r="H70" s="492" t="s">
        <v>120</v>
      </c>
      <c r="I70" s="501"/>
      <c r="J70" s="501"/>
      <c r="K70" s="501"/>
      <c r="L70" s="501"/>
      <c r="M70" s="479" t="s">
        <v>119</v>
      </c>
      <c r="N70" s="291"/>
    </row>
    <row r="71" spans="1:14" s="298" customFormat="1" ht="21" customHeight="1" x14ac:dyDescent="0.2">
      <c r="A71" s="287"/>
      <c r="B71" s="281" t="s">
        <v>118</v>
      </c>
      <c r="C71" s="281" t="s">
        <v>117</v>
      </c>
      <c r="D71" s="281" t="s">
        <v>116</v>
      </c>
      <c r="E71" s="281" t="s">
        <v>115</v>
      </c>
      <c r="F71" s="277" t="s">
        <v>114</v>
      </c>
      <c r="G71" s="495"/>
      <c r="H71" s="281" t="s">
        <v>113</v>
      </c>
      <c r="I71" s="281" t="s">
        <v>112</v>
      </c>
      <c r="J71" s="481" t="s">
        <v>111</v>
      </c>
      <c r="K71" s="481"/>
      <c r="L71" s="277" t="s">
        <v>2</v>
      </c>
      <c r="M71" s="480"/>
      <c r="N71" s="291"/>
    </row>
    <row r="72" spans="1:14" s="308" customFormat="1" ht="21" customHeight="1" x14ac:dyDescent="0.2">
      <c r="A72" s="287"/>
      <c r="B72" s="300" t="str">
        <f ca="1">IF(M66=" "," ",INDIRECT($H$3 &amp; "!H" &amp; $H$4+2+C68))</f>
        <v xml:space="preserve"> </v>
      </c>
      <c r="C72" s="300" t="str">
        <f ca="1">IF(M66=" "," ",INDIRECT($H$3 &amp; "!I" &amp; $H$4+2+C68))</f>
        <v xml:space="preserve"> </v>
      </c>
      <c r="D72" s="300" t="str">
        <f ca="1">IF(M66=" "," ",INDIRECT($H$3 &amp; "!J" &amp; $H$4+2+C68))</f>
        <v xml:space="preserve"> </v>
      </c>
      <c r="E72" s="300" t="str">
        <f ca="1">IF(M66=" "," ",INDIRECT($H$3 &amp; "!K" &amp; $H$4+2+C68))</f>
        <v xml:space="preserve"> </v>
      </c>
      <c r="F72" s="301" t="str">
        <f ca="1">IF(M66=" "," ",INDIRECT($H$3 &amp; "!L" &amp; $H$4+2+C68))</f>
        <v xml:space="preserve"> </v>
      </c>
      <c r="G72" s="302" t="str">
        <f ca="1">IF(M66=" "," ",INDIRECT($H$3 &amp; "!M" &amp; $H$4+2+C68))</f>
        <v xml:space="preserve"> </v>
      </c>
      <c r="H72" s="303" t="str">
        <f ca="1">IF(M66=" "," ",INDIRECT($H$3 &amp; "!N" &amp; $H$4+2+C68))</f>
        <v xml:space="preserve"> </v>
      </c>
      <c r="I72" s="300" t="str">
        <f ca="1">IF(M66=" "," ",INDIRECT($H$3 &amp; "!O" &amp; $H$4+2+C68))</f>
        <v xml:space="preserve"> </v>
      </c>
      <c r="J72" s="476" t="str">
        <f ca="1">IF(M66=" "," ",INDIRECT($H$3 &amp; "!P" &amp; $H$4+2+C68))</f>
        <v xml:space="preserve"> </v>
      </c>
      <c r="K72" s="476"/>
      <c r="L72" s="301" t="str">
        <f ca="1">IF(M66=" "," ",INDIRECT($H$3 &amp; "!Q" &amp; $H$4+2+C68))</f>
        <v xml:space="preserve"> </v>
      </c>
      <c r="M72" s="304" t="str">
        <f ca="1">IF(M66=" "," ",INDIRECT($H$3 &amp; "!R" &amp; $H$4+2+C68))</f>
        <v xml:space="preserve"> </v>
      </c>
      <c r="N72" s="291"/>
    </row>
    <row r="73" spans="1:14" s="308" customFormat="1" ht="21" customHeight="1" x14ac:dyDescent="0.2">
      <c r="A73" s="287"/>
      <c r="B73" s="490" t="s">
        <v>110</v>
      </c>
      <c r="C73" s="490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291"/>
    </row>
    <row r="74" spans="1:14" s="308" customFormat="1" ht="21" customHeight="1" x14ac:dyDescent="0.2">
      <c r="A74" s="287"/>
      <c r="B74" s="309"/>
      <c r="C74" s="309"/>
      <c r="D74" s="307"/>
      <c r="E74" s="474" t="s">
        <v>109</v>
      </c>
      <c r="F74" s="475"/>
      <c r="G74" s="300" t="str">
        <f ca="1">IF(M66=" "," ",INDIRECT($H$3 &amp; "!V" &amp; $H$4+2+C68))</f>
        <v xml:space="preserve"> </v>
      </c>
      <c r="H74" s="300" t="str">
        <f ca="1">IF(M66=" "," ",INDIRECT($H$3 &amp; "!W" &amp; $H$4+2+C68))</f>
        <v xml:space="preserve"> </v>
      </c>
      <c r="I74" s="300" t="str">
        <f ca="1">IF(M66=" "," ",INDIRECT($H$3 &amp; "!X" &amp; $H$4+2+C68))</f>
        <v xml:space="preserve"> </v>
      </c>
      <c r="J74" s="476" t="str">
        <f ca="1">IF(M66=" "," ",INDIRECT($H$3 &amp; "!Y" &amp; $H$4+2+C68))</f>
        <v xml:space="preserve"> </v>
      </c>
      <c r="K74" s="476"/>
      <c r="L74" s="300" t="str">
        <f ca="1">IF(M66=" "," ",INDIRECT($H$3 &amp; "!Z" &amp; $H$4+2+C68))</f>
        <v xml:space="preserve"> </v>
      </c>
      <c r="M74" s="300" t="str">
        <f ca="1">IF(M66=" "," ",INDIRECT($H$3 &amp; "!AA" &amp; $H$4+2+C68))</f>
        <v xml:space="preserve"> </v>
      </c>
      <c r="N74" s="291"/>
    </row>
    <row r="75" spans="1:14" ht="6" customHeight="1" x14ac:dyDescent="0.2">
      <c r="A75" s="287"/>
      <c r="B75" s="290"/>
      <c r="C75" s="290"/>
      <c r="D75" s="290"/>
      <c r="E75" s="290"/>
      <c r="F75" s="290"/>
      <c r="G75" s="290"/>
      <c r="H75" s="290"/>
      <c r="I75" s="290"/>
      <c r="J75" s="477"/>
      <c r="K75" s="477"/>
      <c r="L75" s="290"/>
      <c r="M75" s="290"/>
      <c r="N75" s="291"/>
    </row>
    <row r="76" spans="1:14" ht="21" customHeight="1" x14ac:dyDescent="0.2">
      <c r="A76" s="287"/>
      <c r="B76" s="290"/>
      <c r="C76" s="290"/>
      <c r="D76" s="290"/>
      <c r="E76" s="290"/>
      <c r="F76" s="290"/>
      <c r="G76" s="290"/>
      <c r="H76" s="290"/>
      <c r="I76" s="290"/>
      <c r="J76" s="488" t="s">
        <v>108</v>
      </c>
      <c r="K76" s="489"/>
      <c r="L76" s="489"/>
      <c r="M76" s="310" t="str">
        <f ca="1">M61</f>
        <v xml:space="preserve"> </v>
      </c>
      <c r="N76" s="291"/>
    </row>
    <row r="77" spans="1:14" ht="12" customHeight="1" x14ac:dyDescent="0.2">
      <c r="A77" s="311"/>
      <c r="B77" s="316" t="s">
        <v>66</v>
      </c>
      <c r="C77" s="316"/>
      <c r="D77" s="312"/>
      <c r="E77" s="313"/>
      <c r="F77" s="313"/>
      <c r="G77" s="313"/>
      <c r="H77" s="313"/>
      <c r="I77" s="313"/>
      <c r="J77" s="313"/>
      <c r="K77" s="313"/>
      <c r="L77" s="313"/>
      <c r="M77" s="313"/>
      <c r="N77" s="314"/>
    </row>
    <row r="78" spans="1:14" ht="21" customHeight="1" x14ac:dyDescent="0.2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/>
    <hyperlink ref="B33" r:id="rId2"/>
    <hyperlink ref="B48" r:id="rId3"/>
    <hyperlink ref="B62" r:id="rId4"/>
    <hyperlink ref="B77" r:id="rId5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4" sqref="J4"/>
    </sheetView>
  </sheetViews>
  <sheetFormatPr defaultColWidth="9.109375" defaultRowHeight="12" x14ac:dyDescent="0.25"/>
  <cols>
    <col min="1" max="1" width="1.6640625" style="239" customWidth="1"/>
    <col min="2" max="2" width="9.6640625" style="240" customWidth="1"/>
    <col min="3" max="9" width="11.6640625" style="239" customWidth="1"/>
    <col min="10" max="10" width="9.6640625" style="239" customWidth="1"/>
    <col min="11" max="14" width="11.6640625" style="239" customWidth="1"/>
    <col min="15" max="15" width="1.6640625" style="239" customWidth="1"/>
    <col min="16" max="16384" width="9.109375" style="239"/>
  </cols>
  <sheetData>
    <row r="1" spans="1:15" ht="9" customHeight="1" thickBot="1" x14ac:dyDescent="0.3">
      <c r="A1" s="270"/>
      <c r="B1" s="269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/>
    </row>
    <row r="2" spans="1:15" s="262" customFormat="1" ht="37.200000000000003" thickTop="1" thickBot="1" x14ac:dyDescent="0.3">
      <c r="A2" s="266"/>
      <c r="B2" s="264" t="s">
        <v>103</v>
      </c>
      <c r="C2" s="265" t="s">
        <v>102</v>
      </c>
      <c r="D2" s="264" t="s">
        <v>101</v>
      </c>
      <c r="E2" s="264" t="s">
        <v>100</v>
      </c>
      <c r="F2" s="264" t="s">
        <v>99</v>
      </c>
      <c r="G2" s="264" t="s">
        <v>98</v>
      </c>
      <c r="H2" s="264" t="s">
        <v>97</v>
      </c>
      <c r="I2" s="264" t="s">
        <v>96</v>
      </c>
      <c r="J2" s="264" t="s">
        <v>95</v>
      </c>
      <c r="K2" s="264" t="s">
        <v>94</v>
      </c>
      <c r="L2" s="265" t="s">
        <v>93</v>
      </c>
      <c r="M2" s="265" t="s">
        <v>104</v>
      </c>
      <c r="N2" s="264" t="s">
        <v>92</v>
      </c>
      <c r="O2" s="263"/>
    </row>
    <row r="3" spans="1:15" ht="15" customHeight="1" thickTop="1" x14ac:dyDescent="0.25">
      <c r="A3" s="258"/>
      <c r="B3" s="261"/>
      <c r="C3" s="260"/>
      <c r="D3" s="260"/>
      <c r="E3" s="260"/>
      <c r="F3" s="260"/>
      <c r="G3" s="260"/>
      <c r="H3" s="260"/>
      <c r="I3" s="260"/>
      <c r="N3" s="259"/>
      <c r="O3" s="252"/>
    </row>
    <row r="4" spans="1:15" ht="15" customHeight="1" x14ac:dyDescent="0.25">
      <c r="A4" s="258"/>
      <c r="B4" s="257">
        <f>Admin!$B$26</f>
        <v>42490</v>
      </c>
      <c r="C4" s="256">
        <f>Admin!$B$45</f>
        <v>42509</v>
      </c>
      <c r="D4" s="254">
        <f>'Apr16'!T1+'Apr16'!O1</f>
        <v>0</v>
      </c>
      <c r="E4" s="255">
        <f>'Apr16'!N1</f>
        <v>0</v>
      </c>
      <c r="F4" s="255">
        <f>'Apr16'!AD60+'Apr16'!AE60+'Apr16'!AF60+'Apr16'!AG60</f>
        <v>0</v>
      </c>
      <c r="G4" s="255">
        <f>'Apr16'!AE62+'Apr16'!AF62+'Apr16'!AG62</f>
        <v>0</v>
      </c>
      <c r="H4" s="255">
        <f>'Apr16'!P1</f>
        <v>0</v>
      </c>
      <c r="I4" s="254">
        <f t="shared" ref="I4:I15" si="0">D4+E4-F4-G4+H4</f>
        <v>0</v>
      </c>
      <c r="M4" s="239">
        <f>(YEAR(Admin!B2)-1999)*100+1</f>
        <v>1701</v>
      </c>
      <c r="N4" s="253">
        <f t="shared" ref="N4:N15" si="1">N3+I4-L4</f>
        <v>0</v>
      </c>
      <c r="O4" s="252"/>
    </row>
    <row r="5" spans="1:15" ht="15" customHeight="1" x14ac:dyDescent="0.25">
      <c r="A5" s="258"/>
      <c r="B5" s="257">
        <f>Admin!$B$57</f>
        <v>42521</v>
      </c>
      <c r="C5" s="256">
        <f>Admin!$B$76</f>
        <v>42540</v>
      </c>
      <c r="D5" s="254">
        <f>'May16'!T1+'May16'!O1</f>
        <v>0</v>
      </c>
      <c r="E5" s="255">
        <f>'May16'!N1</f>
        <v>0</v>
      </c>
      <c r="F5" s="255">
        <f>'May16'!AD60+'May16'!AE60+'May16'!AF60+'May16'!AG60</f>
        <v>0</v>
      </c>
      <c r="G5" s="255">
        <f>'May16'!AE62+'May16'!AF62+'May16'!AG62</f>
        <v>0</v>
      </c>
      <c r="H5" s="255">
        <f>'May16'!P1</f>
        <v>0</v>
      </c>
      <c r="I5" s="254">
        <f t="shared" si="0"/>
        <v>0</v>
      </c>
      <c r="M5" s="239">
        <f>M4+1</f>
        <v>1702</v>
      </c>
      <c r="N5" s="253">
        <f t="shared" si="1"/>
        <v>0</v>
      </c>
      <c r="O5" s="252"/>
    </row>
    <row r="6" spans="1:15" ht="15" customHeight="1" x14ac:dyDescent="0.25">
      <c r="A6" s="258"/>
      <c r="B6" s="257">
        <f>Admin!$B$87</f>
        <v>42551</v>
      </c>
      <c r="C6" s="256">
        <f>Admin!$B$106</f>
        <v>42570</v>
      </c>
      <c r="D6" s="254">
        <f>'Jun16'!T1+'Jun16'!O1</f>
        <v>0</v>
      </c>
      <c r="E6" s="255">
        <f>'Jun16'!N1</f>
        <v>0</v>
      </c>
      <c r="F6" s="255">
        <f>'Jun16'!AD70+'Jun16'!AE70+'Jun16'!AF70+'Jun16'!AG70</f>
        <v>0</v>
      </c>
      <c r="G6" s="255">
        <f>'Jun16'!AE72+'Jun16'!AF72+'Jun16'!AG72</f>
        <v>0</v>
      </c>
      <c r="H6" s="255">
        <f>'Jun16'!P1</f>
        <v>0</v>
      </c>
      <c r="I6" s="254">
        <f t="shared" si="0"/>
        <v>0</v>
      </c>
      <c r="M6" s="239">
        <f t="shared" ref="M6:M15" si="2">M5+1</f>
        <v>1703</v>
      </c>
      <c r="N6" s="253">
        <f t="shared" si="1"/>
        <v>0</v>
      </c>
      <c r="O6" s="252"/>
    </row>
    <row r="7" spans="1:15" ht="15" customHeight="1" x14ac:dyDescent="0.25">
      <c r="A7" s="258"/>
      <c r="B7" s="257">
        <f>Admin!$B$118</f>
        <v>42582</v>
      </c>
      <c r="C7" s="256">
        <f>Admin!$B$137</f>
        <v>42601</v>
      </c>
      <c r="D7" s="254">
        <f>'Jul16'!T1+'Jul16'!O1</f>
        <v>0</v>
      </c>
      <c r="E7" s="255">
        <f>'Jul16'!N1</f>
        <v>0</v>
      </c>
      <c r="F7" s="255">
        <f>'Jul16'!AD60+'Jul16'!AE60+'Jul16'!AF60+'Jul16'!AG60</f>
        <v>0</v>
      </c>
      <c r="G7" s="255">
        <f>'Jul16'!AE62+'Jul16'!AF62+'Jul16'!AG62</f>
        <v>0</v>
      </c>
      <c r="H7" s="255">
        <f>'Jul16'!P1</f>
        <v>0</v>
      </c>
      <c r="I7" s="254">
        <f t="shared" si="0"/>
        <v>0</v>
      </c>
      <c r="M7" s="239">
        <f t="shared" si="2"/>
        <v>1704</v>
      </c>
      <c r="N7" s="253">
        <f t="shared" si="1"/>
        <v>0</v>
      </c>
      <c r="O7" s="252"/>
    </row>
    <row r="8" spans="1:15" ht="15" customHeight="1" x14ac:dyDescent="0.25">
      <c r="A8" s="258"/>
      <c r="B8" s="257">
        <f>Admin!$B$149</f>
        <v>42613</v>
      </c>
      <c r="C8" s="256">
        <f>Admin!$B$168</f>
        <v>42632</v>
      </c>
      <c r="D8" s="254">
        <f>'Aug16'!T1+'Aug16'!O1</f>
        <v>0</v>
      </c>
      <c r="E8" s="255">
        <f>'Aug16'!N1</f>
        <v>0</v>
      </c>
      <c r="F8" s="255">
        <f>'Aug16'!AD60+'Aug16'!AE60+'Aug16'!AF60+'Aug16'!AG60</f>
        <v>0</v>
      </c>
      <c r="G8" s="255">
        <f>'Aug16'!AE62+'Aug16'!AF62+'Aug16'!AG62</f>
        <v>0</v>
      </c>
      <c r="H8" s="255">
        <f>'Aug16'!P1</f>
        <v>0</v>
      </c>
      <c r="I8" s="254">
        <f t="shared" si="0"/>
        <v>0</v>
      </c>
      <c r="M8" s="239">
        <f t="shared" si="2"/>
        <v>1705</v>
      </c>
      <c r="N8" s="253">
        <f t="shared" si="1"/>
        <v>0</v>
      </c>
      <c r="O8" s="252"/>
    </row>
    <row r="9" spans="1:15" ht="15" customHeight="1" x14ac:dyDescent="0.25">
      <c r="A9" s="258"/>
      <c r="B9" s="257">
        <f>Admin!$B$179</f>
        <v>42643</v>
      </c>
      <c r="C9" s="256">
        <f>Admin!$B$198</f>
        <v>42662</v>
      </c>
      <c r="D9" s="254">
        <f>'Sep16'!T1+'Sep16'!O1</f>
        <v>0</v>
      </c>
      <c r="E9" s="255">
        <f>'Sep16'!N1</f>
        <v>0</v>
      </c>
      <c r="F9" s="255">
        <f>'Sep16'!AD70+'Sep16'!AE70+'Sep16'!AF70+'Sep16'!AG70</f>
        <v>0</v>
      </c>
      <c r="G9" s="255">
        <f>'Sep16'!AE72+'Sep16'!AF72+'Sep16'!AG72</f>
        <v>0</v>
      </c>
      <c r="H9" s="255">
        <f>'Sep16'!P1</f>
        <v>0</v>
      </c>
      <c r="I9" s="254">
        <f t="shared" si="0"/>
        <v>0</v>
      </c>
      <c r="M9" s="239">
        <f t="shared" si="2"/>
        <v>1706</v>
      </c>
      <c r="N9" s="253">
        <f t="shared" si="1"/>
        <v>0</v>
      </c>
      <c r="O9" s="252"/>
    </row>
    <row r="10" spans="1:15" ht="15" customHeight="1" x14ac:dyDescent="0.25">
      <c r="A10" s="258"/>
      <c r="B10" s="257">
        <f>Admin!$B$210</f>
        <v>42674</v>
      </c>
      <c r="C10" s="256">
        <f>Admin!$B$229</f>
        <v>42693</v>
      </c>
      <c r="D10" s="254">
        <f>'Oct16'!T1+'Oct16'!O1</f>
        <v>0</v>
      </c>
      <c r="E10" s="255">
        <f>'Oct16'!N1</f>
        <v>0</v>
      </c>
      <c r="F10" s="255">
        <f>'Oct16'!AD60+'Oct16'!AE60+'Oct16'!AF60+'Oct16'!AG60</f>
        <v>0</v>
      </c>
      <c r="G10" s="255">
        <f>'Oct16'!AE62+'Oct16'!AF62+'Oct16'!AG62</f>
        <v>0</v>
      </c>
      <c r="H10" s="255">
        <f>'Oct16'!P1</f>
        <v>0</v>
      </c>
      <c r="I10" s="254">
        <f t="shared" si="0"/>
        <v>0</v>
      </c>
      <c r="M10" s="239">
        <f t="shared" si="2"/>
        <v>1707</v>
      </c>
      <c r="N10" s="253">
        <f t="shared" si="1"/>
        <v>0</v>
      </c>
      <c r="O10" s="252"/>
    </row>
    <row r="11" spans="1:15" ht="15" customHeight="1" x14ac:dyDescent="0.25">
      <c r="A11" s="258"/>
      <c r="B11" s="257">
        <f>Admin!$B$240</f>
        <v>42704</v>
      </c>
      <c r="C11" s="256">
        <f>Admin!$B$259</f>
        <v>42723</v>
      </c>
      <c r="D11" s="254">
        <f>'Nov16'!T1+'Nov16'!O1</f>
        <v>0</v>
      </c>
      <c r="E11" s="255">
        <f>'Nov16'!N1</f>
        <v>0</v>
      </c>
      <c r="F11" s="255">
        <f>'Nov16'!AD60+'Nov16'!AE60+'Nov16'!AF60+'Nov16'!AG60</f>
        <v>0</v>
      </c>
      <c r="G11" s="255">
        <f>'Nov16'!AE62+'Nov16'!AF62+'Nov16'!AG62</f>
        <v>0</v>
      </c>
      <c r="H11" s="255">
        <f>'Nov16'!P1</f>
        <v>0</v>
      </c>
      <c r="I11" s="254">
        <f t="shared" si="0"/>
        <v>0</v>
      </c>
      <c r="M11" s="239">
        <f t="shared" si="2"/>
        <v>1708</v>
      </c>
      <c r="N11" s="253">
        <f t="shared" si="1"/>
        <v>0</v>
      </c>
      <c r="O11" s="252"/>
    </row>
    <row r="12" spans="1:15" ht="15" customHeight="1" x14ac:dyDescent="0.25">
      <c r="A12" s="258"/>
      <c r="B12" s="257">
        <f>Admin!$B$271</f>
        <v>42735</v>
      </c>
      <c r="C12" s="256">
        <f>Admin!$B$290</f>
        <v>42754</v>
      </c>
      <c r="D12" s="254">
        <f>'Dec16'!T1+'Dec16'!O1</f>
        <v>0</v>
      </c>
      <c r="E12" s="255">
        <f>'Dec16'!N1</f>
        <v>0</v>
      </c>
      <c r="F12" s="255">
        <f>'Dec16'!AD70+'Dec16'!AE70+'Dec16'!AF70+'Dec16'!AG70</f>
        <v>0</v>
      </c>
      <c r="G12" s="255">
        <f>'Dec16'!AE72+'Dec16'!AF72+'Dec16'!AG72</f>
        <v>0</v>
      </c>
      <c r="H12" s="255">
        <f>'Dec16'!P1</f>
        <v>0</v>
      </c>
      <c r="I12" s="254">
        <f t="shared" si="0"/>
        <v>0</v>
      </c>
      <c r="M12" s="239">
        <f t="shared" si="2"/>
        <v>1709</v>
      </c>
      <c r="N12" s="253">
        <f t="shared" si="1"/>
        <v>0</v>
      </c>
      <c r="O12" s="252"/>
    </row>
    <row r="13" spans="1:15" ht="15" customHeight="1" x14ac:dyDescent="0.25">
      <c r="A13" s="258"/>
      <c r="B13" s="257">
        <f>Admin!$B$302</f>
        <v>42766</v>
      </c>
      <c r="C13" s="256">
        <f>Admin!$B$321</f>
        <v>42785</v>
      </c>
      <c r="D13" s="254">
        <f>'Jan17'!T1+'Jan17'!O1</f>
        <v>0</v>
      </c>
      <c r="E13" s="255">
        <f>'Jan17'!N1</f>
        <v>0</v>
      </c>
      <c r="F13" s="255">
        <f>'Jan17'!AD60+'Jan17'!AE60+'Jan17'!AF60+'Jan17'!AG60</f>
        <v>0</v>
      </c>
      <c r="G13" s="255">
        <f>'Jan17'!AE62+'Jan17'!AF62+'Jan17'!AG62</f>
        <v>0</v>
      </c>
      <c r="H13" s="255">
        <f>'Jan17'!P1</f>
        <v>0</v>
      </c>
      <c r="I13" s="254">
        <f t="shared" si="0"/>
        <v>0</v>
      </c>
      <c r="M13" s="239">
        <f t="shared" si="2"/>
        <v>1710</v>
      </c>
      <c r="N13" s="253">
        <f t="shared" si="1"/>
        <v>0</v>
      </c>
      <c r="O13" s="252"/>
    </row>
    <row r="14" spans="1:15" ht="15" customHeight="1" x14ac:dyDescent="0.25">
      <c r="A14" s="258"/>
      <c r="B14" s="257">
        <f>Admin!$B$330</f>
        <v>42794</v>
      </c>
      <c r="C14" s="256">
        <f>Admin!$B$350</f>
        <v>42814</v>
      </c>
      <c r="D14" s="254">
        <f>'Feb17'!T1+'Feb17'!O1</f>
        <v>0</v>
      </c>
      <c r="E14" s="255">
        <f>'Feb17'!N1</f>
        <v>0</v>
      </c>
      <c r="F14" s="255">
        <f>'Feb17'!AD60+'Feb17'!AE60+'Feb17'!AF60+'Feb17'!AG60</f>
        <v>0</v>
      </c>
      <c r="G14" s="255">
        <f>'Feb17'!AE62+'Feb17'!AF62+'Feb17'!AG62</f>
        <v>0</v>
      </c>
      <c r="H14" s="255">
        <f>'Feb17'!P1</f>
        <v>0</v>
      </c>
      <c r="I14" s="254">
        <f t="shared" si="0"/>
        <v>0</v>
      </c>
      <c r="M14" s="239">
        <f t="shared" si="2"/>
        <v>1711</v>
      </c>
      <c r="N14" s="253">
        <f t="shared" si="1"/>
        <v>0</v>
      </c>
      <c r="O14" s="252"/>
    </row>
    <row r="15" spans="1:15" ht="15" customHeight="1" thickBot="1" x14ac:dyDescent="0.3">
      <c r="A15" s="258"/>
      <c r="B15" s="257">
        <f>Admin!$B$361</f>
        <v>42825</v>
      </c>
      <c r="C15" s="256">
        <f>Admin!$B$381</f>
        <v>42845</v>
      </c>
      <c r="D15" s="254">
        <f>'Mar17'!T1+'Mar17'!O1</f>
        <v>0</v>
      </c>
      <c r="E15" s="255">
        <f>'Mar17'!N1</f>
        <v>0</v>
      </c>
      <c r="F15" s="255">
        <f>'Mar17'!AD80+'Mar17'!AE80+'Mar17'!AF80+'Mar17'!AG80</f>
        <v>0</v>
      </c>
      <c r="G15" s="255">
        <f>'Mar17'!AE82+'Mar17'!AF82+'Mar17'!AG82</f>
        <v>0</v>
      </c>
      <c r="H15" s="255">
        <f>'Mar17'!P1</f>
        <v>0</v>
      </c>
      <c r="I15" s="254">
        <f t="shared" si="0"/>
        <v>0</v>
      </c>
      <c r="M15" s="239">
        <f t="shared" si="2"/>
        <v>1712</v>
      </c>
      <c r="N15" s="253">
        <f t="shared" si="1"/>
        <v>0</v>
      </c>
      <c r="O15" s="252"/>
    </row>
    <row r="16" spans="1:15" s="240" customFormat="1" ht="15" customHeight="1" thickTop="1" thickBot="1" x14ac:dyDescent="0.3">
      <c r="A16" s="251"/>
      <c r="B16" s="250"/>
      <c r="C16" s="249"/>
      <c r="D16" s="248">
        <f t="shared" ref="D16:I16" si="3">SUM(D4:D15)</f>
        <v>0</v>
      </c>
      <c r="E16" s="248">
        <f t="shared" si="3"/>
        <v>0</v>
      </c>
      <c r="F16" s="248">
        <f t="shared" si="3"/>
        <v>0</v>
      </c>
      <c r="G16" s="248">
        <f t="shared" si="3"/>
        <v>0</v>
      </c>
      <c r="H16" s="248">
        <f t="shared" si="3"/>
        <v>0</v>
      </c>
      <c r="I16" s="248">
        <f t="shared" si="3"/>
        <v>0</v>
      </c>
      <c r="J16" s="247"/>
      <c r="K16" s="247"/>
      <c r="L16" s="246">
        <f>SUM(L4:L15)</f>
        <v>0</v>
      </c>
      <c r="M16" s="249"/>
      <c r="N16" s="245"/>
      <c r="O16" s="244"/>
    </row>
    <row r="17" spans="1:15" ht="9" customHeight="1" thickTop="1" x14ac:dyDescent="0.25">
      <c r="A17" s="243"/>
      <c r="B17" s="508"/>
      <c r="C17" s="508"/>
      <c r="D17" s="508"/>
      <c r="E17" s="508"/>
      <c r="F17" s="508"/>
      <c r="G17" s="508"/>
      <c r="H17" s="508"/>
      <c r="I17" s="508"/>
      <c r="J17" s="508"/>
      <c r="K17" s="508"/>
      <c r="L17" s="508"/>
      <c r="M17" s="508"/>
      <c r="N17" s="508"/>
      <c r="O17" s="242"/>
    </row>
    <row r="18" spans="1:15" x14ac:dyDescent="0.25">
      <c r="B18" s="241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82"/>
  <sheetViews>
    <sheetView topLeftCell="B1" workbookViewId="0">
      <pane ySplit="1" topLeftCell="A2" activePane="bottomLeft" state="frozen"/>
      <selection pane="bottomLeft" activeCell="H3" sqref="H3:M3"/>
    </sheetView>
  </sheetViews>
  <sheetFormatPr defaultColWidth="9.109375" defaultRowHeight="10.199999999999999" x14ac:dyDescent="0.2"/>
  <cols>
    <col min="1" max="1" width="6" style="335" customWidth="1"/>
    <col min="2" max="2" width="9.109375" style="351"/>
    <col min="3" max="4" width="9.109375" style="352"/>
    <col min="5" max="5" width="5.6640625" style="335" customWidth="1"/>
    <col min="6" max="6" width="9.109375" style="353"/>
    <col min="7" max="7" width="6.33203125" style="335" customWidth="1"/>
    <col min="8" max="9" width="9.109375" style="335"/>
    <col min="10" max="10" width="12.5546875" style="335" customWidth="1"/>
    <col min="11" max="11" width="9.44140625" style="335" customWidth="1"/>
    <col min="12" max="12" width="9.109375" style="335"/>
    <col min="13" max="13" width="8.33203125" style="353" customWidth="1"/>
    <col min="14" max="14" width="10.5546875" style="353" customWidth="1"/>
    <col min="15" max="15" width="4.33203125" style="353" customWidth="1"/>
    <col min="16" max="16" width="9.88671875" style="353" bestFit="1" customWidth="1"/>
    <col min="17" max="17" width="4.33203125" style="353" customWidth="1"/>
    <col min="18" max="18" width="9.88671875" style="353" bestFit="1" customWidth="1"/>
    <col min="19" max="19" width="2" style="335" customWidth="1"/>
    <col min="20" max="16384" width="9.109375" style="335"/>
  </cols>
  <sheetData>
    <row r="1" spans="1:19" ht="23.4" thickBot="1" x14ac:dyDescent="0.25">
      <c r="A1" s="329" t="s">
        <v>84</v>
      </c>
      <c r="B1" s="330" t="s">
        <v>8</v>
      </c>
      <c r="C1" s="329" t="s">
        <v>9</v>
      </c>
      <c r="D1" s="329" t="s">
        <v>10</v>
      </c>
      <c r="E1" s="331" t="s">
        <v>87</v>
      </c>
      <c r="F1" s="331" t="s">
        <v>86</v>
      </c>
      <c r="G1" s="509" t="s">
        <v>77</v>
      </c>
      <c r="H1" s="510"/>
      <c r="I1" s="511">
        <f>B366</f>
        <v>42830</v>
      </c>
      <c r="J1" s="512"/>
      <c r="K1" s="332"/>
      <c r="L1" s="332"/>
      <c r="M1" s="333"/>
      <c r="N1" s="334" t="str">
        <f>TEXT(YEAR(I1)-1,"0") &amp; "-" &amp; TEXT(YEAR(I1)-2000,"0")</f>
        <v>2016-17</v>
      </c>
      <c r="O1" s="333"/>
      <c r="P1" s="333"/>
      <c r="Q1" s="333"/>
      <c r="R1" s="333"/>
      <c r="S1" s="332"/>
    </row>
    <row r="2" spans="1:19" ht="11.4" x14ac:dyDescent="0.2">
      <c r="A2" s="336" t="str">
        <f>TEXT(DATE(YEAR(B$2),MONTH(B$2)+(D2-1),1),"MmmYY")</f>
        <v>Apr16</v>
      </c>
      <c r="B2" s="337">
        <v>42466</v>
      </c>
      <c r="C2" s="338">
        <v>1</v>
      </c>
      <c r="D2" s="338">
        <v>1</v>
      </c>
      <c r="E2" s="339">
        <f>B2</f>
        <v>42466</v>
      </c>
      <c r="F2" s="338">
        <v>1</v>
      </c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</row>
    <row r="3" spans="1:19" ht="12" x14ac:dyDescent="0.2">
      <c r="A3" s="336" t="str">
        <f t="shared" ref="A3:A66" si="0">TEXT(DATE(YEAR(B$2),MONTH(B$2)+(D3-1),1),"MmmYY")</f>
        <v>Apr16</v>
      </c>
      <c r="B3" s="337">
        <f>B2+1</f>
        <v>42467</v>
      </c>
      <c r="C3" s="338">
        <v>1</v>
      </c>
      <c r="D3" s="338">
        <v>1</v>
      </c>
      <c r="E3" s="341"/>
      <c r="F3" s="342">
        <v>1</v>
      </c>
      <c r="G3" s="340"/>
      <c r="H3" s="513" t="s">
        <v>88</v>
      </c>
      <c r="I3" s="514"/>
      <c r="J3" s="514"/>
      <c r="K3" s="514"/>
      <c r="L3" s="514"/>
      <c r="M3" s="515"/>
      <c r="N3" s="340"/>
      <c r="O3" s="340"/>
      <c r="P3" s="340"/>
      <c r="Q3" s="340"/>
      <c r="R3" s="340"/>
      <c r="S3" s="340"/>
    </row>
    <row r="4" spans="1:19" ht="11.4" x14ac:dyDescent="0.2">
      <c r="A4" s="336" t="str">
        <f t="shared" si="0"/>
        <v>Apr16</v>
      </c>
      <c r="B4" s="337">
        <f t="shared" ref="B4:B67" si="1">B3+1</f>
        <v>42468</v>
      </c>
      <c r="C4" s="338">
        <v>1</v>
      </c>
      <c r="D4" s="338">
        <v>1</v>
      </c>
      <c r="E4" s="341"/>
      <c r="F4" s="342">
        <v>1</v>
      </c>
      <c r="G4" s="340"/>
      <c r="H4" s="343"/>
      <c r="I4" s="343"/>
      <c r="J4" s="343"/>
      <c r="K4" s="343"/>
      <c r="L4" s="343"/>
      <c r="M4" s="343"/>
      <c r="N4" s="340"/>
      <c r="O4" s="340"/>
      <c r="P4" s="340"/>
      <c r="Q4" s="340"/>
      <c r="R4" s="340"/>
      <c r="S4" s="340"/>
    </row>
    <row r="5" spans="1:19" ht="11.4" x14ac:dyDescent="0.2">
      <c r="A5" s="336" t="str">
        <f t="shared" si="0"/>
        <v>Apr16</v>
      </c>
      <c r="B5" s="337">
        <f t="shared" si="1"/>
        <v>42469</v>
      </c>
      <c r="C5" s="338">
        <v>1</v>
      </c>
      <c r="D5" s="338">
        <v>1</v>
      </c>
      <c r="E5" s="341"/>
      <c r="F5" s="342">
        <v>1</v>
      </c>
      <c r="G5" s="340"/>
      <c r="H5" s="343"/>
      <c r="I5" s="343"/>
      <c r="J5" s="343"/>
      <c r="K5" s="343"/>
      <c r="L5" s="343"/>
      <c r="M5" s="343"/>
      <c r="N5" s="340"/>
      <c r="O5" s="340"/>
      <c r="P5" s="340"/>
      <c r="Q5" s="340"/>
      <c r="R5" s="340"/>
      <c r="S5" s="340"/>
    </row>
    <row r="6" spans="1:19" ht="11.4" x14ac:dyDescent="0.2">
      <c r="A6" s="336" t="str">
        <f t="shared" si="0"/>
        <v>Apr16</v>
      </c>
      <c r="B6" s="337">
        <f t="shared" si="1"/>
        <v>42470</v>
      </c>
      <c r="C6" s="338">
        <v>1</v>
      </c>
      <c r="D6" s="338">
        <v>1</v>
      </c>
      <c r="E6" s="341"/>
      <c r="F6" s="342">
        <v>1</v>
      </c>
      <c r="G6" s="340"/>
      <c r="H6" s="344" t="s">
        <v>85</v>
      </c>
      <c r="I6" s="344" t="s">
        <v>89</v>
      </c>
      <c r="J6" s="343"/>
      <c r="K6" s="344" t="s">
        <v>90</v>
      </c>
      <c r="L6" s="343"/>
      <c r="M6" s="343"/>
      <c r="N6" s="340"/>
      <c r="O6" s="340"/>
      <c r="P6" s="340"/>
      <c r="Q6" s="340"/>
      <c r="R6" s="340"/>
      <c r="S6" s="340"/>
    </row>
    <row r="7" spans="1:19" ht="11.4" x14ac:dyDescent="0.2">
      <c r="A7" s="336" t="str">
        <f t="shared" si="0"/>
        <v>Apr16</v>
      </c>
      <c r="B7" s="337">
        <f t="shared" si="1"/>
        <v>42471</v>
      </c>
      <c r="C7" s="338">
        <v>2</v>
      </c>
      <c r="D7" s="338">
        <v>1</v>
      </c>
      <c r="E7" s="341"/>
      <c r="F7" s="342">
        <v>2</v>
      </c>
      <c r="G7" s="340"/>
      <c r="H7" s="343"/>
      <c r="I7" s="343"/>
      <c r="J7" s="343"/>
      <c r="K7" s="343"/>
      <c r="L7" s="343"/>
      <c r="M7" s="343"/>
      <c r="N7" s="340"/>
      <c r="O7" s="340"/>
      <c r="P7" s="340"/>
      <c r="Q7" s="340"/>
      <c r="R7" s="340"/>
      <c r="S7" s="340"/>
    </row>
    <row r="8" spans="1:19" ht="11.4" x14ac:dyDescent="0.2">
      <c r="A8" s="336" t="str">
        <f t="shared" si="0"/>
        <v>Apr16</v>
      </c>
      <c r="B8" s="337">
        <f t="shared" si="1"/>
        <v>42472</v>
      </c>
      <c r="C8" s="338">
        <v>2</v>
      </c>
      <c r="D8" s="338">
        <v>1</v>
      </c>
      <c r="E8" s="341"/>
      <c r="F8" s="342">
        <v>2</v>
      </c>
      <c r="G8" s="340"/>
      <c r="H8" s="338">
        <v>1</v>
      </c>
      <c r="I8" s="338">
        <v>4</v>
      </c>
      <c r="J8" s="343"/>
      <c r="K8" s="338">
        <v>5</v>
      </c>
      <c r="L8" s="343"/>
      <c r="M8" s="343"/>
      <c r="N8" s="340"/>
      <c r="O8" s="340"/>
      <c r="P8" s="340"/>
      <c r="Q8" s="340"/>
      <c r="R8" s="340"/>
      <c r="S8" s="340"/>
    </row>
    <row r="9" spans="1:19" ht="11.4" x14ac:dyDescent="0.2">
      <c r="A9" s="336" t="str">
        <f t="shared" si="0"/>
        <v>Apr16</v>
      </c>
      <c r="B9" s="337">
        <f t="shared" si="1"/>
        <v>42473</v>
      </c>
      <c r="C9" s="338">
        <v>2</v>
      </c>
      <c r="D9" s="338">
        <v>1</v>
      </c>
      <c r="E9" s="341"/>
      <c r="F9" s="342">
        <v>2</v>
      </c>
      <c r="G9" s="340"/>
      <c r="H9" s="338">
        <v>2</v>
      </c>
      <c r="I9" s="338">
        <v>4</v>
      </c>
      <c r="J9" s="343"/>
      <c r="K9" s="343"/>
      <c r="L9" s="343"/>
      <c r="M9" s="343"/>
      <c r="N9" s="340"/>
      <c r="O9" s="340"/>
      <c r="P9" s="340"/>
      <c r="Q9" s="340"/>
      <c r="R9" s="340"/>
      <c r="S9" s="340"/>
    </row>
    <row r="10" spans="1:19" ht="11.4" x14ac:dyDescent="0.2">
      <c r="A10" s="336" t="str">
        <f t="shared" si="0"/>
        <v>Apr16</v>
      </c>
      <c r="B10" s="337">
        <f t="shared" si="1"/>
        <v>42474</v>
      </c>
      <c r="C10" s="338">
        <v>2</v>
      </c>
      <c r="D10" s="338">
        <v>1</v>
      </c>
      <c r="E10" s="341"/>
      <c r="F10" s="342">
        <v>2</v>
      </c>
      <c r="G10" s="340"/>
      <c r="H10" s="338">
        <v>3</v>
      </c>
      <c r="I10" s="338">
        <v>5</v>
      </c>
      <c r="J10" s="343"/>
      <c r="K10" s="343"/>
      <c r="L10" s="343"/>
      <c r="M10" s="343"/>
      <c r="N10" s="340"/>
      <c r="O10" s="340"/>
      <c r="P10" s="340"/>
      <c r="Q10" s="340"/>
      <c r="R10" s="340"/>
      <c r="S10" s="340"/>
    </row>
    <row r="11" spans="1:19" ht="11.4" x14ac:dyDescent="0.2">
      <c r="A11" s="336" t="str">
        <f t="shared" si="0"/>
        <v>Apr16</v>
      </c>
      <c r="B11" s="337">
        <f t="shared" si="1"/>
        <v>42475</v>
      </c>
      <c r="C11" s="338">
        <v>2</v>
      </c>
      <c r="D11" s="338">
        <v>1</v>
      </c>
      <c r="E11" s="341"/>
      <c r="F11" s="342">
        <v>2</v>
      </c>
      <c r="G11" s="340"/>
      <c r="H11" s="338">
        <v>4</v>
      </c>
      <c r="I11" s="338">
        <v>4</v>
      </c>
      <c r="J11" s="343"/>
      <c r="K11" s="344" t="s">
        <v>133</v>
      </c>
      <c r="L11" s="338" t="s">
        <v>80</v>
      </c>
      <c r="M11" s="343"/>
      <c r="N11" s="340"/>
      <c r="O11" s="340"/>
      <c r="P11" s="340"/>
      <c r="Q11" s="340"/>
      <c r="R11" s="340"/>
      <c r="S11" s="340"/>
    </row>
    <row r="12" spans="1:19" ht="11.4" x14ac:dyDescent="0.2">
      <c r="A12" s="336" t="str">
        <f t="shared" si="0"/>
        <v>Apr16</v>
      </c>
      <c r="B12" s="337">
        <f t="shared" si="1"/>
        <v>42476</v>
      </c>
      <c r="C12" s="338">
        <v>2</v>
      </c>
      <c r="D12" s="338">
        <v>1</v>
      </c>
      <c r="E12" s="341"/>
      <c r="F12" s="342">
        <v>2</v>
      </c>
      <c r="G12" s="340"/>
      <c r="H12" s="338">
        <v>5</v>
      </c>
      <c r="I12" s="338">
        <v>4</v>
      </c>
      <c r="J12" s="343"/>
      <c r="K12" s="344" t="s">
        <v>134</v>
      </c>
      <c r="L12" s="338" t="s">
        <v>78</v>
      </c>
      <c r="M12" s="343"/>
      <c r="N12" s="340"/>
      <c r="O12" s="340"/>
      <c r="P12" s="340"/>
      <c r="Q12" s="340"/>
      <c r="R12" s="340"/>
      <c r="S12" s="340"/>
    </row>
    <row r="13" spans="1:19" ht="11.4" x14ac:dyDescent="0.2">
      <c r="A13" s="336" t="str">
        <f t="shared" si="0"/>
        <v>Apr16</v>
      </c>
      <c r="B13" s="337">
        <f t="shared" si="1"/>
        <v>42477</v>
      </c>
      <c r="C13" s="338">
        <v>2</v>
      </c>
      <c r="D13" s="338">
        <v>1</v>
      </c>
      <c r="E13" s="341"/>
      <c r="F13" s="342">
        <v>2</v>
      </c>
      <c r="G13" s="340"/>
      <c r="H13" s="338">
        <v>6</v>
      </c>
      <c r="I13" s="338">
        <v>5</v>
      </c>
      <c r="J13" s="343"/>
      <c r="K13" s="343"/>
      <c r="L13" s="343"/>
      <c r="M13" s="343"/>
      <c r="N13" s="340"/>
      <c r="O13" s="340"/>
      <c r="P13" s="340"/>
      <c r="Q13" s="340"/>
      <c r="R13" s="340"/>
      <c r="S13" s="340"/>
    </row>
    <row r="14" spans="1:19" ht="11.4" x14ac:dyDescent="0.2">
      <c r="A14" s="336" t="str">
        <f t="shared" si="0"/>
        <v>Apr16</v>
      </c>
      <c r="B14" s="337">
        <f t="shared" si="1"/>
        <v>42478</v>
      </c>
      <c r="C14" s="338">
        <v>3</v>
      </c>
      <c r="D14" s="338">
        <v>1</v>
      </c>
      <c r="E14" s="341"/>
      <c r="F14" s="342">
        <v>3</v>
      </c>
      <c r="G14" s="340"/>
      <c r="H14" s="338">
        <v>7</v>
      </c>
      <c r="I14" s="338">
        <v>4</v>
      </c>
      <c r="J14" s="343"/>
      <c r="K14" s="343"/>
      <c r="L14" s="343"/>
      <c r="M14" s="343"/>
      <c r="N14" s="340"/>
      <c r="O14" s="340"/>
      <c r="P14" s="340"/>
      <c r="Q14" s="340"/>
      <c r="R14" s="340"/>
      <c r="S14" s="340"/>
    </row>
    <row r="15" spans="1:19" ht="11.4" x14ac:dyDescent="0.2">
      <c r="A15" s="336" t="str">
        <f t="shared" si="0"/>
        <v>Apr16</v>
      </c>
      <c r="B15" s="337">
        <f t="shared" si="1"/>
        <v>42479</v>
      </c>
      <c r="C15" s="338">
        <v>3</v>
      </c>
      <c r="D15" s="338">
        <v>1</v>
      </c>
      <c r="E15" s="341"/>
      <c r="F15" s="342">
        <v>3</v>
      </c>
      <c r="G15" s="340"/>
      <c r="H15" s="338">
        <v>8</v>
      </c>
      <c r="I15" s="338">
        <v>4</v>
      </c>
      <c r="J15" s="343"/>
      <c r="K15" s="343"/>
      <c r="L15" s="343"/>
      <c r="M15" s="343"/>
      <c r="N15" s="340"/>
      <c r="O15" s="340"/>
      <c r="P15" s="340"/>
      <c r="Q15" s="340"/>
      <c r="R15" s="340"/>
      <c r="S15" s="340"/>
    </row>
    <row r="16" spans="1:19" ht="11.4" x14ac:dyDescent="0.2">
      <c r="A16" s="336" t="str">
        <f t="shared" si="0"/>
        <v>Apr16</v>
      </c>
      <c r="B16" s="337">
        <f t="shared" si="1"/>
        <v>42480</v>
      </c>
      <c r="C16" s="338">
        <v>3</v>
      </c>
      <c r="D16" s="338">
        <v>1</v>
      </c>
      <c r="E16" s="341"/>
      <c r="F16" s="342">
        <v>3</v>
      </c>
      <c r="G16" s="340"/>
      <c r="H16" s="338">
        <v>9</v>
      </c>
      <c r="I16" s="338">
        <v>5</v>
      </c>
      <c r="J16" s="343"/>
      <c r="K16" s="343"/>
      <c r="L16" s="343"/>
      <c r="M16" s="343"/>
      <c r="N16" s="340"/>
      <c r="O16" s="340"/>
      <c r="P16" s="340"/>
      <c r="Q16" s="340"/>
      <c r="R16" s="340"/>
      <c r="S16" s="340"/>
    </row>
    <row r="17" spans="1:19" ht="12" customHeight="1" x14ac:dyDescent="0.2">
      <c r="A17" s="336" t="str">
        <f t="shared" si="0"/>
        <v>Apr16</v>
      </c>
      <c r="B17" s="337">
        <f t="shared" si="1"/>
        <v>42481</v>
      </c>
      <c r="C17" s="338">
        <v>3</v>
      </c>
      <c r="D17" s="338">
        <v>1</v>
      </c>
      <c r="E17" s="341"/>
      <c r="F17" s="342">
        <v>3</v>
      </c>
      <c r="G17" s="340"/>
      <c r="H17" s="338">
        <v>10</v>
      </c>
      <c r="I17" s="338">
        <v>4</v>
      </c>
      <c r="J17" s="343"/>
      <c r="K17" s="343"/>
      <c r="L17" s="343"/>
      <c r="M17" s="343"/>
      <c r="N17" s="340"/>
      <c r="O17" s="340"/>
      <c r="P17" s="340"/>
      <c r="Q17" s="340"/>
      <c r="R17" s="340"/>
      <c r="S17" s="340"/>
    </row>
    <row r="18" spans="1:19" ht="11.4" x14ac:dyDescent="0.2">
      <c r="A18" s="336" t="str">
        <f t="shared" si="0"/>
        <v>Apr16</v>
      </c>
      <c r="B18" s="337">
        <f t="shared" si="1"/>
        <v>42482</v>
      </c>
      <c r="C18" s="338">
        <v>3</v>
      </c>
      <c r="D18" s="338">
        <v>1</v>
      </c>
      <c r="E18" s="341"/>
      <c r="F18" s="342">
        <v>3</v>
      </c>
      <c r="G18" s="340"/>
      <c r="H18" s="338">
        <v>11</v>
      </c>
      <c r="I18" s="338">
        <v>4</v>
      </c>
      <c r="J18" s="343"/>
      <c r="K18" s="343"/>
      <c r="L18" s="343"/>
      <c r="M18" s="343"/>
      <c r="N18" s="340"/>
      <c r="O18" s="340"/>
      <c r="P18" s="340"/>
      <c r="Q18" s="340"/>
      <c r="R18" s="340"/>
      <c r="S18" s="340"/>
    </row>
    <row r="19" spans="1:19" ht="11.4" x14ac:dyDescent="0.2">
      <c r="A19" s="336" t="str">
        <f t="shared" si="0"/>
        <v>Apr16</v>
      </c>
      <c r="B19" s="337">
        <f t="shared" si="1"/>
        <v>42483</v>
      </c>
      <c r="C19" s="338">
        <v>3</v>
      </c>
      <c r="D19" s="338">
        <v>1</v>
      </c>
      <c r="E19" s="341"/>
      <c r="F19" s="342">
        <v>3</v>
      </c>
      <c r="G19" s="340"/>
      <c r="H19" s="338">
        <v>12</v>
      </c>
      <c r="I19" s="338">
        <v>6</v>
      </c>
      <c r="J19" s="343"/>
      <c r="K19" s="343"/>
      <c r="L19" s="343"/>
      <c r="M19" s="343"/>
      <c r="N19" s="340"/>
      <c r="O19" s="340"/>
      <c r="P19" s="340"/>
      <c r="Q19" s="340"/>
      <c r="R19" s="340"/>
      <c r="S19" s="340"/>
    </row>
    <row r="20" spans="1:19" ht="11.4" x14ac:dyDescent="0.2">
      <c r="A20" s="336" t="str">
        <f t="shared" si="0"/>
        <v>Apr16</v>
      </c>
      <c r="B20" s="337">
        <f t="shared" si="1"/>
        <v>42484</v>
      </c>
      <c r="C20" s="338">
        <v>3</v>
      </c>
      <c r="D20" s="338">
        <v>1</v>
      </c>
      <c r="E20" s="341"/>
      <c r="F20" s="342">
        <v>3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</row>
    <row r="21" spans="1:19" ht="11.4" x14ac:dyDescent="0.2">
      <c r="A21" s="336" t="str">
        <f t="shared" si="0"/>
        <v>Apr16</v>
      </c>
      <c r="B21" s="337">
        <f t="shared" si="1"/>
        <v>42485</v>
      </c>
      <c r="C21" s="338">
        <v>4</v>
      </c>
      <c r="D21" s="338">
        <v>1</v>
      </c>
      <c r="E21" s="341"/>
      <c r="F21" s="342">
        <v>4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</row>
    <row r="22" spans="1:19" ht="11.4" x14ac:dyDescent="0.2">
      <c r="A22" s="336" t="str">
        <f t="shared" si="0"/>
        <v>Apr16</v>
      </c>
      <c r="B22" s="337">
        <f t="shared" si="1"/>
        <v>42486</v>
      </c>
      <c r="C22" s="338">
        <v>4</v>
      </c>
      <c r="D22" s="338">
        <v>1</v>
      </c>
      <c r="E22" s="341"/>
      <c r="F22" s="342">
        <v>4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</row>
    <row r="23" spans="1:19" ht="11.4" x14ac:dyDescent="0.2">
      <c r="A23" s="336" t="str">
        <f t="shared" si="0"/>
        <v>Apr16</v>
      </c>
      <c r="B23" s="337">
        <f t="shared" si="1"/>
        <v>42487</v>
      </c>
      <c r="C23" s="338">
        <v>4</v>
      </c>
      <c r="D23" s="338">
        <v>1</v>
      </c>
      <c r="E23" s="341"/>
      <c r="F23" s="342">
        <v>4</v>
      </c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19" ht="11.4" x14ac:dyDescent="0.2">
      <c r="A24" s="336" t="str">
        <f t="shared" si="0"/>
        <v>Apr16</v>
      </c>
      <c r="B24" s="337">
        <f t="shared" si="1"/>
        <v>42488</v>
      </c>
      <c r="C24" s="338">
        <v>4</v>
      </c>
      <c r="D24" s="338">
        <v>1</v>
      </c>
      <c r="E24" s="341"/>
      <c r="F24" s="342">
        <v>4</v>
      </c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</row>
    <row r="25" spans="1:19" ht="11.4" x14ac:dyDescent="0.2">
      <c r="A25" s="336" t="str">
        <f t="shared" si="0"/>
        <v>Apr16</v>
      </c>
      <c r="B25" s="337">
        <f t="shared" si="1"/>
        <v>42489</v>
      </c>
      <c r="C25" s="338">
        <v>4</v>
      </c>
      <c r="D25" s="338">
        <v>1</v>
      </c>
      <c r="E25" s="341"/>
      <c r="F25" s="342">
        <v>4</v>
      </c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</row>
    <row r="26" spans="1:19" ht="12" customHeight="1" x14ac:dyDescent="0.2">
      <c r="A26" s="336" t="str">
        <f t="shared" si="0"/>
        <v>Apr16</v>
      </c>
      <c r="B26" s="337">
        <f t="shared" si="1"/>
        <v>42490</v>
      </c>
      <c r="C26" s="338">
        <v>4</v>
      </c>
      <c r="D26" s="338">
        <v>1</v>
      </c>
      <c r="E26" s="341"/>
      <c r="F26" s="342">
        <v>4</v>
      </c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</row>
    <row r="27" spans="1:19" ht="12" customHeight="1" x14ac:dyDescent="0.2">
      <c r="A27" s="336" t="str">
        <f t="shared" si="0"/>
        <v>Apr16</v>
      </c>
      <c r="B27" s="337">
        <f t="shared" si="1"/>
        <v>42491</v>
      </c>
      <c r="C27" s="338">
        <v>4</v>
      </c>
      <c r="D27" s="338">
        <v>1</v>
      </c>
      <c r="E27" s="340"/>
      <c r="F27" s="342">
        <v>4</v>
      </c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</row>
    <row r="28" spans="1:19" ht="11.4" x14ac:dyDescent="0.2">
      <c r="A28" s="336" t="str">
        <f t="shared" si="0"/>
        <v>Apr16</v>
      </c>
      <c r="B28" s="337">
        <f t="shared" si="1"/>
        <v>42492</v>
      </c>
      <c r="C28" s="338">
        <v>5</v>
      </c>
      <c r="D28" s="338">
        <v>1</v>
      </c>
      <c r="E28" s="341"/>
      <c r="F28" s="342">
        <v>1</v>
      </c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</row>
    <row r="29" spans="1:19" ht="11.4" x14ac:dyDescent="0.2">
      <c r="A29" s="336" t="str">
        <f t="shared" si="0"/>
        <v>Apr16</v>
      </c>
      <c r="B29" s="337">
        <f t="shared" si="1"/>
        <v>42493</v>
      </c>
      <c r="C29" s="338">
        <v>5</v>
      </c>
      <c r="D29" s="338">
        <v>1</v>
      </c>
      <c r="E29" s="341"/>
      <c r="F29" s="342">
        <v>1</v>
      </c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</row>
    <row r="30" spans="1:19" ht="11.4" x14ac:dyDescent="0.2">
      <c r="A30" s="336" t="str">
        <f t="shared" si="0"/>
        <v>Apr16</v>
      </c>
      <c r="B30" s="337">
        <f t="shared" si="1"/>
        <v>42494</v>
      </c>
      <c r="C30" s="338">
        <v>5</v>
      </c>
      <c r="D30" s="338">
        <v>1</v>
      </c>
      <c r="E30" s="341"/>
      <c r="F30" s="338">
        <v>1</v>
      </c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</row>
    <row r="31" spans="1:19" ht="11.4" x14ac:dyDescent="0.2">
      <c r="A31" s="336" t="str">
        <f t="shared" si="0"/>
        <v>Apr16</v>
      </c>
      <c r="B31" s="337">
        <f t="shared" si="1"/>
        <v>42495</v>
      </c>
      <c r="C31" s="338">
        <v>5</v>
      </c>
      <c r="D31" s="338">
        <v>1</v>
      </c>
      <c r="E31" s="341"/>
      <c r="F31" s="342">
        <v>1</v>
      </c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</row>
    <row r="32" spans="1:19" ht="11.4" x14ac:dyDescent="0.2">
      <c r="A32" s="345" t="str">
        <f t="shared" si="0"/>
        <v>May16</v>
      </c>
      <c r="B32" s="337">
        <f t="shared" si="1"/>
        <v>42496</v>
      </c>
      <c r="C32" s="346">
        <v>5</v>
      </c>
      <c r="D32" s="346">
        <v>2</v>
      </c>
      <c r="E32" s="347"/>
      <c r="F32" s="342">
        <v>1</v>
      </c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</row>
    <row r="33" spans="1:19" ht="11.4" x14ac:dyDescent="0.2">
      <c r="A33" s="336" t="str">
        <f t="shared" si="0"/>
        <v>May16</v>
      </c>
      <c r="B33" s="337">
        <f t="shared" si="1"/>
        <v>42497</v>
      </c>
      <c r="C33" s="338">
        <v>5</v>
      </c>
      <c r="D33" s="338">
        <v>2</v>
      </c>
      <c r="E33" s="341"/>
      <c r="F33" s="342">
        <v>1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</row>
    <row r="34" spans="1:19" ht="11.4" x14ac:dyDescent="0.2">
      <c r="A34" s="336" t="str">
        <f t="shared" si="0"/>
        <v>May16</v>
      </c>
      <c r="B34" s="337">
        <f t="shared" si="1"/>
        <v>42498</v>
      </c>
      <c r="C34" s="338">
        <v>5</v>
      </c>
      <c r="D34" s="338">
        <v>2</v>
      </c>
      <c r="E34" s="341"/>
      <c r="F34" s="342">
        <v>1</v>
      </c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19" ht="11.4" x14ac:dyDescent="0.2">
      <c r="A35" s="336" t="str">
        <f t="shared" si="0"/>
        <v>May16</v>
      </c>
      <c r="B35" s="337">
        <f t="shared" si="1"/>
        <v>42499</v>
      </c>
      <c r="C35" s="338">
        <v>6</v>
      </c>
      <c r="D35" s="338">
        <v>2</v>
      </c>
      <c r="E35" s="341"/>
      <c r="F35" s="342">
        <v>2</v>
      </c>
      <c r="G35" s="340"/>
      <c r="H35" s="340"/>
      <c r="I35" s="340"/>
      <c r="J35" s="340"/>
      <c r="K35" s="340"/>
      <c r="L35" s="340"/>
      <c r="M35" s="343"/>
      <c r="N35" s="343"/>
      <c r="O35" s="343"/>
      <c r="P35" s="343"/>
      <c r="Q35" s="343"/>
      <c r="R35" s="343"/>
      <c r="S35" s="343"/>
    </row>
    <row r="36" spans="1:19" ht="11.4" x14ac:dyDescent="0.2">
      <c r="A36" s="336" t="str">
        <f t="shared" si="0"/>
        <v>May16</v>
      </c>
      <c r="B36" s="337">
        <f t="shared" si="1"/>
        <v>42500</v>
      </c>
      <c r="C36" s="338">
        <v>6</v>
      </c>
      <c r="D36" s="338">
        <v>2</v>
      </c>
      <c r="E36" s="341"/>
      <c r="F36" s="342">
        <v>2</v>
      </c>
      <c r="G36" s="340"/>
      <c r="H36" s="340"/>
      <c r="I36" s="340"/>
      <c r="J36" s="340"/>
      <c r="K36" s="340"/>
      <c r="L36" s="340"/>
      <c r="M36" s="343"/>
      <c r="N36" s="343"/>
      <c r="O36" s="343"/>
      <c r="P36" s="343"/>
      <c r="Q36" s="343"/>
      <c r="R36" s="343"/>
      <c r="S36" s="343"/>
    </row>
    <row r="37" spans="1:19" ht="11.4" x14ac:dyDescent="0.2">
      <c r="A37" s="336" t="str">
        <f t="shared" si="0"/>
        <v>May16</v>
      </c>
      <c r="B37" s="337">
        <f t="shared" si="1"/>
        <v>42501</v>
      </c>
      <c r="C37" s="338">
        <v>6</v>
      </c>
      <c r="D37" s="338">
        <v>2</v>
      </c>
      <c r="E37" s="341"/>
      <c r="F37" s="342">
        <v>2</v>
      </c>
      <c r="G37" s="340"/>
      <c r="H37" s="340"/>
      <c r="I37" s="340"/>
      <c r="J37" s="340"/>
      <c r="K37" s="340"/>
      <c r="L37" s="340"/>
      <c r="M37" s="343"/>
      <c r="N37" s="343"/>
      <c r="O37" s="343"/>
      <c r="P37" s="343"/>
      <c r="Q37" s="343"/>
      <c r="R37" s="343"/>
      <c r="S37" s="343"/>
    </row>
    <row r="38" spans="1:19" ht="11.4" x14ac:dyDescent="0.2">
      <c r="A38" s="336" t="str">
        <f t="shared" si="0"/>
        <v>May16</v>
      </c>
      <c r="B38" s="337">
        <f t="shared" si="1"/>
        <v>42502</v>
      </c>
      <c r="C38" s="338">
        <v>6</v>
      </c>
      <c r="D38" s="338">
        <v>2</v>
      </c>
      <c r="E38" s="341"/>
      <c r="F38" s="342">
        <v>2</v>
      </c>
      <c r="G38" s="340"/>
      <c r="H38" s="340"/>
      <c r="I38" s="340"/>
      <c r="J38" s="340"/>
      <c r="K38" s="340"/>
      <c r="L38" s="340"/>
      <c r="M38" s="343"/>
      <c r="N38" s="343"/>
      <c r="O38" s="343"/>
      <c r="P38" s="343"/>
      <c r="Q38" s="343"/>
      <c r="R38" s="343"/>
      <c r="S38" s="343"/>
    </row>
    <row r="39" spans="1:19" ht="11.4" x14ac:dyDescent="0.2">
      <c r="A39" s="336" t="str">
        <f t="shared" si="0"/>
        <v>May16</v>
      </c>
      <c r="B39" s="337">
        <f t="shared" si="1"/>
        <v>42503</v>
      </c>
      <c r="C39" s="338">
        <v>6</v>
      </c>
      <c r="D39" s="338">
        <v>2</v>
      </c>
      <c r="E39" s="341"/>
      <c r="F39" s="342">
        <v>2</v>
      </c>
      <c r="G39" s="340"/>
      <c r="H39" s="340"/>
      <c r="I39" s="340"/>
      <c r="J39" s="340"/>
      <c r="K39" s="340"/>
      <c r="L39" s="340"/>
      <c r="M39" s="343"/>
      <c r="N39" s="343"/>
      <c r="O39" s="343"/>
      <c r="P39" s="343"/>
      <c r="Q39" s="343"/>
      <c r="R39" s="343"/>
      <c r="S39" s="343"/>
    </row>
    <row r="40" spans="1:19" ht="11.4" x14ac:dyDescent="0.2">
      <c r="A40" s="336" t="str">
        <f t="shared" si="0"/>
        <v>May16</v>
      </c>
      <c r="B40" s="337">
        <f t="shared" si="1"/>
        <v>42504</v>
      </c>
      <c r="C40" s="338">
        <v>6</v>
      </c>
      <c r="D40" s="338">
        <v>2</v>
      </c>
      <c r="E40" s="341"/>
      <c r="F40" s="342">
        <v>2</v>
      </c>
      <c r="G40" s="340"/>
      <c r="H40" s="340"/>
      <c r="I40" s="340"/>
      <c r="J40" s="340"/>
      <c r="K40" s="340"/>
      <c r="L40" s="340"/>
      <c r="M40" s="343"/>
      <c r="N40" s="343"/>
      <c r="O40" s="343"/>
      <c r="P40" s="343"/>
      <c r="Q40" s="343"/>
      <c r="R40" s="343"/>
      <c r="S40" s="343"/>
    </row>
    <row r="41" spans="1:19" ht="11.4" x14ac:dyDescent="0.2">
      <c r="A41" s="336" t="str">
        <f t="shared" si="0"/>
        <v>May16</v>
      </c>
      <c r="B41" s="337">
        <f t="shared" si="1"/>
        <v>42505</v>
      </c>
      <c r="C41" s="338">
        <v>6</v>
      </c>
      <c r="D41" s="338">
        <v>2</v>
      </c>
      <c r="E41" s="341"/>
      <c r="F41" s="342">
        <v>2</v>
      </c>
      <c r="G41" s="340"/>
      <c r="H41" s="340"/>
      <c r="I41" s="340"/>
      <c r="J41" s="340"/>
      <c r="K41" s="340"/>
      <c r="L41" s="340"/>
      <c r="M41" s="343"/>
      <c r="N41" s="343"/>
      <c r="O41" s="343"/>
      <c r="P41" s="343"/>
      <c r="Q41" s="343"/>
      <c r="R41" s="343"/>
      <c r="S41" s="343"/>
    </row>
    <row r="42" spans="1:19" ht="11.4" x14ac:dyDescent="0.2">
      <c r="A42" s="336" t="str">
        <f t="shared" si="0"/>
        <v>May16</v>
      </c>
      <c r="B42" s="337">
        <f t="shared" si="1"/>
        <v>42506</v>
      </c>
      <c r="C42" s="338">
        <v>7</v>
      </c>
      <c r="D42" s="338">
        <v>2</v>
      </c>
      <c r="E42" s="341"/>
      <c r="F42" s="342">
        <v>3</v>
      </c>
      <c r="G42" s="340"/>
      <c r="H42" s="340"/>
      <c r="I42" s="340"/>
      <c r="J42" s="340"/>
      <c r="K42" s="340"/>
      <c r="L42" s="340"/>
      <c r="M42" s="343"/>
      <c r="N42" s="343"/>
      <c r="O42" s="343"/>
      <c r="P42" s="343"/>
      <c r="Q42" s="343"/>
      <c r="R42" s="343"/>
      <c r="S42" s="343"/>
    </row>
    <row r="43" spans="1:19" ht="11.4" x14ac:dyDescent="0.2">
      <c r="A43" s="336" t="str">
        <f t="shared" si="0"/>
        <v>May16</v>
      </c>
      <c r="B43" s="337">
        <f t="shared" si="1"/>
        <v>42507</v>
      </c>
      <c r="C43" s="338">
        <v>7</v>
      </c>
      <c r="D43" s="338">
        <v>2</v>
      </c>
      <c r="E43" s="341"/>
      <c r="F43" s="342">
        <v>3</v>
      </c>
      <c r="G43" s="340"/>
      <c r="H43" s="340"/>
      <c r="I43" s="340"/>
      <c r="J43" s="340"/>
      <c r="K43" s="340"/>
      <c r="L43" s="340"/>
      <c r="M43" s="343"/>
      <c r="N43" s="343"/>
      <c r="O43" s="343"/>
      <c r="P43" s="343"/>
      <c r="Q43" s="343"/>
      <c r="R43" s="343"/>
      <c r="S43" s="343"/>
    </row>
    <row r="44" spans="1:19" ht="11.4" x14ac:dyDescent="0.2">
      <c r="A44" s="336" t="str">
        <f t="shared" si="0"/>
        <v>May16</v>
      </c>
      <c r="B44" s="337">
        <f t="shared" si="1"/>
        <v>42508</v>
      </c>
      <c r="C44" s="338">
        <v>7</v>
      </c>
      <c r="D44" s="338">
        <v>2</v>
      </c>
      <c r="E44" s="341"/>
      <c r="F44" s="342">
        <v>3</v>
      </c>
      <c r="G44" s="340"/>
      <c r="H44" s="340"/>
      <c r="I44" s="340"/>
      <c r="J44" s="340"/>
      <c r="K44" s="340"/>
      <c r="L44" s="340"/>
      <c r="M44" s="343"/>
      <c r="N44" s="343"/>
      <c r="O44" s="343"/>
      <c r="P44" s="343"/>
      <c r="Q44" s="343"/>
      <c r="R44" s="343"/>
      <c r="S44" s="343"/>
    </row>
    <row r="45" spans="1:19" ht="11.4" x14ac:dyDescent="0.2">
      <c r="A45" s="336" t="str">
        <f t="shared" si="0"/>
        <v>May16</v>
      </c>
      <c r="B45" s="337">
        <f t="shared" si="1"/>
        <v>42509</v>
      </c>
      <c r="C45" s="338">
        <v>7</v>
      </c>
      <c r="D45" s="338">
        <v>2</v>
      </c>
      <c r="E45" s="341"/>
      <c r="F45" s="342">
        <v>3</v>
      </c>
      <c r="G45" s="340"/>
      <c r="H45" s="340"/>
      <c r="I45" s="340"/>
      <c r="J45" s="340"/>
      <c r="K45" s="340"/>
      <c r="L45" s="340"/>
      <c r="M45" s="343"/>
      <c r="N45" s="343"/>
      <c r="O45" s="343"/>
      <c r="P45" s="343"/>
      <c r="Q45" s="343"/>
      <c r="R45" s="343"/>
      <c r="S45" s="343"/>
    </row>
    <row r="46" spans="1:19" ht="11.4" x14ac:dyDescent="0.2">
      <c r="A46" s="336" t="str">
        <f t="shared" si="0"/>
        <v>May16</v>
      </c>
      <c r="B46" s="337">
        <f t="shared" si="1"/>
        <v>42510</v>
      </c>
      <c r="C46" s="338">
        <v>7</v>
      </c>
      <c r="D46" s="338">
        <v>2</v>
      </c>
      <c r="E46" s="341"/>
      <c r="F46" s="342">
        <v>3</v>
      </c>
      <c r="G46" s="340"/>
      <c r="H46" s="340"/>
      <c r="I46" s="340"/>
      <c r="J46" s="340"/>
      <c r="K46" s="340"/>
      <c r="L46" s="340"/>
      <c r="M46" s="343"/>
      <c r="N46" s="343"/>
      <c r="O46" s="343"/>
      <c r="P46" s="343"/>
      <c r="Q46" s="343"/>
      <c r="R46" s="343"/>
      <c r="S46" s="343"/>
    </row>
    <row r="47" spans="1:19" ht="11.4" x14ac:dyDescent="0.2">
      <c r="A47" s="336" t="str">
        <f t="shared" si="0"/>
        <v>May16</v>
      </c>
      <c r="B47" s="337">
        <f t="shared" si="1"/>
        <v>42511</v>
      </c>
      <c r="C47" s="338">
        <v>7</v>
      </c>
      <c r="D47" s="338">
        <v>2</v>
      </c>
      <c r="E47" s="341"/>
      <c r="F47" s="342">
        <v>3</v>
      </c>
      <c r="G47" s="340"/>
      <c r="H47" s="340"/>
      <c r="I47" s="340"/>
      <c r="J47" s="340"/>
      <c r="K47" s="340"/>
      <c r="L47" s="340"/>
      <c r="M47" s="343"/>
      <c r="N47" s="343"/>
      <c r="O47" s="343"/>
      <c r="P47" s="343"/>
      <c r="Q47" s="343"/>
      <c r="R47" s="343"/>
      <c r="S47" s="343"/>
    </row>
    <row r="48" spans="1:19" ht="11.4" x14ac:dyDescent="0.2">
      <c r="A48" s="336" t="str">
        <f t="shared" si="0"/>
        <v>May16</v>
      </c>
      <c r="B48" s="337">
        <f t="shared" si="1"/>
        <v>42512</v>
      </c>
      <c r="C48" s="338">
        <v>7</v>
      </c>
      <c r="D48" s="338">
        <v>2</v>
      </c>
      <c r="E48" s="341"/>
      <c r="F48" s="342">
        <v>3</v>
      </c>
      <c r="G48" s="340"/>
      <c r="H48" s="340"/>
      <c r="I48" s="340"/>
      <c r="J48" s="340"/>
      <c r="K48" s="340"/>
      <c r="L48" s="340"/>
      <c r="M48" s="343"/>
      <c r="N48" s="343"/>
      <c r="O48" s="343"/>
      <c r="P48" s="343"/>
      <c r="Q48" s="343"/>
      <c r="R48" s="343"/>
      <c r="S48" s="343"/>
    </row>
    <row r="49" spans="1:19" ht="11.4" x14ac:dyDescent="0.2">
      <c r="A49" s="336" t="str">
        <f t="shared" si="0"/>
        <v>May16</v>
      </c>
      <c r="B49" s="337">
        <f t="shared" si="1"/>
        <v>42513</v>
      </c>
      <c r="C49" s="338">
        <v>8</v>
      </c>
      <c r="D49" s="338">
        <v>2</v>
      </c>
      <c r="E49" s="341"/>
      <c r="F49" s="342">
        <v>4</v>
      </c>
      <c r="G49" s="340"/>
      <c r="H49" s="340"/>
      <c r="I49" s="340"/>
      <c r="J49" s="340"/>
      <c r="K49" s="340"/>
      <c r="L49" s="340"/>
      <c r="M49" s="343"/>
      <c r="N49" s="343"/>
      <c r="O49" s="343"/>
      <c r="P49" s="343"/>
      <c r="Q49" s="343"/>
      <c r="R49" s="343"/>
      <c r="S49" s="343"/>
    </row>
    <row r="50" spans="1:19" ht="11.4" x14ac:dyDescent="0.2">
      <c r="A50" s="336" t="str">
        <f t="shared" si="0"/>
        <v>May16</v>
      </c>
      <c r="B50" s="337">
        <f t="shared" si="1"/>
        <v>42514</v>
      </c>
      <c r="C50" s="338">
        <v>8</v>
      </c>
      <c r="D50" s="338">
        <v>2</v>
      </c>
      <c r="E50" s="341"/>
      <c r="F50" s="342">
        <v>4</v>
      </c>
      <c r="G50" s="340"/>
      <c r="H50" s="340"/>
      <c r="I50" s="340"/>
      <c r="J50" s="340"/>
      <c r="K50" s="340"/>
      <c r="L50" s="340"/>
      <c r="M50" s="343"/>
      <c r="N50" s="343"/>
      <c r="O50" s="343"/>
      <c r="P50" s="343"/>
      <c r="Q50" s="343"/>
      <c r="R50" s="343"/>
      <c r="S50" s="343"/>
    </row>
    <row r="51" spans="1:19" ht="11.4" x14ac:dyDescent="0.2">
      <c r="A51" s="336" t="str">
        <f t="shared" si="0"/>
        <v>May16</v>
      </c>
      <c r="B51" s="337">
        <f t="shared" si="1"/>
        <v>42515</v>
      </c>
      <c r="C51" s="338">
        <v>8</v>
      </c>
      <c r="D51" s="338">
        <v>2</v>
      </c>
      <c r="E51" s="341"/>
      <c r="F51" s="342">
        <v>4</v>
      </c>
      <c r="G51" s="340"/>
      <c r="H51" s="340"/>
      <c r="I51" s="340"/>
      <c r="J51" s="340"/>
      <c r="K51" s="340"/>
      <c r="L51" s="340"/>
      <c r="M51" s="343"/>
      <c r="N51" s="343"/>
      <c r="O51" s="343"/>
      <c r="P51" s="343"/>
      <c r="Q51" s="343"/>
      <c r="R51" s="343"/>
      <c r="S51" s="343"/>
    </row>
    <row r="52" spans="1:19" ht="11.4" x14ac:dyDescent="0.2">
      <c r="A52" s="336" t="str">
        <f t="shared" si="0"/>
        <v>May16</v>
      </c>
      <c r="B52" s="337">
        <f t="shared" si="1"/>
        <v>42516</v>
      </c>
      <c r="C52" s="338">
        <v>8</v>
      </c>
      <c r="D52" s="338">
        <v>2</v>
      </c>
      <c r="E52" s="341"/>
      <c r="F52" s="342">
        <v>4</v>
      </c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</row>
    <row r="53" spans="1:19" ht="11.4" x14ac:dyDescent="0.2">
      <c r="A53" s="336" t="str">
        <f t="shared" si="0"/>
        <v>May16</v>
      </c>
      <c r="B53" s="337">
        <f t="shared" si="1"/>
        <v>42517</v>
      </c>
      <c r="C53" s="338">
        <v>8</v>
      </c>
      <c r="D53" s="338">
        <v>2</v>
      </c>
      <c r="E53" s="341"/>
      <c r="F53" s="342">
        <v>4</v>
      </c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</row>
    <row r="54" spans="1:19" ht="11.4" x14ac:dyDescent="0.2">
      <c r="A54" s="336" t="str">
        <f t="shared" si="0"/>
        <v>May16</v>
      </c>
      <c r="B54" s="337">
        <f t="shared" si="1"/>
        <v>42518</v>
      </c>
      <c r="C54" s="338">
        <v>8</v>
      </c>
      <c r="D54" s="338">
        <v>2</v>
      </c>
      <c r="E54" s="341"/>
      <c r="F54" s="342">
        <v>4</v>
      </c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</row>
    <row r="55" spans="1:19" ht="11.4" x14ac:dyDescent="0.2">
      <c r="A55" s="336" t="str">
        <f t="shared" si="0"/>
        <v>May16</v>
      </c>
      <c r="B55" s="337">
        <f t="shared" si="1"/>
        <v>42519</v>
      </c>
      <c r="C55" s="338">
        <v>8</v>
      </c>
      <c r="D55" s="338">
        <v>2</v>
      </c>
      <c r="E55" s="341"/>
      <c r="F55" s="342">
        <v>4</v>
      </c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</row>
    <row r="56" spans="1:19" ht="11.4" x14ac:dyDescent="0.2">
      <c r="A56" s="336" t="str">
        <f t="shared" si="0"/>
        <v>May16</v>
      </c>
      <c r="B56" s="337">
        <f t="shared" si="1"/>
        <v>42520</v>
      </c>
      <c r="C56" s="338">
        <v>9</v>
      </c>
      <c r="D56" s="338">
        <v>2</v>
      </c>
      <c r="E56" s="341"/>
      <c r="F56" s="342">
        <v>1</v>
      </c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</row>
    <row r="57" spans="1:19" ht="11.4" x14ac:dyDescent="0.2">
      <c r="A57" s="336" t="str">
        <f t="shared" si="0"/>
        <v>May16</v>
      </c>
      <c r="B57" s="337">
        <f t="shared" si="1"/>
        <v>42521</v>
      </c>
      <c r="C57" s="338">
        <v>9</v>
      </c>
      <c r="D57" s="338">
        <v>2</v>
      </c>
      <c r="E57" s="341"/>
      <c r="F57" s="342">
        <v>1</v>
      </c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</row>
    <row r="58" spans="1:19" x14ac:dyDescent="0.2">
      <c r="A58" s="336" t="str">
        <f t="shared" si="0"/>
        <v>May16</v>
      </c>
      <c r="B58" s="337">
        <f t="shared" si="1"/>
        <v>42522</v>
      </c>
      <c r="C58" s="338">
        <v>9</v>
      </c>
      <c r="D58" s="338">
        <v>2</v>
      </c>
      <c r="E58" s="341"/>
      <c r="F58" s="338">
        <v>1</v>
      </c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</row>
    <row r="59" spans="1:19" ht="11.4" x14ac:dyDescent="0.2">
      <c r="A59" s="336" t="str">
        <f t="shared" si="0"/>
        <v>May16</v>
      </c>
      <c r="B59" s="337">
        <f t="shared" si="1"/>
        <v>42523</v>
      </c>
      <c r="C59" s="338">
        <v>9</v>
      </c>
      <c r="D59" s="338">
        <v>2</v>
      </c>
      <c r="E59" s="341"/>
      <c r="F59" s="342">
        <v>1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</row>
    <row r="60" spans="1:19" ht="11.4" x14ac:dyDescent="0.2">
      <c r="A60" s="336" t="str">
        <f t="shared" si="0"/>
        <v>May16</v>
      </c>
      <c r="B60" s="337">
        <f t="shared" si="1"/>
        <v>42524</v>
      </c>
      <c r="C60" s="338">
        <v>9</v>
      </c>
      <c r="D60" s="338">
        <v>2</v>
      </c>
      <c r="E60" s="341"/>
      <c r="F60" s="342">
        <v>1</v>
      </c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</row>
    <row r="61" spans="1:19" ht="11.4" x14ac:dyDescent="0.2">
      <c r="A61" s="336" t="str">
        <f t="shared" si="0"/>
        <v>May16</v>
      </c>
      <c r="B61" s="337">
        <f t="shared" si="1"/>
        <v>42525</v>
      </c>
      <c r="C61" s="338">
        <v>9</v>
      </c>
      <c r="D61" s="338">
        <v>2</v>
      </c>
      <c r="E61" s="341"/>
      <c r="F61" s="342">
        <v>1</v>
      </c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</row>
    <row r="62" spans="1:19" ht="11.4" x14ac:dyDescent="0.2">
      <c r="A62" s="336" t="str">
        <f t="shared" si="0"/>
        <v>May16</v>
      </c>
      <c r="B62" s="337">
        <f t="shared" si="1"/>
        <v>42526</v>
      </c>
      <c r="C62" s="338">
        <v>9</v>
      </c>
      <c r="D62" s="338">
        <v>2</v>
      </c>
      <c r="E62" s="341"/>
      <c r="F62" s="342">
        <v>1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</row>
    <row r="63" spans="1:19" ht="11.4" x14ac:dyDescent="0.2">
      <c r="A63" s="345" t="str">
        <f t="shared" si="0"/>
        <v>Jun16</v>
      </c>
      <c r="B63" s="337">
        <f t="shared" si="1"/>
        <v>42527</v>
      </c>
      <c r="C63" s="346">
        <v>10</v>
      </c>
      <c r="D63" s="346">
        <v>3</v>
      </c>
      <c r="E63" s="347"/>
      <c r="F63" s="342">
        <v>2</v>
      </c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</row>
    <row r="64" spans="1:19" ht="11.4" x14ac:dyDescent="0.2">
      <c r="A64" s="336" t="str">
        <f t="shared" si="0"/>
        <v>Jun16</v>
      </c>
      <c r="B64" s="337">
        <f t="shared" si="1"/>
        <v>42528</v>
      </c>
      <c r="C64" s="338">
        <v>10</v>
      </c>
      <c r="D64" s="338">
        <v>3</v>
      </c>
      <c r="E64" s="341"/>
      <c r="F64" s="342">
        <v>2</v>
      </c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</row>
    <row r="65" spans="1:19" ht="11.4" x14ac:dyDescent="0.2">
      <c r="A65" s="336" t="str">
        <f t="shared" si="0"/>
        <v>Jun16</v>
      </c>
      <c r="B65" s="337">
        <f t="shared" si="1"/>
        <v>42529</v>
      </c>
      <c r="C65" s="338">
        <v>10</v>
      </c>
      <c r="D65" s="338">
        <v>3</v>
      </c>
      <c r="E65" s="341"/>
      <c r="F65" s="342">
        <v>2</v>
      </c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</row>
    <row r="66" spans="1:19" ht="11.4" x14ac:dyDescent="0.2">
      <c r="A66" s="336" t="str">
        <f t="shared" si="0"/>
        <v>Jun16</v>
      </c>
      <c r="B66" s="337">
        <f t="shared" si="1"/>
        <v>42530</v>
      </c>
      <c r="C66" s="338">
        <v>10</v>
      </c>
      <c r="D66" s="338">
        <v>3</v>
      </c>
      <c r="E66" s="341"/>
      <c r="F66" s="342">
        <v>2</v>
      </c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</row>
    <row r="67" spans="1:19" ht="11.4" x14ac:dyDescent="0.2">
      <c r="A67" s="336" t="str">
        <f t="shared" ref="A67:A130" si="2">TEXT(DATE(YEAR(B$2),MONTH(B$2)+(D67-1),1),"MmmYY")</f>
        <v>Jun16</v>
      </c>
      <c r="B67" s="337">
        <f t="shared" si="1"/>
        <v>42531</v>
      </c>
      <c r="C67" s="338">
        <v>10</v>
      </c>
      <c r="D67" s="338">
        <v>3</v>
      </c>
      <c r="E67" s="341"/>
      <c r="F67" s="342">
        <v>2</v>
      </c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</row>
    <row r="68" spans="1:19" ht="11.4" x14ac:dyDescent="0.2">
      <c r="A68" s="336" t="str">
        <f t="shared" si="2"/>
        <v>Jun16</v>
      </c>
      <c r="B68" s="337">
        <f t="shared" ref="B68:B131" si="3">B67+1</f>
        <v>42532</v>
      </c>
      <c r="C68" s="338">
        <v>10</v>
      </c>
      <c r="D68" s="338">
        <v>3</v>
      </c>
      <c r="E68" s="341"/>
      <c r="F68" s="342">
        <v>2</v>
      </c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</row>
    <row r="69" spans="1:19" ht="11.4" x14ac:dyDescent="0.2">
      <c r="A69" s="336" t="str">
        <f t="shared" si="2"/>
        <v>Jun16</v>
      </c>
      <c r="B69" s="337">
        <f t="shared" si="3"/>
        <v>42533</v>
      </c>
      <c r="C69" s="338">
        <v>10</v>
      </c>
      <c r="D69" s="338">
        <v>3</v>
      </c>
      <c r="E69" s="341"/>
      <c r="F69" s="342">
        <v>2</v>
      </c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</row>
    <row r="70" spans="1:19" ht="11.4" x14ac:dyDescent="0.2">
      <c r="A70" s="336" t="str">
        <f t="shared" si="2"/>
        <v>Jun16</v>
      </c>
      <c r="B70" s="337">
        <f t="shared" si="3"/>
        <v>42534</v>
      </c>
      <c r="C70" s="338">
        <v>11</v>
      </c>
      <c r="D70" s="338">
        <v>3</v>
      </c>
      <c r="E70" s="341"/>
      <c r="F70" s="342">
        <v>3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</row>
    <row r="71" spans="1:19" ht="11.4" x14ac:dyDescent="0.2">
      <c r="A71" s="336" t="str">
        <f t="shared" si="2"/>
        <v>Jun16</v>
      </c>
      <c r="B71" s="337">
        <f t="shared" si="3"/>
        <v>42535</v>
      </c>
      <c r="C71" s="338">
        <v>11</v>
      </c>
      <c r="D71" s="338">
        <v>3</v>
      </c>
      <c r="E71" s="341"/>
      <c r="F71" s="342">
        <v>3</v>
      </c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</row>
    <row r="72" spans="1:19" ht="11.4" x14ac:dyDescent="0.2">
      <c r="A72" s="336" t="str">
        <f t="shared" si="2"/>
        <v>Jun16</v>
      </c>
      <c r="B72" s="337">
        <f t="shared" si="3"/>
        <v>42536</v>
      </c>
      <c r="C72" s="338">
        <v>11</v>
      </c>
      <c r="D72" s="338">
        <v>3</v>
      </c>
      <c r="E72" s="341"/>
      <c r="F72" s="342">
        <v>3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</row>
    <row r="73" spans="1:19" ht="11.4" x14ac:dyDescent="0.2">
      <c r="A73" s="336" t="str">
        <f t="shared" si="2"/>
        <v>Jun16</v>
      </c>
      <c r="B73" s="337">
        <f t="shared" si="3"/>
        <v>42537</v>
      </c>
      <c r="C73" s="338">
        <v>11</v>
      </c>
      <c r="D73" s="338">
        <v>3</v>
      </c>
      <c r="E73" s="341"/>
      <c r="F73" s="342">
        <v>3</v>
      </c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</row>
    <row r="74" spans="1:19" ht="11.4" x14ac:dyDescent="0.2">
      <c r="A74" s="336" t="str">
        <f t="shared" si="2"/>
        <v>Jun16</v>
      </c>
      <c r="B74" s="337">
        <f t="shared" si="3"/>
        <v>42538</v>
      </c>
      <c r="C74" s="338">
        <v>11</v>
      </c>
      <c r="D74" s="338">
        <v>3</v>
      </c>
      <c r="E74" s="341"/>
      <c r="F74" s="342">
        <v>3</v>
      </c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</row>
    <row r="75" spans="1:19" ht="11.4" x14ac:dyDescent="0.2">
      <c r="A75" s="336" t="str">
        <f t="shared" si="2"/>
        <v>Jun16</v>
      </c>
      <c r="B75" s="337">
        <f t="shared" si="3"/>
        <v>42539</v>
      </c>
      <c r="C75" s="338">
        <v>11</v>
      </c>
      <c r="D75" s="338">
        <v>3</v>
      </c>
      <c r="E75" s="341"/>
      <c r="F75" s="342">
        <v>3</v>
      </c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</row>
    <row r="76" spans="1:19" ht="11.4" x14ac:dyDescent="0.2">
      <c r="A76" s="336" t="str">
        <f t="shared" si="2"/>
        <v>Jun16</v>
      </c>
      <c r="B76" s="337">
        <f t="shared" si="3"/>
        <v>42540</v>
      </c>
      <c r="C76" s="338">
        <v>11</v>
      </c>
      <c r="D76" s="338">
        <v>3</v>
      </c>
      <c r="E76" s="341"/>
      <c r="F76" s="342">
        <v>3</v>
      </c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</row>
    <row r="77" spans="1:19" ht="11.4" x14ac:dyDescent="0.2">
      <c r="A77" s="336" t="str">
        <f t="shared" si="2"/>
        <v>Jun16</v>
      </c>
      <c r="B77" s="337">
        <f t="shared" si="3"/>
        <v>42541</v>
      </c>
      <c r="C77" s="338">
        <v>12</v>
      </c>
      <c r="D77" s="338">
        <v>3</v>
      </c>
      <c r="E77" s="341"/>
      <c r="F77" s="342">
        <v>4</v>
      </c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</row>
    <row r="78" spans="1:19" ht="11.4" x14ac:dyDescent="0.2">
      <c r="A78" s="336" t="str">
        <f t="shared" si="2"/>
        <v>Jun16</v>
      </c>
      <c r="B78" s="337">
        <f t="shared" si="3"/>
        <v>42542</v>
      </c>
      <c r="C78" s="338">
        <v>12</v>
      </c>
      <c r="D78" s="338">
        <v>3</v>
      </c>
      <c r="E78" s="341"/>
      <c r="F78" s="342">
        <v>4</v>
      </c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</row>
    <row r="79" spans="1:19" ht="11.4" x14ac:dyDescent="0.2">
      <c r="A79" s="336" t="str">
        <f t="shared" si="2"/>
        <v>Jun16</v>
      </c>
      <c r="B79" s="337">
        <f t="shared" si="3"/>
        <v>42543</v>
      </c>
      <c r="C79" s="338">
        <v>12</v>
      </c>
      <c r="D79" s="338">
        <v>3</v>
      </c>
      <c r="E79" s="341"/>
      <c r="F79" s="342">
        <v>4</v>
      </c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</row>
    <row r="80" spans="1:19" ht="11.4" x14ac:dyDescent="0.2">
      <c r="A80" s="336" t="str">
        <f t="shared" si="2"/>
        <v>Jun16</v>
      </c>
      <c r="B80" s="337">
        <f t="shared" si="3"/>
        <v>42544</v>
      </c>
      <c r="C80" s="338">
        <v>12</v>
      </c>
      <c r="D80" s="338">
        <v>3</v>
      </c>
      <c r="E80" s="341"/>
      <c r="F80" s="342">
        <v>4</v>
      </c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</row>
    <row r="81" spans="1:19" ht="11.4" x14ac:dyDescent="0.2">
      <c r="A81" s="336" t="str">
        <f t="shared" si="2"/>
        <v>Jun16</v>
      </c>
      <c r="B81" s="337">
        <f t="shared" si="3"/>
        <v>42545</v>
      </c>
      <c r="C81" s="338">
        <v>12</v>
      </c>
      <c r="D81" s="338">
        <v>3</v>
      </c>
      <c r="E81" s="341"/>
      <c r="F81" s="342">
        <v>4</v>
      </c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</row>
    <row r="82" spans="1:19" ht="11.4" x14ac:dyDescent="0.2">
      <c r="A82" s="336" t="str">
        <f t="shared" si="2"/>
        <v>Jun16</v>
      </c>
      <c r="B82" s="337">
        <f t="shared" si="3"/>
        <v>42546</v>
      </c>
      <c r="C82" s="338">
        <v>12</v>
      </c>
      <c r="D82" s="338">
        <v>3</v>
      </c>
      <c r="E82" s="341"/>
      <c r="F82" s="342">
        <v>4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</row>
    <row r="83" spans="1:19" ht="11.4" x14ac:dyDescent="0.2">
      <c r="A83" s="336" t="str">
        <f t="shared" si="2"/>
        <v>Jun16</v>
      </c>
      <c r="B83" s="337">
        <f t="shared" si="3"/>
        <v>42547</v>
      </c>
      <c r="C83" s="338">
        <v>12</v>
      </c>
      <c r="D83" s="338">
        <v>3</v>
      </c>
      <c r="E83" s="341"/>
      <c r="F83" s="342">
        <v>4</v>
      </c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</row>
    <row r="84" spans="1:19" ht="11.4" x14ac:dyDescent="0.2">
      <c r="A84" s="336" t="str">
        <f t="shared" si="2"/>
        <v>Jun16</v>
      </c>
      <c r="B84" s="337">
        <f t="shared" si="3"/>
        <v>42548</v>
      </c>
      <c r="C84" s="338">
        <v>13</v>
      </c>
      <c r="D84" s="338">
        <v>3</v>
      </c>
      <c r="E84" s="341"/>
      <c r="F84" s="342">
        <v>5</v>
      </c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</row>
    <row r="85" spans="1:19" ht="11.4" x14ac:dyDescent="0.2">
      <c r="A85" s="336" t="str">
        <f t="shared" si="2"/>
        <v>Jun16</v>
      </c>
      <c r="B85" s="337">
        <f t="shared" si="3"/>
        <v>42549</v>
      </c>
      <c r="C85" s="338">
        <v>13</v>
      </c>
      <c r="D85" s="338">
        <v>3</v>
      </c>
      <c r="E85" s="341"/>
      <c r="F85" s="342">
        <v>5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</row>
    <row r="86" spans="1:19" ht="11.4" x14ac:dyDescent="0.2">
      <c r="A86" s="336" t="str">
        <f t="shared" si="2"/>
        <v>Jun16</v>
      </c>
      <c r="B86" s="337">
        <f t="shared" si="3"/>
        <v>42550</v>
      </c>
      <c r="C86" s="338">
        <v>13</v>
      </c>
      <c r="D86" s="338">
        <v>3</v>
      </c>
      <c r="E86" s="341"/>
      <c r="F86" s="342">
        <v>5</v>
      </c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</row>
    <row r="87" spans="1:19" ht="11.4" x14ac:dyDescent="0.2">
      <c r="A87" s="336" t="str">
        <f t="shared" si="2"/>
        <v>Jun16</v>
      </c>
      <c r="B87" s="337">
        <f t="shared" si="3"/>
        <v>42551</v>
      </c>
      <c r="C87" s="338">
        <v>13</v>
      </c>
      <c r="D87" s="338">
        <v>3</v>
      </c>
      <c r="E87" s="341"/>
      <c r="F87" s="342">
        <v>5</v>
      </c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</row>
    <row r="88" spans="1:19" ht="11.4" x14ac:dyDescent="0.2">
      <c r="A88" s="336" t="str">
        <f t="shared" si="2"/>
        <v>Jun16</v>
      </c>
      <c r="B88" s="337">
        <f t="shared" si="3"/>
        <v>42552</v>
      </c>
      <c r="C88" s="338">
        <v>13</v>
      </c>
      <c r="D88" s="338">
        <v>3</v>
      </c>
      <c r="E88" s="341"/>
      <c r="F88" s="342">
        <v>5</v>
      </c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</row>
    <row r="89" spans="1:19" ht="11.4" x14ac:dyDescent="0.2">
      <c r="A89" s="336" t="str">
        <f t="shared" si="2"/>
        <v>Jun16</v>
      </c>
      <c r="B89" s="337">
        <f t="shared" si="3"/>
        <v>42553</v>
      </c>
      <c r="C89" s="338">
        <v>13</v>
      </c>
      <c r="D89" s="338">
        <v>3</v>
      </c>
      <c r="E89" s="341"/>
      <c r="F89" s="342">
        <v>5</v>
      </c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</row>
    <row r="90" spans="1:19" ht="11.4" x14ac:dyDescent="0.2">
      <c r="A90" s="336" t="str">
        <f t="shared" si="2"/>
        <v>Jun16</v>
      </c>
      <c r="B90" s="337">
        <f t="shared" si="3"/>
        <v>42554</v>
      </c>
      <c r="C90" s="338">
        <v>13</v>
      </c>
      <c r="D90" s="338">
        <v>3</v>
      </c>
      <c r="E90" s="341"/>
      <c r="F90" s="342">
        <v>5</v>
      </c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</row>
    <row r="91" spans="1:19" ht="11.4" x14ac:dyDescent="0.2">
      <c r="A91" s="336" t="str">
        <f t="shared" si="2"/>
        <v>Jun16</v>
      </c>
      <c r="B91" s="337">
        <f t="shared" si="3"/>
        <v>42555</v>
      </c>
      <c r="C91" s="338">
        <v>14</v>
      </c>
      <c r="D91" s="338">
        <v>3</v>
      </c>
      <c r="E91" s="341"/>
      <c r="F91" s="342">
        <v>1</v>
      </c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</row>
    <row r="92" spans="1:19" ht="11.4" x14ac:dyDescent="0.2">
      <c r="A92" s="336" t="str">
        <f t="shared" si="2"/>
        <v>Jun16</v>
      </c>
      <c r="B92" s="337">
        <f t="shared" si="3"/>
        <v>42556</v>
      </c>
      <c r="C92" s="338">
        <v>14</v>
      </c>
      <c r="D92" s="338">
        <v>3</v>
      </c>
      <c r="E92" s="341"/>
      <c r="F92" s="342">
        <v>1</v>
      </c>
      <c r="G92" s="344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</row>
    <row r="93" spans="1:19" x14ac:dyDescent="0.2">
      <c r="A93" s="345" t="str">
        <f t="shared" si="2"/>
        <v>Jul16</v>
      </c>
      <c r="B93" s="337">
        <f t="shared" si="3"/>
        <v>42557</v>
      </c>
      <c r="C93" s="346">
        <v>14</v>
      </c>
      <c r="D93" s="346">
        <v>4</v>
      </c>
      <c r="E93" s="347"/>
      <c r="F93" s="338">
        <v>1</v>
      </c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</row>
    <row r="94" spans="1:19" ht="11.4" x14ac:dyDescent="0.2">
      <c r="A94" s="336" t="str">
        <f t="shared" si="2"/>
        <v>Jul16</v>
      </c>
      <c r="B94" s="337">
        <f t="shared" si="3"/>
        <v>42558</v>
      </c>
      <c r="C94" s="338">
        <v>14</v>
      </c>
      <c r="D94" s="338">
        <v>4</v>
      </c>
      <c r="E94" s="341"/>
      <c r="F94" s="342">
        <v>1</v>
      </c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</row>
    <row r="95" spans="1:19" ht="11.4" x14ac:dyDescent="0.2">
      <c r="A95" s="336" t="str">
        <f t="shared" si="2"/>
        <v>Jul16</v>
      </c>
      <c r="B95" s="337">
        <f t="shared" si="3"/>
        <v>42559</v>
      </c>
      <c r="C95" s="338">
        <v>14</v>
      </c>
      <c r="D95" s="338">
        <v>4</v>
      </c>
      <c r="E95" s="341"/>
      <c r="F95" s="342">
        <v>1</v>
      </c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</row>
    <row r="96" spans="1:19" ht="11.4" x14ac:dyDescent="0.2">
      <c r="A96" s="336" t="str">
        <f t="shared" si="2"/>
        <v>Jul16</v>
      </c>
      <c r="B96" s="337">
        <f t="shared" si="3"/>
        <v>42560</v>
      </c>
      <c r="C96" s="338">
        <v>14</v>
      </c>
      <c r="D96" s="338">
        <v>4</v>
      </c>
      <c r="E96" s="341"/>
      <c r="F96" s="342">
        <v>1</v>
      </c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</row>
    <row r="97" spans="1:19" ht="11.4" x14ac:dyDescent="0.2">
      <c r="A97" s="336" t="str">
        <f t="shared" si="2"/>
        <v>Jul16</v>
      </c>
      <c r="B97" s="337">
        <f t="shared" si="3"/>
        <v>42561</v>
      </c>
      <c r="C97" s="338">
        <v>14</v>
      </c>
      <c r="D97" s="338">
        <v>4</v>
      </c>
      <c r="E97" s="341"/>
      <c r="F97" s="342">
        <v>1</v>
      </c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</row>
    <row r="98" spans="1:19" ht="11.4" x14ac:dyDescent="0.2">
      <c r="A98" s="336" t="str">
        <f t="shared" si="2"/>
        <v>Jul16</v>
      </c>
      <c r="B98" s="337">
        <f t="shared" si="3"/>
        <v>42562</v>
      </c>
      <c r="C98" s="338">
        <v>15</v>
      </c>
      <c r="D98" s="338">
        <v>4</v>
      </c>
      <c r="E98" s="341"/>
      <c r="F98" s="342">
        <v>2</v>
      </c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</row>
    <row r="99" spans="1:19" ht="11.4" x14ac:dyDescent="0.2">
      <c r="A99" s="336" t="str">
        <f t="shared" si="2"/>
        <v>Jul16</v>
      </c>
      <c r="B99" s="337">
        <f t="shared" si="3"/>
        <v>42563</v>
      </c>
      <c r="C99" s="338">
        <v>15</v>
      </c>
      <c r="D99" s="338">
        <v>4</v>
      </c>
      <c r="E99" s="341"/>
      <c r="F99" s="342">
        <v>2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</row>
    <row r="100" spans="1:19" ht="11.4" x14ac:dyDescent="0.2">
      <c r="A100" s="336" t="str">
        <f t="shared" si="2"/>
        <v>Jul16</v>
      </c>
      <c r="B100" s="337">
        <f t="shared" si="3"/>
        <v>42564</v>
      </c>
      <c r="C100" s="338">
        <v>15</v>
      </c>
      <c r="D100" s="338">
        <v>4</v>
      </c>
      <c r="E100" s="341"/>
      <c r="F100" s="342">
        <v>2</v>
      </c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</row>
    <row r="101" spans="1:19" ht="11.4" x14ac:dyDescent="0.2">
      <c r="A101" s="336" t="str">
        <f t="shared" si="2"/>
        <v>Jul16</v>
      </c>
      <c r="B101" s="337">
        <f t="shared" si="3"/>
        <v>42565</v>
      </c>
      <c r="C101" s="338">
        <v>15</v>
      </c>
      <c r="D101" s="338">
        <v>4</v>
      </c>
      <c r="E101" s="341"/>
      <c r="F101" s="342">
        <v>2</v>
      </c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</row>
    <row r="102" spans="1:19" ht="11.4" x14ac:dyDescent="0.2">
      <c r="A102" s="336" t="str">
        <f t="shared" si="2"/>
        <v>Jul16</v>
      </c>
      <c r="B102" s="337">
        <f t="shared" si="3"/>
        <v>42566</v>
      </c>
      <c r="C102" s="338">
        <v>15</v>
      </c>
      <c r="D102" s="338">
        <v>4</v>
      </c>
      <c r="E102" s="341"/>
      <c r="F102" s="342">
        <v>2</v>
      </c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</row>
    <row r="103" spans="1:19" ht="11.4" x14ac:dyDescent="0.2">
      <c r="A103" s="336" t="str">
        <f t="shared" si="2"/>
        <v>Jul16</v>
      </c>
      <c r="B103" s="337">
        <f t="shared" si="3"/>
        <v>42567</v>
      </c>
      <c r="C103" s="338">
        <v>15</v>
      </c>
      <c r="D103" s="338">
        <v>4</v>
      </c>
      <c r="E103" s="341"/>
      <c r="F103" s="342">
        <v>2</v>
      </c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</row>
    <row r="104" spans="1:19" ht="11.4" x14ac:dyDescent="0.2">
      <c r="A104" s="336" t="str">
        <f t="shared" si="2"/>
        <v>Jul16</v>
      </c>
      <c r="B104" s="337">
        <f t="shared" si="3"/>
        <v>42568</v>
      </c>
      <c r="C104" s="338">
        <v>15</v>
      </c>
      <c r="D104" s="338">
        <v>4</v>
      </c>
      <c r="E104" s="341"/>
      <c r="F104" s="342">
        <v>2</v>
      </c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</row>
    <row r="105" spans="1:19" ht="11.4" x14ac:dyDescent="0.2">
      <c r="A105" s="336" t="str">
        <f t="shared" si="2"/>
        <v>Jul16</v>
      </c>
      <c r="B105" s="337">
        <f t="shared" si="3"/>
        <v>42569</v>
      </c>
      <c r="C105" s="338">
        <v>16</v>
      </c>
      <c r="D105" s="338">
        <v>4</v>
      </c>
      <c r="E105" s="341"/>
      <c r="F105" s="342">
        <v>3</v>
      </c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</row>
    <row r="106" spans="1:19" ht="11.4" x14ac:dyDescent="0.2">
      <c r="A106" s="336" t="str">
        <f t="shared" si="2"/>
        <v>Jul16</v>
      </c>
      <c r="B106" s="337">
        <f t="shared" si="3"/>
        <v>42570</v>
      </c>
      <c r="C106" s="338">
        <v>16</v>
      </c>
      <c r="D106" s="338">
        <v>4</v>
      </c>
      <c r="E106" s="341"/>
      <c r="F106" s="342">
        <v>3</v>
      </c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</row>
    <row r="107" spans="1:19" ht="11.4" x14ac:dyDescent="0.2">
      <c r="A107" s="336" t="str">
        <f t="shared" si="2"/>
        <v>Jul16</v>
      </c>
      <c r="B107" s="337">
        <f t="shared" si="3"/>
        <v>42571</v>
      </c>
      <c r="C107" s="338">
        <v>16</v>
      </c>
      <c r="D107" s="338">
        <v>4</v>
      </c>
      <c r="E107" s="341"/>
      <c r="F107" s="342">
        <v>3</v>
      </c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</row>
    <row r="108" spans="1:19" ht="11.4" x14ac:dyDescent="0.2">
      <c r="A108" s="336" t="str">
        <f t="shared" si="2"/>
        <v>Jul16</v>
      </c>
      <c r="B108" s="337">
        <f t="shared" si="3"/>
        <v>42572</v>
      </c>
      <c r="C108" s="338">
        <v>16</v>
      </c>
      <c r="D108" s="338">
        <v>4</v>
      </c>
      <c r="E108" s="341"/>
      <c r="F108" s="342">
        <v>3</v>
      </c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</row>
    <row r="109" spans="1:19" ht="11.4" x14ac:dyDescent="0.2">
      <c r="A109" s="336" t="str">
        <f t="shared" si="2"/>
        <v>Jul16</v>
      </c>
      <c r="B109" s="337">
        <f t="shared" si="3"/>
        <v>42573</v>
      </c>
      <c r="C109" s="338">
        <v>16</v>
      </c>
      <c r="D109" s="338">
        <v>4</v>
      </c>
      <c r="E109" s="341"/>
      <c r="F109" s="342">
        <v>3</v>
      </c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</row>
    <row r="110" spans="1:19" ht="11.4" x14ac:dyDescent="0.2">
      <c r="A110" s="336" t="str">
        <f t="shared" si="2"/>
        <v>Jul16</v>
      </c>
      <c r="B110" s="337">
        <f t="shared" si="3"/>
        <v>42574</v>
      </c>
      <c r="C110" s="338">
        <v>16</v>
      </c>
      <c r="D110" s="338">
        <v>4</v>
      </c>
      <c r="E110" s="341"/>
      <c r="F110" s="342">
        <v>3</v>
      </c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</row>
    <row r="111" spans="1:19" ht="11.4" x14ac:dyDescent="0.2">
      <c r="A111" s="336" t="str">
        <f t="shared" si="2"/>
        <v>Jul16</v>
      </c>
      <c r="B111" s="337">
        <f t="shared" si="3"/>
        <v>42575</v>
      </c>
      <c r="C111" s="338">
        <v>16</v>
      </c>
      <c r="D111" s="338">
        <v>4</v>
      </c>
      <c r="E111" s="341"/>
      <c r="F111" s="342">
        <v>3</v>
      </c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</row>
    <row r="112" spans="1:19" ht="11.4" x14ac:dyDescent="0.2">
      <c r="A112" s="336" t="str">
        <f t="shared" si="2"/>
        <v>Jul16</v>
      </c>
      <c r="B112" s="337">
        <f t="shared" si="3"/>
        <v>42576</v>
      </c>
      <c r="C112" s="338">
        <v>17</v>
      </c>
      <c r="D112" s="338">
        <v>4</v>
      </c>
      <c r="E112" s="341"/>
      <c r="F112" s="342">
        <v>4</v>
      </c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</row>
    <row r="113" spans="1:19" ht="11.4" x14ac:dyDescent="0.2">
      <c r="A113" s="336" t="str">
        <f t="shared" si="2"/>
        <v>Jul16</v>
      </c>
      <c r="B113" s="337">
        <f t="shared" si="3"/>
        <v>42577</v>
      </c>
      <c r="C113" s="338">
        <v>17</v>
      </c>
      <c r="D113" s="338">
        <v>4</v>
      </c>
      <c r="E113" s="341"/>
      <c r="F113" s="342">
        <v>4</v>
      </c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</row>
    <row r="114" spans="1:19" ht="11.4" x14ac:dyDescent="0.2">
      <c r="A114" s="336" t="str">
        <f t="shared" si="2"/>
        <v>Jul16</v>
      </c>
      <c r="B114" s="337">
        <f t="shared" si="3"/>
        <v>42578</v>
      </c>
      <c r="C114" s="338">
        <v>17</v>
      </c>
      <c r="D114" s="338">
        <v>4</v>
      </c>
      <c r="E114" s="341"/>
      <c r="F114" s="342">
        <v>4</v>
      </c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</row>
    <row r="115" spans="1:19" ht="11.4" x14ac:dyDescent="0.2">
      <c r="A115" s="336" t="str">
        <f t="shared" si="2"/>
        <v>Jul16</v>
      </c>
      <c r="B115" s="337">
        <f t="shared" si="3"/>
        <v>42579</v>
      </c>
      <c r="C115" s="338">
        <v>17</v>
      </c>
      <c r="D115" s="338">
        <v>4</v>
      </c>
      <c r="E115" s="341"/>
      <c r="F115" s="342">
        <v>4</v>
      </c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</row>
    <row r="116" spans="1:19" ht="11.4" x14ac:dyDescent="0.2">
      <c r="A116" s="336" t="str">
        <f t="shared" si="2"/>
        <v>Jul16</v>
      </c>
      <c r="B116" s="337">
        <f t="shared" si="3"/>
        <v>42580</v>
      </c>
      <c r="C116" s="338">
        <v>17</v>
      </c>
      <c r="D116" s="338">
        <v>4</v>
      </c>
      <c r="E116" s="341"/>
      <c r="F116" s="342">
        <v>4</v>
      </c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</row>
    <row r="117" spans="1:19" ht="11.4" x14ac:dyDescent="0.2">
      <c r="A117" s="336" t="str">
        <f t="shared" si="2"/>
        <v>Jul16</v>
      </c>
      <c r="B117" s="337">
        <f t="shared" si="3"/>
        <v>42581</v>
      </c>
      <c r="C117" s="338">
        <v>17</v>
      </c>
      <c r="D117" s="338">
        <v>4</v>
      </c>
      <c r="E117" s="341"/>
      <c r="F117" s="342">
        <v>4</v>
      </c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</row>
    <row r="118" spans="1:19" ht="11.4" x14ac:dyDescent="0.2">
      <c r="A118" s="336" t="str">
        <f t="shared" si="2"/>
        <v>Jul16</v>
      </c>
      <c r="B118" s="337">
        <f t="shared" si="3"/>
        <v>42582</v>
      </c>
      <c r="C118" s="338">
        <v>17</v>
      </c>
      <c r="D118" s="338">
        <v>4</v>
      </c>
      <c r="E118" s="341"/>
      <c r="F118" s="342">
        <v>4</v>
      </c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</row>
    <row r="119" spans="1:19" ht="11.4" x14ac:dyDescent="0.2">
      <c r="A119" s="336" t="str">
        <f t="shared" si="2"/>
        <v>Jul16</v>
      </c>
      <c r="B119" s="337">
        <f t="shared" si="3"/>
        <v>42583</v>
      </c>
      <c r="C119" s="338">
        <v>18</v>
      </c>
      <c r="D119" s="338">
        <v>4</v>
      </c>
      <c r="E119" s="341"/>
      <c r="F119" s="342">
        <v>1</v>
      </c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</row>
    <row r="120" spans="1:19" ht="11.4" x14ac:dyDescent="0.2">
      <c r="A120" s="336" t="str">
        <f t="shared" si="2"/>
        <v>Jul16</v>
      </c>
      <c r="B120" s="337">
        <f t="shared" si="3"/>
        <v>42584</v>
      </c>
      <c r="C120" s="338">
        <v>18</v>
      </c>
      <c r="D120" s="338">
        <v>4</v>
      </c>
      <c r="E120" s="341"/>
      <c r="F120" s="342">
        <v>1</v>
      </c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</row>
    <row r="121" spans="1:19" x14ac:dyDescent="0.2">
      <c r="A121" s="336" t="str">
        <f t="shared" si="2"/>
        <v>Jul16</v>
      </c>
      <c r="B121" s="337">
        <f t="shared" si="3"/>
        <v>42585</v>
      </c>
      <c r="C121" s="338">
        <v>18</v>
      </c>
      <c r="D121" s="338">
        <v>4</v>
      </c>
      <c r="E121" s="341"/>
      <c r="F121" s="338">
        <v>1</v>
      </c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</row>
    <row r="122" spans="1:19" ht="11.4" x14ac:dyDescent="0.2">
      <c r="A122" s="336" t="str">
        <f t="shared" si="2"/>
        <v>Jul16</v>
      </c>
      <c r="B122" s="337">
        <f t="shared" si="3"/>
        <v>42586</v>
      </c>
      <c r="C122" s="338">
        <v>18</v>
      </c>
      <c r="D122" s="338">
        <v>4</v>
      </c>
      <c r="E122" s="341"/>
      <c r="F122" s="342">
        <v>1</v>
      </c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</row>
    <row r="123" spans="1:19" ht="11.4" x14ac:dyDescent="0.2">
      <c r="A123" s="336" t="str">
        <f t="shared" si="2"/>
        <v>Jul16</v>
      </c>
      <c r="B123" s="337">
        <f t="shared" si="3"/>
        <v>42587</v>
      </c>
      <c r="C123" s="338">
        <v>18</v>
      </c>
      <c r="D123" s="338">
        <v>4</v>
      </c>
      <c r="E123" s="341"/>
      <c r="F123" s="342">
        <v>1</v>
      </c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</row>
    <row r="124" spans="1:19" ht="11.4" x14ac:dyDescent="0.2">
      <c r="A124" s="345" t="str">
        <f t="shared" si="2"/>
        <v>Aug16</v>
      </c>
      <c r="B124" s="337">
        <f t="shared" si="3"/>
        <v>42588</v>
      </c>
      <c r="C124" s="346">
        <v>18</v>
      </c>
      <c r="D124" s="346">
        <v>5</v>
      </c>
      <c r="E124" s="347"/>
      <c r="F124" s="342">
        <v>1</v>
      </c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</row>
    <row r="125" spans="1:19" ht="11.4" x14ac:dyDescent="0.2">
      <c r="A125" s="336" t="str">
        <f t="shared" si="2"/>
        <v>Aug16</v>
      </c>
      <c r="B125" s="337">
        <f t="shared" si="3"/>
        <v>42589</v>
      </c>
      <c r="C125" s="338">
        <v>18</v>
      </c>
      <c r="D125" s="338">
        <v>5</v>
      </c>
      <c r="E125" s="341"/>
      <c r="F125" s="342">
        <v>1</v>
      </c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</row>
    <row r="126" spans="1:19" ht="11.4" x14ac:dyDescent="0.2">
      <c r="A126" s="336" t="str">
        <f t="shared" si="2"/>
        <v>Aug16</v>
      </c>
      <c r="B126" s="337">
        <f t="shared" si="3"/>
        <v>42590</v>
      </c>
      <c r="C126" s="338">
        <v>19</v>
      </c>
      <c r="D126" s="338">
        <v>5</v>
      </c>
      <c r="E126" s="341"/>
      <c r="F126" s="342">
        <v>2</v>
      </c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</row>
    <row r="127" spans="1:19" ht="11.4" x14ac:dyDescent="0.2">
      <c r="A127" s="336" t="str">
        <f t="shared" si="2"/>
        <v>Aug16</v>
      </c>
      <c r="B127" s="337">
        <f t="shared" si="3"/>
        <v>42591</v>
      </c>
      <c r="C127" s="338">
        <v>19</v>
      </c>
      <c r="D127" s="338">
        <v>5</v>
      </c>
      <c r="E127" s="341"/>
      <c r="F127" s="342">
        <v>2</v>
      </c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</row>
    <row r="128" spans="1:19" ht="11.4" x14ac:dyDescent="0.2">
      <c r="A128" s="336" t="str">
        <f t="shared" si="2"/>
        <v>Aug16</v>
      </c>
      <c r="B128" s="337">
        <f t="shared" si="3"/>
        <v>42592</v>
      </c>
      <c r="C128" s="338">
        <v>19</v>
      </c>
      <c r="D128" s="338">
        <v>5</v>
      </c>
      <c r="E128" s="341"/>
      <c r="F128" s="342">
        <v>2</v>
      </c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</row>
    <row r="129" spans="1:19" ht="11.4" x14ac:dyDescent="0.2">
      <c r="A129" s="336" t="str">
        <f t="shared" si="2"/>
        <v>Aug16</v>
      </c>
      <c r="B129" s="337">
        <f t="shared" si="3"/>
        <v>42593</v>
      </c>
      <c r="C129" s="338">
        <v>19</v>
      </c>
      <c r="D129" s="338">
        <v>5</v>
      </c>
      <c r="E129" s="341"/>
      <c r="F129" s="342">
        <v>2</v>
      </c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</row>
    <row r="130" spans="1:19" ht="11.4" x14ac:dyDescent="0.2">
      <c r="A130" s="336" t="str">
        <f t="shared" si="2"/>
        <v>Aug16</v>
      </c>
      <c r="B130" s="337">
        <f t="shared" si="3"/>
        <v>42594</v>
      </c>
      <c r="C130" s="338">
        <v>19</v>
      </c>
      <c r="D130" s="338">
        <v>5</v>
      </c>
      <c r="E130" s="341"/>
      <c r="F130" s="342">
        <v>2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</row>
    <row r="131" spans="1:19" ht="11.4" x14ac:dyDescent="0.2">
      <c r="A131" s="336" t="str">
        <f t="shared" ref="A131:A194" si="4">TEXT(DATE(YEAR(B$2),MONTH(B$2)+(D131-1),1),"MmmYY")</f>
        <v>Aug16</v>
      </c>
      <c r="B131" s="337">
        <f t="shared" si="3"/>
        <v>42595</v>
      </c>
      <c r="C131" s="338">
        <v>19</v>
      </c>
      <c r="D131" s="338">
        <v>5</v>
      </c>
      <c r="E131" s="341"/>
      <c r="F131" s="342">
        <v>2</v>
      </c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</row>
    <row r="132" spans="1:19" ht="11.4" x14ac:dyDescent="0.2">
      <c r="A132" s="336" t="str">
        <f t="shared" si="4"/>
        <v>Aug16</v>
      </c>
      <c r="B132" s="337">
        <f t="shared" ref="B132:B195" si="5">B131+1</f>
        <v>42596</v>
      </c>
      <c r="C132" s="338">
        <v>19</v>
      </c>
      <c r="D132" s="338">
        <v>5</v>
      </c>
      <c r="E132" s="341"/>
      <c r="F132" s="342">
        <v>2</v>
      </c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</row>
    <row r="133" spans="1:19" ht="11.4" x14ac:dyDescent="0.2">
      <c r="A133" s="336" t="str">
        <f t="shared" si="4"/>
        <v>Aug16</v>
      </c>
      <c r="B133" s="337">
        <f t="shared" si="5"/>
        <v>42597</v>
      </c>
      <c r="C133" s="338">
        <v>20</v>
      </c>
      <c r="D133" s="338">
        <v>5</v>
      </c>
      <c r="E133" s="341"/>
      <c r="F133" s="342">
        <v>3</v>
      </c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</row>
    <row r="134" spans="1:19" ht="11.4" x14ac:dyDescent="0.2">
      <c r="A134" s="336" t="str">
        <f t="shared" si="4"/>
        <v>Aug16</v>
      </c>
      <c r="B134" s="337">
        <f t="shared" si="5"/>
        <v>42598</v>
      </c>
      <c r="C134" s="338">
        <v>20</v>
      </c>
      <c r="D134" s="338">
        <v>5</v>
      </c>
      <c r="E134" s="341"/>
      <c r="F134" s="342">
        <v>3</v>
      </c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</row>
    <row r="135" spans="1:19" ht="11.4" x14ac:dyDescent="0.2">
      <c r="A135" s="336" t="str">
        <f t="shared" si="4"/>
        <v>Aug16</v>
      </c>
      <c r="B135" s="337">
        <f t="shared" si="5"/>
        <v>42599</v>
      </c>
      <c r="C135" s="338">
        <v>20</v>
      </c>
      <c r="D135" s="338">
        <v>5</v>
      </c>
      <c r="E135" s="341"/>
      <c r="F135" s="342">
        <v>3</v>
      </c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</row>
    <row r="136" spans="1:19" ht="11.4" x14ac:dyDescent="0.2">
      <c r="A136" s="336" t="str">
        <f t="shared" si="4"/>
        <v>Aug16</v>
      </c>
      <c r="B136" s="337">
        <f t="shared" si="5"/>
        <v>42600</v>
      </c>
      <c r="C136" s="338">
        <v>20</v>
      </c>
      <c r="D136" s="338">
        <v>5</v>
      </c>
      <c r="E136" s="341"/>
      <c r="F136" s="342">
        <v>3</v>
      </c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</row>
    <row r="137" spans="1:19" ht="11.4" x14ac:dyDescent="0.2">
      <c r="A137" s="336" t="str">
        <f t="shared" si="4"/>
        <v>Aug16</v>
      </c>
      <c r="B137" s="337">
        <f t="shared" si="5"/>
        <v>42601</v>
      </c>
      <c r="C137" s="338">
        <v>20</v>
      </c>
      <c r="D137" s="338">
        <v>5</v>
      </c>
      <c r="E137" s="341"/>
      <c r="F137" s="342">
        <v>3</v>
      </c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</row>
    <row r="138" spans="1:19" ht="11.4" x14ac:dyDescent="0.2">
      <c r="A138" s="336" t="str">
        <f t="shared" si="4"/>
        <v>Aug16</v>
      </c>
      <c r="B138" s="337">
        <f t="shared" si="5"/>
        <v>42602</v>
      </c>
      <c r="C138" s="338">
        <v>20</v>
      </c>
      <c r="D138" s="338">
        <v>5</v>
      </c>
      <c r="E138" s="341"/>
      <c r="F138" s="342">
        <v>3</v>
      </c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</row>
    <row r="139" spans="1:19" ht="11.4" x14ac:dyDescent="0.2">
      <c r="A139" s="336" t="str">
        <f t="shared" si="4"/>
        <v>Aug16</v>
      </c>
      <c r="B139" s="337">
        <f t="shared" si="5"/>
        <v>42603</v>
      </c>
      <c r="C139" s="338">
        <v>20</v>
      </c>
      <c r="D139" s="338">
        <v>5</v>
      </c>
      <c r="E139" s="341"/>
      <c r="F139" s="342">
        <v>3</v>
      </c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</row>
    <row r="140" spans="1:19" ht="11.4" x14ac:dyDescent="0.2">
      <c r="A140" s="336" t="str">
        <f t="shared" si="4"/>
        <v>Aug16</v>
      </c>
      <c r="B140" s="337">
        <f t="shared" si="5"/>
        <v>42604</v>
      </c>
      <c r="C140" s="338">
        <v>21</v>
      </c>
      <c r="D140" s="338">
        <v>5</v>
      </c>
      <c r="E140" s="341"/>
      <c r="F140" s="342">
        <v>4</v>
      </c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</row>
    <row r="141" spans="1:19" ht="11.4" x14ac:dyDescent="0.2">
      <c r="A141" s="336" t="str">
        <f t="shared" si="4"/>
        <v>Aug16</v>
      </c>
      <c r="B141" s="337">
        <f t="shared" si="5"/>
        <v>42605</v>
      </c>
      <c r="C141" s="338">
        <v>21</v>
      </c>
      <c r="D141" s="338">
        <v>5</v>
      </c>
      <c r="E141" s="341"/>
      <c r="F141" s="342">
        <v>4</v>
      </c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</row>
    <row r="142" spans="1:19" ht="11.4" x14ac:dyDescent="0.2">
      <c r="A142" s="336" t="str">
        <f t="shared" si="4"/>
        <v>Aug16</v>
      </c>
      <c r="B142" s="337">
        <f t="shared" si="5"/>
        <v>42606</v>
      </c>
      <c r="C142" s="338">
        <v>21</v>
      </c>
      <c r="D142" s="338">
        <v>5</v>
      </c>
      <c r="E142" s="341"/>
      <c r="F142" s="342">
        <v>4</v>
      </c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</row>
    <row r="143" spans="1:19" ht="11.4" x14ac:dyDescent="0.2">
      <c r="A143" s="336" t="str">
        <f t="shared" si="4"/>
        <v>Aug16</v>
      </c>
      <c r="B143" s="337">
        <f t="shared" si="5"/>
        <v>42607</v>
      </c>
      <c r="C143" s="338">
        <v>21</v>
      </c>
      <c r="D143" s="338">
        <v>5</v>
      </c>
      <c r="E143" s="341"/>
      <c r="F143" s="342">
        <v>4</v>
      </c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</row>
    <row r="144" spans="1:19" ht="11.4" x14ac:dyDescent="0.2">
      <c r="A144" s="336" t="str">
        <f t="shared" si="4"/>
        <v>Aug16</v>
      </c>
      <c r="B144" s="337">
        <f t="shared" si="5"/>
        <v>42608</v>
      </c>
      <c r="C144" s="338">
        <v>21</v>
      </c>
      <c r="D144" s="338">
        <v>5</v>
      </c>
      <c r="E144" s="341"/>
      <c r="F144" s="342">
        <v>4</v>
      </c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</row>
    <row r="145" spans="1:19" ht="11.4" x14ac:dyDescent="0.2">
      <c r="A145" s="336" t="str">
        <f t="shared" si="4"/>
        <v>Aug16</v>
      </c>
      <c r="B145" s="337">
        <f t="shared" si="5"/>
        <v>42609</v>
      </c>
      <c r="C145" s="338">
        <v>21</v>
      </c>
      <c r="D145" s="338">
        <v>5</v>
      </c>
      <c r="E145" s="341"/>
      <c r="F145" s="342">
        <v>4</v>
      </c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</row>
    <row r="146" spans="1:19" ht="11.4" x14ac:dyDescent="0.2">
      <c r="A146" s="336" t="str">
        <f t="shared" si="4"/>
        <v>Aug16</v>
      </c>
      <c r="B146" s="337">
        <f t="shared" si="5"/>
        <v>42610</v>
      </c>
      <c r="C146" s="338">
        <v>21</v>
      </c>
      <c r="D146" s="338">
        <v>5</v>
      </c>
      <c r="E146" s="341"/>
      <c r="F146" s="342">
        <v>4</v>
      </c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</row>
    <row r="147" spans="1:19" ht="11.4" x14ac:dyDescent="0.2">
      <c r="A147" s="336" t="str">
        <f t="shared" si="4"/>
        <v>Aug16</v>
      </c>
      <c r="B147" s="337">
        <f t="shared" si="5"/>
        <v>42611</v>
      </c>
      <c r="C147" s="338">
        <v>22</v>
      </c>
      <c r="D147" s="338">
        <v>5</v>
      </c>
      <c r="E147" s="341"/>
      <c r="F147" s="342">
        <v>1</v>
      </c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</row>
    <row r="148" spans="1:19" ht="11.4" x14ac:dyDescent="0.2">
      <c r="A148" s="336" t="str">
        <f t="shared" si="4"/>
        <v>Aug16</v>
      </c>
      <c r="B148" s="337">
        <f t="shared" si="5"/>
        <v>42612</v>
      </c>
      <c r="C148" s="338">
        <v>22</v>
      </c>
      <c r="D148" s="338">
        <v>5</v>
      </c>
      <c r="E148" s="341"/>
      <c r="F148" s="342">
        <v>1</v>
      </c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</row>
    <row r="149" spans="1:19" x14ac:dyDescent="0.2">
      <c r="A149" s="336" t="str">
        <f t="shared" si="4"/>
        <v>Aug16</v>
      </c>
      <c r="B149" s="337">
        <f t="shared" si="5"/>
        <v>42613</v>
      </c>
      <c r="C149" s="338">
        <v>22</v>
      </c>
      <c r="D149" s="338">
        <v>5</v>
      </c>
      <c r="E149" s="341"/>
      <c r="F149" s="338">
        <v>1</v>
      </c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</row>
    <row r="150" spans="1:19" ht="11.4" x14ac:dyDescent="0.2">
      <c r="A150" s="336" t="str">
        <f t="shared" si="4"/>
        <v>Aug16</v>
      </c>
      <c r="B150" s="337">
        <f t="shared" si="5"/>
        <v>42614</v>
      </c>
      <c r="C150" s="338">
        <v>22</v>
      </c>
      <c r="D150" s="338">
        <v>5</v>
      </c>
      <c r="E150" s="341"/>
      <c r="F150" s="342">
        <v>1</v>
      </c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</row>
    <row r="151" spans="1:19" ht="11.4" x14ac:dyDescent="0.2">
      <c r="A151" s="336" t="str">
        <f t="shared" si="4"/>
        <v>Aug16</v>
      </c>
      <c r="B151" s="337">
        <f t="shared" si="5"/>
        <v>42615</v>
      </c>
      <c r="C151" s="338">
        <v>22</v>
      </c>
      <c r="D151" s="338">
        <v>5</v>
      </c>
      <c r="E151" s="341"/>
      <c r="F151" s="342">
        <v>1</v>
      </c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</row>
    <row r="152" spans="1:19" ht="11.4" x14ac:dyDescent="0.2">
      <c r="A152" s="336" t="str">
        <f t="shared" si="4"/>
        <v>Aug16</v>
      </c>
      <c r="B152" s="337">
        <f t="shared" si="5"/>
        <v>42616</v>
      </c>
      <c r="C152" s="338">
        <v>22</v>
      </c>
      <c r="D152" s="338">
        <v>5</v>
      </c>
      <c r="E152" s="341"/>
      <c r="F152" s="342">
        <v>1</v>
      </c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</row>
    <row r="153" spans="1:19" ht="11.4" x14ac:dyDescent="0.2">
      <c r="A153" s="336" t="str">
        <f t="shared" si="4"/>
        <v>Aug16</v>
      </c>
      <c r="B153" s="337">
        <f t="shared" si="5"/>
        <v>42617</v>
      </c>
      <c r="C153" s="338">
        <v>22</v>
      </c>
      <c r="D153" s="338">
        <v>5</v>
      </c>
      <c r="E153" s="341"/>
      <c r="F153" s="342">
        <v>1</v>
      </c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</row>
    <row r="154" spans="1:19" ht="11.4" x14ac:dyDescent="0.2">
      <c r="A154" s="336" t="str">
        <f t="shared" si="4"/>
        <v>Aug16</v>
      </c>
      <c r="B154" s="337">
        <f t="shared" si="5"/>
        <v>42618</v>
      </c>
      <c r="C154" s="338">
        <v>23</v>
      </c>
      <c r="D154" s="338">
        <v>5</v>
      </c>
      <c r="E154" s="341"/>
      <c r="F154" s="342">
        <v>2</v>
      </c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</row>
    <row r="155" spans="1:19" ht="11.4" x14ac:dyDescent="0.2">
      <c r="A155" s="345" t="str">
        <f t="shared" si="4"/>
        <v>Sep16</v>
      </c>
      <c r="B155" s="337">
        <f t="shared" si="5"/>
        <v>42619</v>
      </c>
      <c r="C155" s="346">
        <v>23</v>
      </c>
      <c r="D155" s="346">
        <v>6</v>
      </c>
      <c r="E155" s="347"/>
      <c r="F155" s="342">
        <v>2</v>
      </c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</row>
    <row r="156" spans="1:19" ht="11.4" x14ac:dyDescent="0.2">
      <c r="A156" s="336" t="str">
        <f t="shared" si="4"/>
        <v>Sep16</v>
      </c>
      <c r="B156" s="337">
        <f t="shared" si="5"/>
        <v>42620</v>
      </c>
      <c r="C156" s="338">
        <v>23</v>
      </c>
      <c r="D156" s="338">
        <v>6</v>
      </c>
      <c r="E156" s="341"/>
      <c r="F156" s="342">
        <v>2</v>
      </c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</row>
    <row r="157" spans="1:19" ht="11.4" x14ac:dyDescent="0.2">
      <c r="A157" s="336" t="str">
        <f t="shared" si="4"/>
        <v>Sep16</v>
      </c>
      <c r="B157" s="337">
        <f t="shared" si="5"/>
        <v>42621</v>
      </c>
      <c r="C157" s="338">
        <v>23</v>
      </c>
      <c r="D157" s="338">
        <v>6</v>
      </c>
      <c r="E157" s="341"/>
      <c r="F157" s="342">
        <v>2</v>
      </c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</row>
    <row r="158" spans="1:19" ht="11.4" x14ac:dyDescent="0.2">
      <c r="A158" s="336" t="str">
        <f t="shared" si="4"/>
        <v>Sep16</v>
      </c>
      <c r="B158" s="337">
        <f t="shared" si="5"/>
        <v>42622</v>
      </c>
      <c r="C158" s="338">
        <v>23</v>
      </c>
      <c r="D158" s="338">
        <v>6</v>
      </c>
      <c r="E158" s="341"/>
      <c r="F158" s="342">
        <v>2</v>
      </c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</row>
    <row r="159" spans="1:19" ht="11.4" x14ac:dyDescent="0.2">
      <c r="A159" s="336" t="str">
        <f t="shared" si="4"/>
        <v>Sep16</v>
      </c>
      <c r="B159" s="337">
        <f t="shared" si="5"/>
        <v>42623</v>
      </c>
      <c r="C159" s="338">
        <v>23</v>
      </c>
      <c r="D159" s="338">
        <v>6</v>
      </c>
      <c r="E159" s="341"/>
      <c r="F159" s="342">
        <v>2</v>
      </c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</row>
    <row r="160" spans="1:19" ht="11.4" x14ac:dyDescent="0.2">
      <c r="A160" s="336" t="str">
        <f t="shared" si="4"/>
        <v>Sep16</v>
      </c>
      <c r="B160" s="337">
        <f t="shared" si="5"/>
        <v>42624</v>
      </c>
      <c r="C160" s="338">
        <v>23</v>
      </c>
      <c r="D160" s="338">
        <v>6</v>
      </c>
      <c r="E160" s="341"/>
      <c r="F160" s="342">
        <v>2</v>
      </c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</row>
    <row r="161" spans="1:19" ht="11.4" x14ac:dyDescent="0.2">
      <c r="A161" s="336" t="str">
        <f t="shared" si="4"/>
        <v>Sep16</v>
      </c>
      <c r="B161" s="337">
        <f t="shared" si="5"/>
        <v>42625</v>
      </c>
      <c r="C161" s="338">
        <v>24</v>
      </c>
      <c r="D161" s="338">
        <v>6</v>
      </c>
      <c r="E161" s="341"/>
      <c r="F161" s="342">
        <v>3</v>
      </c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</row>
    <row r="162" spans="1:19" ht="11.4" x14ac:dyDescent="0.2">
      <c r="A162" s="336" t="str">
        <f t="shared" si="4"/>
        <v>Sep16</v>
      </c>
      <c r="B162" s="337">
        <f t="shared" si="5"/>
        <v>42626</v>
      </c>
      <c r="C162" s="338">
        <v>24</v>
      </c>
      <c r="D162" s="338">
        <v>6</v>
      </c>
      <c r="E162" s="341"/>
      <c r="F162" s="342">
        <v>3</v>
      </c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</row>
    <row r="163" spans="1:19" ht="11.4" x14ac:dyDescent="0.2">
      <c r="A163" s="336" t="str">
        <f t="shared" si="4"/>
        <v>Sep16</v>
      </c>
      <c r="B163" s="337">
        <f t="shared" si="5"/>
        <v>42627</v>
      </c>
      <c r="C163" s="338">
        <v>24</v>
      </c>
      <c r="D163" s="338">
        <v>6</v>
      </c>
      <c r="E163" s="341"/>
      <c r="F163" s="342">
        <v>3</v>
      </c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</row>
    <row r="164" spans="1:19" ht="11.4" x14ac:dyDescent="0.2">
      <c r="A164" s="336" t="str">
        <f t="shared" si="4"/>
        <v>Sep16</v>
      </c>
      <c r="B164" s="337">
        <f t="shared" si="5"/>
        <v>42628</v>
      </c>
      <c r="C164" s="338">
        <v>24</v>
      </c>
      <c r="D164" s="338">
        <v>6</v>
      </c>
      <c r="E164" s="341"/>
      <c r="F164" s="342">
        <v>3</v>
      </c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</row>
    <row r="165" spans="1:19" ht="11.4" x14ac:dyDescent="0.2">
      <c r="A165" s="336" t="str">
        <f t="shared" si="4"/>
        <v>Sep16</v>
      </c>
      <c r="B165" s="337">
        <f t="shared" si="5"/>
        <v>42629</v>
      </c>
      <c r="C165" s="338">
        <v>24</v>
      </c>
      <c r="D165" s="338">
        <v>6</v>
      </c>
      <c r="E165" s="341"/>
      <c r="F165" s="342">
        <v>3</v>
      </c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</row>
    <row r="166" spans="1:19" ht="11.4" x14ac:dyDescent="0.2">
      <c r="A166" s="336" t="str">
        <f t="shared" si="4"/>
        <v>Sep16</v>
      </c>
      <c r="B166" s="337">
        <f t="shared" si="5"/>
        <v>42630</v>
      </c>
      <c r="C166" s="338">
        <v>24</v>
      </c>
      <c r="D166" s="338">
        <v>6</v>
      </c>
      <c r="E166" s="341"/>
      <c r="F166" s="342">
        <v>3</v>
      </c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</row>
    <row r="167" spans="1:19" ht="11.4" x14ac:dyDescent="0.2">
      <c r="A167" s="336" t="str">
        <f t="shared" si="4"/>
        <v>Sep16</v>
      </c>
      <c r="B167" s="337">
        <f t="shared" si="5"/>
        <v>42631</v>
      </c>
      <c r="C167" s="338">
        <v>24</v>
      </c>
      <c r="D167" s="338">
        <v>6</v>
      </c>
      <c r="E167" s="341"/>
      <c r="F167" s="342">
        <v>3</v>
      </c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</row>
    <row r="168" spans="1:19" ht="11.4" x14ac:dyDescent="0.2">
      <c r="A168" s="336" t="str">
        <f t="shared" si="4"/>
        <v>Sep16</v>
      </c>
      <c r="B168" s="337">
        <f t="shared" si="5"/>
        <v>42632</v>
      </c>
      <c r="C168" s="338">
        <v>25</v>
      </c>
      <c r="D168" s="338">
        <v>6</v>
      </c>
      <c r="E168" s="341"/>
      <c r="F168" s="342">
        <v>4</v>
      </c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</row>
    <row r="169" spans="1:19" ht="11.4" x14ac:dyDescent="0.2">
      <c r="A169" s="336" t="str">
        <f t="shared" si="4"/>
        <v>Sep16</v>
      </c>
      <c r="B169" s="337">
        <f t="shared" si="5"/>
        <v>42633</v>
      </c>
      <c r="C169" s="338">
        <v>25</v>
      </c>
      <c r="D169" s="338">
        <v>6</v>
      </c>
      <c r="E169" s="341"/>
      <c r="F169" s="342">
        <v>4</v>
      </c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</row>
    <row r="170" spans="1:19" ht="11.4" x14ac:dyDescent="0.2">
      <c r="A170" s="336" t="str">
        <f t="shared" si="4"/>
        <v>Sep16</v>
      </c>
      <c r="B170" s="337">
        <f t="shared" si="5"/>
        <v>42634</v>
      </c>
      <c r="C170" s="338">
        <v>25</v>
      </c>
      <c r="D170" s="338">
        <v>6</v>
      </c>
      <c r="E170" s="341"/>
      <c r="F170" s="342">
        <v>4</v>
      </c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</row>
    <row r="171" spans="1:19" ht="11.4" x14ac:dyDescent="0.2">
      <c r="A171" s="336" t="str">
        <f t="shared" si="4"/>
        <v>Sep16</v>
      </c>
      <c r="B171" s="337">
        <f t="shared" si="5"/>
        <v>42635</v>
      </c>
      <c r="C171" s="338">
        <v>25</v>
      </c>
      <c r="D171" s="338">
        <v>6</v>
      </c>
      <c r="E171" s="341"/>
      <c r="F171" s="342">
        <v>4</v>
      </c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</row>
    <row r="172" spans="1:19" ht="11.4" x14ac:dyDescent="0.2">
      <c r="A172" s="336" t="str">
        <f t="shared" si="4"/>
        <v>Sep16</v>
      </c>
      <c r="B172" s="337">
        <f t="shared" si="5"/>
        <v>42636</v>
      </c>
      <c r="C172" s="338">
        <v>25</v>
      </c>
      <c r="D172" s="338">
        <v>6</v>
      </c>
      <c r="E172" s="341"/>
      <c r="F172" s="342">
        <v>4</v>
      </c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</row>
    <row r="173" spans="1:19" ht="11.4" x14ac:dyDescent="0.2">
      <c r="A173" s="336" t="str">
        <f t="shared" si="4"/>
        <v>Sep16</v>
      </c>
      <c r="B173" s="337">
        <f t="shared" si="5"/>
        <v>42637</v>
      </c>
      <c r="C173" s="338">
        <v>25</v>
      </c>
      <c r="D173" s="338">
        <v>6</v>
      </c>
      <c r="E173" s="341"/>
      <c r="F173" s="342">
        <v>4</v>
      </c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</row>
    <row r="174" spans="1:19" ht="11.4" x14ac:dyDescent="0.2">
      <c r="A174" s="336" t="str">
        <f t="shared" si="4"/>
        <v>Sep16</v>
      </c>
      <c r="B174" s="337">
        <f t="shared" si="5"/>
        <v>42638</v>
      </c>
      <c r="C174" s="338">
        <v>25</v>
      </c>
      <c r="D174" s="338">
        <v>6</v>
      </c>
      <c r="E174" s="341"/>
      <c r="F174" s="342">
        <v>4</v>
      </c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</row>
    <row r="175" spans="1:19" ht="11.4" x14ac:dyDescent="0.2">
      <c r="A175" s="336" t="str">
        <f t="shared" si="4"/>
        <v>Sep16</v>
      </c>
      <c r="B175" s="337">
        <f t="shared" si="5"/>
        <v>42639</v>
      </c>
      <c r="C175" s="338">
        <v>26</v>
      </c>
      <c r="D175" s="338">
        <v>6</v>
      </c>
      <c r="E175" s="341"/>
      <c r="F175" s="342">
        <v>5</v>
      </c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</row>
    <row r="176" spans="1:19" ht="11.4" x14ac:dyDescent="0.2">
      <c r="A176" s="336" t="str">
        <f t="shared" si="4"/>
        <v>Sep16</v>
      </c>
      <c r="B176" s="337">
        <f t="shared" si="5"/>
        <v>42640</v>
      </c>
      <c r="C176" s="338">
        <v>26</v>
      </c>
      <c r="D176" s="338">
        <v>6</v>
      </c>
      <c r="E176" s="341"/>
      <c r="F176" s="342">
        <v>5</v>
      </c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</row>
    <row r="177" spans="1:19" ht="11.4" x14ac:dyDescent="0.2">
      <c r="A177" s="336" t="str">
        <f t="shared" si="4"/>
        <v>Sep16</v>
      </c>
      <c r="B177" s="337">
        <f t="shared" si="5"/>
        <v>42641</v>
      </c>
      <c r="C177" s="338">
        <v>26</v>
      </c>
      <c r="D177" s="338">
        <v>6</v>
      </c>
      <c r="E177" s="341"/>
      <c r="F177" s="342">
        <v>5</v>
      </c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</row>
    <row r="178" spans="1:19" ht="11.4" x14ac:dyDescent="0.2">
      <c r="A178" s="336" t="str">
        <f t="shared" si="4"/>
        <v>Sep16</v>
      </c>
      <c r="B178" s="337">
        <f t="shared" si="5"/>
        <v>42642</v>
      </c>
      <c r="C178" s="338">
        <v>26</v>
      </c>
      <c r="D178" s="338">
        <v>6</v>
      </c>
      <c r="E178" s="341"/>
      <c r="F178" s="342">
        <v>5</v>
      </c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</row>
    <row r="179" spans="1:19" ht="11.4" x14ac:dyDescent="0.2">
      <c r="A179" s="336" t="str">
        <f t="shared" si="4"/>
        <v>Sep16</v>
      </c>
      <c r="B179" s="337">
        <f t="shared" si="5"/>
        <v>42643</v>
      </c>
      <c r="C179" s="338">
        <v>26</v>
      </c>
      <c r="D179" s="338">
        <v>6</v>
      </c>
      <c r="E179" s="341"/>
      <c r="F179" s="342">
        <v>5</v>
      </c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</row>
    <row r="180" spans="1:19" ht="11.4" x14ac:dyDescent="0.2">
      <c r="A180" s="336" t="str">
        <f t="shared" si="4"/>
        <v>Sep16</v>
      </c>
      <c r="B180" s="337">
        <f t="shared" si="5"/>
        <v>42644</v>
      </c>
      <c r="C180" s="338">
        <v>26</v>
      </c>
      <c r="D180" s="338">
        <v>6</v>
      </c>
      <c r="E180" s="341"/>
      <c r="F180" s="342">
        <v>5</v>
      </c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</row>
    <row r="181" spans="1:19" ht="11.4" x14ac:dyDescent="0.2">
      <c r="A181" s="336" t="str">
        <f t="shared" si="4"/>
        <v>Sep16</v>
      </c>
      <c r="B181" s="337">
        <f t="shared" si="5"/>
        <v>42645</v>
      </c>
      <c r="C181" s="338">
        <v>26</v>
      </c>
      <c r="D181" s="338">
        <v>6</v>
      </c>
      <c r="E181" s="341"/>
      <c r="F181" s="342">
        <v>5</v>
      </c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</row>
    <row r="182" spans="1:19" ht="11.4" x14ac:dyDescent="0.2">
      <c r="A182" s="336" t="str">
        <f t="shared" si="4"/>
        <v>Sep16</v>
      </c>
      <c r="B182" s="337">
        <f t="shared" si="5"/>
        <v>42646</v>
      </c>
      <c r="C182" s="338">
        <v>27</v>
      </c>
      <c r="D182" s="338">
        <v>6</v>
      </c>
      <c r="E182" s="341"/>
      <c r="F182" s="342">
        <v>1</v>
      </c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</row>
    <row r="183" spans="1:19" ht="11.4" x14ac:dyDescent="0.2">
      <c r="A183" s="336" t="str">
        <f t="shared" si="4"/>
        <v>Sep16</v>
      </c>
      <c r="B183" s="337">
        <f t="shared" si="5"/>
        <v>42647</v>
      </c>
      <c r="C183" s="338">
        <v>27</v>
      </c>
      <c r="D183" s="338">
        <v>6</v>
      </c>
      <c r="E183" s="341"/>
      <c r="F183" s="342">
        <v>1</v>
      </c>
      <c r="G183" s="344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</row>
    <row r="184" spans="1:19" x14ac:dyDescent="0.2">
      <c r="A184" s="336" t="str">
        <f t="shared" si="4"/>
        <v>Sep16</v>
      </c>
      <c r="B184" s="337">
        <f t="shared" si="5"/>
        <v>42648</v>
      </c>
      <c r="C184" s="338">
        <v>27</v>
      </c>
      <c r="D184" s="338">
        <v>6</v>
      </c>
      <c r="E184" s="341"/>
      <c r="F184" s="338">
        <v>1</v>
      </c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</row>
    <row r="185" spans="1:19" ht="11.4" x14ac:dyDescent="0.2">
      <c r="A185" s="345" t="str">
        <f t="shared" si="4"/>
        <v>Oct16</v>
      </c>
      <c r="B185" s="337">
        <f t="shared" si="5"/>
        <v>42649</v>
      </c>
      <c r="C185" s="346">
        <v>27</v>
      </c>
      <c r="D185" s="346">
        <v>7</v>
      </c>
      <c r="E185" s="347"/>
      <c r="F185" s="342">
        <v>1</v>
      </c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</row>
    <row r="186" spans="1:19" ht="11.4" x14ac:dyDescent="0.2">
      <c r="A186" s="336" t="str">
        <f t="shared" si="4"/>
        <v>Oct16</v>
      </c>
      <c r="B186" s="337">
        <f t="shared" si="5"/>
        <v>42650</v>
      </c>
      <c r="C186" s="338">
        <v>27</v>
      </c>
      <c r="D186" s="338">
        <v>7</v>
      </c>
      <c r="E186" s="341"/>
      <c r="F186" s="342">
        <v>1</v>
      </c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</row>
    <row r="187" spans="1:19" ht="11.4" x14ac:dyDescent="0.2">
      <c r="A187" s="336" t="str">
        <f t="shared" si="4"/>
        <v>Oct16</v>
      </c>
      <c r="B187" s="337">
        <f t="shared" si="5"/>
        <v>42651</v>
      </c>
      <c r="C187" s="338">
        <v>27</v>
      </c>
      <c r="D187" s="338">
        <v>7</v>
      </c>
      <c r="E187" s="341"/>
      <c r="F187" s="342">
        <v>1</v>
      </c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</row>
    <row r="188" spans="1:19" ht="11.4" x14ac:dyDescent="0.2">
      <c r="A188" s="336" t="str">
        <f t="shared" si="4"/>
        <v>Oct16</v>
      </c>
      <c r="B188" s="337">
        <f t="shared" si="5"/>
        <v>42652</v>
      </c>
      <c r="C188" s="338">
        <v>27</v>
      </c>
      <c r="D188" s="338">
        <v>7</v>
      </c>
      <c r="E188" s="341"/>
      <c r="F188" s="342">
        <v>1</v>
      </c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</row>
    <row r="189" spans="1:19" ht="11.4" x14ac:dyDescent="0.2">
      <c r="A189" s="336" t="str">
        <f t="shared" si="4"/>
        <v>Oct16</v>
      </c>
      <c r="B189" s="337">
        <f t="shared" si="5"/>
        <v>42653</v>
      </c>
      <c r="C189" s="338">
        <v>28</v>
      </c>
      <c r="D189" s="338">
        <v>7</v>
      </c>
      <c r="E189" s="341"/>
      <c r="F189" s="342">
        <v>2</v>
      </c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</row>
    <row r="190" spans="1:19" ht="11.4" x14ac:dyDescent="0.2">
      <c r="A190" s="336" t="str">
        <f t="shared" si="4"/>
        <v>Oct16</v>
      </c>
      <c r="B190" s="337">
        <f t="shared" si="5"/>
        <v>42654</v>
      </c>
      <c r="C190" s="338">
        <v>28</v>
      </c>
      <c r="D190" s="338">
        <v>7</v>
      </c>
      <c r="E190" s="341"/>
      <c r="F190" s="342">
        <v>2</v>
      </c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</row>
    <row r="191" spans="1:19" ht="11.4" x14ac:dyDescent="0.2">
      <c r="A191" s="336" t="str">
        <f t="shared" si="4"/>
        <v>Oct16</v>
      </c>
      <c r="B191" s="337">
        <f t="shared" si="5"/>
        <v>42655</v>
      </c>
      <c r="C191" s="338">
        <v>28</v>
      </c>
      <c r="D191" s="338">
        <v>7</v>
      </c>
      <c r="E191" s="341"/>
      <c r="F191" s="342">
        <v>2</v>
      </c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</row>
    <row r="192" spans="1:19" ht="11.4" x14ac:dyDescent="0.2">
      <c r="A192" s="336" t="str">
        <f t="shared" si="4"/>
        <v>Oct16</v>
      </c>
      <c r="B192" s="337">
        <f t="shared" si="5"/>
        <v>42656</v>
      </c>
      <c r="C192" s="338">
        <v>28</v>
      </c>
      <c r="D192" s="338">
        <v>7</v>
      </c>
      <c r="E192" s="341"/>
      <c r="F192" s="342">
        <v>2</v>
      </c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</row>
    <row r="193" spans="1:19" ht="11.4" x14ac:dyDescent="0.2">
      <c r="A193" s="336" t="str">
        <f t="shared" si="4"/>
        <v>Oct16</v>
      </c>
      <c r="B193" s="337">
        <f t="shared" si="5"/>
        <v>42657</v>
      </c>
      <c r="C193" s="338">
        <v>28</v>
      </c>
      <c r="D193" s="338">
        <v>7</v>
      </c>
      <c r="E193" s="341"/>
      <c r="F193" s="342">
        <v>2</v>
      </c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</row>
    <row r="194" spans="1:19" ht="11.4" x14ac:dyDescent="0.2">
      <c r="A194" s="336" t="str">
        <f t="shared" si="4"/>
        <v>Oct16</v>
      </c>
      <c r="B194" s="337">
        <f t="shared" si="5"/>
        <v>42658</v>
      </c>
      <c r="C194" s="338">
        <v>28</v>
      </c>
      <c r="D194" s="338">
        <v>7</v>
      </c>
      <c r="E194" s="341"/>
      <c r="F194" s="342">
        <v>2</v>
      </c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</row>
    <row r="195" spans="1:19" ht="11.4" x14ac:dyDescent="0.2">
      <c r="A195" s="336" t="str">
        <f t="shared" ref="A195:A258" si="6">TEXT(DATE(YEAR(B$2),MONTH(B$2)+(D195-1),1),"MmmYY")</f>
        <v>Oct16</v>
      </c>
      <c r="B195" s="337">
        <f t="shared" si="5"/>
        <v>42659</v>
      </c>
      <c r="C195" s="338">
        <v>28</v>
      </c>
      <c r="D195" s="338">
        <v>7</v>
      </c>
      <c r="E195" s="341"/>
      <c r="F195" s="342">
        <v>2</v>
      </c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</row>
    <row r="196" spans="1:19" ht="11.4" x14ac:dyDescent="0.2">
      <c r="A196" s="336" t="str">
        <f t="shared" si="6"/>
        <v>Oct16</v>
      </c>
      <c r="B196" s="337">
        <f t="shared" ref="B196:B259" si="7">B195+1</f>
        <v>42660</v>
      </c>
      <c r="C196" s="338">
        <v>29</v>
      </c>
      <c r="D196" s="338">
        <v>7</v>
      </c>
      <c r="E196" s="341"/>
      <c r="F196" s="342">
        <v>3</v>
      </c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</row>
    <row r="197" spans="1:19" ht="11.4" x14ac:dyDescent="0.2">
      <c r="A197" s="336" t="str">
        <f t="shared" si="6"/>
        <v>Oct16</v>
      </c>
      <c r="B197" s="337">
        <f t="shared" si="7"/>
        <v>42661</v>
      </c>
      <c r="C197" s="338">
        <v>29</v>
      </c>
      <c r="D197" s="338">
        <v>7</v>
      </c>
      <c r="E197" s="341"/>
      <c r="F197" s="342">
        <v>3</v>
      </c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</row>
    <row r="198" spans="1:19" ht="11.4" x14ac:dyDescent="0.2">
      <c r="A198" s="336" t="str">
        <f t="shared" si="6"/>
        <v>Oct16</v>
      </c>
      <c r="B198" s="337">
        <f t="shared" si="7"/>
        <v>42662</v>
      </c>
      <c r="C198" s="338">
        <v>29</v>
      </c>
      <c r="D198" s="338">
        <v>7</v>
      </c>
      <c r="E198" s="341"/>
      <c r="F198" s="342">
        <v>3</v>
      </c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</row>
    <row r="199" spans="1:19" ht="11.4" x14ac:dyDescent="0.2">
      <c r="A199" s="336" t="str">
        <f t="shared" si="6"/>
        <v>Oct16</v>
      </c>
      <c r="B199" s="337">
        <f t="shared" si="7"/>
        <v>42663</v>
      </c>
      <c r="C199" s="338">
        <v>29</v>
      </c>
      <c r="D199" s="338">
        <v>7</v>
      </c>
      <c r="E199" s="341"/>
      <c r="F199" s="342">
        <v>3</v>
      </c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</row>
    <row r="200" spans="1:19" ht="11.4" x14ac:dyDescent="0.2">
      <c r="A200" s="336" t="str">
        <f t="shared" si="6"/>
        <v>Oct16</v>
      </c>
      <c r="B200" s="337">
        <f t="shared" si="7"/>
        <v>42664</v>
      </c>
      <c r="C200" s="338">
        <v>29</v>
      </c>
      <c r="D200" s="338">
        <v>7</v>
      </c>
      <c r="E200" s="341"/>
      <c r="F200" s="342">
        <v>3</v>
      </c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</row>
    <row r="201" spans="1:19" ht="11.4" x14ac:dyDescent="0.2">
      <c r="A201" s="336" t="str">
        <f t="shared" si="6"/>
        <v>Oct16</v>
      </c>
      <c r="B201" s="337">
        <f t="shared" si="7"/>
        <v>42665</v>
      </c>
      <c r="C201" s="338">
        <v>29</v>
      </c>
      <c r="D201" s="338">
        <v>7</v>
      </c>
      <c r="E201" s="341"/>
      <c r="F201" s="342">
        <v>3</v>
      </c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</row>
    <row r="202" spans="1:19" ht="11.4" x14ac:dyDescent="0.2">
      <c r="A202" s="336" t="str">
        <f t="shared" si="6"/>
        <v>Oct16</v>
      </c>
      <c r="B202" s="337">
        <f t="shared" si="7"/>
        <v>42666</v>
      </c>
      <c r="C202" s="338">
        <v>29</v>
      </c>
      <c r="D202" s="338">
        <v>7</v>
      </c>
      <c r="E202" s="341"/>
      <c r="F202" s="342">
        <v>3</v>
      </c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</row>
    <row r="203" spans="1:19" ht="11.4" x14ac:dyDescent="0.2">
      <c r="A203" s="336" t="str">
        <f t="shared" si="6"/>
        <v>Oct16</v>
      </c>
      <c r="B203" s="337">
        <f t="shared" si="7"/>
        <v>42667</v>
      </c>
      <c r="C203" s="338">
        <v>30</v>
      </c>
      <c r="D203" s="338">
        <v>7</v>
      </c>
      <c r="E203" s="341"/>
      <c r="F203" s="342">
        <v>4</v>
      </c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</row>
    <row r="204" spans="1:19" ht="11.4" x14ac:dyDescent="0.2">
      <c r="A204" s="336" t="str">
        <f t="shared" si="6"/>
        <v>Oct16</v>
      </c>
      <c r="B204" s="337">
        <f t="shared" si="7"/>
        <v>42668</v>
      </c>
      <c r="C204" s="338">
        <v>30</v>
      </c>
      <c r="D204" s="338">
        <v>7</v>
      </c>
      <c r="E204" s="341"/>
      <c r="F204" s="342">
        <v>4</v>
      </c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</row>
    <row r="205" spans="1:19" ht="11.4" x14ac:dyDescent="0.2">
      <c r="A205" s="336" t="str">
        <f t="shared" si="6"/>
        <v>Oct16</v>
      </c>
      <c r="B205" s="337">
        <f t="shared" si="7"/>
        <v>42669</v>
      </c>
      <c r="C205" s="338">
        <v>30</v>
      </c>
      <c r="D205" s="338">
        <v>7</v>
      </c>
      <c r="E205" s="341"/>
      <c r="F205" s="342">
        <v>4</v>
      </c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</row>
    <row r="206" spans="1:19" ht="11.4" x14ac:dyDescent="0.2">
      <c r="A206" s="336" t="str">
        <f t="shared" si="6"/>
        <v>Oct16</v>
      </c>
      <c r="B206" s="337">
        <f t="shared" si="7"/>
        <v>42670</v>
      </c>
      <c r="C206" s="338">
        <v>30</v>
      </c>
      <c r="D206" s="338">
        <v>7</v>
      </c>
      <c r="E206" s="341"/>
      <c r="F206" s="342">
        <v>4</v>
      </c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</row>
    <row r="207" spans="1:19" ht="11.4" x14ac:dyDescent="0.2">
      <c r="A207" s="336" t="str">
        <f t="shared" si="6"/>
        <v>Oct16</v>
      </c>
      <c r="B207" s="337">
        <f t="shared" si="7"/>
        <v>42671</v>
      </c>
      <c r="C207" s="338">
        <v>30</v>
      </c>
      <c r="D207" s="338">
        <v>7</v>
      </c>
      <c r="E207" s="341"/>
      <c r="F207" s="342">
        <v>4</v>
      </c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</row>
    <row r="208" spans="1:19" ht="11.4" x14ac:dyDescent="0.2">
      <c r="A208" s="336" t="str">
        <f t="shared" si="6"/>
        <v>Oct16</v>
      </c>
      <c r="B208" s="337">
        <f t="shared" si="7"/>
        <v>42672</v>
      </c>
      <c r="C208" s="338">
        <v>30</v>
      </c>
      <c r="D208" s="338">
        <v>7</v>
      </c>
      <c r="E208" s="341"/>
      <c r="F208" s="342">
        <v>4</v>
      </c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</row>
    <row r="209" spans="1:19" ht="11.4" x14ac:dyDescent="0.2">
      <c r="A209" s="336" t="str">
        <f t="shared" si="6"/>
        <v>Oct16</v>
      </c>
      <c r="B209" s="337">
        <f t="shared" si="7"/>
        <v>42673</v>
      </c>
      <c r="C209" s="338">
        <v>30</v>
      </c>
      <c r="D209" s="338">
        <v>7</v>
      </c>
      <c r="E209" s="341"/>
      <c r="F209" s="342">
        <v>4</v>
      </c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</row>
    <row r="210" spans="1:19" ht="11.4" x14ac:dyDescent="0.2">
      <c r="A210" s="336" t="str">
        <f t="shared" si="6"/>
        <v>Oct16</v>
      </c>
      <c r="B210" s="337">
        <f t="shared" si="7"/>
        <v>42674</v>
      </c>
      <c r="C210" s="338">
        <v>31</v>
      </c>
      <c r="D210" s="338">
        <v>7</v>
      </c>
      <c r="E210" s="341"/>
      <c r="F210" s="342">
        <v>1</v>
      </c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</row>
    <row r="211" spans="1:19" ht="11.4" x14ac:dyDescent="0.2">
      <c r="A211" s="336" t="str">
        <f t="shared" si="6"/>
        <v>Oct16</v>
      </c>
      <c r="B211" s="337">
        <f t="shared" si="7"/>
        <v>42675</v>
      </c>
      <c r="C211" s="338">
        <v>31</v>
      </c>
      <c r="D211" s="338">
        <v>7</v>
      </c>
      <c r="E211" s="341"/>
      <c r="F211" s="342">
        <v>1</v>
      </c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</row>
    <row r="212" spans="1:19" x14ac:dyDescent="0.2">
      <c r="A212" s="336" t="str">
        <f t="shared" si="6"/>
        <v>Oct16</v>
      </c>
      <c r="B212" s="337">
        <f t="shared" si="7"/>
        <v>42676</v>
      </c>
      <c r="C212" s="338">
        <v>31</v>
      </c>
      <c r="D212" s="338">
        <v>7</v>
      </c>
      <c r="E212" s="341"/>
      <c r="F212" s="338">
        <v>1</v>
      </c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</row>
    <row r="213" spans="1:19" ht="11.4" x14ac:dyDescent="0.2">
      <c r="A213" s="336" t="str">
        <f t="shared" si="6"/>
        <v>Oct16</v>
      </c>
      <c r="B213" s="337">
        <f t="shared" si="7"/>
        <v>42677</v>
      </c>
      <c r="C213" s="338">
        <v>31</v>
      </c>
      <c r="D213" s="338">
        <v>7</v>
      </c>
      <c r="E213" s="341"/>
      <c r="F213" s="342">
        <v>1</v>
      </c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</row>
    <row r="214" spans="1:19" ht="11.4" x14ac:dyDescent="0.2">
      <c r="A214" s="336" t="str">
        <f t="shared" si="6"/>
        <v>Oct16</v>
      </c>
      <c r="B214" s="337">
        <f t="shared" si="7"/>
        <v>42678</v>
      </c>
      <c r="C214" s="338">
        <v>31</v>
      </c>
      <c r="D214" s="338">
        <v>7</v>
      </c>
      <c r="E214" s="341"/>
      <c r="F214" s="342">
        <v>1</v>
      </c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</row>
    <row r="215" spans="1:19" ht="11.4" x14ac:dyDescent="0.2">
      <c r="A215" s="348" t="str">
        <f t="shared" si="6"/>
        <v>Oct16</v>
      </c>
      <c r="B215" s="337">
        <f t="shared" si="7"/>
        <v>42679</v>
      </c>
      <c r="C215" s="349">
        <v>31</v>
      </c>
      <c r="D215" s="349">
        <v>7</v>
      </c>
      <c r="E215" s="350"/>
      <c r="F215" s="342">
        <v>1</v>
      </c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</row>
    <row r="216" spans="1:19" ht="11.4" x14ac:dyDescent="0.2">
      <c r="A216" s="345" t="str">
        <f t="shared" si="6"/>
        <v>Nov16</v>
      </c>
      <c r="B216" s="337">
        <f t="shared" si="7"/>
        <v>42680</v>
      </c>
      <c r="C216" s="346">
        <v>31</v>
      </c>
      <c r="D216" s="346">
        <v>8</v>
      </c>
      <c r="E216" s="347"/>
      <c r="F216" s="342">
        <v>1</v>
      </c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</row>
    <row r="217" spans="1:19" ht="11.4" x14ac:dyDescent="0.2">
      <c r="A217" s="336" t="str">
        <f t="shared" si="6"/>
        <v>Nov16</v>
      </c>
      <c r="B217" s="337">
        <f t="shared" si="7"/>
        <v>42681</v>
      </c>
      <c r="C217" s="338">
        <v>32</v>
      </c>
      <c r="D217" s="338">
        <v>8</v>
      </c>
      <c r="E217" s="341"/>
      <c r="F217" s="342">
        <v>2</v>
      </c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</row>
    <row r="218" spans="1:19" ht="11.4" x14ac:dyDescent="0.2">
      <c r="A218" s="336" t="str">
        <f t="shared" si="6"/>
        <v>Nov16</v>
      </c>
      <c r="B218" s="337">
        <f t="shared" si="7"/>
        <v>42682</v>
      </c>
      <c r="C218" s="338">
        <v>32</v>
      </c>
      <c r="D218" s="338">
        <v>8</v>
      </c>
      <c r="E218" s="341"/>
      <c r="F218" s="342">
        <v>2</v>
      </c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</row>
    <row r="219" spans="1:19" ht="11.4" x14ac:dyDescent="0.2">
      <c r="A219" s="336" t="str">
        <f t="shared" si="6"/>
        <v>Nov16</v>
      </c>
      <c r="B219" s="337">
        <f t="shared" si="7"/>
        <v>42683</v>
      </c>
      <c r="C219" s="338">
        <v>32</v>
      </c>
      <c r="D219" s="338">
        <v>8</v>
      </c>
      <c r="E219" s="341"/>
      <c r="F219" s="342">
        <v>2</v>
      </c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</row>
    <row r="220" spans="1:19" ht="11.4" x14ac:dyDescent="0.2">
      <c r="A220" s="336" t="str">
        <f t="shared" si="6"/>
        <v>Nov16</v>
      </c>
      <c r="B220" s="337">
        <f t="shared" si="7"/>
        <v>42684</v>
      </c>
      <c r="C220" s="338">
        <v>32</v>
      </c>
      <c r="D220" s="338">
        <v>8</v>
      </c>
      <c r="E220" s="341"/>
      <c r="F220" s="342">
        <v>2</v>
      </c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</row>
    <row r="221" spans="1:19" ht="11.4" x14ac:dyDescent="0.2">
      <c r="A221" s="336" t="str">
        <f t="shared" si="6"/>
        <v>Nov16</v>
      </c>
      <c r="B221" s="337">
        <f t="shared" si="7"/>
        <v>42685</v>
      </c>
      <c r="C221" s="338">
        <v>32</v>
      </c>
      <c r="D221" s="338">
        <v>8</v>
      </c>
      <c r="E221" s="341"/>
      <c r="F221" s="342">
        <v>2</v>
      </c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</row>
    <row r="222" spans="1:19" ht="11.4" x14ac:dyDescent="0.2">
      <c r="A222" s="336" t="str">
        <f t="shared" si="6"/>
        <v>Nov16</v>
      </c>
      <c r="B222" s="337">
        <f t="shared" si="7"/>
        <v>42686</v>
      </c>
      <c r="C222" s="338">
        <v>32</v>
      </c>
      <c r="D222" s="338">
        <v>8</v>
      </c>
      <c r="E222" s="341"/>
      <c r="F222" s="342">
        <v>2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</row>
    <row r="223" spans="1:19" ht="11.4" x14ac:dyDescent="0.2">
      <c r="A223" s="336" t="str">
        <f t="shared" si="6"/>
        <v>Nov16</v>
      </c>
      <c r="B223" s="337">
        <f t="shared" si="7"/>
        <v>42687</v>
      </c>
      <c r="C223" s="338">
        <v>32</v>
      </c>
      <c r="D223" s="338">
        <v>8</v>
      </c>
      <c r="E223" s="341"/>
      <c r="F223" s="342">
        <v>2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</row>
    <row r="224" spans="1:19" ht="11.4" x14ac:dyDescent="0.2">
      <c r="A224" s="336" t="str">
        <f t="shared" si="6"/>
        <v>Nov16</v>
      </c>
      <c r="B224" s="337">
        <f t="shared" si="7"/>
        <v>42688</v>
      </c>
      <c r="C224" s="338">
        <v>33</v>
      </c>
      <c r="D224" s="338">
        <v>8</v>
      </c>
      <c r="E224" s="341"/>
      <c r="F224" s="342">
        <v>3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</row>
    <row r="225" spans="1:19" ht="11.4" x14ac:dyDescent="0.2">
      <c r="A225" s="336" t="str">
        <f t="shared" si="6"/>
        <v>Nov16</v>
      </c>
      <c r="B225" s="337">
        <f t="shared" si="7"/>
        <v>42689</v>
      </c>
      <c r="C225" s="338">
        <v>33</v>
      </c>
      <c r="D225" s="338">
        <v>8</v>
      </c>
      <c r="E225" s="341"/>
      <c r="F225" s="342">
        <v>3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</row>
    <row r="226" spans="1:19" ht="11.4" x14ac:dyDescent="0.2">
      <c r="A226" s="336" t="str">
        <f t="shared" si="6"/>
        <v>Nov16</v>
      </c>
      <c r="B226" s="337">
        <f t="shared" si="7"/>
        <v>42690</v>
      </c>
      <c r="C226" s="338">
        <v>33</v>
      </c>
      <c r="D226" s="338">
        <v>8</v>
      </c>
      <c r="E226" s="341"/>
      <c r="F226" s="342">
        <v>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</row>
    <row r="227" spans="1:19" ht="11.4" x14ac:dyDescent="0.2">
      <c r="A227" s="336" t="str">
        <f t="shared" si="6"/>
        <v>Nov16</v>
      </c>
      <c r="B227" s="337">
        <f t="shared" si="7"/>
        <v>42691</v>
      </c>
      <c r="C227" s="338">
        <v>33</v>
      </c>
      <c r="D227" s="338">
        <v>8</v>
      </c>
      <c r="E227" s="341"/>
      <c r="F227" s="342">
        <v>3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</row>
    <row r="228" spans="1:19" ht="11.4" x14ac:dyDescent="0.2">
      <c r="A228" s="336" t="str">
        <f t="shared" si="6"/>
        <v>Nov16</v>
      </c>
      <c r="B228" s="337">
        <f t="shared" si="7"/>
        <v>42692</v>
      </c>
      <c r="C228" s="338">
        <v>33</v>
      </c>
      <c r="D228" s="338">
        <v>8</v>
      </c>
      <c r="E228" s="341"/>
      <c r="F228" s="342">
        <v>3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</row>
    <row r="229" spans="1:19" ht="11.4" x14ac:dyDescent="0.2">
      <c r="A229" s="336" t="str">
        <f t="shared" si="6"/>
        <v>Nov16</v>
      </c>
      <c r="B229" s="337">
        <f t="shared" si="7"/>
        <v>42693</v>
      </c>
      <c r="C229" s="338">
        <v>33</v>
      </c>
      <c r="D229" s="338">
        <v>8</v>
      </c>
      <c r="E229" s="341"/>
      <c r="F229" s="342">
        <v>3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</row>
    <row r="230" spans="1:19" ht="11.4" x14ac:dyDescent="0.2">
      <c r="A230" s="336" t="str">
        <f t="shared" si="6"/>
        <v>Nov16</v>
      </c>
      <c r="B230" s="337">
        <f t="shared" si="7"/>
        <v>42694</v>
      </c>
      <c r="C230" s="338">
        <v>33</v>
      </c>
      <c r="D230" s="338">
        <v>8</v>
      </c>
      <c r="E230" s="341"/>
      <c r="F230" s="342">
        <v>3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</row>
    <row r="231" spans="1:19" ht="11.4" x14ac:dyDescent="0.2">
      <c r="A231" s="336" t="str">
        <f t="shared" si="6"/>
        <v>Nov16</v>
      </c>
      <c r="B231" s="337">
        <f t="shared" si="7"/>
        <v>42695</v>
      </c>
      <c r="C231" s="338">
        <v>34</v>
      </c>
      <c r="D231" s="338">
        <v>8</v>
      </c>
      <c r="E231" s="341"/>
      <c r="F231" s="342">
        <v>4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</row>
    <row r="232" spans="1:19" ht="11.4" x14ac:dyDescent="0.2">
      <c r="A232" s="336" t="str">
        <f t="shared" si="6"/>
        <v>Nov16</v>
      </c>
      <c r="B232" s="337">
        <f t="shared" si="7"/>
        <v>42696</v>
      </c>
      <c r="C232" s="338">
        <v>34</v>
      </c>
      <c r="D232" s="338">
        <v>8</v>
      </c>
      <c r="E232" s="341"/>
      <c r="F232" s="342">
        <v>4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</row>
    <row r="233" spans="1:19" ht="11.4" x14ac:dyDescent="0.2">
      <c r="A233" s="336" t="str">
        <f t="shared" si="6"/>
        <v>Nov16</v>
      </c>
      <c r="B233" s="337">
        <f t="shared" si="7"/>
        <v>42697</v>
      </c>
      <c r="C233" s="338">
        <v>34</v>
      </c>
      <c r="D233" s="338">
        <v>8</v>
      </c>
      <c r="E233" s="341"/>
      <c r="F233" s="342">
        <v>4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</row>
    <row r="234" spans="1:19" ht="11.4" x14ac:dyDescent="0.2">
      <c r="A234" s="336" t="str">
        <f t="shared" si="6"/>
        <v>Nov16</v>
      </c>
      <c r="B234" s="337">
        <f t="shared" si="7"/>
        <v>42698</v>
      </c>
      <c r="C234" s="338">
        <v>34</v>
      </c>
      <c r="D234" s="338">
        <v>8</v>
      </c>
      <c r="E234" s="341"/>
      <c r="F234" s="342">
        <v>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</row>
    <row r="235" spans="1:19" ht="11.4" x14ac:dyDescent="0.2">
      <c r="A235" s="336" t="str">
        <f t="shared" si="6"/>
        <v>Nov16</v>
      </c>
      <c r="B235" s="337">
        <f t="shared" si="7"/>
        <v>42699</v>
      </c>
      <c r="C235" s="338">
        <v>34</v>
      </c>
      <c r="D235" s="338">
        <v>8</v>
      </c>
      <c r="E235" s="341"/>
      <c r="F235" s="342">
        <v>4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</row>
    <row r="236" spans="1:19" ht="11.4" x14ac:dyDescent="0.2">
      <c r="A236" s="336" t="str">
        <f t="shared" si="6"/>
        <v>Nov16</v>
      </c>
      <c r="B236" s="337">
        <f t="shared" si="7"/>
        <v>42700</v>
      </c>
      <c r="C236" s="338">
        <v>34</v>
      </c>
      <c r="D236" s="338">
        <v>8</v>
      </c>
      <c r="E236" s="341"/>
      <c r="F236" s="342">
        <v>4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</row>
    <row r="237" spans="1:19" ht="11.4" x14ac:dyDescent="0.2">
      <c r="A237" s="336" t="str">
        <f t="shared" si="6"/>
        <v>Nov16</v>
      </c>
      <c r="B237" s="337">
        <f t="shared" si="7"/>
        <v>42701</v>
      </c>
      <c r="C237" s="338">
        <v>34</v>
      </c>
      <c r="D237" s="338">
        <v>8</v>
      </c>
      <c r="E237" s="341"/>
      <c r="F237" s="342">
        <v>4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</row>
    <row r="238" spans="1:19" ht="11.4" x14ac:dyDescent="0.2">
      <c r="A238" s="336" t="str">
        <f t="shared" si="6"/>
        <v>Nov16</v>
      </c>
      <c r="B238" s="337">
        <f t="shared" si="7"/>
        <v>42702</v>
      </c>
      <c r="C238" s="338">
        <v>35</v>
      </c>
      <c r="D238" s="338">
        <v>8</v>
      </c>
      <c r="E238" s="341"/>
      <c r="F238" s="342">
        <v>1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</row>
    <row r="239" spans="1:19" ht="11.4" x14ac:dyDescent="0.2">
      <c r="A239" s="336" t="str">
        <f t="shared" si="6"/>
        <v>Nov16</v>
      </c>
      <c r="B239" s="337">
        <f t="shared" si="7"/>
        <v>42703</v>
      </c>
      <c r="C239" s="338">
        <v>35</v>
      </c>
      <c r="D239" s="338">
        <v>8</v>
      </c>
      <c r="E239" s="341"/>
      <c r="F239" s="342">
        <v>1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</row>
    <row r="240" spans="1:19" x14ac:dyDescent="0.2">
      <c r="A240" s="336" t="str">
        <f t="shared" si="6"/>
        <v>Nov16</v>
      </c>
      <c r="B240" s="337">
        <f t="shared" si="7"/>
        <v>42704</v>
      </c>
      <c r="C240" s="338">
        <v>35</v>
      </c>
      <c r="D240" s="338">
        <v>8</v>
      </c>
      <c r="E240" s="341"/>
      <c r="F240" s="338">
        <v>1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</row>
    <row r="241" spans="1:19" ht="11.4" x14ac:dyDescent="0.2">
      <c r="A241" s="336" t="str">
        <f t="shared" si="6"/>
        <v>Nov16</v>
      </c>
      <c r="B241" s="337">
        <f t="shared" si="7"/>
        <v>42705</v>
      </c>
      <c r="C241" s="338">
        <v>35</v>
      </c>
      <c r="D241" s="338">
        <v>8</v>
      </c>
      <c r="E241" s="341"/>
      <c r="F241" s="342">
        <v>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</row>
    <row r="242" spans="1:19" ht="11.4" x14ac:dyDescent="0.2">
      <c r="A242" s="336" t="str">
        <f t="shared" si="6"/>
        <v>Nov16</v>
      </c>
      <c r="B242" s="337">
        <f t="shared" si="7"/>
        <v>42706</v>
      </c>
      <c r="C242" s="338">
        <v>35</v>
      </c>
      <c r="D242" s="338">
        <v>8</v>
      </c>
      <c r="E242" s="341"/>
      <c r="F242" s="342">
        <v>1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</row>
    <row r="243" spans="1:19" ht="11.4" x14ac:dyDescent="0.2">
      <c r="A243" s="336" t="str">
        <f t="shared" si="6"/>
        <v>Nov16</v>
      </c>
      <c r="B243" s="337">
        <f t="shared" si="7"/>
        <v>42707</v>
      </c>
      <c r="C243" s="338">
        <v>35</v>
      </c>
      <c r="D243" s="338">
        <v>8</v>
      </c>
      <c r="E243" s="341"/>
      <c r="F243" s="342">
        <v>1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</row>
    <row r="244" spans="1:19" ht="11.4" x14ac:dyDescent="0.2">
      <c r="A244" s="336" t="str">
        <f t="shared" si="6"/>
        <v>Nov16</v>
      </c>
      <c r="B244" s="337">
        <f t="shared" si="7"/>
        <v>42708</v>
      </c>
      <c r="C244" s="338">
        <v>35</v>
      </c>
      <c r="D244" s="338">
        <v>8</v>
      </c>
      <c r="E244" s="341"/>
      <c r="F244" s="342">
        <v>1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</row>
    <row r="245" spans="1:19" ht="11.4" x14ac:dyDescent="0.2">
      <c r="A245" s="336" t="str">
        <f t="shared" si="6"/>
        <v>Nov16</v>
      </c>
      <c r="B245" s="337">
        <f t="shared" si="7"/>
        <v>42709</v>
      </c>
      <c r="C245" s="338">
        <v>36</v>
      </c>
      <c r="D245" s="338">
        <v>8</v>
      </c>
      <c r="E245" s="341"/>
      <c r="F245" s="342">
        <v>2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</row>
    <row r="246" spans="1:19" ht="11.4" x14ac:dyDescent="0.2">
      <c r="A246" s="345" t="str">
        <f t="shared" si="6"/>
        <v>Dec16</v>
      </c>
      <c r="B246" s="337">
        <f t="shared" si="7"/>
        <v>42710</v>
      </c>
      <c r="C246" s="346">
        <v>36</v>
      </c>
      <c r="D246" s="346">
        <v>9</v>
      </c>
      <c r="E246" s="347"/>
      <c r="F246" s="342">
        <v>2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</row>
    <row r="247" spans="1:19" ht="11.4" x14ac:dyDescent="0.2">
      <c r="A247" s="336" t="str">
        <f t="shared" si="6"/>
        <v>Dec16</v>
      </c>
      <c r="B247" s="337">
        <f t="shared" si="7"/>
        <v>42711</v>
      </c>
      <c r="C247" s="338">
        <v>36</v>
      </c>
      <c r="D247" s="338">
        <v>9</v>
      </c>
      <c r="E247" s="341"/>
      <c r="F247" s="342">
        <v>2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</row>
    <row r="248" spans="1:19" ht="11.4" x14ac:dyDescent="0.2">
      <c r="A248" s="336" t="str">
        <f t="shared" si="6"/>
        <v>Dec16</v>
      </c>
      <c r="B248" s="337">
        <f t="shared" si="7"/>
        <v>42712</v>
      </c>
      <c r="C248" s="338">
        <v>36</v>
      </c>
      <c r="D248" s="338">
        <v>9</v>
      </c>
      <c r="E248" s="341"/>
      <c r="F248" s="342">
        <v>2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</row>
    <row r="249" spans="1:19" ht="11.4" x14ac:dyDescent="0.2">
      <c r="A249" s="336" t="str">
        <f t="shared" si="6"/>
        <v>Dec16</v>
      </c>
      <c r="B249" s="337">
        <f t="shared" si="7"/>
        <v>42713</v>
      </c>
      <c r="C249" s="338">
        <v>36</v>
      </c>
      <c r="D249" s="338">
        <v>9</v>
      </c>
      <c r="E249" s="341"/>
      <c r="F249" s="342">
        <v>2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</row>
    <row r="250" spans="1:19" ht="11.4" x14ac:dyDescent="0.2">
      <c r="A250" s="336" t="str">
        <f t="shared" si="6"/>
        <v>Dec16</v>
      </c>
      <c r="B250" s="337">
        <f t="shared" si="7"/>
        <v>42714</v>
      </c>
      <c r="C250" s="338">
        <v>36</v>
      </c>
      <c r="D250" s="338">
        <v>9</v>
      </c>
      <c r="E250" s="341"/>
      <c r="F250" s="342">
        <v>2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</row>
    <row r="251" spans="1:19" ht="11.4" x14ac:dyDescent="0.2">
      <c r="A251" s="336" t="str">
        <f t="shared" si="6"/>
        <v>Dec16</v>
      </c>
      <c r="B251" s="337">
        <f t="shared" si="7"/>
        <v>42715</v>
      </c>
      <c r="C251" s="338">
        <v>36</v>
      </c>
      <c r="D251" s="338">
        <v>9</v>
      </c>
      <c r="E251" s="341"/>
      <c r="F251" s="342">
        <v>2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</row>
    <row r="252" spans="1:19" ht="11.4" x14ac:dyDescent="0.2">
      <c r="A252" s="336" t="str">
        <f t="shared" si="6"/>
        <v>Dec16</v>
      </c>
      <c r="B252" s="337">
        <f t="shared" si="7"/>
        <v>42716</v>
      </c>
      <c r="C252" s="338">
        <v>37</v>
      </c>
      <c r="D252" s="338">
        <v>9</v>
      </c>
      <c r="E252" s="341"/>
      <c r="F252" s="342">
        <v>3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</row>
    <row r="253" spans="1:19" ht="11.4" x14ac:dyDescent="0.2">
      <c r="A253" s="336" t="str">
        <f t="shared" si="6"/>
        <v>Dec16</v>
      </c>
      <c r="B253" s="337">
        <f t="shared" si="7"/>
        <v>42717</v>
      </c>
      <c r="C253" s="338">
        <v>37</v>
      </c>
      <c r="D253" s="338">
        <v>9</v>
      </c>
      <c r="E253" s="341"/>
      <c r="F253" s="342">
        <v>3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</row>
    <row r="254" spans="1:19" ht="11.4" x14ac:dyDescent="0.2">
      <c r="A254" s="336" t="str">
        <f t="shared" si="6"/>
        <v>Dec16</v>
      </c>
      <c r="B254" s="337">
        <f t="shared" si="7"/>
        <v>42718</v>
      </c>
      <c r="C254" s="338">
        <v>37</v>
      </c>
      <c r="D254" s="338">
        <v>9</v>
      </c>
      <c r="E254" s="341"/>
      <c r="F254" s="342">
        <v>3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</row>
    <row r="255" spans="1:19" ht="11.4" x14ac:dyDescent="0.2">
      <c r="A255" s="336" t="str">
        <f t="shared" si="6"/>
        <v>Dec16</v>
      </c>
      <c r="B255" s="337">
        <f t="shared" si="7"/>
        <v>42719</v>
      </c>
      <c r="C255" s="338">
        <v>37</v>
      </c>
      <c r="D255" s="338">
        <v>9</v>
      </c>
      <c r="E255" s="341"/>
      <c r="F255" s="342">
        <v>3</v>
      </c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</row>
    <row r="256" spans="1:19" ht="11.4" x14ac:dyDescent="0.2">
      <c r="A256" s="336" t="str">
        <f t="shared" si="6"/>
        <v>Dec16</v>
      </c>
      <c r="B256" s="337">
        <f t="shared" si="7"/>
        <v>42720</v>
      </c>
      <c r="C256" s="338">
        <v>37</v>
      </c>
      <c r="D256" s="338">
        <v>9</v>
      </c>
      <c r="E256" s="341"/>
      <c r="F256" s="342">
        <v>3</v>
      </c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</row>
    <row r="257" spans="1:19" ht="11.4" x14ac:dyDescent="0.2">
      <c r="A257" s="336" t="str">
        <f t="shared" si="6"/>
        <v>Dec16</v>
      </c>
      <c r="B257" s="337">
        <f t="shared" si="7"/>
        <v>42721</v>
      </c>
      <c r="C257" s="338">
        <v>37</v>
      </c>
      <c r="D257" s="338">
        <v>9</v>
      </c>
      <c r="E257" s="341"/>
      <c r="F257" s="342">
        <v>3</v>
      </c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</row>
    <row r="258" spans="1:19" ht="11.4" x14ac:dyDescent="0.2">
      <c r="A258" s="336" t="str">
        <f t="shared" si="6"/>
        <v>Dec16</v>
      </c>
      <c r="B258" s="337">
        <f t="shared" si="7"/>
        <v>42722</v>
      </c>
      <c r="C258" s="338">
        <v>37</v>
      </c>
      <c r="D258" s="338">
        <v>9</v>
      </c>
      <c r="E258" s="341"/>
      <c r="F258" s="342">
        <v>3</v>
      </c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</row>
    <row r="259" spans="1:19" ht="11.4" x14ac:dyDescent="0.2">
      <c r="A259" s="336" t="str">
        <f t="shared" ref="A259:A322" si="8">TEXT(DATE(YEAR(B$2),MONTH(B$2)+(D259-1),1),"MmmYY")</f>
        <v>Dec16</v>
      </c>
      <c r="B259" s="337">
        <f t="shared" si="7"/>
        <v>42723</v>
      </c>
      <c r="C259" s="338">
        <v>38</v>
      </c>
      <c r="D259" s="338">
        <v>9</v>
      </c>
      <c r="E259" s="341"/>
      <c r="F259" s="342">
        <v>4</v>
      </c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</row>
    <row r="260" spans="1:19" ht="11.4" x14ac:dyDescent="0.2">
      <c r="A260" s="336" t="str">
        <f t="shared" si="8"/>
        <v>Dec16</v>
      </c>
      <c r="B260" s="337">
        <f t="shared" ref="B260:B323" si="9">B259+1</f>
        <v>42724</v>
      </c>
      <c r="C260" s="338">
        <v>38</v>
      </c>
      <c r="D260" s="338">
        <v>9</v>
      </c>
      <c r="E260" s="341"/>
      <c r="F260" s="342">
        <v>4</v>
      </c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</row>
    <row r="261" spans="1:19" ht="11.4" x14ac:dyDescent="0.2">
      <c r="A261" s="336" t="str">
        <f t="shared" si="8"/>
        <v>Dec16</v>
      </c>
      <c r="B261" s="337">
        <f t="shared" si="9"/>
        <v>42725</v>
      </c>
      <c r="C261" s="338">
        <v>38</v>
      </c>
      <c r="D261" s="338">
        <v>9</v>
      </c>
      <c r="E261" s="341"/>
      <c r="F261" s="342">
        <v>4</v>
      </c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</row>
    <row r="262" spans="1:19" ht="11.4" x14ac:dyDescent="0.2">
      <c r="A262" s="336" t="str">
        <f t="shared" si="8"/>
        <v>Dec16</v>
      </c>
      <c r="B262" s="337">
        <f t="shared" si="9"/>
        <v>42726</v>
      </c>
      <c r="C262" s="338">
        <v>38</v>
      </c>
      <c r="D262" s="338">
        <v>9</v>
      </c>
      <c r="E262" s="341"/>
      <c r="F262" s="342">
        <v>4</v>
      </c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</row>
    <row r="263" spans="1:19" ht="11.4" x14ac:dyDescent="0.2">
      <c r="A263" s="336" t="str">
        <f t="shared" si="8"/>
        <v>Dec16</v>
      </c>
      <c r="B263" s="337">
        <f t="shared" si="9"/>
        <v>42727</v>
      </c>
      <c r="C263" s="338">
        <v>38</v>
      </c>
      <c r="D263" s="338">
        <v>9</v>
      </c>
      <c r="E263" s="341"/>
      <c r="F263" s="342">
        <v>4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</row>
    <row r="264" spans="1:19" ht="11.4" x14ac:dyDescent="0.2">
      <c r="A264" s="336" t="str">
        <f t="shared" si="8"/>
        <v>Dec16</v>
      </c>
      <c r="B264" s="337">
        <f t="shared" si="9"/>
        <v>42728</v>
      </c>
      <c r="C264" s="338">
        <v>38</v>
      </c>
      <c r="D264" s="338">
        <v>9</v>
      </c>
      <c r="E264" s="341"/>
      <c r="F264" s="342">
        <v>4</v>
      </c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</row>
    <row r="265" spans="1:19" ht="11.4" x14ac:dyDescent="0.2">
      <c r="A265" s="336" t="str">
        <f t="shared" si="8"/>
        <v>Dec16</v>
      </c>
      <c r="B265" s="337">
        <f t="shared" si="9"/>
        <v>42729</v>
      </c>
      <c r="C265" s="338">
        <v>38</v>
      </c>
      <c r="D265" s="338">
        <v>9</v>
      </c>
      <c r="E265" s="341"/>
      <c r="F265" s="342">
        <v>4</v>
      </c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</row>
    <row r="266" spans="1:19" ht="11.4" x14ac:dyDescent="0.2">
      <c r="A266" s="336" t="str">
        <f t="shared" si="8"/>
        <v>Dec16</v>
      </c>
      <c r="B266" s="337">
        <f t="shared" si="9"/>
        <v>42730</v>
      </c>
      <c r="C266" s="338">
        <v>39</v>
      </c>
      <c r="D266" s="338">
        <v>9</v>
      </c>
      <c r="E266" s="341"/>
      <c r="F266" s="342">
        <v>5</v>
      </c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</row>
    <row r="267" spans="1:19" ht="11.4" x14ac:dyDescent="0.2">
      <c r="A267" s="336" t="str">
        <f t="shared" si="8"/>
        <v>Dec16</v>
      </c>
      <c r="B267" s="337">
        <f t="shared" si="9"/>
        <v>42731</v>
      </c>
      <c r="C267" s="338">
        <v>39</v>
      </c>
      <c r="D267" s="338">
        <v>9</v>
      </c>
      <c r="E267" s="341"/>
      <c r="F267" s="342">
        <v>5</v>
      </c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</row>
    <row r="268" spans="1:19" ht="11.4" x14ac:dyDescent="0.2">
      <c r="A268" s="336" t="str">
        <f t="shared" si="8"/>
        <v>Dec16</v>
      </c>
      <c r="B268" s="337">
        <f t="shared" si="9"/>
        <v>42732</v>
      </c>
      <c r="C268" s="338">
        <v>39</v>
      </c>
      <c r="D268" s="338">
        <v>9</v>
      </c>
      <c r="E268" s="341"/>
      <c r="F268" s="342">
        <v>5</v>
      </c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</row>
    <row r="269" spans="1:19" ht="11.4" x14ac:dyDescent="0.2">
      <c r="A269" s="336" t="str">
        <f t="shared" si="8"/>
        <v>Dec16</v>
      </c>
      <c r="B269" s="337">
        <f t="shared" si="9"/>
        <v>42733</v>
      </c>
      <c r="C269" s="338">
        <v>39</v>
      </c>
      <c r="D269" s="338">
        <v>9</v>
      </c>
      <c r="E269" s="341"/>
      <c r="F269" s="342">
        <v>5</v>
      </c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</row>
    <row r="270" spans="1:19" ht="11.4" x14ac:dyDescent="0.2">
      <c r="A270" s="336" t="str">
        <f t="shared" si="8"/>
        <v>Dec16</v>
      </c>
      <c r="B270" s="337">
        <f t="shared" si="9"/>
        <v>42734</v>
      </c>
      <c r="C270" s="338">
        <v>39</v>
      </c>
      <c r="D270" s="338">
        <v>9</v>
      </c>
      <c r="E270" s="341"/>
      <c r="F270" s="342">
        <v>5</v>
      </c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</row>
    <row r="271" spans="1:19" ht="11.4" x14ac:dyDescent="0.2">
      <c r="A271" s="336" t="str">
        <f t="shared" si="8"/>
        <v>Dec16</v>
      </c>
      <c r="B271" s="337">
        <f t="shared" si="9"/>
        <v>42735</v>
      </c>
      <c r="C271" s="338">
        <v>39</v>
      </c>
      <c r="D271" s="338">
        <v>9</v>
      </c>
      <c r="E271" s="341"/>
      <c r="F271" s="342">
        <v>5</v>
      </c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</row>
    <row r="272" spans="1:19" ht="11.4" x14ac:dyDescent="0.2">
      <c r="A272" s="336" t="str">
        <f t="shared" si="8"/>
        <v>Dec16</v>
      </c>
      <c r="B272" s="337">
        <f t="shared" si="9"/>
        <v>42736</v>
      </c>
      <c r="C272" s="338">
        <v>39</v>
      </c>
      <c r="D272" s="338">
        <v>9</v>
      </c>
      <c r="E272" s="341"/>
      <c r="F272" s="342">
        <v>5</v>
      </c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</row>
    <row r="273" spans="1:19" ht="11.4" x14ac:dyDescent="0.2">
      <c r="A273" s="336" t="str">
        <f t="shared" si="8"/>
        <v>Dec16</v>
      </c>
      <c r="B273" s="337">
        <f t="shared" si="9"/>
        <v>42737</v>
      </c>
      <c r="C273" s="338">
        <v>40</v>
      </c>
      <c r="D273" s="338">
        <v>9</v>
      </c>
      <c r="E273" s="341"/>
      <c r="F273" s="342">
        <v>1</v>
      </c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</row>
    <row r="274" spans="1:19" ht="11.4" x14ac:dyDescent="0.2">
      <c r="A274" s="336" t="str">
        <f t="shared" si="8"/>
        <v>Dec16</v>
      </c>
      <c r="B274" s="337">
        <f t="shared" si="9"/>
        <v>42738</v>
      </c>
      <c r="C274" s="338">
        <v>40</v>
      </c>
      <c r="D274" s="338">
        <v>9</v>
      </c>
      <c r="E274" s="341"/>
      <c r="F274" s="342">
        <v>1</v>
      </c>
      <c r="G274" s="344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</row>
    <row r="275" spans="1:19" ht="11.4" x14ac:dyDescent="0.2">
      <c r="A275" s="336" t="str">
        <f t="shared" si="8"/>
        <v>Dec16</v>
      </c>
      <c r="B275" s="337">
        <f t="shared" si="9"/>
        <v>42739</v>
      </c>
      <c r="C275" s="338">
        <v>40</v>
      </c>
      <c r="D275" s="338">
        <v>9</v>
      </c>
      <c r="E275" s="341"/>
      <c r="F275" s="342">
        <v>1</v>
      </c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</row>
    <row r="276" spans="1:19" ht="11.4" x14ac:dyDescent="0.2">
      <c r="A276" s="336" t="str">
        <f t="shared" si="8"/>
        <v>Dec16</v>
      </c>
      <c r="B276" s="337">
        <f t="shared" si="9"/>
        <v>42740</v>
      </c>
      <c r="C276" s="338">
        <v>40</v>
      </c>
      <c r="D276" s="338">
        <v>9</v>
      </c>
      <c r="E276" s="341"/>
      <c r="F276" s="342">
        <v>1</v>
      </c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</row>
    <row r="277" spans="1:19" ht="11.4" x14ac:dyDescent="0.2">
      <c r="A277" s="345" t="str">
        <f t="shared" si="8"/>
        <v>Jan17</v>
      </c>
      <c r="B277" s="337">
        <f t="shared" si="9"/>
        <v>42741</v>
      </c>
      <c r="C277" s="346">
        <v>40</v>
      </c>
      <c r="D277" s="346">
        <v>10</v>
      </c>
      <c r="E277" s="347"/>
      <c r="F277" s="342">
        <v>1</v>
      </c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</row>
    <row r="278" spans="1:19" ht="11.4" x14ac:dyDescent="0.2">
      <c r="A278" s="336" t="str">
        <f t="shared" si="8"/>
        <v>Jan17</v>
      </c>
      <c r="B278" s="337">
        <f t="shared" si="9"/>
        <v>42742</v>
      </c>
      <c r="C278" s="338">
        <v>40</v>
      </c>
      <c r="D278" s="338">
        <v>10</v>
      </c>
      <c r="E278" s="341"/>
      <c r="F278" s="342">
        <v>1</v>
      </c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</row>
    <row r="279" spans="1:19" ht="11.4" x14ac:dyDescent="0.2">
      <c r="A279" s="336" t="str">
        <f t="shared" si="8"/>
        <v>Jan17</v>
      </c>
      <c r="B279" s="337">
        <f t="shared" si="9"/>
        <v>42743</v>
      </c>
      <c r="C279" s="338">
        <v>40</v>
      </c>
      <c r="D279" s="338">
        <v>10</v>
      </c>
      <c r="E279" s="341"/>
      <c r="F279" s="342">
        <v>1</v>
      </c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</row>
    <row r="280" spans="1:19" ht="11.4" x14ac:dyDescent="0.2">
      <c r="A280" s="336" t="str">
        <f t="shared" si="8"/>
        <v>Jan17</v>
      </c>
      <c r="B280" s="337">
        <f t="shared" si="9"/>
        <v>42744</v>
      </c>
      <c r="C280" s="338">
        <v>41</v>
      </c>
      <c r="D280" s="338">
        <v>10</v>
      </c>
      <c r="E280" s="341"/>
      <c r="F280" s="342">
        <v>2</v>
      </c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</row>
    <row r="281" spans="1:19" ht="11.4" x14ac:dyDescent="0.2">
      <c r="A281" s="336" t="str">
        <f t="shared" si="8"/>
        <v>Jan17</v>
      </c>
      <c r="B281" s="337">
        <f t="shared" si="9"/>
        <v>42745</v>
      </c>
      <c r="C281" s="338">
        <v>41</v>
      </c>
      <c r="D281" s="338">
        <v>10</v>
      </c>
      <c r="E281" s="341"/>
      <c r="F281" s="342">
        <v>2</v>
      </c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</row>
    <row r="282" spans="1:19" ht="11.4" x14ac:dyDescent="0.2">
      <c r="A282" s="336" t="str">
        <f t="shared" si="8"/>
        <v>Jan17</v>
      </c>
      <c r="B282" s="337">
        <f t="shared" si="9"/>
        <v>42746</v>
      </c>
      <c r="C282" s="338">
        <v>41</v>
      </c>
      <c r="D282" s="338">
        <v>10</v>
      </c>
      <c r="E282" s="341"/>
      <c r="F282" s="342">
        <v>2</v>
      </c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</row>
    <row r="283" spans="1:19" ht="11.4" x14ac:dyDescent="0.2">
      <c r="A283" s="336" t="str">
        <f t="shared" si="8"/>
        <v>Jan17</v>
      </c>
      <c r="B283" s="337">
        <f t="shared" si="9"/>
        <v>42747</v>
      </c>
      <c r="C283" s="338">
        <v>41</v>
      </c>
      <c r="D283" s="338">
        <v>10</v>
      </c>
      <c r="E283" s="341"/>
      <c r="F283" s="342">
        <v>2</v>
      </c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</row>
    <row r="284" spans="1:19" ht="11.4" x14ac:dyDescent="0.2">
      <c r="A284" s="336" t="str">
        <f t="shared" si="8"/>
        <v>Jan17</v>
      </c>
      <c r="B284" s="337">
        <f t="shared" si="9"/>
        <v>42748</v>
      </c>
      <c r="C284" s="338">
        <v>41</v>
      </c>
      <c r="D284" s="338">
        <v>10</v>
      </c>
      <c r="E284" s="341"/>
      <c r="F284" s="342">
        <v>2</v>
      </c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</row>
    <row r="285" spans="1:19" ht="11.4" x14ac:dyDescent="0.2">
      <c r="A285" s="336" t="str">
        <f t="shared" si="8"/>
        <v>Jan17</v>
      </c>
      <c r="B285" s="337">
        <f t="shared" si="9"/>
        <v>42749</v>
      </c>
      <c r="C285" s="338">
        <v>41</v>
      </c>
      <c r="D285" s="338">
        <v>10</v>
      </c>
      <c r="E285" s="341"/>
      <c r="F285" s="342">
        <v>2</v>
      </c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</row>
    <row r="286" spans="1:19" ht="11.4" x14ac:dyDescent="0.2">
      <c r="A286" s="336" t="str">
        <f t="shared" si="8"/>
        <v>Jan17</v>
      </c>
      <c r="B286" s="337">
        <f t="shared" si="9"/>
        <v>42750</v>
      </c>
      <c r="C286" s="338">
        <v>41</v>
      </c>
      <c r="D286" s="338">
        <v>10</v>
      </c>
      <c r="E286" s="341"/>
      <c r="F286" s="342">
        <v>2</v>
      </c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</row>
    <row r="287" spans="1:19" ht="11.4" x14ac:dyDescent="0.2">
      <c r="A287" s="336" t="str">
        <f t="shared" si="8"/>
        <v>Jan17</v>
      </c>
      <c r="B287" s="337">
        <f t="shared" si="9"/>
        <v>42751</v>
      </c>
      <c r="C287" s="338">
        <v>42</v>
      </c>
      <c r="D287" s="338">
        <v>10</v>
      </c>
      <c r="E287" s="341"/>
      <c r="F287" s="342">
        <v>3</v>
      </c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</row>
    <row r="288" spans="1:19" ht="11.4" x14ac:dyDescent="0.2">
      <c r="A288" s="336" t="str">
        <f t="shared" si="8"/>
        <v>Jan17</v>
      </c>
      <c r="B288" s="337">
        <f t="shared" si="9"/>
        <v>42752</v>
      </c>
      <c r="C288" s="338">
        <v>42</v>
      </c>
      <c r="D288" s="338">
        <v>10</v>
      </c>
      <c r="E288" s="341"/>
      <c r="F288" s="342">
        <v>3</v>
      </c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</row>
    <row r="289" spans="1:19" ht="11.4" x14ac:dyDescent="0.2">
      <c r="A289" s="336" t="str">
        <f t="shared" si="8"/>
        <v>Jan17</v>
      </c>
      <c r="B289" s="337">
        <f t="shared" si="9"/>
        <v>42753</v>
      </c>
      <c r="C289" s="338">
        <v>42</v>
      </c>
      <c r="D289" s="338">
        <v>10</v>
      </c>
      <c r="E289" s="341"/>
      <c r="F289" s="342">
        <v>3</v>
      </c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19" ht="11.4" x14ac:dyDescent="0.2">
      <c r="A290" s="336" t="str">
        <f t="shared" si="8"/>
        <v>Jan17</v>
      </c>
      <c r="B290" s="337">
        <f t="shared" si="9"/>
        <v>42754</v>
      </c>
      <c r="C290" s="338">
        <v>42</v>
      </c>
      <c r="D290" s="338">
        <v>10</v>
      </c>
      <c r="E290" s="341"/>
      <c r="F290" s="342">
        <v>3</v>
      </c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19" ht="11.4" x14ac:dyDescent="0.2">
      <c r="A291" s="336" t="str">
        <f t="shared" si="8"/>
        <v>Jan17</v>
      </c>
      <c r="B291" s="337">
        <f t="shared" si="9"/>
        <v>42755</v>
      </c>
      <c r="C291" s="338">
        <v>42</v>
      </c>
      <c r="D291" s="338">
        <v>10</v>
      </c>
      <c r="E291" s="341"/>
      <c r="F291" s="342">
        <v>3</v>
      </c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</row>
    <row r="292" spans="1:19" ht="11.4" x14ac:dyDescent="0.2">
      <c r="A292" s="336" t="str">
        <f t="shared" si="8"/>
        <v>Jan17</v>
      </c>
      <c r="B292" s="337">
        <f t="shared" si="9"/>
        <v>42756</v>
      </c>
      <c r="C292" s="338">
        <v>42</v>
      </c>
      <c r="D292" s="338">
        <v>10</v>
      </c>
      <c r="E292" s="341"/>
      <c r="F292" s="342">
        <v>3</v>
      </c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</row>
    <row r="293" spans="1:19" ht="11.4" x14ac:dyDescent="0.2">
      <c r="A293" s="336" t="str">
        <f t="shared" si="8"/>
        <v>Jan17</v>
      </c>
      <c r="B293" s="337">
        <f t="shared" si="9"/>
        <v>42757</v>
      </c>
      <c r="C293" s="338">
        <v>42</v>
      </c>
      <c r="D293" s="338">
        <v>10</v>
      </c>
      <c r="E293" s="341"/>
      <c r="F293" s="342">
        <v>3</v>
      </c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</row>
    <row r="294" spans="1:19" ht="11.4" x14ac:dyDescent="0.2">
      <c r="A294" s="336" t="str">
        <f t="shared" si="8"/>
        <v>Jan17</v>
      </c>
      <c r="B294" s="337">
        <f t="shared" si="9"/>
        <v>42758</v>
      </c>
      <c r="C294" s="338">
        <v>43</v>
      </c>
      <c r="D294" s="338">
        <v>10</v>
      </c>
      <c r="E294" s="341"/>
      <c r="F294" s="342">
        <v>4</v>
      </c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</row>
    <row r="295" spans="1:19" ht="11.4" x14ac:dyDescent="0.2">
      <c r="A295" s="336" t="str">
        <f t="shared" si="8"/>
        <v>Jan17</v>
      </c>
      <c r="B295" s="337">
        <f t="shared" si="9"/>
        <v>42759</v>
      </c>
      <c r="C295" s="338">
        <v>43</v>
      </c>
      <c r="D295" s="338">
        <v>10</v>
      </c>
      <c r="E295" s="341"/>
      <c r="F295" s="342">
        <v>4</v>
      </c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</row>
    <row r="296" spans="1:19" ht="11.4" x14ac:dyDescent="0.2">
      <c r="A296" s="336" t="str">
        <f t="shared" si="8"/>
        <v>Jan17</v>
      </c>
      <c r="B296" s="337">
        <f t="shared" si="9"/>
        <v>42760</v>
      </c>
      <c r="C296" s="338">
        <v>43</v>
      </c>
      <c r="D296" s="338">
        <v>10</v>
      </c>
      <c r="E296" s="341"/>
      <c r="F296" s="342">
        <v>4</v>
      </c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</row>
    <row r="297" spans="1:19" ht="11.4" x14ac:dyDescent="0.2">
      <c r="A297" s="336" t="str">
        <f t="shared" si="8"/>
        <v>Jan17</v>
      </c>
      <c r="B297" s="337">
        <f t="shared" si="9"/>
        <v>42761</v>
      </c>
      <c r="C297" s="338">
        <v>43</v>
      </c>
      <c r="D297" s="338">
        <v>10</v>
      </c>
      <c r="E297" s="341"/>
      <c r="F297" s="342">
        <v>4</v>
      </c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</row>
    <row r="298" spans="1:19" ht="11.4" x14ac:dyDescent="0.2">
      <c r="A298" s="336" t="str">
        <f t="shared" si="8"/>
        <v>Jan17</v>
      </c>
      <c r="B298" s="337">
        <f t="shared" si="9"/>
        <v>42762</v>
      </c>
      <c r="C298" s="338">
        <v>43</v>
      </c>
      <c r="D298" s="338">
        <v>10</v>
      </c>
      <c r="E298" s="341"/>
      <c r="F298" s="342">
        <v>4</v>
      </c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</row>
    <row r="299" spans="1:19" ht="11.4" x14ac:dyDescent="0.2">
      <c r="A299" s="336" t="str">
        <f t="shared" si="8"/>
        <v>Jan17</v>
      </c>
      <c r="B299" s="337">
        <f t="shared" si="9"/>
        <v>42763</v>
      </c>
      <c r="C299" s="338">
        <v>43</v>
      </c>
      <c r="D299" s="338">
        <v>10</v>
      </c>
      <c r="E299" s="341"/>
      <c r="F299" s="342">
        <v>4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</row>
    <row r="300" spans="1:19" ht="11.4" x14ac:dyDescent="0.2">
      <c r="A300" s="336" t="str">
        <f t="shared" si="8"/>
        <v>Jan17</v>
      </c>
      <c r="B300" s="337">
        <f t="shared" si="9"/>
        <v>42764</v>
      </c>
      <c r="C300" s="338">
        <v>43</v>
      </c>
      <c r="D300" s="338">
        <v>10</v>
      </c>
      <c r="E300" s="341"/>
      <c r="F300" s="342">
        <v>4</v>
      </c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</row>
    <row r="301" spans="1:19" ht="11.4" x14ac:dyDescent="0.2">
      <c r="A301" s="336" t="str">
        <f t="shared" si="8"/>
        <v>Jan17</v>
      </c>
      <c r="B301" s="337">
        <f t="shared" si="9"/>
        <v>42765</v>
      </c>
      <c r="C301" s="338">
        <v>44</v>
      </c>
      <c r="D301" s="338">
        <v>10</v>
      </c>
      <c r="E301" s="341"/>
      <c r="F301" s="342">
        <v>1</v>
      </c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</row>
    <row r="302" spans="1:19" ht="11.4" x14ac:dyDescent="0.2">
      <c r="A302" s="336" t="str">
        <f t="shared" si="8"/>
        <v>Jan17</v>
      </c>
      <c r="B302" s="337">
        <f t="shared" si="9"/>
        <v>42766</v>
      </c>
      <c r="C302" s="338">
        <v>44</v>
      </c>
      <c r="D302" s="338">
        <v>10</v>
      </c>
      <c r="E302" s="341"/>
      <c r="F302" s="342">
        <v>1</v>
      </c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</row>
    <row r="303" spans="1:19" ht="11.4" x14ac:dyDescent="0.2">
      <c r="A303" s="336" t="str">
        <f t="shared" si="8"/>
        <v>Jan17</v>
      </c>
      <c r="B303" s="337">
        <f t="shared" si="9"/>
        <v>42767</v>
      </c>
      <c r="C303" s="338">
        <v>44</v>
      </c>
      <c r="D303" s="338">
        <v>10</v>
      </c>
      <c r="E303" s="341"/>
      <c r="F303" s="342">
        <v>1</v>
      </c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</row>
    <row r="304" spans="1:19" ht="11.4" x14ac:dyDescent="0.2">
      <c r="A304" s="336" t="str">
        <f t="shared" si="8"/>
        <v>Jan17</v>
      </c>
      <c r="B304" s="337">
        <f t="shared" si="9"/>
        <v>42768</v>
      </c>
      <c r="C304" s="338">
        <v>44</v>
      </c>
      <c r="D304" s="338">
        <v>10</v>
      </c>
      <c r="E304" s="341"/>
      <c r="F304" s="342">
        <v>1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</row>
    <row r="305" spans="1:19" ht="11.4" x14ac:dyDescent="0.2">
      <c r="A305" s="336" t="str">
        <f t="shared" si="8"/>
        <v>Jan17</v>
      </c>
      <c r="B305" s="337">
        <f t="shared" si="9"/>
        <v>42769</v>
      </c>
      <c r="C305" s="338">
        <v>44</v>
      </c>
      <c r="D305" s="338">
        <v>10</v>
      </c>
      <c r="E305" s="341"/>
      <c r="F305" s="342">
        <v>1</v>
      </c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</row>
    <row r="306" spans="1:19" ht="11.4" x14ac:dyDescent="0.2">
      <c r="A306" s="336" t="str">
        <f t="shared" si="8"/>
        <v>Jan17</v>
      </c>
      <c r="B306" s="337">
        <f t="shared" si="9"/>
        <v>42770</v>
      </c>
      <c r="C306" s="338">
        <v>44</v>
      </c>
      <c r="D306" s="338">
        <v>10</v>
      </c>
      <c r="E306" s="341"/>
      <c r="F306" s="342">
        <v>1</v>
      </c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</row>
    <row r="307" spans="1:19" ht="11.4" x14ac:dyDescent="0.2">
      <c r="A307" s="336" t="str">
        <f t="shared" si="8"/>
        <v>Jan17</v>
      </c>
      <c r="B307" s="337">
        <f t="shared" si="9"/>
        <v>42771</v>
      </c>
      <c r="C307" s="338">
        <v>44</v>
      </c>
      <c r="D307" s="338">
        <v>10</v>
      </c>
      <c r="E307" s="341"/>
      <c r="F307" s="342">
        <v>1</v>
      </c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</row>
    <row r="308" spans="1:19" ht="11.4" x14ac:dyDescent="0.2">
      <c r="A308" s="345" t="str">
        <f t="shared" si="8"/>
        <v>Feb17</v>
      </c>
      <c r="B308" s="337">
        <f t="shared" si="9"/>
        <v>42772</v>
      </c>
      <c r="C308" s="346">
        <v>45</v>
      </c>
      <c r="D308" s="346">
        <v>11</v>
      </c>
      <c r="E308" s="347"/>
      <c r="F308" s="342">
        <v>2</v>
      </c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</row>
    <row r="309" spans="1:19" ht="11.4" x14ac:dyDescent="0.2">
      <c r="A309" s="336" t="str">
        <f t="shared" si="8"/>
        <v>Feb17</v>
      </c>
      <c r="B309" s="337">
        <f t="shared" si="9"/>
        <v>42773</v>
      </c>
      <c r="C309" s="338">
        <v>45</v>
      </c>
      <c r="D309" s="338">
        <v>11</v>
      </c>
      <c r="E309" s="341"/>
      <c r="F309" s="342">
        <v>2</v>
      </c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</row>
    <row r="310" spans="1:19" ht="11.4" x14ac:dyDescent="0.2">
      <c r="A310" s="336" t="str">
        <f t="shared" si="8"/>
        <v>Feb17</v>
      </c>
      <c r="B310" s="337">
        <f t="shared" si="9"/>
        <v>42774</v>
      </c>
      <c r="C310" s="338">
        <v>45</v>
      </c>
      <c r="D310" s="338">
        <v>11</v>
      </c>
      <c r="E310" s="341"/>
      <c r="F310" s="342">
        <v>2</v>
      </c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</row>
    <row r="311" spans="1:19" ht="11.4" x14ac:dyDescent="0.2">
      <c r="A311" s="336" t="str">
        <f t="shared" si="8"/>
        <v>Feb17</v>
      </c>
      <c r="B311" s="337">
        <f t="shared" si="9"/>
        <v>42775</v>
      </c>
      <c r="C311" s="338">
        <v>45</v>
      </c>
      <c r="D311" s="338">
        <v>11</v>
      </c>
      <c r="E311" s="341"/>
      <c r="F311" s="342">
        <v>2</v>
      </c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</row>
    <row r="312" spans="1:19" ht="11.4" x14ac:dyDescent="0.2">
      <c r="A312" s="336" t="str">
        <f t="shared" si="8"/>
        <v>Feb17</v>
      </c>
      <c r="B312" s="337">
        <f t="shared" si="9"/>
        <v>42776</v>
      </c>
      <c r="C312" s="338">
        <v>45</v>
      </c>
      <c r="D312" s="338">
        <v>11</v>
      </c>
      <c r="E312" s="341"/>
      <c r="F312" s="342">
        <v>2</v>
      </c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</row>
    <row r="313" spans="1:19" ht="11.4" x14ac:dyDescent="0.2">
      <c r="A313" s="336" t="str">
        <f t="shared" si="8"/>
        <v>Feb17</v>
      </c>
      <c r="B313" s="337">
        <f t="shared" si="9"/>
        <v>42777</v>
      </c>
      <c r="C313" s="338">
        <v>45</v>
      </c>
      <c r="D313" s="338">
        <v>11</v>
      </c>
      <c r="E313" s="341"/>
      <c r="F313" s="342">
        <v>2</v>
      </c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</row>
    <row r="314" spans="1:19" ht="11.4" x14ac:dyDescent="0.2">
      <c r="A314" s="336" t="str">
        <f t="shared" si="8"/>
        <v>Feb17</v>
      </c>
      <c r="B314" s="337">
        <f t="shared" si="9"/>
        <v>42778</v>
      </c>
      <c r="C314" s="338">
        <v>45</v>
      </c>
      <c r="D314" s="338">
        <v>11</v>
      </c>
      <c r="E314" s="341"/>
      <c r="F314" s="342">
        <v>2</v>
      </c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</row>
    <row r="315" spans="1:19" ht="11.4" x14ac:dyDescent="0.2">
      <c r="A315" s="336" t="str">
        <f t="shared" si="8"/>
        <v>Feb17</v>
      </c>
      <c r="B315" s="337">
        <f t="shared" si="9"/>
        <v>42779</v>
      </c>
      <c r="C315" s="338">
        <v>46</v>
      </c>
      <c r="D315" s="338">
        <v>11</v>
      </c>
      <c r="E315" s="341"/>
      <c r="F315" s="342">
        <v>3</v>
      </c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</row>
    <row r="316" spans="1:19" ht="11.4" x14ac:dyDescent="0.2">
      <c r="A316" s="336" t="str">
        <f t="shared" si="8"/>
        <v>Feb17</v>
      </c>
      <c r="B316" s="337">
        <f t="shared" si="9"/>
        <v>42780</v>
      </c>
      <c r="C316" s="338">
        <v>46</v>
      </c>
      <c r="D316" s="338">
        <v>11</v>
      </c>
      <c r="E316" s="341"/>
      <c r="F316" s="342">
        <v>3</v>
      </c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</row>
    <row r="317" spans="1:19" ht="11.4" x14ac:dyDescent="0.2">
      <c r="A317" s="336" t="str">
        <f t="shared" si="8"/>
        <v>Feb17</v>
      </c>
      <c r="B317" s="337">
        <f t="shared" si="9"/>
        <v>42781</v>
      </c>
      <c r="C317" s="338">
        <v>46</v>
      </c>
      <c r="D317" s="338">
        <v>11</v>
      </c>
      <c r="E317" s="341"/>
      <c r="F317" s="342">
        <v>3</v>
      </c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</row>
    <row r="318" spans="1:19" ht="11.4" x14ac:dyDescent="0.2">
      <c r="A318" s="336" t="str">
        <f t="shared" si="8"/>
        <v>Feb17</v>
      </c>
      <c r="B318" s="337">
        <f t="shared" si="9"/>
        <v>42782</v>
      </c>
      <c r="C318" s="338">
        <v>46</v>
      </c>
      <c r="D318" s="338">
        <v>11</v>
      </c>
      <c r="E318" s="341"/>
      <c r="F318" s="342">
        <v>3</v>
      </c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</row>
    <row r="319" spans="1:19" ht="11.4" x14ac:dyDescent="0.2">
      <c r="A319" s="336" t="str">
        <f t="shared" si="8"/>
        <v>Feb17</v>
      </c>
      <c r="B319" s="337">
        <f t="shared" si="9"/>
        <v>42783</v>
      </c>
      <c r="C319" s="338">
        <v>46</v>
      </c>
      <c r="D319" s="338">
        <v>11</v>
      </c>
      <c r="E319" s="341"/>
      <c r="F319" s="342">
        <v>3</v>
      </c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</row>
    <row r="320" spans="1:19" ht="11.4" x14ac:dyDescent="0.2">
      <c r="A320" s="336" t="str">
        <f t="shared" si="8"/>
        <v>Feb17</v>
      </c>
      <c r="B320" s="337">
        <f t="shared" si="9"/>
        <v>42784</v>
      </c>
      <c r="C320" s="338">
        <v>46</v>
      </c>
      <c r="D320" s="338">
        <v>11</v>
      </c>
      <c r="E320" s="341"/>
      <c r="F320" s="342">
        <v>3</v>
      </c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</row>
    <row r="321" spans="1:19" ht="11.4" x14ac:dyDescent="0.2">
      <c r="A321" s="336" t="str">
        <f t="shared" si="8"/>
        <v>Feb17</v>
      </c>
      <c r="B321" s="337">
        <f t="shared" si="9"/>
        <v>42785</v>
      </c>
      <c r="C321" s="338">
        <v>46</v>
      </c>
      <c r="D321" s="338">
        <v>11</v>
      </c>
      <c r="E321" s="341"/>
      <c r="F321" s="342">
        <v>3</v>
      </c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</row>
    <row r="322" spans="1:19" ht="11.4" x14ac:dyDescent="0.2">
      <c r="A322" s="336" t="str">
        <f t="shared" si="8"/>
        <v>Feb17</v>
      </c>
      <c r="B322" s="337">
        <f t="shared" si="9"/>
        <v>42786</v>
      </c>
      <c r="C322" s="338">
        <v>47</v>
      </c>
      <c r="D322" s="338">
        <v>11</v>
      </c>
      <c r="E322" s="341"/>
      <c r="F322" s="342">
        <v>4</v>
      </c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</row>
    <row r="323" spans="1:19" ht="11.4" x14ac:dyDescent="0.2">
      <c r="A323" s="336" t="str">
        <f t="shared" ref="A323:A381" si="10">TEXT(DATE(YEAR(B$2),MONTH(B$2)+(D323-1),1),"MmmYY")</f>
        <v>Feb17</v>
      </c>
      <c r="B323" s="337">
        <f t="shared" si="9"/>
        <v>42787</v>
      </c>
      <c r="C323" s="338">
        <v>47</v>
      </c>
      <c r="D323" s="338">
        <v>11</v>
      </c>
      <c r="E323" s="341"/>
      <c r="F323" s="342">
        <v>4</v>
      </c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</row>
    <row r="324" spans="1:19" ht="11.4" x14ac:dyDescent="0.2">
      <c r="A324" s="336" t="str">
        <f t="shared" si="10"/>
        <v>Feb17</v>
      </c>
      <c r="B324" s="337">
        <f t="shared" ref="B324:B381" si="11">B323+1</f>
        <v>42788</v>
      </c>
      <c r="C324" s="338">
        <v>47</v>
      </c>
      <c r="D324" s="338">
        <v>11</v>
      </c>
      <c r="E324" s="341"/>
      <c r="F324" s="342">
        <v>4</v>
      </c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</row>
    <row r="325" spans="1:19" ht="11.4" x14ac:dyDescent="0.2">
      <c r="A325" s="336" t="str">
        <f t="shared" si="10"/>
        <v>Feb17</v>
      </c>
      <c r="B325" s="337">
        <f t="shared" si="11"/>
        <v>42789</v>
      </c>
      <c r="C325" s="338">
        <v>47</v>
      </c>
      <c r="D325" s="338">
        <v>11</v>
      </c>
      <c r="E325" s="341"/>
      <c r="F325" s="342">
        <v>4</v>
      </c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</row>
    <row r="326" spans="1:19" ht="11.4" x14ac:dyDescent="0.2">
      <c r="A326" s="336" t="str">
        <f t="shared" si="10"/>
        <v>Feb17</v>
      </c>
      <c r="B326" s="337">
        <f t="shared" si="11"/>
        <v>42790</v>
      </c>
      <c r="C326" s="338">
        <v>47</v>
      </c>
      <c r="D326" s="338">
        <v>11</v>
      </c>
      <c r="E326" s="341"/>
      <c r="F326" s="342">
        <v>4</v>
      </c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</row>
    <row r="327" spans="1:19" ht="11.4" x14ac:dyDescent="0.2">
      <c r="A327" s="336" t="str">
        <f t="shared" si="10"/>
        <v>Feb17</v>
      </c>
      <c r="B327" s="337">
        <f t="shared" si="11"/>
        <v>42791</v>
      </c>
      <c r="C327" s="338">
        <v>47</v>
      </c>
      <c r="D327" s="338">
        <v>11</v>
      </c>
      <c r="E327" s="341"/>
      <c r="F327" s="342">
        <v>4</v>
      </c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</row>
    <row r="328" spans="1:19" ht="11.4" x14ac:dyDescent="0.2">
      <c r="A328" s="336" t="str">
        <f t="shared" si="10"/>
        <v>Feb17</v>
      </c>
      <c r="B328" s="337">
        <f t="shared" si="11"/>
        <v>42792</v>
      </c>
      <c r="C328" s="338">
        <v>47</v>
      </c>
      <c r="D328" s="338">
        <v>11</v>
      </c>
      <c r="E328" s="341"/>
      <c r="F328" s="342">
        <v>4</v>
      </c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</row>
    <row r="329" spans="1:19" ht="11.4" x14ac:dyDescent="0.2">
      <c r="A329" s="336" t="str">
        <f t="shared" si="10"/>
        <v>Feb17</v>
      </c>
      <c r="B329" s="337">
        <f t="shared" si="11"/>
        <v>42793</v>
      </c>
      <c r="C329" s="338">
        <v>48</v>
      </c>
      <c r="D329" s="338">
        <v>11</v>
      </c>
      <c r="E329" s="341"/>
      <c r="F329" s="342">
        <v>1</v>
      </c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</row>
    <row r="330" spans="1:19" ht="11.4" x14ac:dyDescent="0.2">
      <c r="A330" s="336" t="str">
        <f t="shared" si="10"/>
        <v>Feb17</v>
      </c>
      <c r="B330" s="337">
        <f t="shared" si="11"/>
        <v>42794</v>
      </c>
      <c r="C330" s="338">
        <v>48</v>
      </c>
      <c r="D330" s="338">
        <v>11</v>
      </c>
      <c r="E330" s="341"/>
      <c r="F330" s="342">
        <v>1</v>
      </c>
      <c r="G330" s="343"/>
      <c r="H330" s="344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</row>
    <row r="331" spans="1:19" ht="11.4" x14ac:dyDescent="0.2">
      <c r="A331" s="336" t="str">
        <f t="shared" si="10"/>
        <v>Feb17</v>
      </c>
      <c r="B331" s="337">
        <f t="shared" si="11"/>
        <v>42795</v>
      </c>
      <c r="C331" s="349">
        <v>48</v>
      </c>
      <c r="D331" s="338">
        <v>11</v>
      </c>
      <c r="E331" s="350"/>
      <c r="F331" s="342">
        <v>1</v>
      </c>
      <c r="G331" s="344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</row>
    <row r="332" spans="1:19" ht="11.4" x14ac:dyDescent="0.2">
      <c r="A332" s="336" t="str">
        <f t="shared" si="10"/>
        <v>Feb17</v>
      </c>
      <c r="B332" s="337">
        <f t="shared" si="11"/>
        <v>42796</v>
      </c>
      <c r="C332" s="338">
        <v>48</v>
      </c>
      <c r="D332" s="338">
        <v>11</v>
      </c>
      <c r="E332" s="341"/>
      <c r="F332" s="342">
        <v>1</v>
      </c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</row>
    <row r="333" spans="1:19" ht="11.4" x14ac:dyDescent="0.2">
      <c r="A333" s="336" t="str">
        <f t="shared" si="10"/>
        <v>Feb17</v>
      </c>
      <c r="B333" s="337">
        <f t="shared" si="11"/>
        <v>42797</v>
      </c>
      <c r="C333" s="338">
        <v>48</v>
      </c>
      <c r="D333" s="338">
        <v>11</v>
      </c>
      <c r="E333" s="341"/>
      <c r="F333" s="342">
        <v>1</v>
      </c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</row>
    <row r="334" spans="1:19" ht="11.4" x14ac:dyDescent="0.2">
      <c r="A334" s="336" t="str">
        <f t="shared" si="10"/>
        <v>Feb17</v>
      </c>
      <c r="B334" s="337">
        <f t="shared" si="11"/>
        <v>42798</v>
      </c>
      <c r="C334" s="338">
        <v>48</v>
      </c>
      <c r="D334" s="338">
        <v>11</v>
      </c>
      <c r="E334" s="341"/>
      <c r="F334" s="342">
        <v>1</v>
      </c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</row>
    <row r="335" spans="1:19" ht="11.4" x14ac:dyDescent="0.2">
      <c r="A335" s="336" t="str">
        <f t="shared" si="10"/>
        <v>Feb17</v>
      </c>
      <c r="B335" s="337">
        <f t="shared" si="11"/>
        <v>42799</v>
      </c>
      <c r="C335" s="338">
        <v>48</v>
      </c>
      <c r="D335" s="338">
        <v>11</v>
      </c>
      <c r="E335" s="341"/>
      <c r="F335" s="342">
        <v>1</v>
      </c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</row>
    <row r="336" spans="1:19" ht="11.4" x14ac:dyDescent="0.2">
      <c r="A336" s="345" t="str">
        <f t="shared" si="10"/>
        <v>Mar17</v>
      </c>
      <c r="B336" s="337">
        <f t="shared" si="11"/>
        <v>42800</v>
      </c>
      <c r="C336" s="346">
        <v>49</v>
      </c>
      <c r="D336" s="346">
        <v>12</v>
      </c>
      <c r="E336" s="347"/>
      <c r="F336" s="342">
        <v>2</v>
      </c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</row>
    <row r="337" spans="1:19" ht="11.4" x14ac:dyDescent="0.2">
      <c r="A337" s="336" t="str">
        <f t="shared" si="10"/>
        <v>Mar17</v>
      </c>
      <c r="B337" s="337">
        <f t="shared" si="11"/>
        <v>42801</v>
      </c>
      <c r="C337" s="338">
        <v>49</v>
      </c>
      <c r="D337" s="338">
        <v>12</v>
      </c>
      <c r="E337" s="341"/>
      <c r="F337" s="342">
        <v>2</v>
      </c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</row>
    <row r="338" spans="1:19" ht="11.4" x14ac:dyDescent="0.2">
      <c r="A338" s="336" t="str">
        <f t="shared" si="10"/>
        <v>Mar17</v>
      </c>
      <c r="B338" s="337">
        <f t="shared" si="11"/>
        <v>42802</v>
      </c>
      <c r="C338" s="338">
        <v>49</v>
      </c>
      <c r="D338" s="338">
        <v>12</v>
      </c>
      <c r="E338" s="341"/>
      <c r="F338" s="342">
        <v>2</v>
      </c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</row>
    <row r="339" spans="1:19" ht="11.4" x14ac:dyDescent="0.2">
      <c r="A339" s="336" t="str">
        <f t="shared" si="10"/>
        <v>Mar17</v>
      </c>
      <c r="B339" s="337">
        <f t="shared" si="11"/>
        <v>42803</v>
      </c>
      <c r="C339" s="338">
        <v>49</v>
      </c>
      <c r="D339" s="338">
        <v>12</v>
      </c>
      <c r="E339" s="341"/>
      <c r="F339" s="342">
        <v>2</v>
      </c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</row>
    <row r="340" spans="1:19" ht="11.4" x14ac:dyDescent="0.2">
      <c r="A340" s="336" t="str">
        <f t="shared" si="10"/>
        <v>Mar17</v>
      </c>
      <c r="B340" s="337">
        <f t="shared" si="11"/>
        <v>42804</v>
      </c>
      <c r="C340" s="338">
        <v>49</v>
      </c>
      <c r="D340" s="338">
        <v>12</v>
      </c>
      <c r="E340" s="341"/>
      <c r="F340" s="342">
        <v>2</v>
      </c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</row>
    <row r="341" spans="1:19" ht="11.4" x14ac:dyDescent="0.2">
      <c r="A341" s="336" t="str">
        <f t="shared" si="10"/>
        <v>Mar17</v>
      </c>
      <c r="B341" s="337">
        <f t="shared" si="11"/>
        <v>42805</v>
      </c>
      <c r="C341" s="338">
        <v>49</v>
      </c>
      <c r="D341" s="338">
        <v>12</v>
      </c>
      <c r="E341" s="341"/>
      <c r="F341" s="342">
        <v>2</v>
      </c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</row>
    <row r="342" spans="1:19" ht="11.4" x14ac:dyDescent="0.2">
      <c r="A342" s="336" t="str">
        <f t="shared" si="10"/>
        <v>Mar17</v>
      </c>
      <c r="B342" s="337">
        <f t="shared" si="11"/>
        <v>42806</v>
      </c>
      <c r="C342" s="338">
        <v>49</v>
      </c>
      <c r="D342" s="338">
        <v>12</v>
      </c>
      <c r="E342" s="341"/>
      <c r="F342" s="342">
        <v>2</v>
      </c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</row>
    <row r="343" spans="1:19" ht="11.4" x14ac:dyDescent="0.2">
      <c r="A343" s="336" t="str">
        <f t="shared" si="10"/>
        <v>Mar17</v>
      </c>
      <c r="B343" s="337">
        <f t="shared" si="11"/>
        <v>42807</v>
      </c>
      <c r="C343" s="338">
        <v>50</v>
      </c>
      <c r="D343" s="338">
        <v>12</v>
      </c>
      <c r="E343" s="341"/>
      <c r="F343" s="342">
        <v>3</v>
      </c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</row>
    <row r="344" spans="1:19" ht="11.4" x14ac:dyDescent="0.2">
      <c r="A344" s="336" t="str">
        <f t="shared" si="10"/>
        <v>Mar17</v>
      </c>
      <c r="B344" s="337">
        <f t="shared" si="11"/>
        <v>42808</v>
      </c>
      <c r="C344" s="338">
        <v>50</v>
      </c>
      <c r="D344" s="338">
        <v>12</v>
      </c>
      <c r="E344" s="341"/>
      <c r="F344" s="342">
        <v>3</v>
      </c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</row>
    <row r="345" spans="1:19" ht="11.4" x14ac:dyDescent="0.2">
      <c r="A345" s="336" t="str">
        <f t="shared" si="10"/>
        <v>Mar17</v>
      </c>
      <c r="B345" s="337">
        <f t="shared" si="11"/>
        <v>42809</v>
      </c>
      <c r="C345" s="338">
        <v>50</v>
      </c>
      <c r="D345" s="338">
        <v>12</v>
      </c>
      <c r="E345" s="341"/>
      <c r="F345" s="342">
        <v>3</v>
      </c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</row>
    <row r="346" spans="1:19" ht="11.4" x14ac:dyDescent="0.2">
      <c r="A346" s="336" t="str">
        <f t="shared" si="10"/>
        <v>Mar17</v>
      </c>
      <c r="B346" s="337">
        <f t="shared" si="11"/>
        <v>42810</v>
      </c>
      <c r="C346" s="338">
        <v>50</v>
      </c>
      <c r="D346" s="338">
        <v>12</v>
      </c>
      <c r="E346" s="341"/>
      <c r="F346" s="342">
        <v>3</v>
      </c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</row>
    <row r="347" spans="1:19" ht="11.4" x14ac:dyDescent="0.2">
      <c r="A347" s="336" t="str">
        <f t="shared" si="10"/>
        <v>Mar17</v>
      </c>
      <c r="B347" s="337">
        <f t="shared" si="11"/>
        <v>42811</v>
      </c>
      <c r="C347" s="338">
        <v>50</v>
      </c>
      <c r="D347" s="338">
        <v>12</v>
      </c>
      <c r="E347" s="341"/>
      <c r="F347" s="342">
        <v>3</v>
      </c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</row>
    <row r="348" spans="1:19" ht="11.4" x14ac:dyDescent="0.2">
      <c r="A348" s="336" t="str">
        <f t="shared" si="10"/>
        <v>Mar17</v>
      </c>
      <c r="B348" s="337">
        <f t="shared" si="11"/>
        <v>42812</v>
      </c>
      <c r="C348" s="338">
        <v>50</v>
      </c>
      <c r="D348" s="338">
        <v>12</v>
      </c>
      <c r="E348" s="341"/>
      <c r="F348" s="342">
        <v>3</v>
      </c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</row>
    <row r="349" spans="1:19" ht="11.4" x14ac:dyDescent="0.2">
      <c r="A349" s="336" t="str">
        <f t="shared" si="10"/>
        <v>Mar17</v>
      </c>
      <c r="B349" s="337">
        <f t="shared" si="11"/>
        <v>42813</v>
      </c>
      <c r="C349" s="338">
        <v>50</v>
      </c>
      <c r="D349" s="338">
        <v>12</v>
      </c>
      <c r="E349" s="341"/>
      <c r="F349" s="342">
        <v>3</v>
      </c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</row>
    <row r="350" spans="1:19" ht="11.4" x14ac:dyDescent="0.2">
      <c r="A350" s="336" t="str">
        <f t="shared" si="10"/>
        <v>Mar17</v>
      </c>
      <c r="B350" s="337">
        <f t="shared" si="11"/>
        <v>42814</v>
      </c>
      <c r="C350" s="338">
        <v>51</v>
      </c>
      <c r="D350" s="338">
        <v>12</v>
      </c>
      <c r="E350" s="341"/>
      <c r="F350" s="342">
        <v>4</v>
      </c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</row>
    <row r="351" spans="1:19" ht="11.4" x14ac:dyDescent="0.2">
      <c r="A351" s="336" t="str">
        <f t="shared" si="10"/>
        <v>Mar17</v>
      </c>
      <c r="B351" s="337">
        <f t="shared" si="11"/>
        <v>42815</v>
      </c>
      <c r="C351" s="338">
        <v>51</v>
      </c>
      <c r="D351" s="338">
        <v>12</v>
      </c>
      <c r="E351" s="341"/>
      <c r="F351" s="342">
        <v>4</v>
      </c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</row>
    <row r="352" spans="1:19" ht="11.4" x14ac:dyDescent="0.2">
      <c r="A352" s="336" t="str">
        <f t="shared" si="10"/>
        <v>Mar17</v>
      </c>
      <c r="B352" s="337">
        <f t="shared" si="11"/>
        <v>42816</v>
      </c>
      <c r="C352" s="338">
        <v>51</v>
      </c>
      <c r="D352" s="338">
        <v>12</v>
      </c>
      <c r="E352" s="341"/>
      <c r="F352" s="342">
        <v>4</v>
      </c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</row>
    <row r="353" spans="1:19" ht="11.4" x14ac:dyDescent="0.2">
      <c r="A353" s="336" t="str">
        <f t="shared" si="10"/>
        <v>Mar17</v>
      </c>
      <c r="B353" s="337">
        <f t="shared" si="11"/>
        <v>42817</v>
      </c>
      <c r="C353" s="338">
        <v>51</v>
      </c>
      <c r="D353" s="338">
        <v>12</v>
      </c>
      <c r="E353" s="341"/>
      <c r="F353" s="342">
        <v>4</v>
      </c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</row>
    <row r="354" spans="1:19" ht="11.4" x14ac:dyDescent="0.2">
      <c r="A354" s="336" t="str">
        <f t="shared" si="10"/>
        <v>Mar17</v>
      </c>
      <c r="B354" s="337">
        <f t="shared" si="11"/>
        <v>42818</v>
      </c>
      <c r="C354" s="338">
        <v>51</v>
      </c>
      <c r="D354" s="338">
        <v>12</v>
      </c>
      <c r="E354" s="341"/>
      <c r="F354" s="342">
        <v>4</v>
      </c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</row>
    <row r="355" spans="1:19" ht="11.4" x14ac:dyDescent="0.2">
      <c r="A355" s="336" t="str">
        <f t="shared" si="10"/>
        <v>Mar17</v>
      </c>
      <c r="B355" s="337">
        <f t="shared" si="11"/>
        <v>42819</v>
      </c>
      <c r="C355" s="338">
        <v>51</v>
      </c>
      <c r="D355" s="338">
        <v>12</v>
      </c>
      <c r="E355" s="341"/>
      <c r="F355" s="342">
        <v>4</v>
      </c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</row>
    <row r="356" spans="1:19" ht="11.4" x14ac:dyDescent="0.2">
      <c r="A356" s="336" t="str">
        <f t="shared" si="10"/>
        <v>Mar17</v>
      </c>
      <c r="B356" s="337">
        <f t="shared" si="11"/>
        <v>42820</v>
      </c>
      <c r="C356" s="338">
        <v>51</v>
      </c>
      <c r="D356" s="338">
        <v>12</v>
      </c>
      <c r="E356" s="341"/>
      <c r="F356" s="342">
        <v>4</v>
      </c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</row>
    <row r="357" spans="1:19" ht="11.4" x14ac:dyDescent="0.2">
      <c r="A357" s="336" t="str">
        <f t="shared" si="10"/>
        <v>Mar17</v>
      </c>
      <c r="B357" s="337">
        <f t="shared" si="11"/>
        <v>42821</v>
      </c>
      <c r="C357" s="338">
        <v>52</v>
      </c>
      <c r="D357" s="338">
        <v>12</v>
      </c>
      <c r="E357" s="341"/>
      <c r="F357" s="342">
        <v>5</v>
      </c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</row>
    <row r="358" spans="1:19" ht="11.4" x14ac:dyDescent="0.2">
      <c r="A358" s="336" t="str">
        <f t="shared" si="10"/>
        <v>Mar17</v>
      </c>
      <c r="B358" s="337">
        <f t="shared" si="11"/>
        <v>42822</v>
      </c>
      <c r="C358" s="338">
        <v>52</v>
      </c>
      <c r="D358" s="338">
        <v>12</v>
      </c>
      <c r="E358" s="341"/>
      <c r="F358" s="342">
        <v>5</v>
      </c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</row>
    <row r="359" spans="1:19" ht="11.4" x14ac:dyDescent="0.2">
      <c r="A359" s="336" t="str">
        <f t="shared" si="10"/>
        <v>Mar17</v>
      </c>
      <c r="B359" s="337">
        <f t="shared" si="11"/>
        <v>42823</v>
      </c>
      <c r="C359" s="338">
        <v>52</v>
      </c>
      <c r="D359" s="338">
        <v>12</v>
      </c>
      <c r="E359" s="341"/>
      <c r="F359" s="342">
        <v>5</v>
      </c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</row>
    <row r="360" spans="1:19" ht="11.4" x14ac:dyDescent="0.2">
      <c r="A360" s="336" t="str">
        <f t="shared" si="10"/>
        <v>Mar17</v>
      </c>
      <c r="B360" s="337">
        <f t="shared" si="11"/>
        <v>42824</v>
      </c>
      <c r="C360" s="338">
        <v>52</v>
      </c>
      <c r="D360" s="338">
        <v>12</v>
      </c>
      <c r="E360" s="341"/>
      <c r="F360" s="342">
        <v>5</v>
      </c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</row>
    <row r="361" spans="1:19" ht="11.4" x14ac:dyDescent="0.2">
      <c r="A361" s="336" t="str">
        <f t="shared" si="10"/>
        <v>Mar17</v>
      </c>
      <c r="B361" s="337">
        <f t="shared" si="11"/>
        <v>42825</v>
      </c>
      <c r="C361" s="338">
        <v>52</v>
      </c>
      <c r="D361" s="338">
        <v>12</v>
      </c>
      <c r="E361" s="341"/>
      <c r="F361" s="342">
        <v>5</v>
      </c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</row>
    <row r="362" spans="1:19" ht="11.4" x14ac:dyDescent="0.2">
      <c r="A362" s="336" t="str">
        <f t="shared" si="10"/>
        <v>Mar17</v>
      </c>
      <c r="B362" s="337">
        <f t="shared" si="11"/>
        <v>42826</v>
      </c>
      <c r="C362" s="338">
        <v>52</v>
      </c>
      <c r="D362" s="338">
        <v>12</v>
      </c>
      <c r="E362" s="341"/>
      <c r="F362" s="342">
        <v>5</v>
      </c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</row>
    <row r="363" spans="1:19" ht="11.4" x14ac:dyDescent="0.2">
      <c r="A363" s="336" t="str">
        <f t="shared" si="10"/>
        <v>Mar17</v>
      </c>
      <c r="B363" s="337">
        <f t="shared" si="11"/>
        <v>42827</v>
      </c>
      <c r="C363" s="338">
        <v>52</v>
      </c>
      <c r="D363" s="338">
        <v>12</v>
      </c>
      <c r="E363" s="341"/>
      <c r="F363" s="342">
        <v>5</v>
      </c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</row>
    <row r="364" spans="1:19" ht="11.4" x14ac:dyDescent="0.2">
      <c r="A364" s="336" t="str">
        <f t="shared" si="10"/>
        <v>Mar17</v>
      </c>
      <c r="B364" s="337">
        <f t="shared" si="11"/>
        <v>42828</v>
      </c>
      <c r="C364" s="338">
        <v>53</v>
      </c>
      <c r="D364" s="338">
        <v>12</v>
      </c>
      <c r="E364" s="341"/>
      <c r="F364" s="342">
        <v>6</v>
      </c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</row>
    <row r="365" spans="1:19" ht="11.4" x14ac:dyDescent="0.2">
      <c r="A365" s="336" t="str">
        <f t="shared" si="10"/>
        <v>Mar17</v>
      </c>
      <c r="B365" s="337">
        <f t="shared" si="11"/>
        <v>42829</v>
      </c>
      <c r="C365" s="338">
        <v>53</v>
      </c>
      <c r="D365" s="338">
        <v>12</v>
      </c>
      <c r="E365" s="341"/>
      <c r="F365" s="342">
        <v>6</v>
      </c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</row>
    <row r="366" spans="1:19" ht="11.4" x14ac:dyDescent="0.2">
      <c r="A366" s="336" t="str">
        <f t="shared" si="10"/>
        <v>Mar17</v>
      </c>
      <c r="B366" s="337">
        <f t="shared" si="11"/>
        <v>42830</v>
      </c>
      <c r="C366" s="338">
        <v>53</v>
      </c>
      <c r="D366" s="338">
        <v>12</v>
      </c>
      <c r="E366" s="339">
        <f>B366</f>
        <v>42830</v>
      </c>
      <c r="F366" s="342">
        <v>6</v>
      </c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</row>
    <row r="367" spans="1:19" ht="11.4" x14ac:dyDescent="0.2">
      <c r="A367" s="336" t="str">
        <f t="shared" si="10"/>
        <v>Mar17</v>
      </c>
      <c r="B367" s="337">
        <f t="shared" si="11"/>
        <v>42831</v>
      </c>
      <c r="C367" s="338">
        <v>53</v>
      </c>
      <c r="D367" s="338">
        <v>12</v>
      </c>
      <c r="E367" s="341"/>
      <c r="F367" s="342">
        <v>6</v>
      </c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</row>
    <row r="368" spans="1:19" ht="11.4" x14ac:dyDescent="0.2">
      <c r="A368" s="336" t="str">
        <f t="shared" si="10"/>
        <v>Mar17</v>
      </c>
      <c r="B368" s="337">
        <f t="shared" si="11"/>
        <v>42832</v>
      </c>
      <c r="C368" s="338">
        <v>53</v>
      </c>
      <c r="D368" s="338">
        <v>12</v>
      </c>
      <c r="E368" s="341"/>
      <c r="F368" s="342">
        <v>6</v>
      </c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</row>
    <row r="369" spans="1:19" ht="11.4" x14ac:dyDescent="0.2">
      <c r="A369" s="336" t="str">
        <f t="shared" si="10"/>
        <v>Mar17</v>
      </c>
      <c r="B369" s="337">
        <f t="shared" si="11"/>
        <v>42833</v>
      </c>
      <c r="C369" s="338">
        <v>53</v>
      </c>
      <c r="D369" s="338">
        <v>12</v>
      </c>
      <c r="E369" s="341"/>
      <c r="F369" s="342">
        <v>6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</row>
    <row r="370" spans="1:19" ht="11.4" x14ac:dyDescent="0.2">
      <c r="A370" s="336" t="str">
        <f t="shared" si="10"/>
        <v>Mar17</v>
      </c>
      <c r="B370" s="337">
        <f t="shared" si="11"/>
        <v>42834</v>
      </c>
      <c r="C370" s="338">
        <v>53</v>
      </c>
      <c r="D370" s="338">
        <v>12</v>
      </c>
      <c r="E370" s="341"/>
      <c r="F370" s="342">
        <v>6</v>
      </c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</row>
    <row r="371" spans="1:19" ht="11.4" x14ac:dyDescent="0.2">
      <c r="A371" s="336" t="str">
        <f t="shared" si="10"/>
        <v>Mar17</v>
      </c>
      <c r="B371" s="337">
        <f t="shared" si="11"/>
        <v>42835</v>
      </c>
      <c r="C371" s="338">
        <v>53</v>
      </c>
      <c r="D371" s="338">
        <v>12</v>
      </c>
      <c r="E371" s="341"/>
      <c r="F371" s="342">
        <v>6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</row>
    <row r="372" spans="1:19" ht="11.4" x14ac:dyDescent="0.2">
      <c r="A372" s="336" t="str">
        <f t="shared" si="10"/>
        <v>Mar17</v>
      </c>
      <c r="B372" s="337">
        <f t="shared" si="11"/>
        <v>42836</v>
      </c>
      <c r="C372" s="338">
        <v>53</v>
      </c>
      <c r="D372" s="338">
        <v>12</v>
      </c>
      <c r="E372" s="341"/>
      <c r="F372" s="342">
        <v>6</v>
      </c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</row>
    <row r="373" spans="1:19" ht="11.4" x14ac:dyDescent="0.2">
      <c r="A373" s="336" t="str">
        <f t="shared" si="10"/>
        <v>Mar17</v>
      </c>
      <c r="B373" s="337">
        <f t="shared" si="11"/>
        <v>42837</v>
      </c>
      <c r="C373" s="338">
        <v>53</v>
      </c>
      <c r="D373" s="338">
        <v>12</v>
      </c>
      <c r="E373" s="341"/>
      <c r="F373" s="342">
        <v>6</v>
      </c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</row>
    <row r="374" spans="1:19" ht="11.4" x14ac:dyDescent="0.2">
      <c r="A374" s="336" t="str">
        <f t="shared" si="10"/>
        <v>Mar17</v>
      </c>
      <c r="B374" s="337">
        <f t="shared" si="11"/>
        <v>42838</v>
      </c>
      <c r="C374" s="338">
        <v>53</v>
      </c>
      <c r="D374" s="338">
        <v>12</v>
      </c>
      <c r="E374" s="341"/>
      <c r="F374" s="342">
        <v>6</v>
      </c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</row>
    <row r="375" spans="1:19" ht="11.4" x14ac:dyDescent="0.2">
      <c r="A375" s="336" t="str">
        <f t="shared" si="10"/>
        <v>Mar17</v>
      </c>
      <c r="B375" s="337">
        <f t="shared" si="11"/>
        <v>42839</v>
      </c>
      <c r="C375" s="338">
        <v>53</v>
      </c>
      <c r="D375" s="338">
        <v>12</v>
      </c>
      <c r="E375" s="341"/>
      <c r="F375" s="342">
        <v>6</v>
      </c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</row>
    <row r="376" spans="1:19" ht="11.4" x14ac:dyDescent="0.2">
      <c r="A376" s="336" t="str">
        <f t="shared" si="10"/>
        <v>Mar17</v>
      </c>
      <c r="B376" s="337">
        <f t="shared" si="11"/>
        <v>42840</v>
      </c>
      <c r="C376" s="338">
        <v>53</v>
      </c>
      <c r="D376" s="338">
        <v>12</v>
      </c>
      <c r="E376" s="341"/>
      <c r="F376" s="342">
        <v>6</v>
      </c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</row>
    <row r="377" spans="1:19" ht="11.4" x14ac:dyDescent="0.2">
      <c r="A377" s="336" t="str">
        <f t="shared" si="10"/>
        <v>Mar17</v>
      </c>
      <c r="B377" s="337">
        <f t="shared" si="11"/>
        <v>42841</v>
      </c>
      <c r="C377" s="338">
        <v>53</v>
      </c>
      <c r="D377" s="338">
        <v>12</v>
      </c>
      <c r="E377" s="341"/>
      <c r="F377" s="342">
        <v>6</v>
      </c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</row>
    <row r="378" spans="1:19" ht="11.4" x14ac:dyDescent="0.2">
      <c r="A378" s="336" t="str">
        <f t="shared" si="10"/>
        <v>Mar17</v>
      </c>
      <c r="B378" s="337">
        <f t="shared" si="11"/>
        <v>42842</v>
      </c>
      <c r="C378" s="338">
        <v>53</v>
      </c>
      <c r="D378" s="338">
        <v>12</v>
      </c>
      <c r="E378" s="341"/>
      <c r="F378" s="342">
        <v>6</v>
      </c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</row>
    <row r="379" spans="1:19" ht="11.4" x14ac:dyDescent="0.2">
      <c r="A379" s="336" t="str">
        <f t="shared" si="10"/>
        <v>Mar17</v>
      </c>
      <c r="B379" s="337">
        <f t="shared" si="11"/>
        <v>42843</v>
      </c>
      <c r="C379" s="338">
        <v>53</v>
      </c>
      <c r="D379" s="338">
        <v>12</v>
      </c>
      <c r="E379" s="341"/>
      <c r="F379" s="342">
        <v>6</v>
      </c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</row>
    <row r="380" spans="1:19" ht="11.4" x14ac:dyDescent="0.2">
      <c r="A380" s="336" t="str">
        <f t="shared" si="10"/>
        <v>Mar17</v>
      </c>
      <c r="B380" s="337">
        <f t="shared" si="11"/>
        <v>42844</v>
      </c>
      <c r="C380" s="338">
        <v>53</v>
      </c>
      <c r="D380" s="338">
        <v>12</v>
      </c>
      <c r="E380" s="341"/>
      <c r="F380" s="342">
        <v>6</v>
      </c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</row>
    <row r="381" spans="1:19" ht="11.4" x14ac:dyDescent="0.2">
      <c r="A381" s="336" t="str">
        <f t="shared" si="10"/>
        <v>Mar17</v>
      </c>
      <c r="B381" s="337">
        <f t="shared" si="11"/>
        <v>42845</v>
      </c>
      <c r="C381" s="338">
        <v>53</v>
      </c>
      <c r="D381" s="338">
        <v>12</v>
      </c>
      <c r="E381" s="341"/>
      <c r="F381" s="342">
        <v>6</v>
      </c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</row>
    <row r="382" spans="1:19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</row>
  </sheetData>
  <sheetProtection sheet="1" objects="1" scenarios="1"/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workbookViewId="0">
      <pane ySplit="7" topLeftCell="A8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04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04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">
        <v>105</v>
      </c>
      <c r="I3" s="389" t="s">
        <v>43</v>
      </c>
      <c r="J3" s="389" t="s">
        <v>44</v>
      </c>
      <c r="K3" s="406" t="s">
        <v>48</v>
      </c>
      <c r="L3" s="406" t="s">
        <v>31</v>
      </c>
      <c r="M3" s="395" t="s">
        <v>46</v>
      </c>
      <c r="N3" s="389" t="s">
        <v>1</v>
      </c>
      <c r="O3" s="397" t="s">
        <v>26</v>
      </c>
      <c r="P3" s="389" t="s">
        <v>106</v>
      </c>
      <c r="Q3" s="397" t="s">
        <v>2</v>
      </c>
      <c r="R3" s="395" t="s">
        <v>47</v>
      </c>
      <c r="S3" s="51"/>
      <c r="T3" s="397" t="s">
        <v>27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0"/>
      <c r="J4" s="390"/>
      <c r="K4" s="407"/>
      <c r="L4" s="407"/>
      <c r="M4" s="396"/>
      <c r="N4" s="392"/>
      <c r="O4" s="398"/>
      <c r="P4" s="392"/>
      <c r="Q4" s="398"/>
      <c r="R4" s="396"/>
      <c r="S4" s="51"/>
      <c r="T4" s="398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0"/>
      <c r="J5" s="390"/>
      <c r="K5" s="407"/>
      <c r="L5" s="407"/>
      <c r="M5" s="396"/>
      <c r="N5" s="392"/>
      <c r="O5" s="398"/>
      <c r="P5" s="392"/>
      <c r="Q5" s="398"/>
      <c r="R5" s="396"/>
      <c r="S5" s="51"/>
      <c r="T5" s="398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1"/>
      <c r="J6" s="391"/>
      <c r="K6" s="408"/>
      <c r="L6" s="408"/>
      <c r="M6" s="396"/>
      <c r="N6" s="393"/>
      <c r="O6" s="398"/>
      <c r="P6" s="393"/>
      <c r="Q6" s="398"/>
      <c r="R6" s="396"/>
      <c r="S6" s="50"/>
      <c r="T6" s="398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00"/>
      <c r="S8" s="401"/>
      <c r="T8" s="401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</v>
      </c>
      <c r="F9" s="61"/>
      <c r="G9" s="61"/>
      <c r="H9" s="384" t="s">
        <v>57</v>
      </c>
      <c r="I9" s="385"/>
      <c r="J9" s="383"/>
      <c r="K9" s="228">
        <f>Admin!B2</f>
        <v>42466</v>
      </c>
      <c r="L9" s="227" t="s">
        <v>76</v>
      </c>
      <c r="M9" s="229">
        <f>K9+4</f>
        <v>42470</v>
      </c>
      <c r="N9" s="27"/>
      <c r="O9" s="54"/>
      <c r="P9" s="54"/>
      <c r="Q9" s="54"/>
      <c r="R9" s="54"/>
      <c r="S9" s="54"/>
      <c r="T9" s="54"/>
      <c r="U9" s="46"/>
      <c r="AH9" s="61"/>
    </row>
    <row r="10" spans="1:34" ht="18" customHeight="1" thickTop="1" thickBot="1" x14ac:dyDescent="0.3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236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thickTop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6"/>
      <c r="H11" s="110">
        <v>0</v>
      </c>
      <c r="I11" s="105">
        <v>0</v>
      </c>
      <c r="J11" s="105">
        <v>0</v>
      </c>
      <c r="K11" s="105">
        <f>I11*J11</f>
        <v>0</v>
      </c>
      <c r="L11" s="139">
        <v>0</v>
      </c>
      <c r="M11" s="119" t="str">
        <f>IF(E11=" "," ",IF((H11+K11+L11)&gt;0,H11+K11+L11," "))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2">IF(O11=" ",0,O11)</f>
        <v>0</v>
      </c>
      <c r="Y11" s="59">
        <f t="shared" si="2"/>
        <v>0</v>
      </c>
      <c r="Z11" s="59">
        <f>IF(Q11=" ",0,Q11)</f>
        <v>0</v>
      </c>
      <c r="AA11" s="59">
        <f t="shared" ref="AA11:AC15" si="3">IF(R11=" ",0,R11)</f>
        <v>0</v>
      </c>
      <c r="AB11" s="60"/>
      <c r="AC11" s="59">
        <f t="shared" si="3"/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6"/>
      <c r="H12" s="111">
        <v>0</v>
      </c>
      <c r="I12" s="107">
        <v>0</v>
      </c>
      <c r="J12" s="107">
        <v>0</v>
      </c>
      <c r="K12" s="108">
        <f>I12*J12</f>
        <v>0</v>
      </c>
      <c r="L12" s="140">
        <v>0</v>
      </c>
      <c r="M12" s="119" t="str">
        <f>IF(E12=" "," ",IF((H12+K12+L12)&gt;0,H12+K12+L12," "))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2"/>
        <v>0</v>
      </c>
      <c r="Y12" s="59">
        <f t="shared" si="2"/>
        <v>0</v>
      </c>
      <c r="Z12" s="59">
        <f>IF(Q12=" ",0,Q12)</f>
        <v>0</v>
      </c>
      <c r="AA12" s="59">
        <f t="shared" si="3"/>
        <v>0</v>
      </c>
      <c r="AB12" s="60"/>
      <c r="AC12" s="59">
        <f t="shared" si="3"/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6"/>
      <c r="H13" s="111">
        <v>0</v>
      </c>
      <c r="I13" s="107">
        <v>0</v>
      </c>
      <c r="J13" s="107">
        <v>0</v>
      </c>
      <c r="K13" s="108">
        <f>I13*J13</f>
        <v>0</v>
      </c>
      <c r="L13" s="140">
        <v>0</v>
      </c>
      <c r="M13" s="119" t="str">
        <f>IF(E13=" "," ",IF((H13+K13+L13)&gt;0,H13+K13+L13," "))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2"/>
        <v>0</v>
      </c>
      <c r="Y13" s="59">
        <f t="shared" si="2"/>
        <v>0</v>
      </c>
      <c r="Z13" s="59">
        <f>IF(Q13=" ",0,Q13)</f>
        <v>0</v>
      </c>
      <c r="AA13" s="59">
        <f t="shared" si="3"/>
        <v>0</v>
      </c>
      <c r="AB13" s="60"/>
      <c r="AC13" s="59">
        <f t="shared" si="3"/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6"/>
      <c r="H14" s="111">
        <v>0</v>
      </c>
      <c r="I14" s="107">
        <v>0</v>
      </c>
      <c r="J14" s="107">
        <v>0</v>
      </c>
      <c r="K14" s="108">
        <f>I14*J14</f>
        <v>0</v>
      </c>
      <c r="L14" s="140">
        <v>0</v>
      </c>
      <c r="M14" s="119" t="str">
        <f>IF(E14=" "," ",IF((H14+K14+L14)&gt;0,H14+K14+L14," "))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>IF(O14=" ",0,O14)</f>
        <v>0</v>
      </c>
      <c r="Y14" s="59">
        <f>IF(P14=" ",0,P14)</f>
        <v>0</v>
      </c>
      <c r="Z14" s="59">
        <f>IF(Q14=" ",0,Q14)</f>
        <v>0</v>
      </c>
      <c r="AA14" s="59">
        <f t="shared" si="3"/>
        <v>0</v>
      </c>
      <c r="AB14" s="60"/>
      <c r="AC14" s="59">
        <f t="shared" si="3"/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6"/>
      <c r="H15" s="111">
        <v>0</v>
      </c>
      <c r="I15" s="107">
        <v>0</v>
      </c>
      <c r="J15" s="107">
        <v>0</v>
      </c>
      <c r="K15" s="108">
        <f>I15*J15</f>
        <v>0</v>
      </c>
      <c r="L15" s="140">
        <v>0</v>
      </c>
      <c r="M15" s="119" t="str">
        <f>IF(E15=" "," ",IF((H15+K15+L15)&gt;0,H15+K15+L15," "))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>IF(O15=" ",0,O15)</f>
        <v>0</v>
      </c>
      <c r="Y15" s="59">
        <f>IF(P15=" ",0,P15)</f>
        <v>0</v>
      </c>
      <c r="Z15" s="59">
        <f>IF(Q15=" ",0,Q15)</f>
        <v>0</v>
      </c>
      <c r="AA15" s="59">
        <f t="shared" si="3"/>
        <v>0</v>
      </c>
      <c r="AB15" s="60"/>
      <c r="AC15" s="59">
        <f t="shared" si="3"/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2" t="s">
        <v>7</v>
      </c>
      <c r="G16" s="403"/>
      <c r="H16" s="141"/>
      <c r="I16" s="142"/>
      <c r="J16" s="142"/>
      <c r="K16" s="143"/>
      <c r="L16" s="143"/>
      <c r="M16" s="144">
        <f t="shared" ref="M16:R16" si="4">SUM(M11:M15)</f>
        <v>0</v>
      </c>
      <c r="N16" s="150">
        <f t="shared" si="4"/>
        <v>0</v>
      </c>
      <c r="O16" s="150">
        <f t="shared" si="4"/>
        <v>0</v>
      </c>
      <c r="P16" s="150">
        <f t="shared" si="4"/>
        <v>0</v>
      </c>
      <c r="Q16" s="150">
        <f t="shared" si="4"/>
        <v>0</v>
      </c>
      <c r="R16" s="144">
        <f t="shared" si="4"/>
        <v>0</v>
      </c>
      <c r="S16" s="109"/>
      <c r="T16" s="150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</v>
      </c>
      <c r="F19" s="61"/>
      <c r="G19" s="61"/>
      <c r="H19" s="384" t="s">
        <v>28</v>
      </c>
      <c r="I19" s="385"/>
      <c r="J19" s="383"/>
      <c r="K19" s="228">
        <f>M9+1</f>
        <v>42471</v>
      </c>
      <c r="L19" s="227" t="s">
        <v>76</v>
      </c>
      <c r="M19" s="229">
        <f>K19+6</f>
        <v>42477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thickBot="1" x14ac:dyDescent="0.3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236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thickTop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 t="shared" ref="I21:I22" si="5">IF(T$19="Y",I11,0)</f>
        <v>0</v>
      </c>
      <c r="J21" s="104">
        <f t="shared" ref="J21:J22" si="6">IF(T$19="Y",J11,0)</f>
        <v>0</v>
      </c>
      <c r="K21" s="104">
        <f>IF(T$19="Y",K11,I21*J21)</f>
        <v>0</v>
      </c>
      <c r="L21" s="139">
        <f>IF(T$19="Y",L11,0)</f>
        <v>0</v>
      </c>
      <c r="M21" s="115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7">IF(P21=0,Y11,P21+Y11)</f>
        <v>0</v>
      </c>
      <c r="Z21" s="59">
        <f t="shared" si="7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 t="shared" si="5"/>
        <v>0</v>
      </c>
      <c r="J22" s="107">
        <f t="shared" si="6"/>
        <v>0</v>
      </c>
      <c r="K22" s="107">
        <f>IF(T$19="Y",K12,I22*J22)</f>
        <v>0</v>
      </c>
      <c r="L22" s="140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7"/>
        <v>0</v>
      </c>
      <c r="Z22" s="59">
        <f t="shared" si="7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40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7"/>
        <v>0</v>
      </c>
      <c r="Z23" s="59">
        <f t="shared" si="7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40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7"/>
        <v>0</v>
      </c>
      <c r="Z24" s="59">
        <f t="shared" si="7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40">
        <f>IF(T$19="Y",L15,0)</f>
        <v>0</v>
      </c>
      <c r="M25" s="198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7"/>
        <v>0</v>
      </c>
      <c r="Z25" s="59">
        <f t="shared" si="7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8">SUM(M21:M25)</f>
        <v>0</v>
      </c>
      <c r="N26" s="144">
        <f t="shared" si="8"/>
        <v>0</v>
      </c>
      <c r="O26" s="144">
        <f t="shared" si="8"/>
        <v>0</v>
      </c>
      <c r="P26" s="144">
        <f t="shared" si="8"/>
        <v>0</v>
      </c>
      <c r="Q26" s="144">
        <f t="shared" si="8"/>
        <v>0</v>
      </c>
      <c r="R26" s="144">
        <f t="shared" si="8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152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</v>
      </c>
      <c r="F29" s="61"/>
      <c r="G29" s="61"/>
      <c r="H29" s="384" t="s">
        <v>28</v>
      </c>
      <c r="I29" s="385"/>
      <c r="J29" s="383"/>
      <c r="K29" s="228">
        <f>M19+1</f>
        <v>42478</v>
      </c>
      <c r="L29" s="227" t="s">
        <v>76</v>
      </c>
      <c r="M29" s="229">
        <f>K29+6</f>
        <v>42484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9">IF(P31=0,Y21,P31+Y21)</f>
        <v>0</v>
      </c>
      <c r="Z31" s="59">
        <f t="shared" si="9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15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9"/>
        <v>0</v>
      </c>
      <c r="Z32" s="59">
        <f t="shared" si="9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15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9"/>
        <v>0</v>
      </c>
      <c r="Z33" s="59">
        <f t="shared" si="9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15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9"/>
        <v>0</v>
      </c>
      <c r="Z34" s="59">
        <f t="shared" si="9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98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9"/>
        <v>0</v>
      </c>
      <c r="Z35" s="59">
        <f t="shared" si="9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10">SUM(M31:M35)</f>
        <v>0</v>
      </c>
      <c r="N36" s="144">
        <f t="shared" si="10"/>
        <v>0</v>
      </c>
      <c r="O36" s="144">
        <f t="shared" si="10"/>
        <v>0</v>
      </c>
      <c r="P36" s="144">
        <f t="shared" si="10"/>
        <v>0</v>
      </c>
      <c r="Q36" s="144">
        <f t="shared" si="10"/>
        <v>0</v>
      </c>
      <c r="R36" s="144">
        <f t="shared" si="10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385"/>
      <c r="D39" s="383"/>
      <c r="E39" s="175">
        <v>4</v>
      </c>
      <c r="F39" s="61"/>
      <c r="G39" s="61"/>
      <c r="H39" s="384" t="s">
        <v>28</v>
      </c>
      <c r="I39" s="385"/>
      <c r="J39" s="383"/>
      <c r="K39" s="228">
        <f>M29+1</f>
        <v>42485</v>
      </c>
      <c r="L39" s="227" t="s">
        <v>76</v>
      </c>
      <c r="M39" s="229">
        <f>K39+6</f>
        <v>42491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39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11">IF(P41=0,Y31,P41+Y31)</f>
        <v>0</v>
      </c>
      <c r="Z41" s="59">
        <f t="shared" si="11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40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11"/>
        <v>0</v>
      </c>
      <c r="Z42" s="59">
        <f t="shared" si="11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40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11"/>
        <v>0</v>
      </c>
      <c r="Z43" s="59">
        <f t="shared" si="11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40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11"/>
        <v>0</v>
      </c>
      <c r="Z44" s="59">
        <f t="shared" si="11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40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11"/>
        <v>0</v>
      </c>
      <c r="Z45" s="59">
        <f t="shared" si="11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12">SUM(M41:M45)</f>
        <v>0</v>
      </c>
      <c r="N46" s="144">
        <f t="shared" si="12"/>
        <v>0</v>
      </c>
      <c r="O46" s="144">
        <f t="shared" si="12"/>
        <v>0</v>
      </c>
      <c r="P46" s="144">
        <f t="shared" si="12"/>
        <v>0</v>
      </c>
      <c r="Q46" s="144">
        <f t="shared" si="12"/>
        <v>0</v>
      </c>
      <c r="R46" s="144">
        <f t="shared" si="12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</v>
      </c>
      <c r="F49" s="61"/>
      <c r="G49" s="61"/>
      <c r="H49" s="384" t="s">
        <v>28</v>
      </c>
      <c r="I49" s="385"/>
      <c r="J49" s="383"/>
      <c r="K49" s="231">
        <f>Admin!B2</f>
        <v>42466</v>
      </c>
      <c r="L49" s="230" t="s">
        <v>76</v>
      </c>
      <c r="M49" s="232">
        <f>Admin!B31</f>
        <v>42495</v>
      </c>
      <c r="N49" s="27"/>
      <c r="O49" s="425" t="s">
        <v>49</v>
      </c>
      <c r="P49" s="426"/>
      <c r="Q49" s="426"/>
      <c r="R49" s="427"/>
      <c r="S49" s="44"/>
      <c r="T49" s="112" t="s">
        <v>32</v>
      </c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6"/>
      <c r="H51" s="110">
        <v>0</v>
      </c>
      <c r="I51" s="104">
        <v>0</v>
      </c>
      <c r="J51" s="104">
        <v>0</v>
      </c>
      <c r="K51" s="105">
        <f>I51*J51</f>
        <v>0</v>
      </c>
      <c r="L51" s="139">
        <v>0</v>
      </c>
      <c r="M51" s="194" t="str">
        <f>IF(E51=" "," ",IF((H51+K51+L51)&gt;0,H51+K51+L51," "))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IF(Employee!H$35=E$49,Employee!D$34+SUM(M51)+0,SUM(M51)+0)</f>
        <v>0</v>
      </c>
      <c r="W51" s="59">
        <f>IF(Employee!H$35=E$49,Employee!D$35+SUM(N51)+0,SUM(N51)+0)</f>
        <v>0</v>
      </c>
      <c r="X51" s="59">
        <f t="shared" ref="X51:AA55" si="13">IF(O51=" ",0,O51)</f>
        <v>0</v>
      </c>
      <c r="Y51" s="59">
        <f t="shared" si="13"/>
        <v>0</v>
      </c>
      <c r="Z51" s="59">
        <f t="shared" si="13"/>
        <v>0</v>
      </c>
      <c r="AA51" s="59">
        <f t="shared" si="13"/>
        <v>0</v>
      </c>
      <c r="AB51" s="60"/>
      <c r="AC51" s="59">
        <f>IF(T51=" ",0,T51)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6"/>
      <c r="H52" s="111">
        <v>0</v>
      </c>
      <c r="I52" s="107">
        <v>0</v>
      </c>
      <c r="J52" s="107">
        <v>0</v>
      </c>
      <c r="K52" s="108">
        <f>I52*J52</f>
        <v>0</v>
      </c>
      <c r="L52" s="140">
        <v>0</v>
      </c>
      <c r="M52" s="195" t="str">
        <f>IF(E52=" "," ",IF((H52+K52+L52)&gt;0,H52+K52+L52," "))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IF(Employee!H$61=E$49,Employee!D$60+SUM(M52)+0,SUM(M52)+0)</f>
        <v>0</v>
      </c>
      <c r="W52" s="59">
        <f>IF(Employee!H$61=E$49,Employee!D$61+SUM(N52)+0,SUM(N52)+0)</f>
        <v>0</v>
      </c>
      <c r="X52" s="59">
        <f t="shared" si="13"/>
        <v>0</v>
      </c>
      <c r="Y52" s="59">
        <f t="shared" si="13"/>
        <v>0</v>
      </c>
      <c r="Z52" s="59">
        <f t="shared" si="13"/>
        <v>0</v>
      </c>
      <c r="AA52" s="59">
        <f t="shared" si="13"/>
        <v>0</v>
      </c>
      <c r="AB52" s="60"/>
      <c r="AC52" s="59">
        <f>IF(T52=" ",0,T52)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6"/>
      <c r="H53" s="111">
        <v>0</v>
      </c>
      <c r="I53" s="107">
        <v>0</v>
      </c>
      <c r="J53" s="107">
        <v>0</v>
      </c>
      <c r="K53" s="108">
        <f>I53*J53</f>
        <v>0</v>
      </c>
      <c r="L53" s="140">
        <v>0</v>
      </c>
      <c r="M53" s="195" t="str">
        <f>IF(E53=" "," ",IF((H53+K53+L53)&gt;0,H53+K53+L53," "))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IF(Employee!H$87=E$49,Employee!D$86+SUM(M53)+0,SUM(M53)+0)</f>
        <v>0</v>
      </c>
      <c r="W53" s="59">
        <f>IF(Employee!H$87=E$49,Employee!D$87+SUM(N53)+0,SUM(N53)+0)</f>
        <v>0</v>
      </c>
      <c r="X53" s="59">
        <f t="shared" si="13"/>
        <v>0</v>
      </c>
      <c r="Y53" s="59">
        <f t="shared" si="13"/>
        <v>0</v>
      </c>
      <c r="Z53" s="59">
        <f t="shared" si="13"/>
        <v>0</v>
      </c>
      <c r="AA53" s="59">
        <f t="shared" si="13"/>
        <v>0</v>
      </c>
      <c r="AB53" s="60"/>
      <c r="AC53" s="59">
        <f>IF(T53=" ",0,T53)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6"/>
      <c r="H54" s="111">
        <v>0</v>
      </c>
      <c r="I54" s="107">
        <v>0</v>
      </c>
      <c r="J54" s="107">
        <v>0</v>
      </c>
      <c r="K54" s="108">
        <f>I54*J54</f>
        <v>0</v>
      </c>
      <c r="L54" s="140">
        <v>0</v>
      </c>
      <c r="M54" s="195" t="str">
        <f>IF(E54=" "," ",IF((H54+K54+L54)&gt;0,H54+K54+L54," "))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IF(Employee!H$113=E$49,Employee!D$112+SUM(M54)+0,SUM(M54)+0)</f>
        <v>0</v>
      </c>
      <c r="W54" s="59">
        <f>IF(Employee!H$113=E$49,Employee!D$113+SUM(N54)+0,SUM(N54)+0)</f>
        <v>0</v>
      </c>
      <c r="X54" s="59">
        <f t="shared" si="13"/>
        <v>0</v>
      </c>
      <c r="Y54" s="59">
        <f t="shared" si="13"/>
        <v>0</v>
      </c>
      <c r="Z54" s="59">
        <f t="shared" si="13"/>
        <v>0</v>
      </c>
      <c r="AA54" s="59">
        <f t="shared" si="13"/>
        <v>0</v>
      </c>
      <c r="AB54" s="60"/>
      <c r="AC54" s="59">
        <f>IF(T54=" ",0,T54)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6"/>
      <c r="H55" s="111">
        <v>0</v>
      </c>
      <c r="I55" s="107">
        <v>0</v>
      </c>
      <c r="J55" s="107">
        <v>0</v>
      </c>
      <c r="K55" s="108">
        <f>I55*J55</f>
        <v>0</v>
      </c>
      <c r="L55" s="140">
        <v>0</v>
      </c>
      <c r="M55" s="195" t="str">
        <f>IF(E55=" "," ",IF((H55+K55+L55)&gt;0,H55+K55+L55," "))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IF(Employee!H$139=E$49,Employee!D$138+SUM(M55)+0,SUM(M55)+0)</f>
        <v>0</v>
      </c>
      <c r="W55" s="59">
        <f>IF(Employee!H$139=E$49,Employee!D$139+SUM(N55)+0,SUM(N55)+0)</f>
        <v>0</v>
      </c>
      <c r="X55" s="59">
        <f t="shared" si="13"/>
        <v>0</v>
      </c>
      <c r="Y55" s="59">
        <f t="shared" si="13"/>
        <v>0</v>
      </c>
      <c r="Z55" s="59">
        <f t="shared" si="13"/>
        <v>0</v>
      </c>
      <c r="AA55" s="59">
        <f t="shared" si="13"/>
        <v>0</v>
      </c>
      <c r="AB55" s="60"/>
      <c r="AC55" s="59">
        <f>IF(T55=" ",0,T55)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41"/>
      <c r="I56" s="142"/>
      <c r="J56" s="142"/>
      <c r="K56" s="143"/>
      <c r="L56" s="143"/>
      <c r="M56" s="144">
        <f t="shared" ref="M56:R56" si="14">SUM(M51:M55)</f>
        <v>0</v>
      </c>
      <c r="N56" s="144">
        <f t="shared" si="14"/>
        <v>0</v>
      </c>
      <c r="O56" s="144">
        <f t="shared" si="14"/>
        <v>0</v>
      </c>
      <c r="P56" s="144">
        <f t="shared" si="14"/>
        <v>0</v>
      </c>
      <c r="Q56" s="144">
        <f t="shared" si="14"/>
        <v>0</v>
      </c>
      <c r="R56" s="144">
        <f t="shared" si="14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8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5">SUM(M60:M64)</f>
        <v>0</v>
      </c>
      <c r="N65" s="211">
        <f t="shared" si="15"/>
        <v>0</v>
      </c>
      <c r="O65" s="211">
        <f t="shared" si="15"/>
        <v>0</v>
      </c>
      <c r="P65" s="211">
        <f t="shared" si="15"/>
        <v>0</v>
      </c>
      <c r="Q65" s="211">
        <f t="shared" si="15"/>
        <v>0</v>
      </c>
      <c r="R65" s="211">
        <f t="shared" si="15"/>
        <v>0</v>
      </c>
      <c r="S65" s="215"/>
      <c r="T65" s="211">
        <f>SUM(T60:T64)</f>
        <v>0</v>
      </c>
      <c r="AD65" s="177">
        <f>AD60</f>
        <v>0</v>
      </c>
      <c r="AE65" s="177">
        <f>AE60</f>
        <v>0</v>
      </c>
      <c r="AF65" s="177">
        <f>AF60</f>
        <v>0</v>
      </c>
      <c r="AG65" s="177">
        <f>AG60</f>
        <v>0</v>
      </c>
    </row>
    <row r="66" spans="6:33" ht="13.8" thickTop="1" x14ac:dyDescent="0.25"/>
    <row r="67" spans="6:33" x14ac:dyDescent="0.25">
      <c r="AD67" s="184"/>
      <c r="AE67" s="177">
        <f>AE62</f>
        <v>0</v>
      </c>
      <c r="AF67" s="177">
        <f>AF62</f>
        <v>0</v>
      </c>
      <c r="AG67" s="177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'Apr16'!H3:H6</f>
        <v>Statutory Pay</v>
      </c>
      <c r="I3" s="389" t="str">
        <f>'Apr16'!I3:I6</f>
        <v>Basic hours</v>
      </c>
      <c r="J3" s="389" t="str">
        <f>'Apr16'!J3:J6</f>
        <v>Hourly rate</v>
      </c>
      <c r="K3" s="389" t="str">
        <f>'Apr16'!K3:K6</f>
        <v>Basic    wages</v>
      </c>
      <c r="L3" s="389" t="str">
        <f>'Apr16'!L3:L6</f>
        <v>Overtime Bonus Gratuities</v>
      </c>
      <c r="M3" s="452" t="str">
        <f>'Apr16'!M3:M6</f>
        <v>GROSS WAGES</v>
      </c>
      <c r="N3" s="389" t="str">
        <f>'Apr16'!N3:N6</f>
        <v>Income Tax</v>
      </c>
      <c r="O3" s="389" t="str">
        <f>'Apr16'!O3:O6</f>
        <v>Employees National Insurance</v>
      </c>
      <c r="P3" s="389" t="str">
        <f>'Apr16'!P3:P6</f>
        <v>Student Loans</v>
      </c>
      <c r="Q3" s="389" t="str">
        <f>'Apr16'!Q3:Q6</f>
        <v>Other Deductions</v>
      </c>
      <c r="R3" s="452" t="str">
        <f>'Apr16'!R3:R6</f>
        <v>NET      PAY</v>
      </c>
      <c r="S3" s="51"/>
      <c r="T3" s="389" t="str">
        <f>'Apr16'!T3:T6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5</v>
      </c>
      <c r="F9" s="61"/>
      <c r="G9" s="61"/>
      <c r="H9" s="384" t="s">
        <v>28</v>
      </c>
      <c r="I9" s="385"/>
      <c r="J9" s="383"/>
      <c r="K9" s="231">
        <f>'Apr16'!M39+1</f>
        <v>42492</v>
      </c>
      <c r="L9" s="230" t="s">
        <v>76</v>
      </c>
      <c r="M9" s="232">
        <f>K9+6</f>
        <v>42498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IF(T$9="Y",'Apr16'!H41,0)</f>
        <v>0</v>
      </c>
      <c r="I11" s="104">
        <f>IF(T$9="Y",'Apr16'!I41,0)</f>
        <v>0</v>
      </c>
      <c r="J11" s="104">
        <f>IF(T$9="Y",'Apr16'!J41,0)</f>
        <v>0</v>
      </c>
      <c r="K11" s="104">
        <f>IF(T$9="Y",'Apr16'!K41,I11*J11)</f>
        <v>0</v>
      </c>
      <c r="L11" s="139">
        <f>IF(T$9="Y",'Apr16'!L41,0)</f>
        <v>0</v>
      </c>
      <c r="M11" s="125" t="str">
        <f>IF(E11=" "," ",IF(T$9="Y",'Apr16'!M41,IF((H11+K11+L11)&gt;0,H11+K11+L11,"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IF(Employee!H$34=E$9,Employee!D$34+SUM(M11)+'Apr16'!V41,SUM(M11)+'Apr16'!V41)</f>
        <v>0</v>
      </c>
      <c r="W11" s="59">
        <f>IF(Employee!H$34=E$9,Employee!D$35+SUM(N11)+'Apr16'!W41,SUM(N11)+'Apr16'!W41)</f>
        <v>0</v>
      </c>
      <c r="X11" s="59">
        <f>IF(O11=" ",'Apr16'!X41,O11+'Apr16'!X41)</f>
        <v>0</v>
      </c>
      <c r="Y11" s="59">
        <f>IF(P11=" ",'Apr16'!Y41,P11+'Apr16'!Y41)</f>
        <v>0</v>
      </c>
      <c r="Z11" s="59">
        <f>IF(Q11=" ",'Apr16'!Z41,Q11+'Apr16'!Z41)</f>
        <v>0</v>
      </c>
      <c r="AA11" s="59">
        <f>IF(R11=" ",'Apr16'!AA41,R11+'Apr16'!AA41)</f>
        <v>0</v>
      </c>
      <c r="AB11" s="60"/>
      <c r="AC11" s="59">
        <f>IF(T11=" ",'Apr16'!AC41,T11+'Apr16'!AC41)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IF(T$9="Y",'Apr16'!H42,0)</f>
        <v>0</v>
      </c>
      <c r="I12" s="107">
        <f>IF(T$9="Y",'Apr16'!I42,0)</f>
        <v>0</v>
      </c>
      <c r="J12" s="107">
        <f>IF(T$9="Y",'Apr16'!J42,0)</f>
        <v>0</v>
      </c>
      <c r="K12" s="107">
        <f>IF(T$9="Y",'Apr16'!K42,I12*J12)</f>
        <v>0</v>
      </c>
      <c r="L12" s="140">
        <f>IF(T$9="Y",'Apr16'!L42,0)</f>
        <v>0</v>
      </c>
      <c r="M12" s="126" t="str">
        <f>IF(E12=" "," ",IF(T$9="Y",'Apr16'!M42,IF((H12+K12+L12)&gt;0,H12+K12+L12,"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IF(Employee!H$60=E$9,Employee!D$60+SUM(M12)+'Apr16'!V42,SUM(M12)+'Apr16'!V42)</f>
        <v>0</v>
      </c>
      <c r="W12" s="59">
        <f>IF(Employee!H$60=E$9,Employee!D$61+SUM(N12)+'Apr16'!W42,SUM(N12)+'Apr16'!W42)</f>
        <v>0</v>
      </c>
      <c r="X12" s="59">
        <f>IF(O12=" ",'Apr16'!X42,O12+'Apr16'!X42)</f>
        <v>0</v>
      </c>
      <c r="Y12" s="59">
        <f>IF(P12=" ",'Apr16'!Y42,P12+'Apr16'!Y42)</f>
        <v>0</v>
      </c>
      <c r="Z12" s="59">
        <f>IF(Q12=" ",'Apr16'!Z42,Q12+'Apr16'!Z42)</f>
        <v>0</v>
      </c>
      <c r="AA12" s="59">
        <f>IF(R12=" ",'Apr16'!AA42,R12+'Apr16'!AA42)</f>
        <v>0</v>
      </c>
      <c r="AB12" s="60"/>
      <c r="AC12" s="59">
        <f>IF(T12=" ",'Apr16'!AC42,T12+'Apr16'!AC42)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IF(T$9="Y",'Apr16'!H43,0)</f>
        <v>0</v>
      </c>
      <c r="I13" s="107">
        <f>IF(T$9="Y",'Apr16'!I43,0)</f>
        <v>0</v>
      </c>
      <c r="J13" s="107">
        <f>IF(T$9="Y",'Apr16'!J43,0)</f>
        <v>0</v>
      </c>
      <c r="K13" s="107">
        <f>IF(T$9="Y",'Apr16'!K43,I13*J13)</f>
        <v>0</v>
      </c>
      <c r="L13" s="140">
        <f>IF(T$9="Y",'Apr16'!L43,0)</f>
        <v>0</v>
      </c>
      <c r="M13" s="126" t="str">
        <f>IF(E13=" "," ",IF(T$9="Y",'Apr16'!M43,IF((H13+K13+L13)&gt;0,H13+K13+L13,"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IF(Employee!H$86=E$9,Employee!D$86+SUM(M13)+'Apr16'!V43,SUM(M13)+'Apr16'!V43)</f>
        <v>0</v>
      </c>
      <c r="W13" s="59">
        <f>IF(Employee!H$86=E$9,Employee!D$87+SUM(N13)+'Apr16'!W43,SUM(N13)+'Apr16'!W43)</f>
        <v>0</v>
      </c>
      <c r="X13" s="59">
        <f>IF(O13=" ",'Apr16'!X43,O13+'Apr16'!X43)</f>
        <v>0</v>
      </c>
      <c r="Y13" s="59">
        <f>IF(P13=" ",'Apr16'!Y43,P13+'Apr16'!Y43)</f>
        <v>0</v>
      </c>
      <c r="Z13" s="59">
        <f>IF(Q13=" ",'Apr16'!Z43,Q13+'Apr16'!Z43)</f>
        <v>0</v>
      </c>
      <c r="AA13" s="59">
        <f>IF(R13=" ",'Apr16'!AA43,R13+'Apr16'!AA43)</f>
        <v>0</v>
      </c>
      <c r="AB13" s="60"/>
      <c r="AC13" s="59">
        <f>IF(T13=" ",'Apr16'!AC43,T13+'Apr16'!AC43)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IF(T$9="Y",'Apr16'!H44,0)</f>
        <v>0</v>
      </c>
      <c r="I14" s="107">
        <f>IF(T$9="Y",'Apr16'!I44,0)</f>
        <v>0</v>
      </c>
      <c r="J14" s="107">
        <f>IF(T$9="Y",'Apr16'!J44,0)</f>
        <v>0</v>
      </c>
      <c r="K14" s="107">
        <f>IF(T$9="Y",'Apr16'!K44,I14*J14)</f>
        <v>0</v>
      </c>
      <c r="L14" s="140">
        <f>IF(T$9="Y",'Apr16'!L44,0)</f>
        <v>0</v>
      </c>
      <c r="M14" s="126" t="str">
        <f>IF(E14=" "," ",IF(T$9="Y",'Apr16'!M44,IF((H14+K14+L14)&gt;0,H14+K14+L14,"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IF(Employee!H$112=E$9,Employee!D$112+SUM(M14)+'Apr16'!V44,SUM(M14)+'Apr16'!V44)</f>
        <v>0</v>
      </c>
      <c r="W14" s="59">
        <f>IF(Employee!H$112=E$9,Employee!D$113+SUM(N14)+'Apr16'!W44,SUM(N14)+'Apr16'!W44)</f>
        <v>0</v>
      </c>
      <c r="X14" s="59">
        <f>IF(O14=" ",'Apr16'!X44,O14+'Apr16'!X44)</f>
        <v>0</v>
      </c>
      <c r="Y14" s="59">
        <f>IF(P14=" ",'Apr16'!Y44,P14+'Apr16'!Y44)</f>
        <v>0</v>
      </c>
      <c r="Z14" s="59">
        <f>IF(Q14=" ",'Apr16'!Z44,Q14+'Apr16'!Z44)</f>
        <v>0</v>
      </c>
      <c r="AA14" s="59">
        <f>IF(R14=" ",'Apr16'!AA44,R14+'Apr16'!AA44)</f>
        <v>0</v>
      </c>
      <c r="AB14" s="60"/>
      <c r="AC14" s="59">
        <f>IF(T14=" ",'Apr16'!AC44,T14+'Apr16'!AC44)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IF(T$9="Y",'Apr16'!H45,0)</f>
        <v>0</v>
      </c>
      <c r="I15" s="272">
        <f>IF(T$9="Y",'Apr16'!I45,0)</f>
        <v>0</v>
      </c>
      <c r="J15" s="272">
        <f>IF(T$9="Y",'Apr16'!J45,0)</f>
        <v>0</v>
      </c>
      <c r="K15" s="272">
        <f>IF(T$9="Y",'Apr16'!K45,I15*J15)</f>
        <v>0</v>
      </c>
      <c r="L15" s="273">
        <f>IF(T$9="Y",'Apr16'!L45,0)</f>
        <v>0</v>
      </c>
      <c r="M15" s="126" t="str">
        <f>IF(E15=" "," ",IF(T$9="Y",'Apr16'!M45,IF((H15+K15+L15)&gt;0,H15+K15+L15,"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IF(Employee!H$138=E$9,Employee!D$138+SUM(M15)+'Apr16'!V45,SUM(M15)+'Apr16'!V45)</f>
        <v>0</v>
      </c>
      <c r="W15" s="59">
        <f>IF(Employee!H$138=E$9,Employee!D$139+SUM(N15)+'Apr16'!W45,SUM(N15)+'Apr16'!W45)</f>
        <v>0</v>
      </c>
      <c r="X15" s="59">
        <f>IF(O15=" ",'Apr16'!X45,O15+'Apr16'!X45)</f>
        <v>0</v>
      </c>
      <c r="Y15" s="59">
        <f>IF(P15=" ",'Apr16'!Y45,P15+'Apr16'!Y45)</f>
        <v>0</v>
      </c>
      <c r="Z15" s="59">
        <f>IF(Q15=" ",'Apr16'!Z45,Q15+'Apr16'!Z45)</f>
        <v>0</v>
      </c>
      <c r="AA15" s="59">
        <f>IF(R15=" ",'Apr16'!AA45,R15+'Apr16'!AA45)</f>
        <v>0</v>
      </c>
      <c r="AB15" s="60"/>
      <c r="AC15" s="59">
        <f>IF(T15=" ",'Apr16'!AC45,T15+'Apr16'!AC45)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6</v>
      </c>
      <c r="F19" s="61"/>
      <c r="G19" s="61"/>
      <c r="H19" s="384" t="s">
        <v>28</v>
      </c>
      <c r="I19" s="385"/>
      <c r="J19" s="383"/>
      <c r="K19" s="231">
        <f>M9+1</f>
        <v>42499</v>
      </c>
      <c r="L19" s="230" t="s">
        <v>76</v>
      </c>
      <c r="M19" s="232">
        <f>K19+6</f>
        <v>42505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7</v>
      </c>
      <c r="F29" s="61"/>
      <c r="G29" s="61"/>
      <c r="H29" s="384" t="s">
        <v>28</v>
      </c>
      <c r="I29" s="385"/>
      <c r="J29" s="383"/>
      <c r="K29" s="231">
        <f>M19+1</f>
        <v>42506</v>
      </c>
      <c r="L29" s="230" t="s">
        <v>76</v>
      </c>
      <c r="M29" s="232">
        <f>K29+6</f>
        <v>42512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385"/>
      <c r="D39" s="383"/>
      <c r="E39" s="175">
        <v>8</v>
      </c>
      <c r="F39" s="61"/>
      <c r="G39" s="61"/>
      <c r="H39" s="384" t="s">
        <v>28</v>
      </c>
      <c r="I39" s="385"/>
      <c r="J39" s="383"/>
      <c r="K39" s="231">
        <f>M29+1</f>
        <v>42513</v>
      </c>
      <c r="L39" s="230" t="s">
        <v>76</v>
      </c>
      <c r="M39" s="232">
        <f>K39+6</f>
        <v>42519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2</v>
      </c>
      <c r="F49" s="61"/>
      <c r="G49" s="61"/>
      <c r="H49" s="384" t="s">
        <v>28</v>
      </c>
      <c r="I49" s="385"/>
      <c r="J49" s="383"/>
      <c r="K49" s="231">
        <f>Admin!B32</f>
        <v>42496</v>
      </c>
      <c r="L49" s="230" t="s">
        <v>76</v>
      </c>
      <c r="M49" s="232">
        <f>Admin!B62</f>
        <v>42526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IF(T$49="Y",'Apr16'!H51,0)</f>
        <v>0</v>
      </c>
      <c r="I51" s="104">
        <f>IF(T$49="Y",'Apr16'!I51,0)</f>
        <v>0</v>
      </c>
      <c r="J51" s="104">
        <f>IF(T$49="Y",'Apr16'!J51,0)</f>
        <v>0</v>
      </c>
      <c r="K51" s="104">
        <f>IF(T$49="Y",'Apr16'!K51,I51*J51)</f>
        <v>0</v>
      </c>
      <c r="L51" s="139">
        <f>IF(T$49="Y",'Apr16'!L51,0)</f>
        <v>0</v>
      </c>
      <c r="M51" s="114" t="str">
        <f>IF(E51=" "," ",IF(T$49="Y",'Apr16'!M51,IF((H51+K51+L51)&gt;0,H51+K51+L51,"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IF(Employee!H$35=E$49,Employee!D$34+SUM(M51)+'Apr16'!V51,SUM(M51)+'Apr16'!V51)</f>
        <v>0</v>
      </c>
      <c r="W51" s="59">
        <f>IF(Employee!H$35=E$49,Employee!D$35+SUM(N51)+'Apr16'!W51,SUM(N51)+'Apr16'!W51)</f>
        <v>0</v>
      </c>
      <c r="X51" s="59">
        <f>IF(O51=" ",'Apr16'!X51,O51+'Apr16'!X51)</f>
        <v>0</v>
      </c>
      <c r="Y51" s="59">
        <f>IF(P51=" ",'Apr16'!Y51,P51+'Apr16'!Y51)</f>
        <v>0</v>
      </c>
      <c r="Z51" s="59">
        <f>IF(Q51=" ",'Apr16'!Z51,Q51+'Apr16'!Z51)</f>
        <v>0</v>
      </c>
      <c r="AA51" s="59">
        <f>IF(R51=" ",'Apr16'!AA51,R51+'Apr16'!AA51)</f>
        <v>0</v>
      </c>
      <c r="AB51" s="60"/>
      <c r="AC51" s="59">
        <f>IF(T51=" ",'Apr16'!AC51,T51+'Apr16'!AC51)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IF(T$49="Y",'Apr16'!H52,0)</f>
        <v>0</v>
      </c>
      <c r="I52" s="107">
        <f>IF(T$49="Y",'Apr16'!I52,0)</f>
        <v>0</v>
      </c>
      <c r="J52" s="107">
        <f>IF(T$49="Y",'Apr16'!J52,0)</f>
        <v>0</v>
      </c>
      <c r="K52" s="107">
        <f>IF(T$49="Y",'Apr16'!K52,I52*J52)</f>
        <v>0</v>
      </c>
      <c r="L52" s="140">
        <f>IF(T$49="Y",'Apr16'!L52,0)</f>
        <v>0</v>
      </c>
      <c r="M52" s="115" t="str">
        <f>IF(E52=" "," ",IF(T$49="Y",'Apr16'!M52,IF((H52+K52+L52)&gt;0,H52+K52+L52,"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IF(Employee!H$61=E$49,Employee!D$60+SUM(M52)+'Apr16'!V52,SUM(M52)+'Apr16'!V52)</f>
        <v>0</v>
      </c>
      <c r="W52" s="59">
        <f>IF(Employee!H$61=E$49,Employee!D$61+SUM(N52)+'Apr16'!W52,SUM(N52)+'Apr16'!W52)</f>
        <v>0</v>
      </c>
      <c r="X52" s="59">
        <f>IF(O52=" ",'Apr16'!X52,O52+'Apr16'!X52)</f>
        <v>0</v>
      </c>
      <c r="Y52" s="59">
        <f>IF(P52=" ",'Apr16'!Y52,P52+'Apr16'!Y52)</f>
        <v>0</v>
      </c>
      <c r="Z52" s="59">
        <f>IF(Q52=" ",'Apr16'!Z52,Q52+'Apr16'!Z52)</f>
        <v>0</v>
      </c>
      <c r="AA52" s="59">
        <f>IF(R52=" ",'Apr16'!AA52,R52+'Apr16'!AA52)</f>
        <v>0</v>
      </c>
      <c r="AB52" s="60"/>
      <c r="AC52" s="59">
        <f>IF(T52=" ",'Apr16'!AC52,T52+'Apr16'!AC52)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IF(T$49="Y",'Apr16'!H53,0)</f>
        <v>0</v>
      </c>
      <c r="I53" s="107">
        <f>IF(T$49="Y",'Apr16'!I53,0)</f>
        <v>0</v>
      </c>
      <c r="J53" s="107">
        <f>IF(T$49="Y",'Apr16'!J53,0)</f>
        <v>0</v>
      </c>
      <c r="K53" s="107">
        <f>IF(T$49="Y",'Apr16'!K53,I53*J53)</f>
        <v>0</v>
      </c>
      <c r="L53" s="140">
        <f>IF(T$49="Y",'Apr16'!L53,0)</f>
        <v>0</v>
      </c>
      <c r="M53" s="115" t="str">
        <f>IF(E53=" "," ",IF(T$49="Y",'Apr16'!M53,IF((H53+K53+L53)&gt;0,H53+K53+L53,"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IF(Employee!H$87=E$49,Employee!D$86+SUM(M53)+'Apr16'!V53,SUM(M53)+'Apr16'!V53)</f>
        <v>0</v>
      </c>
      <c r="W53" s="59">
        <f>IF(Employee!H$87=E$49,Employee!D$7+SUM(N53)+'Apr16'!W53,SUM(N53)+'Apr16'!W53)</f>
        <v>0</v>
      </c>
      <c r="X53" s="59">
        <f>IF(O53=" ",'Apr16'!X53,O53+'Apr16'!X53)</f>
        <v>0</v>
      </c>
      <c r="Y53" s="59">
        <f>IF(P53=" ",'Apr16'!Y53,P53+'Apr16'!Y53)</f>
        <v>0</v>
      </c>
      <c r="Z53" s="59">
        <f>IF(Q53=" ",'Apr16'!Z53,Q53+'Apr16'!Z53)</f>
        <v>0</v>
      </c>
      <c r="AA53" s="59">
        <f>IF(R53=" ",'Apr16'!AA53,R53+'Apr16'!AA53)</f>
        <v>0</v>
      </c>
      <c r="AB53" s="60"/>
      <c r="AC53" s="59">
        <f>IF(T53=" ",'Apr16'!AC53,T53+'Apr16'!AC53)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IF(T$49="Y",'Apr16'!H54,0)</f>
        <v>0</v>
      </c>
      <c r="I54" s="107">
        <f>IF(T$49="Y",'Apr16'!I54,0)</f>
        <v>0</v>
      </c>
      <c r="J54" s="107">
        <f>IF(T$49="Y",'Apr16'!J54,0)</f>
        <v>0</v>
      </c>
      <c r="K54" s="107">
        <f>IF(T$49="Y",'Apr16'!K54,I54*J54)</f>
        <v>0</v>
      </c>
      <c r="L54" s="140">
        <f>IF(T$49="Y",'Apr16'!L54,0)</f>
        <v>0</v>
      </c>
      <c r="M54" s="115" t="str">
        <f>IF(E54=" "," ",IF(T$49="Y",'Apr16'!M54,IF((H54+K54+L54)&gt;0,H54+K54+L54,"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IF(Employee!H$113=E$49,Employee!D$112+SUM(M54)+'Apr16'!V54,SUM(M54)+'Apr16'!V54)</f>
        <v>0</v>
      </c>
      <c r="W54" s="59">
        <f>IF(Employee!H$113=E$49,Employee!D$113+SUM(N54)+'Apr16'!W54,SUM(N54)+'Apr16'!W54)</f>
        <v>0</v>
      </c>
      <c r="X54" s="59">
        <f>IF(O54=" ",'Apr16'!X54,O54+'Apr16'!X54)</f>
        <v>0</v>
      </c>
      <c r="Y54" s="59">
        <f>IF(P54=" ",'Apr16'!Y54,P54+'Apr16'!Y54)</f>
        <v>0</v>
      </c>
      <c r="Z54" s="59">
        <f>IF(Q54=" ",'Apr16'!Z54,Q54+'Apr16'!Z54)</f>
        <v>0</v>
      </c>
      <c r="AA54" s="59">
        <f>IF(R54=" ",'Apr16'!AA54,R54+'Apr16'!AA54)</f>
        <v>0</v>
      </c>
      <c r="AB54" s="60"/>
      <c r="AC54" s="59">
        <f>IF(T54=" ",'Apr16'!AC54,T54+'Apr16'!AC54)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IF(T$49="Y",'Apr16'!H55,0)</f>
        <v>0</v>
      </c>
      <c r="I55" s="272">
        <f>IF(T$49="Y",'Apr16'!I55,0)</f>
        <v>0</v>
      </c>
      <c r="J55" s="272">
        <f>IF(T$49="Y",'Apr16'!J55,0)</f>
        <v>0</v>
      </c>
      <c r="K55" s="272">
        <f>IF(T$49="Y",'Apr16'!K55,I55*J55)</f>
        <v>0</v>
      </c>
      <c r="L55" s="273">
        <f>IF(T$49="Y",'Apr16'!L55,0)</f>
        <v>0</v>
      </c>
      <c r="M55" s="115" t="str">
        <f>IF(E55=" "," ",IF(T$49="Y",'Apr16'!M55,IF((H55+K55+L55)&gt;0,H55+K55+L55,"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IF(Employee!H$139=E$49,Employee!D$138+SUM(M55)+'Apr16'!V55,SUM(M55)+'Apr16'!V55)</f>
        <v>0</v>
      </c>
      <c r="W55" s="59">
        <f>IF(Employee!H$139=E$49,Employee!D$139+SUM(N55)+'Apr16'!W55,SUM(N55)+'Apr16'!W55)</f>
        <v>0</v>
      </c>
      <c r="X55" s="59">
        <f>IF(O55=" ",'Apr16'!X55,O55+'Apr16'!X55)</f>
        <v>0</v>
      </c>
      <c r="Y55" s="59">
        <f>IF(P55=" ",'Apr16'!Y55,P55+'Apr16'!Y55)</f>
        <v>0</v>
      </c>
      <c r="Z55" s="59">
        <f>IF(Q55=" ",'Apr16'!Z55,Q55+'Apr16'!Z55)</f>
        <v>0</v>
      </c>
      <c r="AA55" s="59">
        <f>IF(R55=" ",'Apr16'!AA55,R55+'Apr16'!AA55)</f>
        <v>0</v>
      </c>
      <c r="AB55" s="60"/>
      <c r="AC55" s="59">
        <f>IF(T55=" ",'Apr16'!AC55,T55+'Apr16'!AC55)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AD60+'Apr16'!AD65</f>
        <v>0</v>
      </c>
      <c r="AE65" s="177">
        <f>AE60+'Apr16'!AE65</f>
        <v>0</v>
      </c>
      <c r="AF65" s="177">
        <f>AF60+'Apr16'!AF65</f>
        <v>0</v>
      </c>
      <c r="AG65" s="177">
        <f>AG60+'Apr16'!AG65</f>
        <v>0</v>
      </c>
    </row>
    <row r="66" spans="6:33" ht="13.8" thickTop="1" x14ac:dyDescent="0.25"/>
    <row r="67" spans="6:33" x14ac:dyDescent="0.25">
      <c r="AD67" s="184"/>
      <c r="AE67" s="177">
        <f>AE62+'Apr16'!AE67</f>
        <v>0</v>
      </c>
      <c r="AF67" s="177">
        <f>AF62+'Apr16'!AF67</f>
        <v>0</v>
      </c>
      <c r="AG67" s="177">
        <f>AG62+'Apr16'!AG67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6" t="s">
        <v>4</v>
      </c>
      <c r="J1" s="457"/>
      <c r="K1" s="457"/>
      <c r="L1" s="458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'Apr16'!H3:H6</f>
        <v>Statutory Pay</v>
      </c>
      <c r="I3" s="389" t="str">
        <f>'Apr16'!I3:I6</f>
        <v>Basic hours</v>
      </c>
      <c r="J3" s="389" t="str">
        <f>'Apr16'!J3:J6</f>
        <v>Hourly rate</v>
      </c>
      <c r="K3" s="389" t="str">
        <f>'Apr16'!K3:K6</f>
        <v>Basic    wages</v>
      </c>
      <c r="L3" s="389" t="str">
        <f>'Apr16'!L3:L6</f>
        <v>Overtime Bonus Gratuities</v>
      </c>
      <c r="M3" s="452" t="str">
        <f>'Apr16'!M3:M6</f>
        <v>GROSS WAGES</v>
      </c>
      <c r="N3" s="389" t="str">
        <f>'Apr16'!N3:N6</f>
        <v>Income Tax</v>
      </c>
      <c r="O3" s="389" t="str">
        <f>'Apr16'!O3:O6</f>
        <v>Employees National Insurance</v>
      </c>
      <c r="P3" s="389" t="str">
        <f>'Apr16'!P3:P6</f>
        <v>Student Loans</v>
      </c>
      <c r="Q3" s="389" t="str">
        <f>'Apr16'!Q3:Q6</f>
        <v>Other Deductions</v>
      </c>
      <c r="R3" s="452" t="str">
        <f>'Apr16'!R3:R6</f>
        <v>NET      PAY</v>
      </c>
      <c r="S3" s="51"/>
      <c r="T3" s="389" t="str">
        <f>'Apr16'!T3:T6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9</v>
      </c>
      <c r="F9" s="61"/>
      <c r="G9" s="61"/>
      <c r="H9" s="384" t="s">
        <v>28</v>
      </c>
      <c r="I9" s="385"/>
      <c r="J9" s="383"/>
      <c r="K9" s="231">
        <f>'May16'!M39+1</f>
        <v>42520</v>
      </c>
      <c r="L9" s="230" t="s">
        <v>76</v>
      </c>
      <c r="M9" s="232">
        <f>K9+6</f>
        <v>42526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IF(T$9="Y",'May16'!H41,0)</f>
        <v>0</v>
      </c>
      <c r="I11" s="104">
        <f>IF(T$9="Y",'May16'!I41,0)</f>
        <v>0</v>
      </c>
      <c r="J11" s="104">
        <f>IF(T$9="Y",'May16'!J41,0)</f>
        <v>0</v>
      </c>
      <c r="K11" s="104">
        <f>IF(T$9="Y",'May16'!K41,I11*J11)</f>
        <v>0</v>
      </c>
      <c r="L11" s="139">
        <f>IF(T$9="Y",'May16'!L41,0)</f>
        <v>0</v>
      </c>
      <c r="M11" s="125" t="str">
        <f>IF(E11=" "," ",IF(T$9="Y",'May16'!M41,IF((H11+K11+L11)&gt;0,H11+K11+L11,"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IF(Employee!H$34=E$9,Employee!D$34+SUM(M11)+'May16'!V41,SUM(M11)+'May16'!V41)</f>
        <v>0</v>
      </c>
      <c r="W11" s="59">
        <f>IF(Employee!H$34=E$9,Employee!D$35+SUM(N11)+'May16'!W41,SUM(N11)+'May16'!W41)</f>
        <v>0</v>
      </c>
      <c r="X11" s="59">
        <f>IF(O11=" ",'May16'!X41,O11+'May16'!X41)</f>
        <v>0</v>
      </c>
      <c r="Y11" s="59">
        <f>IF(P11=" ",'May16'!Y41,P11+'May16'!Y41)</f>
        <v>0</v>
      </c>
      <c r="Z11" s="59">
        <f>IF(Q11=" ",'May16'!Z41,Q11+'May16'!Z41)</f>
        <v>0</v>
      </c>
      <c r="AA11" s="59">
        <f>IF(R11=" ",'May16'!AA41,R11+'May16'!AA41)</f>
        <v>0</v>
      </c>
      <c r="AB11" s="60"/>
      <c r="AC11" s="59">
        <f>IF(T11=" ",'May16'!AC41,T11+'May16'!AC41)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IF(T$9="Y",'May16'!H42,0)</f>
        <v>0</v>
      </c>
      <c r="I12" s="107">
        <f>IF(T$9="Y",'May16'!I42,0)</f>
        <v>0</v>
      </c>
      <c r="J12" s="107">
        <f>IF(T$9="Y",'May16'!J42,0)</f>
        <v>0</v>
      </c>
      <c r="K12" s="107">
        <f>IF(T$9="Y",'May16'!K42,I12*J12)</f>
        <v>0</v>
      </c>
      <c r="L12" s="140">
        <f>IF(T$9="Y",'May16'!L42,0)</f>
        <v>0</v>
      </c>
      <c r="M12" s="126" t="str">
        <f>IF(E12=" "," ",IF(T$9="Y",'May16'!M42,IF((H12+K12+L12)&gt;0,H12+K12+L12,"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IF(Employee!H$60=E$9,Employee!D$60+SUM(M12)+'May16'!V42,SUM(M12)+'May16'!V42)</f>
        <v>0</v>
      </c>
      <c r="W12" s="59">
        <f>IF(Employee!H$60=E$9,Employee!D$61+SUM(N12)+'May16'!W42,SUM(N12)+'May16'!W42)</f>
        <v>0</v>
      </c>
      <c r="X12" s="59">
        <f>IF(O12=" ",'May16'!X42,O12+'May16'!X42)</f>
        <v>0</v>
      </c>
      <c r="Y12" s="59">
        <f>IF(P12=" ",'May16'!Y42,P12+'May16'!Y42)</f>
        <v>0</v>
      </c>
      <c r="Z12" s="59">
        <f>IF(Q12=" ",'May16'!Z42,Q12+'May16'!Z42)</f>
        <v>0</v>
      </c>
      <c r="AA12" s="59">
        <f>IF(R12=" ",'May16'!AA42,R12+'May16'!AA42)</f>
        <v>0</v>
      </c>
      <c r="AB12" s="60"/>
      <c r="AC12" s="59">
        <f>IF(T12=" ",'May16'!AC42,T12+'May16'!AC42)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IF(T$9="Y",'May16'!H43,0)</f>
        <v>0</v>
      </c>
      <c r="I13" s="107">
        <f>IF(T$9="Y",'May16'!I43,0)</f>
        <v>0</v>
      </c>
      <c r="J13" s="107">
        <f>IF(T$9="Y",'May16'!J43,0)</f>
        <v>0</v>
      </c>
      <c r="K13" s="107">
        <f>IF(T$9="Y",'May16'!K43,I13*J13)</f>
        <v>0</v>
      </c>
      <c r="L13" s="140">
        <f>IF(T$9="Y",'May16'!L43,0)</f>
        <v>0</v>
      </c>
      <c r="M13" s="126" t="str">
        <f>IF(E13=" "," ",IF(T$9="Y",'May16'!M43,IF((H13+K13+L13)&gt;0,H13+K13+L13,"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IF(Employee!H$86=E$9,Employee!D$86+SUM(M13)+'May16'!V43,SUM(M13)+'May16'!V43)</f>
        <v>0</v>
      </c>
      <c r="W13" s="59">
        <f>IF(Employee!H$86=E$9,Employee!D$87+SUM(N13)+'May16'!W43,SUM(N13)+'May16'!W43)</f>
        <v>0</v>
      </c>
      <c r="X13" s="59">
        <f>IF(O13=" ",'May16'!X43,O13+'May16'!X43)</f>
        <v>0</v>
      </c>
      <c r="Y13" s="59">
        <f>IF(P13=" ",'May16'!Y43,P13+'May16'!Y43)</f>
        <v>0</v>
      </c>
      <c r="Z13" s="59">
        <f>IF(Q13=" ",'May16'!Z43,Q13+'May16'!Z43)</f>
        <v>0</v>
      </c>
      <c r="AA13" s="59">
        <f>IF(R13=" ",'May16'!AA43,R13+'May16'!AA43)</f>
        <v>0</v>
      </c>
      <c r="AB13" s="60"/>
      <c r="AC13" s="59">
        <f>IF(T13=" ",'May16'!AC43,T13+'May16'!AC43)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IF(T$9="Y",'May16'!H44,0)</f>
        <v>0</v>
      </c>
      <c r="I14" s="107">
        <f>IF(T$9="Y",'May16'!I44,0)</f>
        <v>0</v>
      </c>
      <c r="J14" s="107">
        <f>IF(T$9="Y",'May16'!J44,0)</f>
        <v>0</v>
      </c>
      <c r="K14" s="107">
        <f>IF(T$9="Y",'May16'!K44,I14*J14)</f>
        <v>0</v>
      </c>
      <c r="L14" s="140">
        <f>IF(T$9="Y",'May16'!L44,0)</f>
        <v>0</v>
      </c>
      <c r="M14" s="126" t="str">
        <f>IF(E14=" "," ",IF(T$9="Y",'May16'!M44,IF((H14+K14+L14)&gt;0,H14+K14+L14,"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IF(Employee!H$112=E$9,Employee!D$112+SUM(M14)+'May16'!V44,SUM(M14)+'May16'!V44)</f>
        <v>0</v>
      </c>
      <c r="W14" s="59">
        <f>IF(Employee!H$112=E$9,Employee!D$113+SUM(N14)+'May16'!W44,SUM(N14)+'May16'!W44)</f>
        <v>0</v>
      </c>
      <c r="X14" s="59">
        <f>IF(O14=" ",'May16'!X44,O14+'May16'!X44)</f>
        <v>0</v>
      </c>
      <c r="Y14" s="59">
        <f>IF(P14=" ",'May16'!Y44,P14+'May16'!Y44)</f>
        <v>0</v>
      </c>
      <c r="Z14" s="59">
        <f>IF(Q14=" ",'May16'!Z44,Q14+'May16'!Z44)</f>
        <v>0</v>
      </c>
      <c r="AA14" s="59">
        <f>IF(R14=" ",'May16'!AA44,R14+'May16'!AA44)</f>
        <v>0</v>
      </c>
      <c r="AB14" s="60"/>
      <c r="AC14" s="59">
        <f>IF(T14=" ",'May16'!AC44,T14+'May16'!AC44)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IF(T$9="Y",'May16'!H45,0)</f>
        <v>0</v>
      </c>
      <c r="I15" s="272">
        <f>IF(T$9="Y",'May16'!I45,0)</f>
        <v>0</v>
      </c>
      <c r="J15" s="272">
        <f>IF(T$9="Y",'May16'!J45,0)</f>
        <v>0</v>
      </c>
      <c r="K15" s="272">
        <f>IF(T$9="Y",'May16'!K45,I15*J15)</f>
        <v>0</v>
      </c>
      <c r="L15" s="273">
        <f>IF(T$9="Y",'May16'!L45,0)</f>
        <v>0</v>
      </c>
      <c r="M15" s="126" t="str">
        <f>IF(E15=" "," ",IF(T$9="Y",'May16'!M45,IF((H15+K15+L15)&gt;0,H15+K15+L15,"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IF(Employee!H$138=E$9,Employee!D$138+SUM(M15)+'May16'!V45,SUM(M15)+'May16'!V45)</f>
        <v>0</v>
      </c>
      <c r="W15" s="59">
        <f>IF(Employee!H$138=E$9,Employee!D$139+SUM(N15)+'May16'!W45,SUM(N15)+'May16'!W45)</f>
        <v>0</v>
      </c>
      <c r="X15" s="59">
        <f>IF(O15=" ",'May16'!X45,O15+'May16'!X45)</f>
        <v>0</v>
      </c>
      <c r="Y15" s="59">
        <f>IF(P15=" ",'May16'!Y45,P15+'May16'!Y45)</f>
        <v>0</v>
      </c>
      <c r="Z15" s="59">
        <f>IF(Q15=" ",'May16'!Z45,Q15+'May16'!Z45)</f>
        <v>0</v>
      </c>
      <c r="AA15" s="59">
        <f>IF(R15=" ",'May16'!AA45,R15+'May16'!AA45)</f>
        <v>0</v>
      </c>
      <c r="AB15" s="60"/>
      <c r="AC15" s="59">
        <f>IF(T15=" ",'May16'!AC45,T15+'May16'!AC45)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10</v>
      </c>
      <c r="F19" s="61"/>
      <c r="G19" s="61"/>
      <c r="H19" s="384" t="s">
        <v>28</v>
      </c>
      <c r="I19" s="385"/>
      <c r="J19" s="383"/>
      <c r="K19" s="231">
        <f>M9+1</f>
        <v>42527</v>
      </c>
      <c r="L19" s="230" t="s">
        <v>76</v>
      </c>
      <c r="M19" s="232">
        <f>K19+6</f>
        <v>42533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11</v>
      </c>
      <c r="F29" s="61"/>
      <c r="G29" s="61"/>
      <c r="H29" s="384" t="s">
        <v>28</v>
      </c>
      <c r="I29" s="385"/>
      <c r="J29" s="383"/>
      <c r="K29" s="231">
        <f>M19+1</f>
        <v>42534</v>
      </c>
      <c r="L29" s="230" t="s">
        <v>76</v>
      </c>
      <c r="M29" s="232">
        <f>K29+6</f>
        <v>42540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12</v>
      </c>
      <c r="F39" s="61"/>
      <c r="G39" s="61"/>
      <c r="H39" s="384" t="s">
        <v>28</v>
      </c>
      <c r="I39" s="466"/>
      <c r="J39" s="467"/>
      <c r="K39" s="231">
        <f>M29+1</f>
        <v>42541</v>
      </c>
      <c r="L39" s="230" t="s">
        <v>76</v>
      </c>
      <c r="M39" s="232">
        <f>K39+6</f>
        <v>42547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13</v>
      </c>
      <c r="F49" s="61"/>
      <c r="G49" s="61"/>
      <c r="H49" s="384" t="s">
        <v>28</v>
      </c>
      <c r="I49" s="466"/>
      <c r="J49" s="467"/>
      <c r="K49" s="231">
        <f>M39+1</f>
        <v>42548</v>
      </c>
      <c r="L49" s="230" t="s">
        <v>76</v>
      </c>
      <c r="M49" s="232">
        <f>K49+6</f>
        <v>42554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90"/>
      <c r="AE57" s="90"/>
      <c r="AF57" s="90"/>
      <c r="AG57" s="90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3</v>
      </c>
      <c r="F59" s="61"/>
      <c r="G59" s="61"/>
      <c r="H59" s="384" t="s">
        <v>28</v>
      </c>
      <c r="I59" s="385"/>
      <c r="J59" s="383"/>
      <c r="K59" s="231">
        <f>Admin!B63</f>
        <v>42527</v>
      </c>
      <c r="L59" s="230" t="s">
        <v>76</v>
      </c>
      <c r="M59" s="232">
        <f>Admin!B92</f>
        <v>42556</v>
      </c>
      <c r="N59" s="27"/>
      <c r="O59" s="425" t="s">
        <v>64</v>
      </c>
      <c r="P59" s="426"/>
      <c r="Q59" s="426"/>
      <c r="R59" s="427"/>
      <c r="S59" s="44"/>
      <c r="T59" s="149"/>
      <c r="U59" s="46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IF(T$59="Y",'May16'!H51,0)</f>
        <v>0</v>
      </c>
      <c r="I61" s="104">
        <f>IF(T$59="Y",'May16'!I51,0)</f>
        <v>0</v>
      </c>
      <c r="J61" s="104">
        <f>IF(T$59="Y",'May16'!J51,0)</f>
        <v>0</v>
      </c>
      <c r="K61" s="104">
        <f>IF(T$59="Y",'May16'!K51,I61*J61)</f>
        <v>0</v>
      </c>
      <c r="L61" s="139">
        <f>IF(T$59="Y",'May16'!L51,0)</f>
        <v>0</v>
      </c>
      <c r="M61" s="114" t="str">
        <f>IF(E61=" "," ",IF(T$59="Y",'May16'!M51,IF((H61+K61+L61)&gt;0,H61+K61+L61,"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IF(Employee!H$35=E$59,Employee!D$34+SUM(M61)+'May16'!V51,SUM(M61)+'May16'!V51)</f>
        <v>0</v>
      </c>
      <c r="W61" s="59">
        <f>IF(Employee!H$35=E$59,Employee!D$35+SUM(N61)+'May16'!W51,SUM(N61)+'May16'!W51)</f>
        <v>0</v>
      </c>
      <c r="X61" s="59">
        <f>IF(O61=" ",'May16'!X51,O61+'May16'!X51)</f>
        <v>0</v>
      </c>
      <c r="Y61" s="59">
        <f>IF(P61=" ",'May16'!Y51,P61+'May16'!Y51)</f>
        <v>0</v>
      </c>
      <c r="Z61" s="59">
        <f>IF(Q61=" ",'May16'!Z51,Q61+'May16'!Z51)</f>
        <v>0</v>
      </c>
      <c r="AA61" s="59">
        <f>IF(R61=" ",'May16'!AA51,R61+'May16'!AA51)</f>
        <v>0</v>
      </c>
      <c r="AB61" s="60"/>
      <c r="AC61" s="59">
        <f>IF(T61=" ",'May16'!AC51,T61+'May16'!AC51)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IF(T$59="Y",'May16'!H52,0)</f>
        <v>0</v>
      </c>
      <c r="I62" s="107">
        <f>IF(T$59="Y",'May16'!I52,0)</f>
        <v>0</v>
      </c>
      <c r="J62" s="107">
        <f>IF(T$59="Y",'May16'!J52,0)</f>
        <v>0</v>
      </c>
      <c r="K62" s="107">
        <f>IF(T$59="Y",'May16'!K52,I62*J62)</f>
        <v>0</v>
      </c>
      <c r="L62" s="140">
        <f>IF(T$59="Y",'May16'!L52,0)</f>
        <v>0</v>
      </c>
      <c r="M62" s="115" t="str">
        <f>IF(E62=" "," ",IF(T$59="Y",'May16'!M52,IF((H62+K62+L62)&gt;0,H62+K62+L62,"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IF(Employee!H$61=E$59,Employee!D$60+SUM(M62)+'May16'!V52,SUM(M62)+'May16'!V52)</f>
        <v>0</v>
      </c>
      <c r="W62" s="59">
        <f>IF(Employee!H$61=E$59,Employee!D$61+SUM(N62)+'May16'!W52,SUM(N62)+'May16'!W52)</f>
        <v>0</v>
      </c>
      <c r="X62" s="59">
        <f>IF(O62=" ",'May16'!X52,O62+'May16'!X52)</f>
        <v>0</v>
      </c>
      <c r="Y62" s="59">
        <f>IF(P62=" ",'May16'!Y52,P62+'May16'!Y52)</f>
        <v>0</v>
      </c>
      <c r="Z62" s="59">
        <f>IF(Q62=" ",'May16'!Z52,Q62+'May16'!Z52)</f>
        <v>0</v>
      </c>
      <c r="AA62" s="59">
        <f>IF(R62=" ",'May16'!AA52,R62+'May16'!AA52)</f>
        <v>0</v>
      </c>
      <c r="AB62" s="60"/>
      <c r="AC62" s="59">
        <f>IF(T62=" ",'May16'!AC52,T62+'May16'!AC52)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IF(T$59="Y",'May16'!H53,0)</f>
        <v>0</v>
      </c>
      <c r="I63" s="107">
        <f>IF(T$59="Y",'May16'!I53,0)</f>
        <v>0</v>
      </c>
      <c r="J63" s="107">
        <f>IF(T$59="Y",'May16'!J53,0)</f>
        <v>0</v>
      </c>
      <c r="K63" s="107">
        <f>IF(T$59="Y",'May16'!K53,I63*J63)</f>
        <v>0</v>
      </c>
      <c r="L63" s="140">
        <f>IF(T$59="Y",'May16'!L53,0)</f>
        <v>0</v>
      </c>
      <c r="M63" s="115" t="str">
        <f>IF(E63=" "," ",IF(T$59="Y",'May16'!M53,IF((H63+K63+L63)&gt;0,H63+K63+L63,"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IF(Employee!H$87=E$59,Employee!D$86+SUM(M63)+'May16'!V53,SUM(M63)+'May16'!V53)</f>
        <v>0</v>
      </c>
      <c r="W63" s="59">
        <f>IF(Employee!H$87=E$59,Employee!D$87+SUM(N63)+'May16'!W53,SUM(N63)+'May16'!W53)</f>
        <v>0</v>
      </c>
      <c r="X63" s="59">
        <f>IF(O63=" ",'May16'!X53,O63+'May16'!X53)</f>
        <v>0</v>
      </c>
      <c r="Y63" s="59">
        <f>IF(P63=" ",'May16'!Y53,P63+'May16'!Y53)</f>
        <v>0</v>
      </c>
      <c r="Z63" s="59">
        <f>IF(Q63=" ",'May16'!Z53,Q63+'May16'!Z53)</f>
        <v>0</v>
      </c>
      <c r="AA63" s="59">
        <f>IF(R63=" ",'May16'!AA53,R63+'May16'!AA53)</f>
        <v>0</v>
      </c>
      <c r="AB63" s="60"/>
      <c r="AC63" s="59">
        <f>IF(T63=" ",'May16'!AC53,T63+'May16'!AC53)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IF(T$59="Y",'May16'!H54,0)</f>
        <v>0</v>
      </c>
      <c r="I64" s="107">
        <f>IF(T$59="Y",'May16'!I54,0)</f>
        <v>0</v>
      </c>
      <c r="J64" s="107">
        <f>IF(T$59="Y",'May16'!J54,0)</f>
        <v>0</v>
      </c>
      <c r="K64" s="107">
        <f>IF(T$59="Y",'May16'!K54,I64*J64)</f>
        <v>0</v>
      </c>
      <c r="L64" s="140">
        <f>IF(T$59="Y",'May16'!L54,0)</f>
        <v>0</v>
      </c>
      <c r="M64" s="115" t="str">
        <f>IF(E64=" "," ",IF(T$59="Y",'May16'!M54,IF((H64+K64+L64)&gt;0,H64+K64+L64,"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IF(Employee!H$113=E$59,Employee!D$112+SUM(M64)+'May16'!V54,SUM(M64)+'May16'!V54)</f>
        <v>0</v>
      </c>
      <c r="W64" s="59">
        <f>IF(Employee!H$113=E$59,Employee!D$113+SUM(N64)+'May16'!W54,SUM(N64)+'May16'!W54)</f>
        <v>0</v>
      </c>
      <c r="X64" s="59">
        <f>IF(O64=" ",'May16'!X54,O64+'May16'!X54)</f>
        <v>0</v>
      </c>
      <c r="Y64" s="59">
        <f>IF(P64=" ",'May16'!Y54,P64+'May16'!Y54)</f>
        <v>0</v>
      </c>
      <c r="Z64" s="59">
        <f>IF(Q64=" ",'May16'!Z54,Q64+'May16'!Z54)</f>
        <v>0</v>
      </c>
      <c r="AA64" s="59">
        <f>IF(R64=" ",'May16'!AA54,R64+'May16'!AA54)</f>
        <v>0</v>
      </c>
      <c r="AB64" s="60"/>
      <c r="AC64" s="59">
        <f>IF(T64=" ",'May16'!AC54,T64+'May16'!AC54)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IF(T$59="Y",'May16'!H55,0)</f>
        <v>0</v>
      </c>
      <c r="I65" s="272">
        <f>IF(T$59="Y",'May16'!I55,0)</f>
        <v>0</v>
      </c>
      <c r="J65" s="272">
        <f>IF(T$59="Y",'May16'!J55,0)</f>
        <v>0</v>
      </c>
      <c r="K65" s="272">
        <f>IF(T$59="Y",'May16'!K55,I65*J65)</f>
        <v>0</v>
      </c>
      <c r="L65" s="273">
        <f>IF(T$59="Y",'May16'!L55,0)</f>
        <v>0</v>
      </c>
      <c r="M65" s="115" t="str">
        <f>IF(E65=" "," ",IF(T$59="Y",'May16'!M55,IF((H65+K65+L65)&gt;0,H65+K65+L65,"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IF(Employee!H$139=E$59,Employee!D$138+SUM(M65)+'May16'!V55,SUM(M65)+'May16'!V55)</f>
        <v>0</v>
      </c>
      <c r="W65" s="59">
        <f>IF(Employee!H$139=E$59,Employee!D$139+SUM(N65)+'May16'!W55,SUM(N65)+'May16'!W55)</f>
        <v>0</v>
      </c>
      <c r="X65" s="59">
        <f>IF(O65=" ",'May16'!X55,O65+'May16'!X55)</f>
        <v>0</v>
      </c>
      <c r="Y65" s="59">
        <f>IF(P65=" ",'May16'!Y55,P65+'May16'!Y55)</f>
        <v>0</v>
      </c>
      <c r="Z65" s="59">
        <f>IF(Q65=" ",'May16'!Z55,Q65+'May16'!Z55)</f>
        <v>0</v>
      </c>
      <c r="AA65" s="59">
        <f>IF(R65=" ",'May16'!AA55,R65+'May16'!AA55)</f>
        <v>0</v>
      </c>
      <c r="AB65" s="60"/>
      <c r="AC65" s="59">
        <f>IF(T65=" ",'May16'!AC55,T65+'May16'!AC55)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AD70+'May16'!AD65</f>
        <v>0</v>
      </c>
      <c r="AE75" s="177">
        <f>AE70+'May16'!AE65</f>
        <v>0</v>
      </c>
      <c r="AF75" s="177">
        <f>AF70+'May16'!AF65</f>
        <v>0</v>
      </c>
      <c r="AG75" s="177">
        <f>AG70+'May16'!AG65</f>
        <v>0</v>
      </c>
    </row>
    <row r="76" spans="1:34" ht="13.8" thickTop="1" x14ac:dyDescent="0.25"/>
    <row r="77" spans="1:34" x14ac:dyDescent="0.25">
      <c r="AD77" s="184"/>
      <c r="AE77" s="177">
        <f>AE72+'May16'!AE67</f>
        <v>0</v>
      </c>
      <c r="AF77" s="177">
        <f>AF72+'May16'!AF67</f>
        <v>0</v>
      </c>
      <c r="AG77" s="177">
        <f>AG72+'May16'!AG67</f>
        <v>0</v>
      </c>
    </row>
  </sheetData>
  <mergeCells count="87"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B9:D9"/>
    <mergeCell ref="H9:J9"/>
    <mergeCell ref="O9:R9"/>
    <mergeCell ref="F16:G16"/>
    <mergeCell ref="B17:T17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'Apr16'!H3:H6</f>
        <v>Statutory Pay</v>
      </c>
      <c r="I3" s="389" t="str">
        <f>'Apr16'!I3:I6</f>
        <v>Basic hours</v>
      </c>
      <c r="J3" s="389" t="str">
        <f>'Apr16'!J3:J6</f>
        <v>Hourly rate</v>
      </c>
      <c r="K3" s="389" t="str">
        <f>'Apr16'!K3:K6</f>
        <v>Basic    wages</v>
      </c>
      <c r="L3" s="389" t="str">
        <f>'Apr16'!L3:L6</f>
        <v>Overtime Bonus Gratuities</v>
      </c>
      <c r="M3" s="452" t="str">
        <f>'Apr16'!M3:M6</f>
        <v>GROSS WAGES</v>
      </c>
      <c r="N3" s="389" t="str">
        <f>'Apr16'!N3:N6</f>
        <v>Income Tax</v>
      </c>
      <c r="O3" s="389" t="str">
        <f>'Apr16'!O3:O6</f>
        <v>Employees National Insurance</v>
      </c>
      <c r="P3" s="389" t="str">
        <f>'Apr16'!P3:P6</f>
        <v>Student Loans</v>
      </c>
      <c r="Q3" s="389" t="str">
        <f>'Apr16'!Q3:Q6</f>
        <v>Other Deductions</v>
      </c>
      <c r="R3" s="452" t="str">
        <f>'Apr16'!R3:R6</f>
        <v>NET      PAY</v>
      </c>
      <c r="S3" s="51"/>
      <c r="T3" s="389" t="str">
        <f>'Apr16'!T3:T6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14</v>
      </c>
      <c r="F9" s="61"/>
      <c r="G9" s="61"/>
      <c r="H9" s="384" t="s">
        <v>28</v>
      </c>
      <c r="I9" s="385"/>
      <c r="J9" s="383"/>
      <c r="K9" s="231">
        <f>'Jun16'!M49+1</f>
        <v>42555</v>
      </c>
      <c r="L9" s="230" t="s">
        <v>76</v>
      </c>
      <c r="M9" s="232">
        <f>K9+6</f>
        <v>42561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IF(T$9="Y",'Jun16'!H51,0)</f>
        <v>0</v>
      </c>
      <c r="I11" s="104">
        <f>IF(T$9="Y",'Jun16'!I51,0)</f>
        <v>0</v>
      </c>
      <c r="J11" s="104">
        <f>IF(T$9="Y",'Jun16'!J51,0)</f>
        <v>0</v>
      </c>
      <c r="K11" s="104">
        <f>IF(T$9="Y",'Jun16'!K51,I11*J11)</f>
        <v>0</v>
      </c>
      <c r="L11" s="139">
        <f>IF(T$9="Y",'Jun16'!L51,0)</f>
        <v>0</v>
      </c>
      <c r="M11" s="125" t="str">
        <f>IF(E11=" "," ",IF(T$9="Y",'Jun16'!M51,IF((H11+K11+L11)&gt;0,H11+K11+L11,"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IF(Employee!H$34=E$9,Employee!D$34+SUM(M11)+'Jun16'!V51,SUM(M11)+'Jun16'!V51)</f>
        <v>0</v>
      </c>
      <c r="W11" s="59">
        <f>IF(Employee!H$34=E$9,Employee!D$35+SUM(N11)+'Jun16'!W51,SUM(N11)+'Jun16'!W51)</f>
        <v>0</v>
      </c>
      <c r="X11" s="59">
        <f>IF(O11=" ",'Jun16'!X51,O11+'Jun16'!X51)</f>
        <v>0</v>
      </c>
      <c r="Y11" s="59">
        <f>IF(P11=" ",'Jun16'!Y51,P11+'Jun16'!Y51)</f>
        <v>0</v>
      </c>
      <c r="Z11" s="59">
        <f>IF(Q11=" ",'Jun16'!Z51,Q11+'Jun16'!Z51)</f>
        <v>0</v>
      </c>
      <c r="AA11" s="59">
        <f>IF(R11=" ",'Jun16'!AA51,R11+'Jun16'!AA51)</f>
        <v>0</v>
      </c>
      <c r="AB11" s="60"/>
      <c r="AC11" s="59">
        <f>IF(T11=" ",'Jun16'!AC51,T11+'Jun16'!AC51)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IF(T$9="Y",'Jun16'!H52,0)</f>
        <v>0</v>
      </c>
      <c r="I12" s="107">
        <f>IF(T$9="Y",'Jun16'!I52,0)</f>
        <v>0</v>
      </c>
      <c r="J12" s="107">
        <f>IF(T$9="Y",'Jun16'!J52,0)</f>
        <v>0</v>
      </c>
      <c r="K12" s="107">
        <f>IF(T$9="Y",'Jun16'!K52,I12*J12)</f>
        <v>0</v>
      </c>
      <c r="L12" s="140">
        <f>IF(T$9="Y",'Jun16'!L52,0)</f>
        <v>0</v>
      </c>
      <c r="M12" s="126" t="str">
        <f>IF(E12=" "," ",IF(T$9="Y",'Jun16'!M52,IF((H12+K12+L12)&gt;0,H12+K12+L12,"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IF(Employee!H$60=E$9,Employee!D$60+SUM(M12)+'Jun16'!V52,SUM(M12)+'Jun16'!V52)</f>
        <v>0</v>
      </c>
      <c r="W12" s="59">
        <f>IF(Employee!H$60=E$9,Employee!D$61+SUM(N12)+'Jun16'!W52,SUM(N12)+'Jun16'!W52)</f>
        <v>0</v>
      </c>
      <c r="X12" s="59">
        <f>IF(O12=" ",'Jun16'!X52,O12+'Jun16'!X52)</f>
        <v>0</v>
      </c>
      <c r="Y12" s="59">
        <f>IF(P12=" ",'Jun16'!Y52,P12+'Jun16'!Y52)</f>
        <v>0</v>
      </c>
      <c r="Z12" s="59">
        <f>IF(Q12=" ",'Jun16'!Z52,Q12+'Jun16'!Z52)</f>
        <v>0</v>
      </c>
      <c r="AA12" s="59">
        <f>IF(R12=" ",'Jun16'!AA52,R12+'Jun16'!AA52)</f>
        <v>0</v>
      </c>
      <c r="AB12" s="60"/>
      <c r="AC12" s="59">
        <f>IF(T12=" ",'Jun16'!AC52,T12+'Jun16'!AC52)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IF(T$9="Y",'Jun16'!H53,0)</f>
        <v>0</v>
      </c>
      <c r="I13" s="107">
        <f>IF(T$9="Y",'Jun16'!I53,0)</f>
        <v>0</v>
      </c>
      <c r="J13" s="107">
        <f>IF(T$9="Y",'Jun16'!J53,0)</f>
        <v>0</v>
      </c>
      <c r="K13" s="107">
        <f>IF(T$9="Y",'Jun16'!K53,I13*J13)</f>
        <v>0</v>
      </c>
      <c r="L13" s="140">
        <f>IF(T$9="Y",'Jun16'!L53,0)</f>
        <v>0</v>
      </c>
      <c r="M13" s="126" t="str">
        <f>IF(E13=" "," ",IF(T$9="Y",'Jun16'!M53,IF((H13+K13+L13)&gt;0,H13+K13+L13,"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IF(Employee!H$86=E$9,Employee!D$86+SUM(M13)+'Jun16'!V53,SUM(M13)+'Jun16'!V53)</f>
        <v>0</v>
      </c>
      <c r="W13" s="59">
        <f>IF(Employee!H$86=E$9,Employee!D$87+SUM(N13)+'Jun16'!W53,SUM(N13)+'Jun16'!W53)</f>
        <v>0</v>
      </c>
      <c r="X13" s="59">
        <f>IF(O13=" ",'Jun16'!X53,O13+'Jun16'!X53)</f>
        <v>0</v>
      </c>
      <c r="Y13" s="59">
        <f>IF(P13=" ",'Jun16'!Y53,P13+'Jun16'!Y53)</f>
        <v>0</v>
      </c>
      <c r="Z13" s="59">
        <f>IF(Q13=" ",'Jun16'!Z53,Q13+'Jun16'!Z53)</f>
        <v>0</v>
      </c>
      <c r="AA13" s="59">
        <f>IF(R13=" ",'Jun16'!AA53,R13+'Jun16'!AA53)</f>
        <v>0</v>
      </c>
      <c r="AB13" s="60"/>
      <c r="AC13" s="59">
        <f>IF(T13=" ",'Jun16'!AC53,T13+'Jun16'!AC53)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IF(T$9="Y",'Jun16'!H54,0)</f>
        <v>0</v>
      </c>
      <c r="I14" s="107">
        <f>IF(T$9="Y",'Jun16'!I54,0)</f>
        <v>0</v>
      </c>
      <c r="J14" s="107">
        <f>IF(T$9="Y",'Jun16'!J54,0)</f>
        <v>0</v>
      </c>
      <c r="K14" s="107">
        <f>IF(T$9="Y",'Jun16'!K54,I14*J14)</f>
        <v>0</v>
      </c>
      <c r="L14" s="140">
        <f>IF(T$9="Y",'Jun16'!L54,0)</f>
        <v>0</v>
      </c>
      <c r="M14" s="126" t="str">
        <f>IF(E14=" "," ",IF(T$9="Y",'Jun16'!M54,IF((H14+K14+L14)&gt;0,H14+K14+L14,"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IF(Employee!H$112=E$9,Employee!D$112+SUM(M14)+'Jun16'!V54,SUM(M14)+'Jun16'!V54)</f>
        <v>0</v>
      </c>
      <c r="W14" s="59">
        <f>IF(Employee!H$112=E$9,Employee!D$113+SUM(N14)+'Jun16'!W54,SUM(N14)+'Jun16'!W54)</f>
        <v>0</v>
      </c>
      <c r="X14" s="59">
        <f>IF(O14=" ",'Jun16'!X54,O14+'Jun16'!X54)</f>
        <v>0</v>
      </c>
      <c r="Y14" s="59">
        <f>IF(P14=" ",'Jun16'!Y54,P14+'Jun16'!Y54)</f>
        <v>0</v>
      </c>
      <c r="Z14" s="59">
        <f>IF(Q14=" ",'Jun16'!Z54,Q14+'Jun16'!Z54)</f>
        <v>0</v>
      </c>
      <c r="AA14" s="59">
        <f>IF(R14=" ",'Jun16'!AA54,R14+'Jun16'!AA54)</f>
        <v>0</v>
      </c>
      <c r="AB14" s="60"/>
      <c r="AC14" s="59">
        <f>IF(T14=" ",'Jun16'!AC54,T14+'Jun16'!AC54)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IF(T$9="Y",'Jun16'!H55,0)</f>
        <v>0</v>
      </c>
      <c r="I15" s="272">
        <f>IF(T$9="Y",'Jun16'!I55,0)</f>
        <v>0</v>
      </c>
      <c r="J15" s="272">
        <f>IF(T$9="Y",'Jun16'!J55,0)</f>
        <v>0</v>
      </c>
      <c r="K15" s="272">
        <f>IF(T$9="Y",'Jun16'!K55,I15*J15)</f>
        <v>0</v>
      </c>
      <c r="L15" s="273">
        <f>IF(T$9="Y",'Jun16'!L55,0)</f>
        <v>0</v>
      </c>
      <c r="M15" s="126" t="str">
        <f>IF(E15=" "," ",IF(T$9="Y",'Jun16'!M55,IF((H15+K15+L15)&gt;0,H15+K15+L15,"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IF(Employee!H$138=E$9,Employee!D$138+SUM(M15)+'Jun16'!V55,SUM(M15)+'Jun16'!V55)</f>
        <v>0</v>
      </c>
      <c r="W15" s="59">
        <f>IF(Employee!H$138=E$9,Employee!D$139+SUM(N15)+'Jun16'!W55,SUM(N15)+'Jun16'!W55)</f>
        <v>0</v>
      </c>
      <c r="X15" s="59">
        <f>IF(O15=" ",'Jun16'!X55,O15+'Jun16'!X55)</f>
        <v>0</v>
      </c>
      <c r="Y15" s="59">
        <f>IF(P15=" ",'Jun16'!Y55,P15+'Jun16'!Y55)</f>
        <v>0</v>
      </c>
      <c r="Z15" s="59">
        <f>IF(Q15=" ",'Jun16'!Z55,Q15+'Jun16'!Z55)</f>
        <v>0</v>
      </c>
      <c r="AA15" s="59">
        <f>IF(R15=" ",'Jun16'!AA55,R15+'Jun16'!AA55)</f>
        <v>0</v>
      </c>
      <c r="AB15" s="60"/>
      <c r="AC15" s="59">
        <f>IF(T15=" ",'Jun16'!AC55,T15+'Jun16'!AC55)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15</v>
      </c>
      <c r="F19" s="61"/>
      <c r="G19" s="61"/>
      <c r="H19" s="384" t="s">
        <v>28</v>
      </c>
      <c r="I19" s="385"/>
      <c r="J19" s="383"/>
      <c r="K19" s="231">
        <f>M9+1</f>
        <v>42562</v>
      </c>
      <c r="L19" s="230" t="s">
        <v>76</v>
      </c>
      <c r="M19" s="232">
        <f>K19+6</f>
        <v>42568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16</v>
      </c>
      <c r="F29" s="61"/>
      <c r="G29" s="61"/>
      <c r="H29" s="384" t="s">
        <v>28</v>
      </c>
      <c r="I29" s="385"/>
      <c r="J29" s="383"/>
      <c r="K29" s="231">
        <f>M19+1</f>
        <v>42569</v>
      </c>
      <c r="L29" s="230" t="s">
        <v>76</v>
      </c>
      <c r="M29" s="232">
        <f>K29+6</f>
        <v>42575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106" t="str">
        <f>IF(M31=" "," ",IF(M31=0," ",#REF!))</f>
        <v xml:space="preserve"> 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4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5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276"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17</v>
      </c>
      <c r="F39" s="61"/>
      <c r="G39" s="61"/>
      <c r="H39" s="384" t="s">
        <v>28</v>
      </c>
      <c r="I39" s="466"/>
      <c r="J39" s="467"/>
      <c r="K39" s="231">
        <f>M29+1</f>
        <v>42576</v>
      </c>
      <c r="L39" s="230" t="s">
        <v>76</v>
      </c>
      <c r="M39" s="232">
        <f>K39+6</f>
        <v>42582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4</v>
      </c>
      <c r="F49" s="61"/>
      <c r="G49" s="61"/>
      <c r="H49" s="384" t="s">
        <v>28</v>
      </c>
      <c r="I49" s="385"/>
      <c r="J49" s="383"/>
      <c r="K49" s="231">
        <f>Admin!B93</f>
        <v>42557</v>
      </c>
      <c r="L49" s="230" t="s">
        <v>76</v>
      </c>
      <c r="M49" s="232">
        <f>Admin!B123</f>
        <v>42587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IF(T$49="Y",'Jun16'!H61,0)</f>
        <v>0</v>
      </c>
      <c r="I51" s="104">
        <f>IF(T$49="Y",'Jun16'!I61,0)</f>
        <v>0</v>
      </c>
      <c r="J51" s="104">
        <f>IF(T$49="Y",'Jun16'!J61,0)</f>
        <v>0</v>
      </c>
      <c r="K51" s="104">
        <f>IF(T$49="Y",'Jun16'!K61,I51*J51)</f>
        <v>0</v>
      </c>
      <c r="L51" s="139">
        <f>IF(T$49="Y",'Jun16'!L61,0)</f>
        <v>0</v>
      </c>
      <c r="M51" s="114" t="str">
        <f>IF(E51=" "," ",IF(T$49="Y",'Jun16'!M61,IF((H51+K51+L51)&gt;0,H51+K51+L51,"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IF(Employee!H$35=E$49,Employee!D$34+SUM(M51)+'Jun16'!V61,SUM(M51)+'Jun16'!V61)</f>
        <v>0</v>
      </c>
      <c r="W51" s="59">
        <f>IF(Employee!H$35=E$49,Employee!D$35+SUM(N51)+'Jun16'!W61,SUM(N51)+'Jun16'!W61)</f>
        <v>0</v>
      </c>
      <c r="X51" s="59">
        <f>IF(O51=" ",'Jun16'!X61,O51+'Jun16'!X61)</f>
        <v>0</v>
      </c>
      <c r="Y51" s="59">
        <f>IF(P51=" ",'Jun16'!Y61,P51+'Jun16'!Y61)</f>
        <v>0</v>
      </c>
      <c r="Z51" s="59">
        <f>IF(Q51=" ",'Jun16'!Z61,Q51+'Jun16'!Z61)</f>
        <v>0</v>
      </c>
      <c r="AA51" s="59">
        <f>IF(R51=" ",'Jun16'!AA61,R51+'Jun16'!AA61)</f>
        <v>0</v>
      </c>
      <c r="AB51" s="60"/>
      <c r="AC51" s="59">
        <f>IF(T51=" ",'Jun16'!AC61,T51+'Jun16'!AC61)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IF(T$49="Y",'Jun16'!H62,0)</f>
        <v>0</v>
      </c>
      <c r="I52" s="107">
        <f>IF(T$49="Y",'Jun16'!I62,0)</f>
        <v>0</v>
      </c>
      <c r="J52" s="107">
        <f>IF(T$49="Y",'Jun16'!J62,0)</f>
        <v>0</v>
      </c>
      <c r="K52" s="107">
        <f>IF(T$49="Y",'Jun16'!K62,I52*J52)</f>
        <v>0</v>
      </c>
      <c r="L52" s="140">
        <f>IF(T$49="Y",'Jun16'!L62,0)</f>
        <v>0</v>
      </c>
      <c r="M52" s="115" t="str">
        <f>IF(E52=" "," ",IF(T$49="Y",'Jun16'!M62,IF((H52+K52+L52)&gt;0,H52+K52+L52,"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IF(Employee!H$61=E$49,Employee!D$60+SUM(M52)+'Jun16'!V62,SUM(M52)+'Jun16'!V62)</f>
        <v>0</v>
      </c>
      <c r="W52" s="59">
        <f>IF(Employee!H$61=E$49,Employee!D$61+SUM(N52)+'Jun16'!W62,SUM(N52)+'Jun16'!W62)</f>
        <v>0</v>
      </c>
      <c r="X52" s="59">
        <f>IF(O52=" ",'Jun16'!X62,O52+'Jun16'!X62)</f>
        <v>0</v>
      </c>
      <c r="Y52" s="59">
        <f>IF(P52=" ",'Jun16'!Y62,P52+'Jun16'!Y62)</f>
        <v>0</v>
      </c>
      <c r="Z52" s="59">
        <f>IF(Q52=" ",'Jun16'!Z62,Q52+'Jun16'!Z62)</f>
        <v>0</v>
      </c>
      <c r="AA52" s="59">
        <f>IF(R52=" ",'Jun16'!AA62,R52+'Jun16'!AA62)</f>
        <v>0</v>
      </c>
      <c r="AB52" s="60"/>
      <c r="AC52" s="59">
        <f>IF(T52=" ",'Jun16'!AC62,T52+'Jun16'!AC62)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IF(T$49="Y",'Jun16'!H63,0)</f>
        <v>0</v>
      </c>
      <c r="I53" s="107">
        <f>IF(T$49="Y",'Jun16'!I63,0)</f>
        <v>0</v>
      </c>
      <c r="J53" s="107">
        <f>IF(T$49="Y",'Jun16'!J63,0)</f>
        <v>0</v>
      </c>
      <c r="K53" s="107">
        <f>IF(T$49="Y",'Jun16'!K63,I53*J53)</f>
        <v>0</v>
      </c>
      <c r="L53" s="140">
        <f>IF(T$49="Y",'Jun16'!L63,0)</f>
        <v>0</v>
      </c>
      <c r="M53" s="115" t="str">
        <f>IF(E53=" "," ",IF(T$49="Y",'Jun16'!M63,IF((H53+K53+L53)&gt;0,H53+K53+L53,"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IF(Employee!H$87=E$49,Employee!D$86+SUM(M53)+'Jun16'!V63,SUM(M53)+'Jun16'!V63)</f>
        <v>0</v>
      </c>
      <c r="W53" s="59">
        <f>IF(Employee!H$87=E$49,Employee!D$87+SUM(N53)+'Jun16'!W63,SUM(N53)+'Jun16'!W63)</f>
        <v>0</v>
      </c>
      <c r="X53" s="59">
        <f>IF(O53=" ",'Jun16'!X63,O53+'Jun16'!X63)</f>
        <v>0</v>
      </c>
      <c r="Y53" s="59">
        <f>IF(P53=" ",'Jun16'!Y63,P53+'Jun16'!Y63)</f>
        <v>0</v>
      </c>
      <c r="Z53" s="59">
        <f>IF(Q53=" ",'Jun16'!Z63,Q53+'Jun16'!Z63)</f>
        <v>0</v>
      </c>
      <c r="AA53" s="59">
        <f>IF(R53=" ",'Jun16'!AA63,R53+'Jun16'!AA63)</f>
        <v>0</v>
      </c>
      <c r="AB53" s="60"/>
      <c r="AC53" s="59">
        <f>IF(T53=" ",'Jun16'!AC63,T53+'Jun16'!AC63)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IF(T$49="Y",'Jun16'!H64,0)</f>
        <v>0</v>
      </c>
      <c r="I54" s="107">
        <f>IF(T$49="Y",'Jun16'!I64,0)</f>
        <v>0</v>
      </c>
      <c r="J54" s="107">
        <f>IF(T$49="Y",'Jun16'!J64,0)</f>
        <v>0</v>
      </c>
      <c r="K54" s="107">
        <f>IF(T$49="Y",'Jun16'!K64,I54*J54)</f>
        <v>0</v>
      </c>
      <c r="L54" s="140">
        <f>IF(T$49="Y",'Jun16'!L64,0)</f>
        <v>0</v>
      </c>
      <c r="M54" s="115" t="str">
        <f>IF(E54=" "," ",IF(T$49="Y",'Jun16'!M64,IF((H54+K54+L54)&gt;0,H54+K54+L54,"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IF(Employee!H$113=E$49,Employee!D$112+SUM(M54)+'Jun16'!V64,SUM(M54)+'Jun16'!V64)</f>
        <v>0</v>
      </c>
      <c r="W54" s="59">
        <f>IF(Employee!H$113=E$49,Employee!D$113+SUM(N54)+'Jun16'!W64,SUM(N54)+'Jun16'!W64)</f>
        <v>0</v>
      </c>
      <c r="X54" s="59">
        <f>IF(O54=" ",'Jun16'!X64,O54+'Jun16'!X64)</f>
        <v>0</v>
      </c>
      <c r="Y54" s="59">
        <f>IF(P54=" ",'Jun16'!Y64,P54+'Jun16'!Y64)</f>
        <v>0</v>
      </c>
      <c r="Z54" s="59">
        <f>IF(Q54=" ",'Jun16'!Z64,Q54+'Jun16'!Z64)</f>
        <v>0</v>
      </c>
      <c r="AA54" s="59">
        <f>IF(R54=" ",'Jun16'!AA64,R54+'Jun16'!AA64)</f>
        <v>0</v>
      </c>
      <c r="AB54" s="60"/>
      <c r="AC54" s="59">
        <f>IF(T54=" ",'Jun16'!AC64,T54+'Jun16'!AC64)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IF(T$49="Y",'Jun16'!H65,0)</f>
        <v>0</v>
      </c>
      <c r="I55" s="272">
        <f>IF(T$49="Y",'Jun16'!I65,0)</f>
        <v>0</v>
      </c>
      <c r="J55" s="272">
        <f>IF(T$49="Y",'Jun16'!J65,0)</f>
        <v>0</v>
      </c>
      <c r="K55" s="272">
        <f>IF(T$49="Y",'Jun16'!K65,I55*J55)</f>
        <v>0</v>
      </c>
      <c r="L55" s="273">
        <f>IF(T$49="Y",'Jun16'!L65,0)</f>
        <v>0</v>
      </c>
      <c r="M55" s="115" t="str">
        <f>IF(E55=" "," ",IF(T$49="Y",'Jun16'!M65,IF((H55+K55+L55)&gt;0,H55+K55+L55,"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IF(Employee!H$139=E$49,Employee!D$138+SUM(M55)+'Jun16'!V65,SUM(M55)+'Jun16'!V65)</f>
        <v>0</v>
      </c>
      <c r="W55" s="59">
        <f>IF(Employee!H$139=E$49,Employee!D$139+SUM(N55)+'Jun16'!W65,SUM(N55)+'Jun16'!W65)</f>
        <v>0</v>
      </c>
      <c r="X55" s="59">
        <f>IF(O55=" ",'Jun16'!X65,O55+'Jun16'!X65)</f>
        <v>0</v>
      </c>
      <c r="Y55" s="59">
        <f>IF(P55=" ",'Jun16'!Y65,P55+'Jun16'!Y65)</f>
        <v>0</v>
      </c>
      <c r="Z55" s="59">
        <f>IF(Q55=" ",'Jun16'!Z65,Q55+'Jun16'!Z65)</f>
        <v>0</v>
      </c>
      <c r="AA55" s="59">
        <f>IF(R55=" ",'Jun16'!AA65,R55+'Jun16'!AA65)</f>
        <v>0</v>
      </c>
      <c r="AB55" s="60"/>
      <c r="AC55" s="59">
        <f>IF(T55=" ",'Jun16'!AC65,T55+'Jun16'!AC65)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AD60+'Jun16'!AD75</f>
        <v>0</v>
      </c>
      <c r="AE65" s="177">
        <f>AE60+'Jun16'!AE75</f>
        <v>0</v>
      </c>
      <c r="AF65" s="177">
        <f>AF60+'Jun16'!AF75</f>
        <v>0</v>
      </c>
      <c r="AG65" s="177">
        <f>AG60+'Jun16'!AG75</f>
        <v>0</v>
      </c>
    </row>
    <row r="66" spans="6:33" ht="13.8" thickTop="1" x14ac:dyDescent="0.25"/>
    <row r="67" spans="6:33" x14ac:dyDescent="0.25">
      <c r="AD67" s="184"/>
      <c r="AE67" s="177">
        <f>AE62+'Jun16'!AE77</f>
        <v>0</v>
      </c>
      <c r="AF67" s="177">
        <f>AF62+'Jun16'!AF77</f>
        <v>0</v>
      </c>
      <c r="AG67" s="177">
        <f>AG62+'Jun16'!AG77</f>
        <v>0</v>
      </c>
    </row>
  </sheetData>
  <mergeCells count="79"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  <mergeCell ref="AD1:AG2"/>
    <mergeCell ref="AE3:AE6"/>
    <mergeCell ref="AF3:AF6"/>
    <mergeCell ref="AG3:AG6"/>
    <mergeCell ref="AD3:AD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B9:D9"/>
    <mergeCell ref="H9:J9"/>
    <mergeCell ref="O9:R9"/>
    <mergeCell ref="F3:F6"/>
    <mergeCell ref="H3:H6"/>
    <mergeCell ref="L3:L6"/>
    <mergeCell ref="M3:M6"/>
    <mergeCell ref="R3:R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'Apr16'!H3:H6</f>
        <v>Statutory Pay</v>
      </c>
      <c r="I3" s="389" t="str">
        <f>'Apr16'!I3:I6</f>
        <v>Basic hours</v>
      </c>
      <c r="J3" s="389" t="str">
        <f>'Apr16'!J3:J6</f>
        <v>Hourly rate</v>
      </c>
      <c r="K3" s="389" t="str">
        <f>'Apr16'!K3:K6</f>
        <v>Basic    wages</v>
      </c>
      <c r="L3" s="389" t="str">
        <f>'Apr16'!L3:L6</f>
        <v>Overtime Bonus Gratuities</v>
      </c>
      <c r="M3" s="452" t="str">
        <f>'Apr16'!M3:M6</f>
        <v>GROSS WAGES</v>
      </c>
      <c r="N3" s="389" t="str">
        <f>'Apr16'!N3:N6</f>
        <v>Income Tax</v>
      </c>
      <c r="O3" s="389" t="str">
        <f>'Apr16'!O3:O6</f>
        <v>Employees National Insurance</v>
      </c>
      <c r="P3" s="389" t="str">
        <f>'Apr16'!P3:P6</f>
        <v>Student Loans</v>
      </c>
      <c r="Q3" s="389" t="str">
        <f>'Apr16'!Q3:Q6</f>
        <v>Other Deductions</v>
      </c>
      <c r="R3" s="452" t="str">
        <f>'Apr16'!R3:R6</f>
        <v>NET      PAY</v>
      </c>
      <c r="S3" s="51"/>
      <c r="T3" s="389" t="str">
        <f>'Apr16'!T3:T6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18</v>
      </c>
      <c r="F9" s="61"/>
      <c r="G9" s="61"/>
      <c r="H9" s="384" t="s">
        <v>28</v>
      </c>
      <c r="I9" s="385"/>
      <c r="J9" s="383"/>
      <c r="K9" s="231">
        <f>'Jul16'!M39+1</f>
        <v>42583</v>
      </c>
      <c r="L9" s="230" t="s">
        <v>76</v>
      </c>
      <c r="M9" s="232">
        <f>K9+6</f>
        <v>42589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IF(T$9="Y",'Jul16'!H41,0)</f>
        <v>0</v>
      </c>
      <c r="I11" s="104">
        <f>IF(T$9="Y",'Jul16'!I41,0)</f>
        <v>0</v>
      </c>
      <c r="J11" s="104">
        <f>IF(T$9="Y",'Jul16'!J41,0)</f>
        <v>0</v>
      </c>
      <c r="K11" s="104">
        <f>IF(T$9="Y",'Jul16'!K41,I11*J11)</f>
        <v>0</v>
      </c>
      <c r="L11" s="139">
        <f>IF(T$9="Y",'Jul16'!L41,0)</f>
        <v>0</v>
      </c>
      <c r="M11" s="125" t="str">
        <f>IF(E11=" "," ",IF(T$9="Y",'Jul16'!M41,IF((H11+K11+L11)&gt;0,H11+K11+L11,"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IF(Employee!H$34=E$9,Employee!D$34+SUM(M11)+'Jul16'!V41,SUM(M11)+'Jul16'!V41)</f>
        <v>0</v>
      </c>
      <c r="W11" s="59">
        <f>IF(Employee!H$34=E$9,Employee!D$35+SUM(N11)+'Jul16'!W41,SUM(N11)+'Jul16'!W41)</f>
        <v>0</v>
      </c>
      <c r="X11" s="59">
        <f>IF(O11=" ",'Jul16'!X41,O11+'Jul16'!X41)</f>
        <v>0</v>
      </c>
      <c r="Y11" s="59">
        <f>IF(P11=" ",'Jul16'!Y41,P11+'Jul16'!Y41)</f>
        <v>0</v>
      </c>
      <c r="Z11" s="59">
        <f>IF(Q11=" ",'Jul16'!Z41,Q11+'Jul16'!Z41)</f>
        <v>0</v>
      </c>
      <c r="AA11" s="59">
        <f>IF(R11=" ",'Jul16'!AA41,R11+'Jul16'!AA41)</f>
        <v>0</v>
      </c>
      <c r="AB11" s="60"/>
      <c r="AC11" s="59">
        <f>IF(T11=" ",'Jul16'!AC41,T11+'Jul16'!AC41)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IF(T$9="Y",'Jul16'!H42,0)</f>
        <v>0</v>
      </c>
      <c r="I12" s="107">
        <f>IF(T$9="Y",'Jul16'!I42,0)</f>
        <v>0</v>
      </c>
      <c r="J12" s="107">
        <f>IF(T$9="Y",'Jul16'!J42,0)</f>
        <v>0</v>
      </c>
      <c r="K12" s="107">
        <f>IF(T$9="Y",'Jul16'!K42,I12*J12)</f>
        <v>0</v>
      </c>
      <c r="L12" s="140">
        <f>IF(T$9="Y",'Jul16'!L42,0)</f>
        <v>0</v>
      </c>
      <c r="M12" s="126" t="str">
        <f>IF(E12=" "," ",IF(T$9="Y",'Jul16'!M42,IF((H12+K12+L12)&gt;0,H12+K12+L12,"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IF(Employee!H$60=E$9,Employee!D$60+SUM(M12)+'Jul16'!V42,SUM(M12)+'Jul16'!V42)</f>
        <v>0</v>
      </c>
      <c r="W12" s="59">
        <f>IF(Employee!H$60=E$9,Employee!D$61+SUM(N12)+'Jul16'!W42,SUM(N12)+'Jul16'!W42)</f>
        <v>0</v>
      </c>
      <c r="X12" s="59">
        <f>IF(O12=" ",'Jul16'!X42,O12+'Jul16'!X42)</f>
        <v>0</v>
      </c>
      <c r="Y12" s="59">
        <f>IF(P12=" ",'Jul16'!Y42,P12+'Jul16'!Y42)</f>
        <v>0</v>
      </c>
      <c r="Z12" s="59">
        <f>IF(Q12=" ",'Jul16'!Z42,Q12+'Jul16'!Z42)</f>
        <v>0</v>
      </c>
      <c r="AA12" s="59">
        <f>IF(R12=" ",'Jul16'!AA42,R12+'Jul16'!AA42)</f>
        <v>0</v>
      </c>
      <c r="AB12" s="60"/>
      <c r="AC12" s="59">
        <f>IF(T12=" ",'Jul16'!AC42,T12+'Jul16'!AC42)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IF(T$9="Y",'Jul16'!H43,0)</f>
        <v>0</v>
      </c>
      <c r="I13" s="107">
        <f>IF(T$9="Y",'Jul16'!I43,0)</f>
        <v>0</v>
      </c>
      <c r="J13" s="107">
        <f>IF(T$9="Y",'Jul16'!J43,0)</f>
        <v>0</v>
      </c>
      <c r="K13" s="107">
        <f>IF(T$9="Y",'Jul16'!K43,I13*J13)</f>
        <v>0</v>
      </c>
      <c r="L13" s="140">
        <f>IF(T$9="Y",'Jul16'!L43,0)</f>
        <v>0</v>
      </c>
      <c r="M13" s="126" t="str">
        <f>IF(E13=" "," ",IF(T$9="Y",'Jul16'!M43,IF((H13+K13+L13)&gt;0,H13+K13+L13,"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IF(Employee!H$86=E$9,Employee!D$86+SUM(M13)+'Jul16'!V43,SUM(M13)+'Jul16'!V43)</f>
        <v>0</v>
      </c>
      <c r="W13" s="59">
        <f>IF(Employee!H$86=E$9,Employee!D$87+SUM(N13)+'Jul16'!W43,SUM(N13)+'Jul16'!W43)</f>
        <v>0</v>
      </c>
      <c r="X13" s="59">
        <f>IF(O13=" ",'Jul16'!X43,O13+'Jul16'!X43)</f>
        <v>0</v>
      </c>
      <c r="Y13" s="59">
        <f>IF(P13=" ",'Jul16'!Y43,P13+'Jul16'!Y43)</f>
        <v>0</v>
      </c>
      <c r="Z13" s="59">
        <f>IF(Q13=" ",'Jul16'!Z43,Q13+'Jul16'!Z43)</f>
        <v>0</v>
      </c>
      <c r="AA13" s="59">
        <f>IF(R13=" ",'Jul16'!AA43,R13+'Jul16'!AA43)</f>
        <v>0</v>
      </c>
      <c r="AB13" s="60"/>
      <c r="AC13" s="59">
        <f>IF(T13=" ",'Jul16'!AC43,T13+'Jul16'!AC43)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IF(T$9="Y",'Jul16'!H44,0)</f>
        <v>0</v>
      </c>
      <c r="I14" s="107">
        <f>IF(T$9="Y",'Jul16'!I44,0)</f>
        <v>0</v>
      </c>
      <c r="J14" s="107">
        <f>IF(T$9="Y",'Jul16'!J44,0)</f>
        <v>0</v>
      </c>
      <c r="K14" s="107">
        <f>IF(T$9="Y",'Jul16'!K44,I14*J14)</f>
        <v>0</v>
      </c>
      <c r="L14" s="140">
        <f>IF(T$9="Y",'Jul16'!L44,0)</f>
        <v>0</v>
      </c>
      <c r="M14" s="126" t="str">
        <f>IF(E14=" "," ",IF(T$9="Y",'Jul16'!M44,IF((H14+K14+L14)&gt;0,H14+K14+L14,"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IF(Employee!H$112=E$9,Employee!D$112+SUM(M14)+'Jul16'!V44,SUM(M14)+'Jul16'!V44)</f>
        <v>0</v>
      </c>
      <c r="W14" s="59">
        <f>IF(Employee!H$112=E$9,Employee!D$113+SUM(N14)+'Jul16'!W44,SUM(N14)+'Jul16'!W44)</f>
        <v>0</v>
      </c>
      <c r="X14" s="59">
        <f>IF(O14=" ",'Jul16'!X44,O14+'Jul16'!X44)</f>
        <v>0</v>
      </c>
      <c r="Y14" s="59">
        <f>IF(P14=" ",'Jul16'!Y44,P14+'Jul16'!Y44)</f>
        <v>0</v>
      </c>
      <c r="Z14" s="59">
        <f>IF(Q14=" ",'Jul16'!Z44,Q14+'Jul16'!Z44)</f>
        <v>0</v>
      </c>
      <c r="AA14" s="59">
        <f>IF(R14=" ",'Jul16'!AA44,R14+'Jul16'!AA44)</f>
        <v>0</v>
      </c>
      <c r="AB14" s="60"/>
      <c r="AC14" s="59">
        <f>IF(T14=" ",'Jul16'!AC44,T14+'Jul16'!AC44)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IF(T$9="Y",'Jul16'!H45,0)</f>
        <v>0</v>
      </c>
      <c r="I15" s="272">
        <f>IF(T$9="Y",'Jul16'!I45,0)</f>
        <v>0</v>
      </c>
      <c r="J15" s="272">
        <f>IF(T$9="Y",'Jul16'!J45,0)</f>
        <v>0</v>
      </c>
      <c r="K15" s="272">
        <f>IF(T$9="Y",'Jul16'!K45,I15*J15)</f>
        <v>0</v>
      </c>
      <c r="L15" s="273">
        <f>IF(T$9="Y",'Jul16'!L45,0)</f>
        <v>0</v>
      </c>
      <c r="M15" s="126" t="str">
        <f>IF(E15=" "," ",IF(T$9="Y",'Jul16'!M45,IF((H15+K15+L15)&gt;0,H15+K15+L15,"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IF(Employee!H$138=E$9,Employee!D$138+SUM(M15)+'Jul16'!V45,SUM(M15)+'Jul16'!V45)</f>
        <v>0</v>
      </c>
      <c r="W15" s="59">
        <f>IF(Employee!H$138=E$9,Employee!D$139+SUM(N15)+'Jul16'!W45,SUM(N15)+'Jul16'!W45)</f>
        <v>0</v>
      </c>
      <c r="X15" s="59">
        <f>IF(O15=" ",'Jul16'!X45,O15+'Jul16'!X45)</f>
        <v>0</v>
      </c>
      <c r="Y15" s="59">
        <f>IF(P15=" ",'Jul16'!Y45,P15+'Jul16'!Y45)</f>
        <v>0</v>
      </c>
      <c r="Z15" s="59">
        <f>IF(Q15=" ",'Jul16'!Z45,Q15+'Jul16'!Z45)</f>
        <v>0</v>
      </c>
      <c r="AA15" s="59">
        <f>IF(R15=" ",'Jul16'!AA45,R15+'Jul16'!AA45)</f>
        <v>0</v>
      </c>
      <c r="AB15" s="60"/>
      <c r="AC15" s="59">
        <f>IF(T15=" ",'Jul16'!AC45,T15+'Jul16'!AC45)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19</v>
      </c>
      <c r="F19" s="61"/>
      <c r="G19" s="61"/>
      <c r="H19" s="384" t="s">
        <v>28</v>
      </c>
      <c r="I19" s="385"/>
      <c r="J19" s="383"/>
      <c r="K19" s="231">
        <f>M9+1</f>
        <v>42590</v>
      </c>
      <c r="L19" s="230" t="s">
        <v>76</v>
      </c>
      <c r="M19" s="232">
        <f>K19+6</f>
        <v>42596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20</v>
      </c>
      <c r="F29" s="61"/>
      <c r="G29" s="61"/>
      <c r="H29" s="384" t="s">
        <v>28</v>
      </c>
      <c r="I29" s="385"/>
      <c r="J29" s="383"/>
      <c r="K29" s="231">
        <f>M19+1</f>
        <v>42597</v>
      </c>
      <c r="L29" s="230" t="s">
        <v>76</v>
      </c>
      <c r="M29" s="232">
        <f>K29+6</f>
        <v>42603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21</v>
      </c>
      <c r="F39" s="61"/>
      <c r="G39" s="61"/>
      <c r="H39" s="384" t="s">
        <v>28</v>
      </c>
      <c r="I39" s="466"/>
      <c r="J39" s="467"/>
      <c r="K39" s="231">
        <f>M29+1</f>
        <v>42604</v>
      </c>
      <c r="L39" s="230" t="s">
        <v>76</v>
      </c>
      <c r="M39" s="232">
        <f>K39+6</f>
        <v>42610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5</v>
      </c>
      <c r="F49" s="61"/>
      <c r="G49" s="61"/>
      <c r="H49" s="384" t="s">
        <v>28</v>
      </c>
      <c r="I49" s="385"/>
      <c r="J49" s="383"/>
      <c r="K49" s="231">
        <f>Admin!B124</f>
        <v>42588</v>
      </c>
      <c r="L49" s="230" t="s">
        <v>76</v>
      </c>
      <c r="M49" s="232">
        <f>Admin!B154</f>
        <v>42618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IF(T$49="Y",'Jul16'!H51,0)</f>
        <v>0</v>
      </c>
      <c r="I51" s="104">
        <f>IF(T$49="Y",'Jul16'!I51,0)</f>
        <v>0</v>
      </c>
      <c r="J51" s="104">
        <f>IF(T$49="Y",'Jul16'!J51,0)</f>
        <v>0</v>
      </c>
      <c r="K51" s="104">
        <f>IF(T$49="Y",'Jul16'!K51,I51*J51)</f>
        <v>0</v>
      </c>
      <c r="L51" s="104">
        <f>IF(T$49="Y",'Jul16'!L51,0)</f>
        <v>0</v>
      </c>
      <c r="M51" s="114" t="str">
        <f>IF(E51=" "," ",IF(T$49="Y",'Jul16'!M51,IF((H51+K51+L51)&gt;0,H51+K51+L51,"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IF(Employee!H$35=E$49,Employee!D$34+SUM(M51)+'Jul16'!V51,SUM(M51)+'Jul16'!V51)</f>
        <v>0</v>
      </c>
      <c r="W51" s="59">
        <f>IF(Employee!H$35=E$49,Employee!D$35+SUM(N51)+'Jul16'!W51,SUM(N51)+'Jul16'!W51)</f>
        <v>0</v>
      </c>
      <c r="X51" s="59">
        <f>IF(O51=" ",'Jul16'!X51,O51+'Jul16'!X51)</f>
        <v>0</v>
      </c>
      <c r="Y51" s="59">
        <f>IF(P51=" ",'Jul16'!Y51,P51+'Jul16'!Y51)</f>
        <v>0</v>
      </c>
      <c r="Z51" s="59">
        <f>IF(Q51=" ",'Jul16'!Z51,Q51+'Jul16'!Z51)</f>
        <v>0</v>
      </c>
      <c r="AA51" s="59">
        <f>IF(R51=" ",'Jul16'!AA51,R51+'Jul16'!AA51)</f>
        <v>0</v>
      </c>
      <c r="AB51" s="60"/>
      <c r="AC51" s="59">
        <f>IF(T51=" ",'Jul16'!AC51,T51+'Jul16'!AC51)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IF(T$49="Y",'Jul16'!H52,0)</f>
        <v>0</v>
      </c>
      <c r="I52" s="107">
        <f>IF(T$49="Y",'Jul16'!I52,0)</f>
        <v>0</v>
      </c>
      <c r="J52" s="107">
        <f>IF(T$49="Y",'Jul16'!J52,0)</f>
        <v>0</v>
      </c>
      <c r="K52" s="107">
        <f>IF(T$49="Y",'Jul16'!K52,I52*J52)</f>
        <v>0</v>
      </c>
      <c r="L52" s="107">
        <f>IF(T$49="Y",'Jul16'!L52,0)</f>
        <v>0</v>
      </c>
      <c r="M52" s="115" t="str">
        <f>IF(E52=" "," ",IF(T$49="Y",'Jul16'!M52,IF((H52+K52+L52)&gt;0,H52+K52+L52,"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IF(Employee!H$61=E$49,Employee!D$60+SUM(M52)+'Jul16'!V52,SUM(M52)+'Jul16'!V52)</f>
        <v>0</v>
      </c>
      <c r="W52" s="59">
        <f>IF(Employee!H$61=E$49,Employee!D$61+SUM(N52)+'Jul16'!W52,SUM(N52)+'Jul16'!W52)</f>
        <v>0</v>
      </c>
      <c r="X52" s="59">
        <f>IF(O52=" ",'Jul16'!X52,O52+'Jul16'!X52)</f>
        <v>0</v>
      </c>
      <c r="Y52" s="59">
        <f>IF(P52=" ",'Jul16'!Y52,P52+'Jul16'!Y52)</f>
        <v>0</v>
      </c>
      <c r="Z52" s="59">
        <f>IF(Q52=" ",'Jul16'!Z52,Q52+'Jul16'!Z52)</f>
        <v>0</v>
      </c>
      <c r="AA52" s="59">
        <f>IF(R52=" ",'Jul16'!AA52,R52+'Jul16'!AA52)</f>
        <v>0</v>
      </c>
      <c r="AB52" s="60"/>
      <c r="AC52" s="59">
        <f>IF(T52=" ",'Jul16'!AC52,T52+'Jul16'!AC52)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IF(T$49="Y",'Jul16'!H53,0)</f>
        <v>0</v>
      </c>
      <c r="I53" s="107">
        <f>IF(T$49="Y",'Jul16'!I53,0)</f>
        <v>0</v>
      </c>
      <c r="J53" s="107">
        <f>IF(T$49="Y",'Jul16'!J53,0)</f>
        <v>0</v>
      </c>
      <c r="K53" s="107">
        <f>IF(T$49="Y",'Jul16'!K53,I53*J53)</f>
        <v>0</v>
      </c>
      <c r="L53" s="107">
        <f>IF(T$49="Y",'Jul16'!L53,0)</f>
        <v>0</v>
      </c>
      <c r="M53" s="115" t="str">
        <f>IF(E53=" "," ",IF(T$49="Y",'Jul16'!M53,IF((H53+K53+L53)&gt;0,H53+K53+L53,"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IF(Employee!H$87=E$49,Employee!D$86+SUM(M53)+'Jul16'!V53,SUM(M53)+'Jul16'!V53)</f>
        <v>0</v>
      </c>
      <c r="W53" s="59">
        <f>IF(Employee!H$87=E$49,Employee!D$87+SUM(N53)+'Jul16'!W53,SUM(N53)+'Jul16'!W53)</f>
        <v>0</v>
      </c>
      <c r="X53" s="59">
        <f>IF(O53=" ",'Jul16'!X53,O53+'Jul16'!X53)</f>
        <v>0</v>
      </c>
      <c r="Y53" s="59">
        <f>IF(P53=" ",'Jul16'!Y53,P53+'Jul16'!Y53)</f>
        <v>0</v>
      </c>
      <c r="Z53" s="59">
        <f>IF(Q53=" ",'Jul16'!Z53,Q53+'Jul16'!Z53)</f>
        <v>0</v>
      </c>
      <c r="AA53" s="59">
        <f>IF(R53=" ",'Jul16'!AA53,R53+'Jul16'!AA53)</f>
        <v>0</v>
      </c>
      <c r="AB53" s="60"/>
      <c r="AC53" s="59">
        <f>IF(T53=" ",'Jul16'!AC53,T53+'Jul16'!AC53)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IF(T$49="Y",'Jul16'!H54,0)</f>
        <v>0</v>
      </c>
      <c r="I54" s="107">
        <f>IF(T$49="Y",'Jul16'!I54,0)</f>
        <v>0</v>
      </c>
      <c r="J54" s="107">
        <f>IF(T$49="Y",'Jul16'!J54,0)</f>
        <v>0</v>
      </c>
      <c r="K54" s="107">
        <f>IF(T$49="Y",'Jul16'!K54,I54*J54)</f>
        <v>0</v>
      </c>
      <c r="L54" s="107">
        <f>IF(T$49="Y",'Jul16'!L54,0)</f>
        <v>0</v>
      </c>
      <c r="M54" s="115" t="str">
        <f>IF(E54=" "," ",IF(T$49="Y",'Jul16'!M54,IF((H54+K54+L54)&gt;0,H54+K54+L54,"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IF(Employee!H$113=E$49,Employee!D$112+SUM(M54)+'Jul16'!V54,SUM(M54)+'Jul16'!V54)</f>
        <v>0</v>
      </c>
      <c r="W54" s="59">
        <f>IF(Employee!H$113=E$49,Employee!D$113+SUM(N54)+'Jul16'!W54,SUM(N54)+'Jul16'!W54)</f>
        <v>0</v>
      </c>
      <c r="X54" s="59">
        <f>IF(O54=" ",'Jul16'!X54,O54+'Jul16'!X54)</f>
        <v>0</v>
      </c>
      <c r="Y54" s="59">
        <f>IF(P54=" ",'Jul16'!Y54,P54+'Jul16'!Y54)</f>
        <v>0</v>
      </c>
      <c r="Z54" s="59">
        <f>IF(Q54=" ",'Jul16'!Z54,Q54+'Jul16'!Z54)</f>
        <v>0</v>
      </c>
      <c r="AA54" s="59">
        <f>IF(R54=" ",'Jul16'!AA54,R54+'Jul16'!AA54)</f>
        <v>0</v>
      </c>
      <c r="AB54" s="60"/>
      <c r="AC54" s="59">
        <f>IF(T54=" ",'Jul16'!AC54,T54+'Jul16'!AC54)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IF(T$49="Y",'Jul16'!H55,0)</f>
        <v>0</v>
      </c>
      <c r="I55" s="107">
        <f>IF(T$49="Y",'Jul16'!I55,0)</f>
        <v>0</v>
      </c>
      <c r="J55" s="107">
        <f>IF(T$49="Y",'Jul16'!J55,0)</f>
        <v>0</v>
      </c>
      <c r="K55" s="107">
        <f>IF(T$49="Y",'Jul16'!K55,I55*J55)</f>
        <v>0</v>
      </c>
      <c r="L55" s="107">
        <f>IF(T$49="Y",'Jul16'!L55,0)</f>
        <v>0</v>
      </c>
      <c r="M55" s="115" t="str">
        <f>IF(E55=" "," ",IF(T$49="Y",'Jul16'!M55,IF((H55+K55+L55)&gt;0,H55+K55+L55,"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IF(Employee!H$139=E$49,Employee!D$138+SUM(M55)+'Jul16'!V55,SUM(M55)+'Jul16'!V55)</f>
        <v>0</v>
      </c>
      <c r="W55" s="59">
        <f>IF(Employee!H$139=E$49,Employee!D$139+SUM(N55)+'Jul16'!W55,SUM(N55)+'Jul16'!W55)</f>
        <v>0</v>
      </c>
      <c r="X55" s="59">
        <f>IF(O55=" ",'Jul16'!X55,O55+'Jul16'!X55)</f>
        <v>0</v>
      </c>
      <c r="Y55" s="59">
        <f>IF(P55=" ",'Jul16'!Y55,P55+'Jul16'!Y55)</f>
        <v>0</v>
      </c>
      <c r="Z55" s="59">
        <f>IF(Q55=" ",'Jul16'!Z55,Q55+'Jul16'!Z55)</f>
        <v>0</v>
      </c>
      <c r="AA55" s="59">
        <f>IF(R55=" ",'Jul16'!AA55,R55+'Jul16'!AA55)</f>
        <v>0</v>
      </c>
      <c r="AB55" s="60"/>
      <c r="AC55" s="59">
        <f>IF(T55=" ",'Jul16'!AC55,T55+'Jul16'!AC55)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AD60+'Jul16'!AD65</f>
        <v>0</v>
      </c>
      <c r="AE65" s="177">
        <f>AE60+'Jul16'!AE65</f>
        <v>0</v>
      </c>
      <c r="AF65" s="177">
        <f>AF60+'Jul16'!AF65</f>
        <v>0</v>
      </c>
      <c r="AG65" s="177">
        <f>AG60+'Jul16'!AG65</f>
        <v>0</v>
      </c>
    </row>
    <row r="66" spans="6:33" ht="13.8" thickTop="1" x14ac:dyDescent="0.25"/>
    <row r="67" spans="6:33" x14ac:dyDescent="0.25">
      <c r="AD67" s="184"/>
      <c r="AE67" s="177">
        <f>AE62+'Jul16'!AE67</f>
        <v>0</v>
      </c>
      <c r="AF67" s="177">
        <f>AF62+'Jul16'!AF67</f>
        <v>0</v>
      </c>
      <c r="AG67" s="177">
        <f>AG62+'Jul16'!AG67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'Apr16'!H3:H6</f>
        <v>Statutory Pay</v>
      </c>
      <c r="I3" s="389" t="str">
        <f>'Apr16'!I3:I6</f>
        <v>Basic hours</v>
      </c>
      <c r="J3" s="389" t="str">
        <f>'Apr16'!J3:J6</f>
        <v>Hourly rate</v>
      </c>
      <c r="K3" s="389" t="str">
        <f>'Apr16'!K3:K6</f>
        <v>Basic    wages</v>
      </c>
      <c r="L3" s="389" t="str">
        <f>'Apr16'!L3:L6</f>
        <v>Overtime Bonus Gratuities</v>
      </c>
      <c r="M3" s="452" t="str">
        <f>'Apr16'!M3:M6</f>
        <v>GROSS WAGES</v>
      </c>
      <c r="N3" s="389" t="str">
        <f>'Apr16'!N3:N6</f>
        <v>Income Tax</v>
      </c>
      <c r="O3" s="389" t="str">
        <f>'Apr16'!O3:O6</f>
        <v>Employees National Insurance</v>
      </c>
      <c r="P3" s="389" t="str">
        <f>'Apr16'!P3:P6</f>
        <v>Student Loans</v>
      </c>
      <c r="Q3" s="389" t="str">
        <f>'Apr16'!Q3:Q6</f>
        <v>Other Deductions</v>
      </c>
      <c r="R3" s="452" t="str">
        <f>'Apr16'!R3:R6</f>
        <v>NET      PAY</v>
      </c>
      <c r="S3" s="51"/>
      <c r="T3" s="389" t="str">
        <f>'Apr16'!T3:T6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22</v>
      </c>
      <c r="F9" s="61"/>
      <c r="G9" s="61"/>
      <c r="H9" s="384" t="s">
        <v>28</v>
      </c>
      <c r="I9" s="385"/>
      <c r="J9" s="383"/>
      <c r="K9" s="231">
        <f>'Aug16'!M39+1</f>
        <v>42611</v>
      </c>
      <c r="L9" s="230" t="s">
        <v>76</v>
      </c>
      <c r="M9" s="232">
        <f>K9+6</f>
        <v>42617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IF(T$9="Y",'Aug16'!H41,0)</f>
        <v>0</v>
      </c>
      <c r="I11" s="104">
        <f>IF(T$9="Y",'Aug16'!I41,0)</f>
        <v>0</v>
      </c>
      <c r="J11" s="104">
        <f>IF(T$9="Y",'Aug16'!J41,0)</f>
        <v>0</v>
      </c>
      <c r="K11" s="104">
        <f>IF(T$9="Y",'Aug16'!K41,I11*J11)</f>
        <v>0</v>
      </c>
      <c r="L11" s="139">
        <f>IF(T$9="Y",'Aug16'!L41,0)</f>
        <v>0</v>
      </c>
      <c r="M11" s="125" t="str">
        <f>IF(E11=" "," ",IF(T$9="Y",'Aug16'!M41,IF((H11+K11+L11)&gt;0,H11+K11+L11,"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IF(Employee!H$34=E$9,Employee!D$34+SUM(M11)+'Aug16'!V41,SUM(M11)+'Aug16'!V41)</f>
        <v>0</v>
      </c>
      <c r="W11" s="59">
        <f>IF(Employee!H$34=E$9,Employee!D$35+SUM(N11)+'Aug16'!W41,SUM(N11)+'Aug16'!W41)</f>
        <v>0</v>
      </c>
      <c r="X11" s="59">
        <f>IF(O11=" ",'Aug16'!X41,O11+'Aug16'!X41)</f>
        <v>0</v>
      </c>
      <c r="Y11" s="59">
        <f>IF(P11=" ",'Aug16'!Y41,P11+'Aug16'!Y41)</f>
        <v>0</v>
      </c>
      <c r="Z11" s="59">
        <f>IF(Q11=" ",'Aug16'!Z41,Q11+'Aug16'!Z41)</f>
        <v>0</v>
      </c>
      <c r="AA11" s="59">
        <f>IF(R11=" ",'Aug16'!AA41,R11+'Aug16'!AA41)</f>
        <v>0</v>
      </c>
      <c r="AB11" s="60"/>
      <c r="AC11" s="59">
        <f>IF(T11=" ",'Aug16'!AC41,T11+'Aug16'!AC41)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IF(T$9="Y",'Aug16'!H42,0)</f>
        <v>0</v>
      </c>
      <c r="I12" s="107">
        <f>IF(T$9="Y",'Aug16'!I42,0)</f>
        <v>0</v>
      </c>
      <c r="J12" s="107">
        <f>IF(T$9="Y",'Aug16'!J42,0)</f>
        <v>0</v>
      </c>
      <c r="K12" s="107">
        <f>IF(T$9="Y",'Aug16'!K42,I12*J12)</f>
        <v>0</v>
      </c>
      <c r="L12" s="140">
        <f>IF(T$9="Y",'Aug16'!L42,0)</f>
        <v>0</v>
      </c>
      <c r="M12" s="126" t="str">
        <f>IF(E12=" "," ",IF(T$9="Y",'Aug16'!M42,IF((H12+K12+L12)&gt;0,H12+K12+L12,"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IF(Employee!H$60=E$9,Employee!D$60+SUM(M12)+'Aug16'!V42,SUM(M12)+'Aug16'!V42)</f>
        <v>0</v>
      </c>
      <c r="W12" s="59">
        <f>IF(Employee!H$60=E$9,Employee!D$61+SUM(N12)+'Aug16'!W42,SUM(N12)+'Aug16'!W42)</f>
        <v>0</v>
      </c>
      <c r="X12" s="59">
        <f>IF(O12=" ",'Aug16'!X42,O12+'Aug16'!X42)</f>
        <v>0</v>
      </c>
      <c r="Y12" s="59">
        <f>IF(P12=" ",'Aug16'!Y42,P12+'Aug16'!Y42)</f>
        <v>0</v>
      </c>
      <c r="Z12" s="59">
        <f>IF(Q12=" ",'Aug16'!Z42,Q12+'Aug16'!Z42)</f>
        <v>0</v>
      </c>
      <c r="AA12" s="59">
        <f>IF(R12=" ",'Aug16'!AA42,R12+'Aug16'!AA42)</f>
        <v>0</v>
      </c>
      <c r="AB12" s="60"/>
      <c r="AC12" s="59">
        <f>IF(T12=" ",'Aug16'!AC42,T12+'Aug16'!AC42)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IF(T$9="Y",'Aug16'!H43,0)</f>
        <v>0</v>
      </c>
      <c r="I13" s="107">
        <f>IF(T$9="Y",'Aug16'!I43,0)</f>
        <v>0</v>
      </c>
      <c r="J13" s="107">
        <f>IF(T$9="Y",'Aug16'!J43,0)</f>
        <v>0</v>
      </c>
      <c r="K13" s="107">
        <f>IF(T$9="Y",'Aug16'!K43,I13*J13)</f>
        <v>0</v>
      </c>
      <c r="L13" s="140">
        <f>IF(T$9="Y",'Aug16'!L43,0)</f>
        <v>0</v>
      </c>
      <c r="M13" s="126" t="str">
        <f>IF(E13=" "," ",IF(T$9="Y",'Aug16'!M43,IF((H13+K13+L13)&gt;0,H13+K13+L13,"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IF(Employee!H$86=E$9,Employee!D$86+SUM(M13)+'Aug16'!V43,SUM(M13)+'Aug16'!V43)</f>
        <v>0</v>
      </c>
      <c r="W13" s="59">
        <f>IF(Employee!H$86=E$9,Employee!D$87+SUM(N13)+'Aug16'!W43,SUM(N13)+'Aug16'!W43)</f>
        <v>0</v>
      </c>
      <c r="X13" s="59">
        <f>IF(O13=" ",'Aug16'!X43,O13+'Aug16'!X43)</f>
        <v>0</v>
      </c>
      <c r="Y13" s="59">
        <f>IF(P13=" ",'Aug16'!Y43,P13+'Aug16'!Y43)</f>
        <v>0</v>
      </c>
      <c r="Z13" s="59">
        <f>IF(Q13=" ",'Aug16'!Z43,Q13+'Aug16'!Z43)</f>
        <v>0</v>
      </c>
      <c r="AA13" s="59">
        <f>IF(R13=" ",'Aug16'!AA43,R13+'Aug16'!AA43)</f>
        <v>0</v>
      </c>
      <c r="AB13" s="60"/>
      <c r="AC13" s="59">
        <f>IF(T13=" ",'Aug16'!AC43,T13+'Aug16'!AC43)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IF(T$9="Y",'Aug16'!H44,0)</f>
        <v>0</v>
      </c>
      <c r="I14" s="107">
        <f>IF(T$9="Y",'Aug16'!I44,0)</f>
        <v>0</v>
      </c>
      <c r="J14" s="107">
        <f>IF(T$9="Y",'Aug16'!J44,0)</f>
        <v>0</v>
      </c>
      <c r="K14" s="107">
        <f>IF(T$9="Y",'Aug16'!K44,I14*J14)</f>
        <v>0</v>
      </c>
      <c r="L14" s="140">
        <f>IF(T$9="Y",'Aug16'!L44,0)</f>
        <v>0</v>
      </c>
      <c r="M14" s="126" t="str">
        <f>IF(E14=" "," ",IF(T$9="Y",'Aug16'!M44,IF((H14+K14+L14)&gt;0,H14+K14+L14,"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IF(Employee!H$112=E$9,Employee!D$112+SUM(M14)+'Aug16'!V44,SUM(M14)+'Aug16'!V44)</f>
        <v>0</v>
      </c>
      <c r="W14" s="59">
        <f>IF(Employee!H$112=E$9,Employee!D$113+SUM(N14)+'Aug16'!W44,SUM(N14)+'Aug16'!W44)</f>
        <v>0</v>
      </c>
      <c r="X14" s="59">
        <f>IF(O14=" ",'Aug16'!X44,O14+'Aug16'!X44)</f>
        <v>0</v>
      </c>
      <c r="Y14" s="59">
        <f>IF(P14=" ",'Aug16'!Y44,P14+'Aug16'!Y44)</f>
        <v>0</v>
      </c>
      <c r="Z14" s="59">
        <f>IF(Q14=" ",'Aug16'!Z44,Q14+'Aug16'!Z44)</f>
        <v>0</v>
      </c>
      <c r="AA14" s="59">
        <f>IF(R14=" ",'Aug16'!AA44,R14+'Aug16'!AA44)</f>
        <v>0</v>
      </c>
      <c r="AB14" s="60"/>
      <c r="AC14" s="59">
        <f>IF(T14=" ",'Aug16'!AC44,T14+'Aug16'!AC44)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IF(T$9="Y",'Aug16'!H45,0)</f>
        <v>0</v>
      </c>
      <c r="I15" s="272">
        <f>IF(T$9="Y",'Aug16'!I45,0)</f>
        <v>0</v>
      </c>
      <c r="J15" s="272">
        <f>IF(T$9="Y",'Aug16'!J45,0)</f>
        <v>0</v>
      </c>
      <c r="K15" s="272">
        <f>IF(T$9="Y",'Aug16'!K45,I15*J15)</f>
        <v>0</v>
      </c>
      <c r="L15" s="273">
        <f>IF(T$9="Y",'Aug16'!L45,0)</f>
        <v>0</v>
      </c>
      <c r="M15" s="126" t="str">
        <f>IF(E15=" "," ",IF(T$9="Y",'Aug16'!M45,IF((H15+K15+L15)&gt;0,H15+K15+L15,"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IF(Employee!H$138=E$9,Employee!D$138+SUM(M15)+'Aug16'!V45,SUM(M15)+'Aug16'!V45)</f>
        <v>0</v>
      </c>
      <c r="W15" s="59">
        <f>IF(Employee!H$138=E$9,Employee!D$139+SUM(N15)+'Aug16'!W45,SUM(N15)+'Aug16'!W45)</f>
        <v>0</v>
      </c>
      <c r="X15" s="59">
        <f>IF(O15=" ",'Aug16'!X45,O15+'Aug16'!X45)</f>
        <v>0</v>
      </c>
      <c r="Y15" s="59">
        <f>IF(P15=" ",'Aug16'!Y45,P15+'Aug16'!Y45)</f>
        <v>0</v>
      </c>
      <c r="Z15" s="59">
        <f>IF(Q15=" ",'Aug16'!Z45,Q15+'Aug16'!Z45)</f>
        <v>0</v>
      </c>
      <c r="AA15" s="59">
        <f>IF(R15=" ",'Aug16'!AA45,R15+'Aug16'!AA45)</f>
        <v>0</v>
      </c>
      <c r="AB15" s="60"/>
      <c r="AC15" s="59">
        <f>IF(T15=" ",'Aug16'!AC45,T15+'Aug16'!AC45)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23</v>
      </c>
      <c r="F19" s="61"/>
      <c r="G19" s="61"/>
      <c r="H19" s="384" t="s">
        <v>28</v>
      </c>
      <c r="I19" s="385"/>
      <c r="J19" s="383"/>
      <c r="K19" s="231">
        <f>M9+1</f>
        <v>42618</v>
      </c>
      <c r="L19" s="230" t="s">
        <v>76</v>
      </c>
      <c r="M19" s="232">
        <f>K19+6</f>
        <v>42624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24</v>
      </c>
      <c r="F29" s="61"/>
      <c r="G29" s="61"/>
      <c r="H29" s="384" t="s">
        <v>28</v>
      </c>
      <c r="I29" s="385"/>
      <c r="J29" s="383"/>
      <c r="K29" s="231">
        <f>M19+1</f>
        <v>42625</v>
      </c>
      <c r="L29" s="230" t="s">
        <v>76</v>
      </c>
      <c r="M29" s="232">
        <f>K29+6</f>
        <v>42631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25</v>
      </c>
      <c r="F39" s="61"/>
      <c r="G39" s="61"/>
      <c r="H39" s="384" t="s">
        <v>28</v>
      </c>
      <c r="I39" s="466"/>
      <c r="J39" s="467"/>
      <c r="K39" s="231">
        <f>M29+1</f>
        <v>42632</v>
      </c>
      <c r="L39" s="230" t="s">
        <v>76</v>
      </c>
      <c r="M39" s="232">
        <f>K39+6</f>
        <v>42638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26</v>
      </c>
      <c r="F49" s="61"/>
      <c r="G49" s="61"/>
      <c r="H49" s="384" t="s">
        <v>28</v>
      </c>
      <c r="I49" s="466"/>
      <c r="J49" s="467"/>
      <c r="K49" s="231">
        <f>M39+1</f>
        <v>42639</v>
      </c>
      <c r="L49" s="230" t="s">
        <v>76</v>
      </c>
      <c r="M49" s="232">
        <f>K49+6</f>
        <v>42645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IF(T$49="Y",H45,0)</f>
        <v>0</v>
      </c>
      <c r="I55" s="107">
        <f>IF(T$49="Y",I45,0)</f>
        <v>0</v>
      </c>
      <c r="J55" s="107">
        <f>IF(T$49="Y",J45,0)</f>
        <v>0</v>
      </c>
      <c r="K55" s="107">
        <f>IF(T$49="Y",K45,I55*J55)</f>
        <v>0</v>
      </c>
      <c r="L55" s="140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6</v>
      </c>
      <c r="F59" s="61"/>
      <c r="G59" s="61"/>
      <c r="H59" s="384" t="s">
        <v>28</v>
      </c>
      <c r="I59" s="385"/>
      <c r="J59" s="383"/>
      <c r="K59" s="231">
        <f>Admin!B155</f>
        <v>42619</v>
      </c>
      <c r="L59" s="230" t="s">
        <v>76</v>
      </c>
      <c r="M59" s="232">
        <f>Admin!B184</f>
        <v>42648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IF(T$59="Y",'Aug16'!H51,0)</f>
        <v>0</v>
      </c>
      <c r="I61" s="104">
        <f>IF(T$59="Y",'Aug16'!I51,0)</f>
        <v>0</v>
      </c>
      <c r="J61" s="104">
        <f>IF(T$59="Y",'Aug16'!J51,0)</f>
        <v>0</v>
      </c>
      <c r="K61" s="104">
        <f>IF(T$59="Y",'Aug16'!K51,I61*J61)</f>
        <v>0</v>
      </c>
      <c r="L61" s="139">
        <f>IF(T$59="Y",'Aug16'!L51,0)</f>
        <v>0</v>
      </c>
      <c r="M61" s="114" t="str">
        <f>IF(E61=" "," ",IF(T$59="Y",'Aug16'!M51,IF((H61+K61+L61)&gt;0,H61+K61+L61,"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IF(Employee!H$35=E$59,Employee!D$34+SUM(M61)+'Aug16'!V51,SUM(M61)+'Aug16'!V51)</f>
        <v>0</v>
      </c>
      <c r="W61" s="59">
        <f>IF(Employee!H$35=E$59,Employee!D$35+SUM(N61)+'Aug16'!W51,SUM(N61)+'Aug16'!W51)</f>
        <v>0</v>
      </c>
      <c r="X61" s="59">
        <f>IF(O61=" ",'Aug16'!X51,O61+'Aug16'!X51)</f>
        <v>0</v>
      </c>
      <c r="Y61" s="59">
        <f>IF(P61=" ",'Aug16'!Y51,P61+'Aug16'!Y51)</f>
        <v>0</v>
      </c>
      <c r="Z61" s="59">
        <f>IF(Q61=" ",'Aug16'!Z51,Q61+'Aug16'!Z51)</f>
        <v>0</v>
      </c>
      <c r="AA61" s="59">
        <f>IF(R61=" ",'Aug16'!AA51,R61+'Aug16'!AA51)</f>
        <v>0</v>
      </c>
      <c r="AB61" s="60"/>
      <c r="AC61" s="59">
        <f>IF(T61=" ",'Aug16'!AC51,T61+'Aug16'!AC51)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IF(T$59="Y",'Aug16'!H52,0)</f>
        <v>0</v>
      </c>
      <c r="I62" s="107">
        <f>IF(T$59="Y",'Aug16'!I52,0)</f>
        <v>0</v>
      </c>
      <c r="J62" s="107">
        <f>IF(T$59="Y",'Aug16'!J52,0)</f>
        <v>0</v>
      </c>
      <c r="K62" s="107">
        <f>IF(T$59="Y",'Aug16'!K52,I62*J62)</f>
        <v>0</v>
      </c>
      <c r="L62" s="140">
        <f>IF(T$59="Y",'Aug16'!L52,0)</f>
        <v>0</v>
      </c>
      <c r="M62" s="115" t="str">
        <f>IF(E62=" "," ",IF(T$59="Y",'Aug16'!M52,IF((H62+K62+L62)&gt;0,H62+K62+L62,"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IF(Employee!H$61=E$59,Employee!D$60+SUM(M62)+'Aug16'!V52,SUM(M62)+'Aug16'!V52)</f>
        <v>0</v>
      </c>
      <c r="W62" s="59">
        <f>IF(Employee!H$61=E$59,Employee!D$61+SUM(N62)+'Aug16'!W52,SUM(N62)+'Aug16'!W52)</f>
        <v>0</v>
      </c>
      <c r="X62" s="59">
        <f>IF(O62=" ",'Aug16'!X52,O62+'Aug16'!X52)</f>
        <v>0</v>
      </c>
      <c r="Y62" s="59">
        <f>IF(P62=" ",'Aug16'!Y52,P62+'Aug16'!Y52)</f>
        <v>0</v>
      </c>
      <c r="Z62" s="59">
        <f>IF(Q62=" ",'Aug16'!Z52,Q62+'Aug16'!Z52)</f>
        <v>0</v>
      </c>
      <c r="AA62" s="59">
        <f>IF(R62=" ",'Aug16'!AA52,R62+'Aug16'!AA52)</f>
        <v>0</v>
      </c>
      <c r="AB62" s="60"/>
      <c r="AC62" s="59">
        <f>IF(T62=" ",'Aug16'!AC52,T62+'Aug16'!AC52)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IF(T$59="Y",'Aug16'!H53,0)</f>
        <v>0</v>
      </c>
      <c r="I63" s="107">
        <f>IF(T$59="Y",'Aug16'!I53,0)</f>
        <v>0</v>
      </c>
      <c r="J63" s="107">
        <f>IF(T$59="Y",'Aug16'!J53,0)</f>
        <v>0</v>
      </c>
      <c r="K63" s="107">
        <f>IF(T$59="Y",'Aug16'!K53,I63*J63)</f>
        <v>0</v>
      </c>
      <c r="L63" s="140">
        <f>IF(T$59="Y",'Aug16'!L53,0)</f>
        <v>0</v>
      </c>
      <c r="M63" s="115" t="str">
        <f>IF(E63=" "," ",IF(T$59="Y",'Aug16'!M53,IF((H63+K63+L63)&gt;0,H63+K63+L63,"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IF(Employee!H$87=E$59,Employee!D$86+SUM(M63)+'Aug16'!V53,SUM(M63)+'Aug16'!V53)</f>
        <v>0</v>
      </c>
      <c r="W63" s="59">
        <f>IF(Employee!H$87=E$59,Employee!D$87+SUM(N63)+'Aug16'!W53,SUM(N63)+'Aug16'!W53)</f>
        <v>0</v>
      </c>
      <c r="X63" s="59">
        <f>IF(O63=" ",'Aug16'!X53,O63+'Aug16'!X53)</f>
        <v>0</v>
      </c>
      <c r="Y63" s="59">
        <f>IF(P63=" ",'Aug16'!Y53,P63+'Aug16'!Y53)</f>
        <v>0</v>
      </c>
      <c r="Z63" s="59">
        <f>IF(Q63=" ",'Aug16'!Z53,Q63+'Aug16'!Z53)</f>
        <v>0</v>
      </c>
      <c r="AA63" s="59">
        <f>IF(R63=" ",'Aug16'!AA53,R63+'Aug16'!AA53)</f>
        <v>0</v>
      </c>
      <c r="AB63" s="60"/>
      <c r="AC63" s="59">
        <f>IF(T63=" ",'Aug16'!AC53,T63+'Aug16'!AC53)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IF(T$59="Y",'Aug16'!H54,0)</f>
        <v>0</v>
      </c>
      <c r="I64" s="107">
        <f>IF(T$59="Y",'Aug16'!I54,0)</f>
        <v>0</v>
      </c>
      <c r="J64" s="107">
        <f>IF(T$59="Y",'Aug16'!J54,0)</f>
        <v>0</v>
      </c>
      <c r="K64" s="107">
        <f>IF(T$59="Y",'Aug16'!K54,I64*J64)</f>
        <v>0</v>
      </c>
      <c r="L64" s="140">
        <f>IF(T$59="Y",'Aug16'!L54,0)</f>
        <v>0</v>
      </c>
      <c r="M64" s="115" t="str">
        <f>IF(E64=" "," ",IF(T$59="Y",'Aug16'!M54,IF((H64+K64+L64)&gt;0,H64+K64+L64,"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IF(Employee!H$113=E$59,Employee!D$112+SUM(M64)+'Aug16'!V54,SUM(M64)+'Aug16'!V54)</f>
        <v>0</v>
      </c>
      <c r="W64" s="59">
        <f>IF(Employee!H$113=E$59,Employee!D$113+SUM(N64)+'Aug16'!W54,SUM(N64)+'Aug16'!W54)</f>
        <v>0</v>
      </c>
      <c r="X64" s="59">
        <f>IF(O64=" ",'Aug16'!X54,O64+'Aug16'!X54)</f>
        <v>0</v>
      </c>
      <c r="Y64" s="59">
        <f>IF(P64=" ",'Aug16'!Y54,P64+'Aug16'!Y54)</f>
        <v>0</v>
      </c>
      <c r="Z64" s="59">
        <f>IF(Q64=" ",'Aug16'!Z54,Q64+'Aug16'!Z54)</f>
        <v>0</v>
      </c>
      <c r="AA64" s="59">
        <f>IF(R64=" ",'Aug16'!AA54,R64+'Aug16'!AA54)</f>
        <v>0</v>
      </c>
      <c r="AB64" s="60"/>
      <c r="AC64" s="59">
        <f>IF(T64=" ",'Aug16'!AC54,T64+'Aug16'!AC54)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IF(T$59="Y",'Aug16'!H55,0)</f>
        <v>0</v>
      </c>
      <c r="I65" s="272">
        <f>IF(T$59="Y",'Aug16'!I55,0)</f>
        <v>0</v>
      </c>
      <c r="J65" s="272">
        <f>IF(T$59="Y",'Aug16'!J55,0)</f>
        <v>0</v>
      </c>
      <c r="K65" s="272">
        <f>IF(T$59="Y",'Aug16'!K55,I65*J65)</f>
        <v>0</v>
      </c>
      <c r="L65" s="273">
        <f>IF(T$59="Y",'Aug16'!L55,0)</f>
        <v>0</v>
      </c>
      <c r="M65" s="115" t="str">
        <f>IF(E65=" "," ",IF(T$59="Y",'Aug16'!M55,IF((H65+K65+L65)&gt;0,H65+K65+L65,"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IF(Employee!H$139=E$59,Employee!D$138+SUM(M65)+'Aug16'!V55,SUM(M65)+'Aug16'!V55)</f>
        <v>0</v>
      </c>
      <c r="W65" s="59">
        <f>IF(Employee!H$139=E$59,Employee!D$139+SUM(N65)+'Aug16'!W55,SUM(N65)+'Aug16'!W55)</f>
        <v>0</v>
      </c>
      <c r="X65" s="59">
        <f>IF(O65=" ",'Aug16'!X55,O65+'Aug16'!X55)</f>
        <v>0</v>
      </c>
      <c r="Y65" s="59">
        <f>IF(P65=" ",'Aug16'!Y55,P65+'Aug16'!Y55)</f>
        <v>0</v>
      </c>
      <c r="Z65" s="59">
        <f>IF(Q65=" ",'Aug16'!Z55,Q65+'Aug16'!Z55)</f>
        <v>0</v>
      </c>
      <c r="AA65" s="59">
        <f>IF(R65=" ",'Aug16'!AA55,R65+'Aug16'!AA55)</f>
        <v>0</v>
      </c>
      <c r="AB65" s="60"/>
      <c r="AC65" s="59">
        <f>IF(T65=" ",'Aug16'!AC55,T65+'Aug16'!AC55)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AD70+'Aug16'!AD65</f>
        <v>0</v>
      </c>
      <c r="AE75" s="177">
        <f>AE70+'Aug16'!AE65</f>
        <v>0</v>
      </c>
      <c r="AF75" s="177">
        <f>AF70+'Aug16'!AF65</f>
        <v>0</v>
      </c>
      <c r="AG75" s="177">
        <f>AG70+'Aug16'!AG65</f>
        <v>0</v>
      </c>
    </row>
    <row r="76" spans="1:34" ht="13.8" thickTop="1" x14ac:dyDescent="0.25"/>
    <row r="77" spans="1:34" x14ac:dyDescent="0.25">
      <c r="AD77" s="184"/>
      <c r="AE77" s="177">
        <f>AE72+'Aug16'!AE67</f>
        <v>0</v>
      </c>
      <c r="AF77" s="177">
        <f>AF72+'Aug16'!AF67</f>
        <v>0</v>
      </c>
      <c r="AG77" s="177">
        <f>AG72+'Aug16'!AG67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disablePrompts="1"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'Apr16'!H3:H6</f>
        <v>Statutory Pay</v>
      </c>
      <c r="I3" s="389" t="str">
        <f>'Apr16'!I3:I6</f>
        <v>Basic hours</v>
      </c>
      <c r="J3" s="389" t="str">
        <f>'Apr16'!J3:J6</f>
        <v>Hourly rate</v>
      </c>
      <c r="K3" s="389" t="str">
        <f>'Apr16'!K3:K6</f>
        <v>Basic    wages</v>
      </c>
      <c r="L3" s="389" t="str">
        <f>'Apr16'!L3:L6</f>
        <v>Overtime Bonus Gratuities</v>
      </c>
      <c r="M3" s="452" t="str">
        <f>'Apr16'!M3:M6</f>
        <v>GROSS WAGES</v>
      </c>
      <c r="N3" s="389" t="str">
        <f>'Apr16'!N3:N6</f>
        <v>Income Tax</v>
      </c>
      <c r="O3" s="389" t="str">
        <f>'Apr16'!O3:O6</f>
        <v>Employees National Insurance</v>
      </c>
      <c r="P3" s="389" t="str">
        <f>'Apr16'!P3:P6</f>
        <v>Student Loans</v>
      </c>
      <c r="Q3" s="389" t="str">
        <f>'Apr16'!Q3:Q6</f>
        <v>Other Deductions</v>
      </c>
      <c r="R3" s="452" t="str">
        <f>'Apr16'!R3:R6</f>
        <v>NET      PAY</v>
      </c>
      <c r="S3" s="51"/>
      <c r="T3" s="389" t="str">
        <f>'Apr16'!T3:T6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27</v>
      </c>
      <c r="F9" s="61"/>
      <c r="G9" s="61"/>
      <c r="H9" s="384" t="s">
        <v>28</v>
      </c>
      <c r="I9" s="385"/>
      <c r="J9" s="383"/>
      <c r="K9" s="231">
        <f>'Sep16'!M49+1</f>
        <v>42646</v>
      </c>
      <c r="L9" s="230" t="s">
        <v>76</v>
      </c>
      <c r="M9" s="232">
        <f>K9+6</f>
        <v>42652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IF(T$9="Y",'Sep16'!H51,0)</f>
        <v>0</v>
      </c>
      <c r="I11" s="104">
        <f>IF(T$9="Y",'Sep16'!I51,0)</f>
        <v>0</v>
      </c>
      <c r="J11" s="104">
        <f>IF(T$9="Y",'Sep16'!J51,0)</f>
        <v>0</v>
      </c>
      <c r="K11" s="104">
        <f>IF(T$9="Y",'Sep16'!K51,I11*J11)</f>
        <v>0</v>
      </c>
      <c r="L11" s="139">
        <f>IF(T$9="Y",'Sep16'!L51,0)</f>
        <v>0</v>
      </c>
      <c r="M11" s="125" t="str">
        <f>IF(E11=" "," ",IF(T$9="Y",'Sep16'!M51,IF((H11+K11+L11)&gt;0,H11+K11+L11,"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IF(Employee!H$34=E$9,Employee!D$34+SUM(M11)+'Sep16'!V51,SUM(M11)+'Sep16'!V51)</f>
        <v>0</v>
      </c>
      <c r="W11" s="59">
        <f>IF(Employee!H$34=E$9,Employee!D$35+SUM(N11)+'Sep16'!W51,SUM(N11)+'Sep16'!W51)</f>
        <v>0</v>
      </c>
      <c r="X11" s="59">
        <f>IF(O11=" ",'Sep16'!X51,O11+'Sep16'!X51)</f>
        <v>0</v>
      </c>
      <c r="Y11" s="59">
        <f>IF(P11=" ",'Sep16'!Y51,P11+'Sep16'!Y51)</f>
        <v>0</v>
      </c>
      <c r="Z11" s="59">
        <f>IF(Q11=" ",'Sep16'!Z51,Q11+'Sep16'!Z51)</f>
        <v>0</v>
      </c>
      <c r="AA11" s="59">
        <f>IF(R11=" ",'Sep16'!AA51,R11+'Sep16'!AA51)</f>
        <v>0</v>
      </c>
      <c r="AB11" s="60"/>
      <c r="AC11" s="59">
        <f>IF(T11=" ",'Sep16'!AC51,T11+'Sep16'!AC51)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IF(T$9="Y",'Sep16'!H52,0)</f>
        <v>0</v>
      </c>
      <c r="I12" s="107">
        <f>IF(T$9="Y",'Sep16'!I52,0)</f>
        <v>0</v>
      </c>
      <c r="J12" s="107">
        <f>IF(T$9="Y",'Sep16'!J52,0)</f>
        <v>0</v>
      </c>
      <c r="K12" s="107">
        <f>IF(T$9="Y",'Sep16'!K52,I12*J12)</f>
        <v>0</v>
      </c>
      <c r="L12" s="140">
        <f>IF(T$9="Y",'Sep16'!L52,0)</f>
        <v>0</v>
      </c>
      <c r="M12" s="126" t="str">
        <f>IF(E12=" "," ",IF(T$9="Y",'Sep16'!M52,IF((H12+K12+L12)&gt;0,H12+K12+L12,"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IF(Employee!H$60=E$9,Employee!D$60+SUM(M12)+'Sep16'!V52,SUM(M12)+'Sep16'!V52)</f>
        <v>0</v>
      </c>
      <c r="W12" s="59">
        <f>IF(Employee!H$60=E$9,Employee!D$61+SUM(N12)+'Sep16'!W52,SUM(N12)+'Sep16'!W52)</f>
        <v>0</v>
      </c>
      <c r="X12" s="59">
        <f>IF(O12=" ",'Sep16'!X52,O12+'Sep16'!X52)</f>
        <v>0</v>
      </c>
      <c r="Y12" s="59">
        <f>IF(P12=" ",'Sep16'!Y52,P12+'Sep16'!Y52)</f>
        <v>0</v>
      </c>
      <c r="Z12" s="59">
        <f>IF(Q12=" ",'Sep16'!Z52,Q12+'Sep16'!Z52)</f>
        <v>0</v>
      </c>
      <c r="AA12" s="59">
        <f>IF(R12=" ",'Sep16'!AA52,R12+'Sep16'!AA52)</f>
        <v>0</v>
      </c>
      <c r="AB12" s="60"/>
      <c r="AC12" s="59">
        <f>IF(T12=" ",'Sep16'!AC52,T12+'Sep16'!AC52)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IF(T$9="Y",'Sep16'!H53,0)</f>
        <v>0</v>
      </c>
      <c r="I13" s="107">
        <f>IF(T$9="Y",'Sep16'!I53,0)</f>
        <v>0</v>
      </c>
      <c r="J13" s="107">
        <f>IF(T$9="Y",'Sep16'!J53,0)</f>
        <v>0</v>
      </c>
      <c r="K13" s="107">
        <f>IF(T$9="Y",'Sep16'!K53,I13*J13)</f>
        <v>0</v>
      </c>
      <c r="L13" s="140">
        <f>IF(T$9="Y",'Sep16'!L53,0)</f>
        <v>0</v>
      </c>
      <c r="M13" s="126" t="str">
        <f>IF(E13=" "," ",IF(T$9="Y",'Sep16'!M53,IF((H13+K13+L13)&gt;0,H13+K13+L13,"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IF(Employee!H$86=E$9,Employee!D$86+SUM(M13)+'Sep16'!V53,SUM(M13)+'Sep16'!V53)</f>
        <v>0</v>
      </c>
      <c r="W13" s="59">
        <f>IF(Employee!H$86=E$9,Employee!D$87+SUM(N13)+'Sep16'!W53,SUM(N13)+'Sep16'!W53)</f>
        <v>0</v>
      </c>
      <c r="X13" s="59">
        <f>IF(O13=" ",'Sep16'!X53,O13+'Sep16'!X53)</f>
        <v>0</v>
      </c>
      <c r="Y13" s="59">
        <f>IF(P13=" ",'Sep16'!Y53,P13+'Sep16'!Y53)</f>
        <v>0</v>
      </c>
      <c r="Z13" s="59">
        <f>IF(Q13=" ",'Sep16'!Z53,Q13+'Sep16'!Z53)</f>
        <v>0</v>
      </c>
      <c r="AA13" s="59">
        <f>IF(R13=" ",'Sep16'!AA53,R13+'Sep16'!AA53)</f>
        <v>0</v>
      </c>
      <c r="AB13" s="60"/>
      <c r="AC13" s="59">
        <f>IF(T13=" ",'Sep16'!AC53,T13+'Sep16'!AC53)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IF(T$9="Y",'Sep16'!H54,0)</f>
        <v>0</v>
      </c>
      <c r="I14" s="107">
        <f>IF(T$9="Y",'Sep16'!I54,0)</f>
        <v>0</v>
      </c>
      <c r="J14" s="107">
        <f>IF(T$9="Y",'Sep16'!J54,0)</f>
        <v>0</v>
      </c>
      <c r="K14" s="107">
        <f>IF(T$9="Y",'Sep16'!K54,I14*J14)</f>
        <v>0</v>
      </c>
      <c r="L14" s="140">
        <f>IF(T$9="Y",'Sep16'!L54,0)</f>
        <v>0</v>
      </c>
      <c r="M14" s="126" t="str">
        <f>IF(E14=" "," ",IF(T$9="Y",'Sep16'!M54,IF((H14+K14+L14)&gt;0,H14+K14+L14,"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IF(Employee!H$112=E$9,Employee!D$112+SUM(M14)+'Sep16'!V54,SUM(M14)+'Sep16'!V54)</f>
        <v>0</v>
      </c>
      <c r="W14" s="59">
        <f>IF(Employee!H$112=E$9,Employee!D$113+SUM(N14)+'Sep16'!W54,SUM(N14)+'Sep16'!W54)</f>
        <v>0</v>
      </c>
      <c r="X14" s="59">
        <f>IF(O14=" ",'Sep16'!X54,O14+'Sep16'!X54)</f>
        <v>0</v>
      </c>
      <c r="Y14" s="59">
        <f>IF(P14=" ",'Sep16'!Y54,P14+'Sep16'!Y54)</f>
        <v>0</v>
      </c>
      <c r="Z14" s="59">
        <f>IF(Q14=" ",'Sep16'!Z54,Q14+'Sep16'!Z54)</f>
        <v>0</v>
      </c>
      <c r="AA14" s="59">
        <f>IF(R14=" ",'Sep16'!AA54,R14+'Sep16'!AA54)</f>
        <v>0</v>
      </c>
      <c r="AB14" s="60"/>
      <c r="AC14" s="59">
        <f>IF(T14=" ",'Sep16'!AC54,T14+'Sep16'!AC54)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IF(T$9="Y",'Sep16'!H55,0)</f>
        <v>0</v>
      </c>
      <c r="I15" s="272">
        <f>IF(T$9="Y",'Sep16'!I55,0)</f>
        <v>0</v>
      </c>
      <c r="J15" s="272">
        <f>IF(T$9="Y",'Sep16'!J55,0)</f>
        <v>0</v>
      </c>
      <c r="K15" s="272">
        <f>IF(T$9="Y",'Sep16'!K55,I15*J15)</f>
        <v>0</v>
      </c>
      <c r="L15" s="273">
        <f>IF(T$9="Y",'Sep16'!L55,0)</f>
        <v>0</v>
      </c>
      <c r="M15" s="126" t="str">
        <f>IF(E15=" "," ",IF(T$9="Y",'Sep16'!M55,IF((H15+K15+L15)&gt;0,H15+K15+L15,"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IF(Employee!H$138=E$9,Employee!D$138+SUM(M15)+'Sep16'!V55,SUM(M15)+'Sep16'!V55)</f>
        <v>0</v>
      </c>
      <c r="W15" s="59">
        <f>IF(Employee!H$138=E$9,Employee!D$139+SUM(N15)+'Sep16'!W55,SUM(N15)+'Sep16'!W55)</f>
        <v>0</v>
      </c>
      <c r="X15" s="59">
        <f>IF(O15=" ",'Sep16'!X55,O15+'Sep16'!X55)</f>
        <v>0</v>
      </c>
      <c r="Y15" s="59">
        <f>IF(P15=" ",'Sep16'!Y55,P15+'Sep16'!Y55)</f>
        <v>0</v>
      </c>
      <c r="Z15" s="59">
        <f>IF(Q15=" ",'Sep16'!Z55,Q15+'Sep16'!Z55)</f>
        <v>0</v>
      </c>
      <c r="AA15" s="59">
        <f>IF(R15=" ",'Sep16'!AA55,R15+'Sep16'!AA55)</f>
        <v>0</v>
      </c>
      <c r="AB15" s="60"/>
      <c r="AC15" s="59">
        <f>IF(T15=" ",'Sep16'!AC55,T15+'Sep16'!AC55)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28</v>
      </c>
      <c r="F19" s="61"/>
      <c r="G19" s="61"/>
      <c r="H19" s="384" t="s">
        <v>28</v>
      </c>
      <c r="I19" s="385"/>
      <c r="J19" s="383"/>
      <c r="K19" s="231">
        <f>M9+1</f>
        <v>42653</v>
      </c>
      <c r="L19" s="230" t="s">
        <v>76</v>
      </c>
      <c r="M19" s="232">
        <f>K19+6</f>
        <v>42659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29</v>
      </c>
      <c r="F29" s="61"/>
      <c r="G29" s="61"/>
      <c r="H29" s="384" t="s">
        <v>28</v>
      </c>
      <c r="I29" s="385"/>
      <c r="J29" s="383"/>
      <c r="K29" s="231">
        <f>M19+1</f>
        <v>42660</v>
      </c>
      <c r="L29" s="230" t="s">
        <v>76</v>
      </c>
      <c r="M29" s="232">
        <f>K29+6</f>
        <v>42666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30</v>
      </c>
      <c r="F39" s="61"/>
      <c r="G39" s="61"/>
      <c r="H39" s="384" t="s">
        <v>28</v>
      </c>
      <c r="I39" s="466"/>
      <c r="J39" s="467"/>
      <c r="K39" s="231">
        <f>M29+1</f>
        <v>42667</v>
      </c>
      <c r="L39" s="230" t="s">
        <v>76</v>
      </c>
      <c r="M39" s="232">
        <f>K39+6</f>
        <v>42673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7</v>
      </c>
      <c r="F49" s="61"/>
      <c r="G49" s="61"/>
      <c r="H49" s="384" t="s">
        <v>28</v>
      </c>
      <c r="I49" s="385"/>
      <c r="J49" s="383"/>
      <c r="K49" s="231">
        <f>Admin!B185</f>
        <v>42649</v>
      </c>
      <c r="L49" s="230" t="s">
        <v>76</v>
      </c>
      <c r="M49" s="232">
        <f>Admin!B215</f>
        <v>42679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IF(T$49="Y",'Sep16'!H61,0)</f>
        <v>0</v>
      </c>
      <c r="I51" s="104">
        <f>IF(T$49="Y",'Sep16'!I61,0)</f>
        <v>0</v>
      </c>
      <c r="J51" s="104">
        <f>IF(T$49="Y",'Sep16'!J61,0)</f>
        <v>0</v>
      </c>
      <c r="K51" s="104">
        <f>IF(T$49="Y",'Sep16'!K61,I51*J51)</f>
        <v>0</v>
      </c>
      <c r="L51" s="139">
        <f>IF(T$49="Y",'Sep16'!L61,0)</f>
        <v>0</v>
      </c>
      <c r="M51" s="114" t="str">
        <f>IF(E51=" "," ",IF(T$49="Y",'Sep16'!M61,IF((H51+K51+L51)&gt;0,H51+K51+L51,"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IF(Employee!H$35=E$49,Employee!D$34+SUM(M51)+'Sep16'!V61,SUM(M51)+'Sep16'!V61)</f>
        <v>0</v>
      </c>
      <c r="W51" s="59">
        <f>IF(Employee!H$35=E$49,Employee!D$35+SUM(N51)+'Sep16'!W61,SUM(N51)+'Sep16'!W61)</f>
        <v>0</v>
      </c>
      <c r="X51" s="59">
        <f>IF(O51=" ",'Sep16'!X61,O51+'Sep16'!X61)</f>
        <v>0</v>
      </c>
      <c r="Y51" s="59">
        <f>IF(P51=" ",'Sep16'!Y61,P51+'Sep16'!Y61)</f>
        <v>0</v>
      </c>
      <c r="Z51" s="59">
        <f>IF(Q51=" ",'Sep16'!Z61,Q51+'Sep16'!Z61)</f>
        <v>0</v>
      </c>
      <c r="AA51" s="59">
        <f>IF(R51=" ",'Sep16'!AA61,R51+'Sep16'!AA61)</f>
        <v>0</v>
      </c>
      <c r="AB51" s="60"/>
      <c r="AC51" s="59">
        <f>IF(T51=" ",'Sep16'!AC61,T51+'Sep16'!AC61)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IF(T$49="Y",'Sep16'!H62,0)</f>
        <v>0</v>
      </c>
      <c r="I52" s="107">
        <f>IF(T$49="Y",'Sep16'!I62,0)</f>
        <v>0</v>
      </c>
      <c r="J52" s="107">
        <f>IF(T$49="Y",'Sep16'!J62,0)</f>
        <v>0</v>
      </c>
      <c r="K52" s="107">
        <f>IF(T$49="Y",'Sep16'!K62,I52*J52)</f>
        <v>0</v>
      </c>
      <c r="L52" s="140">
        <f>IF(T$49="Y",'Sep16'!L62,0)</f>
        <v>0</v>
      </c>
      <c r="M52" s="115" t="str">
        <f>IF(E52=" "," ",IF(T$49="Y",'Sep16'!M62,IF((H52+K52+L52)&gt;0,H52+K52+L52,"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IF(Employee!H$61=E$49,Employee!D$60+SUM(M52)+'Sep16'!V62,SUM(M52)+'Sep16'!V62)</f>
        <v>0</v>
      </c>
      <c r="W52" s="59">
        <f>IF(Employee!H$61=E$49,Employee!D$61+SUM(N52)+'Sep16'!W62,SUM(N52)+'Sep16'!W62)</f>
        <v>0</v>
      </c>
      <c r="X52" s="59">
        <f>IF(O52=" ",'Sep16'!X62,O52+'Sep16'!X62)</f>
        <v>0</v>
      </c>
      <c r="Y52" s="59">
        <f>IF(P52=" ",'Sep16'!Y62,P52+'Sep16'!Y62)</f>
        <v>0</v>
      </c>
      <c r="Z52" s="59">
        <f>IF(Q52=" ",'Sep16'!Z62,Q52+'Sep16'!Z62)</f>
        <v>0</v>
      </c>
      <c r="AA52" s="59">
        <f>IF(R52=" ",'Sep16'!AA62,R52+'Sep16'!AA62)</f>
        <v>0</v>
      </c>
      <c r="AB52" s="60"/>
      <c r="AC52" s="59">
        <f>IF(T52=" ",'Sep16'!AC62,T52+'Sep16'!AC62)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IF(T$49="Y",'Sep16'!H63,0)</f>
        <v>0</v>
      </c>
      <c r="I53" s="107">
        <f>IF(T$49="Y",'Sep16'!I63,0)</f>
        <v>0</v>
      </c>
      <c r="J53" s="107">
        <f>IF(T$49="Y",'Sep16'!J63,0)</f>
        <v>0</v>
      </c>
      <c r="K53" s="107">
        <f>IF(T$49="Y",'Sep16'!K63,I53*J53)</f>
        <v>0</v>
      </c>
      <c r="L53" s="140">
        <f>IF(T$49="Y",'Sep16'!L63,0)</f>
        <v>0</v>
      </c>
      <c r="M53" s="115" t="str">
        <f>IF(E53=" "," ",IF(T$49="Y",'Sep16'!M63,IF((H53+K53+L53)&gt;0,H53+K53+L53,"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IF(Employee!H$87=E$49,Employee!D$86+SUM(M53)+'Sep16'!V63,SUM(M53)+'Sep16'!V63)</f>
        <v>0</v>
      </c>
      <c r="W53" s="59">
        <f>IF(Employee!H$87=E$49,Employee!D$87+SUM(N53)+'Sep16'!W63,SUM(N53)+'Sep16'!W63)</f>
        <v>0</v>
      </c>
      <c r="X53" s="59">
        <f>IF(O53=" ",'Sep16'!X63,O53+'Sep16'!X63)</f>
        <v>0</v>
      </c>
      <c r="Y53" s="59">
        <f>IF(P53=" ",'Sep16'!Y63,P53+'Sep16'!Y63)</f>
        <v>0</v>
      </c>
      <c r="Z53" s="59">
        <f>IF(Q53=" ",'Sep16'!Z63,Q53+'Sep16'!Z63)</f>
        <v>0</v>
      </c>
      <c r="AA53" s="59">
        <f>IF(R53=" ",'Sep16'!AA63,R53+'Sep16'!AA63)</f>
        <v>0</v>
      </c>
      <c r="AB53" s="60"/>
      <c r="AC53" s="59">
        <f>IF(T53=" ",'Sep16'!AC63,T53+'Sep16'!AC63)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IF(T$49="Y",'Sep16'!H64,0)</f>
        <v>0</v>
      </c>
      <c r="I54" s="107">
        <f>IF(T$49="Y",'Sep16'!I64,0)</f>
        <v>0</v>
      </c>
      <c r="J54" s="107">
        <f>IF(T$49="Y",'Sep16'!J64,0)</f>
        <v>0</v>
      </c>
      <c r="K54" s="107">
        <f>IF(T$49="Y",'Sep16'!K64,I54*J54)</f>
        <v>0</v>
      </c>
      <c r="L54" s="140">
        <f>IF(T$49="Y",'Sep16'!L64,0)</f>
        <v>0</v>
      </c>
      <c r="M54" s="115" t="str">
        <f>IF(E54=" "," ",IF(T$49="Y",'Sep16'!M64,IF((H54+K54+L54)&gt;0,H54+K54+L54,"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IF(Employee!H$113=E$49,Employee!D$112+SUM(M54)+'Sep16'!V64,SUM(M54)+'Sep16'!V64)</f>
        <v>0</v>
      </c>
      <c r="W54" s="59">
        <f>IF(Employee!H$113=E$49,Employee!D$113+SUM(N54)+'Sep16'!W64,SUM(N54)+'Sep16'!W64)</f>
        <v>0</v>
      </c>
      <c r="X54" s="59">
        <f>IF(O54=" ",'Sep16'!X64,O54+'Sep16'!X64)</f>
        <v>0</v>
      </c>
      <c r="Y54" s="59">
        <f>IF(P54=" ",'Sep16'!Y64,P54+'Sep16'!Y64)</f>
        <v>0</v>
      </c>
      <c r="Z54" s="59">
        <f>IF(Q54=" ",'Sep16'!Z64,Q54+'Sep16'!Z64)</f>
        <v>0</v>
      </c>
      <c r="AA54" s="59">
        <f>IF(R54=" ",'Sep16'!AA64,R54+'Sep16'!AA64)</f>
        <v>0</v>
      </c>
      <c r="AB54" s="60"/>
      <c r="AC54" s="59">
        <f>IF(T54=" ",'Sep16'!AC64,T54+'Sep16'!AC64)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IF(T$49="Y",'Sep16'!H65,0)</f>
        <v>0</v>
      </c>
      <c r="I55" s="272">
        <f>IF(T$49="Y",'Sep16'!I65,0)</f>
        <v>0</v>
      </c>
      <c r="J55" s="272">
        <f>IF(T$49="Y",'Sep16'!J65,0)</f>
        <v>0</v>
      </c>
      <c r="K55" s="272">
        <f>IF(T$49="Y",'Sep16'!K65,I55*J55)</f>
        <v>0</v>
      </c>
      <c r="L55" s="273">
        <f>IF(T$49="Y",'Sep16'!L65,0)</f>
        <v>0</v>
      </c>
      <c r="M55" s="115" t="str">
        <f>IF(E55=" "," ",IF(T$49="Y",'Sep16'!M65,IF((H55+K55+L55)&gt;0,H55+K55+L55,"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IF(Employee!H$139=E$49,Employee!D$138+SUM(M55)+'Sep16'!V65,SUM(M55)+'Sep16'!V65)</f>
        <v>0</v>
      </c>
      <c r="W55" s="59">
        <f>IF(Employee!H$139=E$49,Employee!D$139+SUM(N55)+'Sep16'!W65,SUM(N55)+'Sep16'!W65)</f>
        <v>0</v>
      </c>
      <c r="X55" s="59">
        <f>IF(O55=" ",'Sep16'!X65,O55+'Sep16'!X65)</f>
        <v>0</v>
      </c>
      <c r="Y55" s="59">
        <f>IF(P55=" ",'Sep16'!Y65,P55+'Sep16'!Y65)</f>
        <v>0</v>
      </c>
      <c r="Z55" s="59">
        <f>IF(Q55=" ",'Sep16'!Z65,Q55+'Sep16'!Z65)</f>
        <v>0</v>
      </c>
      <c r="AA55" s="59">
        <f>IF(R55=" ",'Sep16'!AA65,R55+'Sep16'!AA65)</f>
        <v>0</v>
      </c>
      <c r="AB55" s="60"/>
      <c r="AC55" s="59">
        <f>IF(T55=" ",'Sep16'!AC65,T55+'Sep16'!AC65)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AD60+'Sep16'!AD75</f>
        <v>0</v>
      </c>
      <c r="AE65" s="177">
        <f>AE60+'Sep16'!AE75</f>
        <v>0</v>
      </c>
      <c r="AF65" s="177">
        <f>AF60+'Sep16'!AF75</f>
        <v>0</v>
      </c>
      <c r="AG65" s="177">
        <f>AG60+'Sep16'!AG75</f>
        <v>0</v>
      </c>
    </row>
    <row r="66" spans="6:33" ht="13.8" thickTop="1" x14ac:dyDescent="0.25"/>
    <row r="67" spans="6:33" x14ac:dyDescent="0.25">
      <c r="AD67" s="184"/>
      <c r="AE67" s="177">
        <f>AE62+'Sep16'!AE77</f>
        <v>0</v>
      </c>
      <c r="AF67" s="177">
        <f>AF62+'Sep16'!AF77</f>
        <v>0</v>
      </c>
      <c r="AG67" s="177">
        <f>AG62+'Sep16'!AG77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'Apr16'!H3:H6</f>
        <v>Statutory Pay</v>
      </c>
      <c r="I3" s="389" t="str">
        <f>'Apr16'!I3:I6</f>
        <v>Basic hours</v>
      </c>
      <c r="J3" s="389" t="str">
        <f>'Apr16'!J3:J6</f>
        <v>Hourly rate</v>
      </c>
      <c r="K3" s="389" t="str">
        <f>'Apr16'!K3:K6</f>
        <v>Basic    wages</v>
      </c>
      <c r="L3" s="389" t="str">
        <f>'Apr16'!L3:L6</f>
        <v>Overtime Bonus Gratuities</v>
      </c>
      <c r="M3" s="452" t="str">
        <f>'Apr16'!M3:M6</f>
        <v>GROSS WAGES</v>
      </c>
      <c r="N3" s="389" t="str">
        <f>'Apr16'!N3:N6</f>
        <v>Income Tax</v>
      </c>
      <c r="O3" s="389" t="str">
        <f>'Apr16'!O3:O6</f>
        <v>Employees National Insurance</v>
      </c>
      <c r="P3" s="389" t="str">
        <f>'Apr16'!P3:P6</f>
        <v>Student Loans</v>
      </c>
      <c r="Q3" s="389" t="str">
        <f>'Apr16'!Q3:Q6</f>
        <v>Other Deductions</v>
      </c>
      <c r="R3" s="452" t="str">
        <f>'Apr16'!R3:R6</f>
        <v>NET      PAY</v>
      </c>
      <c r="S3" s="51"/>
      <c r="T3" s="389" t="str">
        <f>'Apr16'!T3:T6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31</v>
      </c>
      <c r="F9" s="61"/>
      <c r="G9" s="61"/>
      <c r="H9" s="384" t="s">
        <v>28</v>
      </c>
      <c r="I9" s="385"/>
      <c r="J9" s="383"/>
      <c r="K9" s="231">
        <f>'Oct16'!M39+1</f>
        <v>42674</v>
      </c>
      <c r="L9" s="230" t="s">
        <v>76</v>
      </c>
      <c r="M9" s="232">
        <f>K9+6</f>
        <v>42680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IF(T$9="Y",'Oct16'!H41,0)</f>
        <v>0</v>
      </c>
      <c r="I11" s="104">
        <f>IF(T$9="Y",'Oct16'!I41,0)</f>
        <v>0</v>
      </c>
      <c r="J11" s="104">
        <f>IF(T$9="Y",'Oct16'!J41,0)</f>
        <v>0</v>
      </c>
      <c r="K11" s="104">
        <f>IF(T$9="Y",'Oct16'!K41,I11*J11)</f>
        <v>0</v>
      </c>
      <c r="L11" s="139">
        <f>IF(T$9="Y",'Oct16'!L41,0)</f>
        <v>0</v>
      </c>
      <c r="M11" s="125" t="str">
        <f>IF(E11=" "," ",IF(T$9="Y",'Oct16'!M41,IF((H11+K11+L11)&gt;0,H11+K11+L11,"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IF(Employee!H$34=E$9,Employee!D$34+SUM(M11)+'Oct16'!V41,SUM(M11)+'Oct16'!V41)</f>
        <v>0</v>
      </c>
      <c r="W11" s="59">
        <f>IF(Employee!H$34=E$9,Employee!D$35+SUM(N11)+'Oct16'!W41,SUM(N11)+'Oct16'!W41)</f>
        <v>0</v>
      </c>
      <c r="X11" s="59">
        <f>IF(O11=" ",'Oct16'!X41,O11+'Oct16'!X41)</f>
        <v>0</v>
      </c>
      <c r="Y11" s="59">
        <f>IF(P11=" ",'Oct16'!Y41,P11+'Oct16'!Y41)</f>
        <v>0</v>
      </c>
      <c r="Z11" s="59">
        <f>IF(Q11=" ",'Oct16'!Z41,Q11+'Oct16'!Z41)</f>
        <v>0</v>
      </c>
      <c r="AA11" s="59">
        <f>IF(R11=" ",'Oct16'!AA41,R11+'Oct16'!AA41)</f>
        <v>0</v>
      </c>
      <c r="AB11" s="60"/>
      <c r="AC11" s="59">
        <f>IF(T11=" ",'Oct16'!AC41,T11+'Oct16'!AC41)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IF(T$9="Y",'Oct16'!H42,0)</f>
        <v>0</v>
      </c>
      <c r="I12" s="107">
        <f>IF(T$9="Y",'Oct16'!I42,0)</f>
        <v>0</v>
      </c>
      <c r="J12" s="107">
        <f>IF(T$9="Y",'Oct16'!J42,0)</f>
        <v>0</v>
      </c>
      <c r="K12" s="107">
        <f>IF(T$9="Y",'Oct16'!K42,I12*J12)</f>
        <v>0</v>
      </c>
      <c r="L12" s="140">
        <f>IF(T$9="Y",'Oct16'!L42,0)</f>
        <v>0</v>
      </c>
      <c r="M12" s="126" t="str">
        <f>IF(E12=" "," ",IF(T$9="Y",'Oct16'!M42,IF((H12+K12+L12)&gt;0,H12+K12+L12,"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IF(Employee!H$60=E$9,Employee!D$60+SUM(M12)+'Oct16'!V42,SUM(M12)+'Oct16'!V42)</f>
        <v>0</v>
      </c>
      <c r="W12" s="59">
        <f>IF(Employee!H$60=E$9,Employee!D$61+SUM(N12)+'Oct16'!W42,SUM(N12)+'Oct16'!W42)</f>
        <v>0</v>
      </c>
      <c r="X12" s="59">
        <f>IF(O12=" ",'Oct16'!X42,O12+'Oct16'!X42)</f>
        <v>0</v>
      </c>
      <c r="Y12" s="59">
        <f>IF(P12=" ",'Oct16'!Y42,P12+'Oct16'!Y42)</f>
        <v>0</v>
      </c>
      <c r="Z12" s="59">
        <f>IF(Q12=" ",'Oct16'!Z42,Q12+'Oct16'!Z42)</f>
        <v>0</v>
      </c>
      <c r="AA12" s="59">
        <f>IF(R12=" ",'Oct16'!AA42,R12+'Oct16'!AA42)</f>
        <v>0</v>
      </c>
      <c r="AB12" s="60"/>
      <c r="AC12" s="59">
        <f>IF(T12=" ",'Oct16'!AC42,T12+'Oct16'!AC42)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IF(T$9="Y",'Oct16'!H43,0)</f>
        <v>0</v>
      </c>
      <c r="I13" s="107">
        <f>IF(T$9="Y",'Oct16'!I43,0)</f>
        <v>0</v>
      </c>
      <c r="J13" s="107">
        <f>IF(T$9="Y",'Oct16'!J43,0)</f>
        <v>0</v>
      </c>
      <c r="K13" s="107">
        <f>IF(T$9="Y",'Oct16'!K43,I13*J13)</f>
        <v>0</v>
      </c>
      <c r="L13" s="140">
        <f>IF(T$9="Y",'Oct16'!L43,0)</f>
        <v>0</v>
      </c>
      <c r="M13" s="126" t="str">
        <f>IF(E13=" "," ",IF(T$9="Y",'Oct16'!M43,IF((H13+K13+L13)&gt;0,H13+K13+L13,"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IF(Employee!H$86=E$9,Employee!D$86+SUM(M13)+'Oct16'!V43,SUM(M13)+'Oct16'!V43)</f>
        <v>0</v>
      </c>
      <c r="W13" s="59">
        <f>IF(Employee!H$86=E$9,Employee!D$87+SUM(N13)+'Oct16'!W43,SUM(N13)+'Oct16'!W43)</f>
        <v>0</v>
      </c>
      <c r="X13" s="59">
        <f>IF(O13=" ",'Oct16'!X43,O13+'Oct16'!X43)</f>
        <v>0</v>
      </c>
      <c r="Y13" s="59">
        <f>IF(P13=" ",'Oct16'!Y43,P13+'Oct16'!Y43)</f>
        <v>0</v>
      </c>
      <c r="Z13" s="59">
        <f>IF(Q13=" ",'Oct16'!Z43,Q13+'Oct16'!Z43)</f>
        <v>0</v>
      </c>
      <c r="AA13" s="59">
        <f>IF(R13=" ",'Oct16'!AA43,R13+'Oct16'!AA43)</f>
        <v>0</v>
      </c>
      <c r="AB13" s="60"/>
      <c r="AC13" s="59">
        <f>IF(T13=" ",'Oct16'!AC43,T13+'Oct16'!AC43)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IF(T$9="Y",'Oct16'!H44,0)</f>
        <v>0</v>
      </c>
      <c r="I14" s="107">
        <f>IF(T$9="Y",'Oct16'!I44,0)</f>
        <v>0</v>
      </c>
      <c r="J14" s="107">
        <f>IF(T$9="Y",'Oct16'!J44,0)</f>
        <v>0</v>
      </c>
      <c r="K14" s="107">
        <f>IF(T$9="Y",'Oct16'!K44,I14*J14)</f>
        <v>0</v>
      </c>
      <c r="L14" s="140">
        <f>IF(T$9="Y",'Oct16'!L44,0)</f>
        <v>0</v>
      </c>
      <c r="M14" s="126" t="str">
        <f>IF(E14=" "," ",IF(T$9="Y",'Oct16'!M44,IF((H14+K14+L14)&gt;0,H14+K14+L14,"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IF(Employee!H$112=E$9,Employee!D$112+SUM(M14)+'Oct16'!V44,SUM(M14)+'Oct16'!V44)</f>
        <v>0</v>
      </c>
      <c r="W14" s="59">
        <f>IF(Employee!H$112=E$9,Employee!D$113+SUM(N14)+'Oct16'!W44,SUM(N14)+'Oct16'!W44)</f>
        <v>0</v>
      </c>
      <c r="X14" s="59">
        <f>IF(O14=" ",'Oct16'!X44,O14+'Oct16'!X44)</f>
        <v>0</v>
      </c>
      <c r="Y14" s="59">
        <f>IF(P14=" ",'Oct16'!Y44,P14+'Oct16'!Y44)</f>
        <v>0</v>
      </c>
      <c r="Z14" s="59">
        <f>IF(Q14=" ",'Oct16'!Z44,Q14+'Oct16'!Z44)</f>
        <v>0</v>
      </c>
      <c r="AA14" s="59">
        <f>IF(R14=" ",'Oct16'!AA44,R14+'Oct16'!AA44)</f>
        <v>0</v>
      </c>
      <c r="AB14" s="60"/>
      <c r="AC14" s="59">
        <f>IF(T14=" ",'Oct16'!AC44,T14+'Oct16'!AC44)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IF(T$9="Y",'Oct16'!H45,0)</f>
        <v>0</v>
      </c>
      <c r="I15" s="272">
        <f>IF(T$9="Y",'Oct16'!I45,0)</f>
        <v>0</v>
      </c>
      <c r="J15" s="272">
        <f>IF(T$9="Y",'Oct16'!J45,0)</f>
        <v>0</v>
      </c>
      <c r="K15" s="272">
        <f>IF(T$9="Y",'Oct16'!K45,I15*J15)</f>
        <v>0</v>
      </c>
      <c r="L15" s="273">
        <f>IF(T$9="Y",'Oct16'!L45,0)</f>
        <v>0</v>
      </c>
      <c r="M15" s="126" t="str">
        <f>IF(E15=" "," ",IF(T$9="Y",'Oct16'!M45,IF((H15+K15+L15)&gt;0,H15+K15+L15,"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IF(Employee!H$138=E$9,Employee!D$138+SUM(M15)+'Oct16'!V45,SUM(M15)+'Oct16'!V45)</f>
        <v>0</v>
      </c>
      <c r="W15" s="59">
        <f>IF(Employee!H$138=E$9,Employee!D$139+SUM(N15)+'Oct16'!W45,SUM(N15)+'Oct16'!W45)</f>
        <v>0</v>
      </c>
      <c r="X15" s="59">
        <f>IF(O15=" ",'Oct16'!X45,O15+'Oct16'!X45)</f>
        <v>0</v>
      </c>
      <c r="Y15" s="59">
        <f>IF(P15=" ",'Oct16'!Y45,P15+'Oct16'!Y45)</f>
        <v>0</v>
      </c>
      <c r="Z15" s="59">
        <f>IF(Q15=" ",'Oct16'!Z45,Q15+'Oct16'!Z45)</f>
        <v>0</v>
      </c>
      <c r="AA15" s="59">
        <f>IF(R15=" ",'Oct16'!AA45,R15+'Oct16'!AA45)</f>
        <v>0</v>
      </c>
      <c r="AB15" s="60"/>
      <c r="AC15" s="59">
        <f>IF(T15=" ",'Oct16'!AC45,T15+'Oct16'!AC45)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32</v>
      </c>
      <c r="F19" s="61"/>
      <c r="G19" s="61"/>
      <c r="H19" s="384" t="s">
        <v>28</v>
      </c>
      <c r="I19" s="385"/>
      <c r="J19" s="383"/>
      <c r="K19" s="231">
        <f>M9+1</f>
        <v>42681</v>
      </c>
      <c r="L19" s="230" t="s">
        <v>76</v>
      </c>
      <c r="M19" s="232">
        <f>K19+6</f>
        <v>42687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33</v>
      </c>
      <c r="F29" s="61"/>
      <c r="G29" s="61"/>
      <c r="H29" s="384" t="s">
        <v>28</v>
      </c>
      <c r="I29" s="385"/>
      <c r="J29" s="383"/>
      <c r="K29" s="231">
        <f>M19+1</f>
        <v>42688</v>
      </c>
      <c r="L29" s="230" t="s">
        <v>76</v>
      </c>
      <c r="M29" s="232">
        <f>K29+6</f>
        <v>42694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34</v>
      </c>
      <c r="F39" s="61"/>
      <c r="G39" s="61"/>
      <c r="H39" s="384" t="s">
        <v>28</v>
      </c>
      <c r="I39" s="466"/>
      <c r="J39" s="467"/>
      <c r="K39" s="231">
        <f>M29+1</f>
        <v>42695</v>
      </c>
      <c r="L39" s="230" t="s">
        <v>76</v>
      </c>
      <c r="M39" s="232">
        <f>K39+6</f>
        <v>42701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8</v>
      </c>
      <c r="F49" s="61"/>
      <c r="G49" s="61"/>
      <c r="H49" s="384" t="s">
        <v>28</v>
      </c>
      <c r="I49" s="385"/>
      <c r="J49" s="383"/>
      <c r="K49" s="231">
        <f>Admin!B216</f>
        <v>42680</v>
      </c>
      <c r="L49" s="230" t="s">
        <v>76</v>
      </c>
      <c r="M49" s="232">
        <f>Admin!B245</f>
        <v>42709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IF(T$49="Y",'Oct16'!H51,0)</f>
        <v>0</v>
      </c>
      <c r="I51" s="104">
        <f>IF(T$49="Y",'Oct16'!I51,0)</f>
        <v>0</v>
      </c>
      <c r="J51" s="104">
        <f>IF(T$49="Y",'Oct16'!J51,0)</f>
        <v>0</v>
      </c>
      <c r="K51" s="104">
        <f>IF(T$49="Y",'Oct16'!K51,I51*J51)</f>
        <v>0</v>
      </c>
      <c r="L51" s="139">
        <f>IF(T$49="Y",'Oct16'!L51,0)</f>
        <v>0</v>
      </c>
      <c r="M51" s="114" t="str">
        <f>IF(E51=" "," ",IF(T$49="Y",'Oct16'!M51,IF((H51+K51+L51)&gt;0,H51+K51+L51,"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IF(Employee!H$35=E$49,Employee!D$34+SUM(M51)+'Oct16'!V51,SUM(M51)+'Oct16'!V51)</f>
        <v>0</v>
      </c>
      <c r="W51" s="59">
        <f>IF(Employee!H$35=E$49,Employee!D$35+SUM(N51)+'Oct16'!W51,SUM(N51)+'Oct16'!W51)</f>
        <v>0</v>
      </c>
      <c r="X51" s="59">
        <f>IF(O51=" ",'Oct16'!X51,O51+'Oct16'!X51)</f>
        <v>0</v>
      </c>
      <c r="Y51" s="59">
        <f>IF(P51=" ",'Oct16'!Y51,P51+'Oct16'!Y51)</f>
        <v>0</v>
      </c>
      <c r="Z51" s="59">
        <f>IF(Q51=" ",'Oct16'!Z51,Q51+'Oct16'!Z51)</f>
        <v>0</v>
      </c>
      <c r="AA51" s="59">
        <f>IF(R51=" ",'Oct16'!AA51,R51+'Oct16'!AA51)</f>
        <v>0</v>
      </c>
      <c r="AB51" s="60"/>
      <c r="AC51" s="59">
        <f>IF(T51=" ",'Oct16'!AC51,T51+'Oct16'!AC51)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IF(T$49="Y",'Oct16'!H52,0)</f>
        <v>0</v>
      </c>
      <c r="I52" s="107">
        <f>IF(T$49="Y",'Oct16'!I52,0)</f>
        <v>0</v>
      </c>
      <c r="J52" s="107">
        <f>IF(T$49="Y",'Oct16'!J52,0)</f>
        <v>0</v>
      </c>
      <c r="K52" s="107">
        <f>IF(T$49="Y",'Oct16'!K52,I52*J52)</f>
        <v>0</v>
      </c>
      <c r="L52" s="140">
        <f>IF(T$49="Y",'Oct16'!L52,0)</f>
        <v>0</v>
      </c>
      <c r="M52" s="115" t="str">
        <f>IF(E52=" "," ",IF(T$49="Y",'Oct16'!M52,IF((H52+K52+L52)&gt;0,H52+K52+L52,"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IF(Employee!H$61=E$49,Employee!D$60+SUM(M52)+'Oct16'!V52,SUM(M52)+'Oct16'!V52)</f>
        <v>0</v>
      </c>
      <c r="W52" s="59">
        <f>IF(Employee!H$61=E$49,Employee!D$61+SUM(N52)+'Oct16'!W52,SUM(N52)+'Oct16'!W52)</f>
        <v>0</v>
      </c>
      <c r="X52" s="59">
        <f>IF(O52=" ",'Oct16'!X52,O52+'Oct16'!X52)</f>
        <v>0</v>
      </c>
      <c r="Y52" s="59">
        <f>IF(P52=" ",'Oct16'!Y52,P52+'Oct16'!Y52)</f>
        <v>0</v>
      </c>
      <c r="Z52" s="59">
        <f>IF(Q52=" ",'Oct16'!Z52,Q52+'Oct16'!Z52)</f>
        <v>0</v>
      </c>
      <c r="AA52" s="59">
        <f>IF(R52=" ",'Oct16'!AA52,R52+'Oct16'!AA52)</f>
        <v>0</v>
      </c>
      <c r="AB52" s="60"/>
      <c r="AC52" s="59">
        <f>IF(T52=" ",'Oct16'!AC52,T52+'Oct16'!AC52)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IF(T$49="Y",'Oct16'!H53,0)</f>
        <v>0</v>
      </c>
      <c r="I53" s="107">
        <f>IF(T$49="Y",'Oct16'!I53,0)</f>
        <v>0</v>
      </c>
      <c r="J53" s="107">
        <f>IF(T$49="Y",'Oct16'!J53,0)</f>
        <v>0</v>
      </c>
      <c r="K53" s="107">
        <f>IF(T$49="Y",'Oct16'!K53,I53*J53)</f>
        <v>0</v>
      </c>
      <c r="L53" s="140">
        <f>IF(T$49="Y",'Oct16'!L53,0)</f>
        <v>0</v>
      </c>
      <c r="M53" s="115" t="str">
        <f>IF(E53=" "," ",IF(T$49="Y",'Oct16'!M53,IF((H53+K53+L53)&gt;0,H53+K53+L53,"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IF(Employee!H$87=E$49,Employee!D$86+SUM(M53)+'Oct16'!V53,SUM(M53)+'Oct16'!V53)</f>
        <v>0</v>
      </c>
      <c r="W53" s="59">
        <f>IF(Employee!H$87=E$49,Employee!D$87+SUM(N53)+'Oct16'!W53,SUM(N53)+'Oct16'!W53)</f>
        <v>0</v>
      </c>
      <c r="X53" s="59">
        <f>IF(O53=" ",'Oct16'!X53,O53+'Oct16'!X53)</f>
        <v>0</v>
      </c>
      <c r="Y53" s="59">
        <f>IF(P53=" ",'Oct16'!Y53,P53+'Oct16'!Y53)</f>
        <v>0</v>
      </c>
      <c r="Z53" s="59">
        <f>IF(Q53=" ",'Oct16'!Z53,Q53+'Oct16'!Z53)</f>
        <v>0</v>
      </c>
      <c r="AA53" s="59">
        <f>IF(R53=" ",'Oct16'!AA53,R53+'Oct16'!AA53)</f>
        <v>0</v>
      </c>
      <c r="AB53" s="60"/>
      <c r="AC53" s="59">
        <f>IF(T53=" ",'Oct16'!AC53,T53+'Oct16'!AC53)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IF(T$49="Y",'Oct16'!H54,0)</f>
        <v>0</v>
      </c>
      <c r="I54" s="107">
        <f>IF(T$49="Y",'Oct16'!I54,0)</f>
        <v>0</v>
      </c>
      <c r="J54" s="107">
        <f>IF(T$49="Y",'Oct16'!J54,0)</f>
        <v>0</v>
      </c>
      <c r="K54" s="107">
        <f>IF(T$49="Y",'Oct16'!K54,I54*J54)</f>
        <v>0</v>
      </c>
      <c r="L54" s="140">
        <f>IF(T$49="Y",'Oct16'!L54,0)</f>
        <v>0</v>
      </c>
      <c r="M54" s="115" t="str">
        <f>IF(E54=" "," ",IF(T$49="Y",'Oct16'!M54,IF((H54+K54+L54)&gt;0,H54+K54+L54,"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IF(Employee!H$113=E$49,Employee!D$112+SUM(M54)+'Oct16'!V54,SUM(M54)+'Oct16'!V54)</f>
        <v>0</v>
      </c>
      <c r="W54" s="59">
        <f>IF(Employee!H$113=E$49,Employee!D$113+SUM(N54)+'Oct16'!W54,SUM(N54)+'Oct16'!W54)</f>
        <v>0</v>
      </c>
      <c r="X54" s="59">
        <f>IF(O54=" ",'Oct16'!X54,O54+'Oct16'!X54)</f>
        <v>0</v>
      </c>
      <c r="Y54" s="59">
        <f>IF(P54=" ",'Oct16'!Y54,P54+'Oct16'!Y54)</f>
        <v>0</v>
      </c>
      <c r="Z54" s="59">
        <f>IF(Q54=" ",'Oct16'!Z54,Q54+'Oct16'!Z54)</f>
        <v>0</v>
      </c>
      <c r="AA54" s="59">
        <f>IF(R54=" ",'Oct16'!AA54,R54+'Oct16'!AA54)</f>
        <v>0</v>
      </c>
      <c r="AB54" s="60"/>
      <c r="AC54" s="59">
        <f>IF(T54=" ",'Oct16'!AC54,T54+'Oct16'!AC54)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IF(T$49="Y",'Oct16'!H55,0)</f>
        <v>0</v>
      </c>
      <c r="I55" s="272">
        <f>IF(T$49="Y",'Oct16'!I55,0)</f>
        <v>0</v>
      </c>
      <c r="J55" s="272">
        <f>IF(T$49="Y",'Oct16'!J55,0)</f>
        <v>0</v>
      </c>
      <c r="K55" s="272">
        <f>IF(T$49="Y",'Oct16'!K55,I55*J55)</f>
        <v>0</v>
      </c>
      <c r="L55" s="273">
        <f>IF(T$49="Y",'Oct16'!L55,0)</f>
        <v>0</v>
      </c>
      <c r="M55" s="115" t="str">
        <f>IF(E55=" "," ",IF(T$49="Y",'Oct16'!M55,IF((H55+K55+L55)&gt;0,H55+K55+L55,"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IF(Employee!H$139=E$49,Employee!D$138+SUM(M55)+'Oct16'!V55,SUM(M55)+'Oct16'!V55)</f>
        <v>0</v>
      </c>
      <c r="W55" s="59">
        <f>IF(Employee!H$139=E$49,Employee!D$139+SUM(N55)+'Oct16'!W55,SUM(N55)+'Oct16'!W55)</f>
        <v>0</v>
      </c>
      <c r="X55" s="59">
        <f>IF(O55=" ",'Oct16'!X55,O55+'Oct16'!X55)</f>
        <v>0</v>
      </c>
      <c r="Y55" s="59">
        <f>IF(P55=" ",'Oct16'!Y55,P55+'Oct16'!Y55)</f>
        <v>0</v>
      </c>
      <c r="Z55" s="59">
        <f>IF(Q55=" ",'Oct16'!Z55,Q55+'Oct16'!Z55)</f>
        <v>0</v>
      </c>
      <c r="AA55" s="59">
        <f>IF(R55=" ",'Oct16'!AA55,R55+'Oct16'!AA55)</f>
        <v>0</v>
      </c>
      <c r="AB55" s="60"/>
      <c r="AC55" s="59">
        <f>IF(T55=" ",'Oct16'!AC55,T55+'Oct16'!AC55)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AD60+'Oct16'!AD65</f>
        <v>0</v>
      </c>
      <c r="AE65" s="177">
        <f>AE60+'Oct16'!AE65</f>
        <v>0</v>
      </c>
      <c r="AF65" s="177">
        <f>AF60+'Oct16'!AF65</f>
        <v>0</v>
      </c>
      <c r="AG65" s="177">
        <f>AG60+'Oct16'!AG65</f>
        <v>0</v>
      </c>
    </row>
    <row r="66" spans="6:33" ht="13.8" thickTop="1" x14ac:dyDescent="0.25"/>
    <row r="67" spans="6:33" x14ac:dyDescent="0.25">
      <c r="AD67" s="184"/>
      <c r="AE67" s="177">
        <f>AE62+'Oct16'!AE67</f>
        <v>0</v>
      </c>
      <c r="AF67" s="177">
        <f>AF62+'Oct16'!AF67</f>
        <v>0</v>
      </c>
      <c r="AG67" s="177">
        <f>AG62+'Oct16'!AG67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Payslips</vt:lpstr>
      <vt:lpstr>Payment</vt:lpstr>
      <vt:lpstr>Admin</vt:lpstr>
      <vt:lpstr>'Apr16'!Print_Titles</vt:lpstr>
      <vt:lpstr>'Aug16'!Print_Titles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'May16'!Print_Titles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2016-03-20T15:19:28Z</dcterms:modified>
</cp:coreProperties>
</file>