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Objects="placeholders" codeName="ThisWorkbook" defaultThemeVersion="124226"/>
  <mc:AlternateContent xmlns:mc="http://schemas.openxmlformats.org/markup-compatibility/2006">
    <mc:Choice Requires="x15">
      <x15ac:absPath xmlns:x15ac="http://schemas.microsoft.com/office/spreadsheetml/2010/11/ac" url="C:\Users\louis\Downloads\Packages to create\GB Accounts Taxi Driver 2020-04-05 (Apr20) Excel 2007\"/>
    </mc:Choice>
  </mc:AlternateContent>
  <xr:revisionPtr revIDLastSave="0" documentId="13_ncr:1_{B42D8081-0782-4CA1-BCB7-0A9A862CEB9A}" xr6:coauthVersionLast="45" xr6:coauthVersionMax="45" xr10:uidLastSave="{00000000-0000-0000-0000-000000000000}"/>
  <bookViews>
    <workbookView xWindow="-120" yWindow="-120" windowWidth="20730" windowHeight="1116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20" sheetId="23" r:id="rId8"/>
    <sheet name="PurchasesApr20" sheetId="35" r:id="rId9"/>
    <sheet name="SalesMay20" sheetId="24" r:id="rId10"/>
    <sheet name="PurchasesMay20" sheetId="36" r:id="rId11"/>
    <sheet name="SalesJun20" sheetId="25" r:id="rId12"/>
    <sheet name="PurchasesJun20" sheetId="37" r:id="rId13"/>
    <sheet name="SalesJul20" sheetId="26" r:id="rId14"/>
    <sheet name="PurchasesJul20" sheetId="38" r:id="rId15"/>
    <sheet name="SalesAug20" sheetId="27" r:id="rId16"/>
    <sheet name="PurchasesAug20" sheetId="39" r:id="rId17"/>
    <sheet name="SalesSep20" sheetId="28" r:id="rId18"/>
    <sheet name="PurchasesSep20" sheetId="40" r:id="rId19"/>
    <sheet name="SalesOct20" sheetId="29" r:id="rId20"/>
    <sheet name="PurchasesOct20" sheetId="41" r:id="rId21"/>
    <sheet name="SalesNov20" sheetId="30" r:id="rId22"/>
    <sheet name="PurchasesNov20" sheetId="42" r:id="rId23"/>
    <sheet name="SalesDec20" sheetId="31" r:id="rId24"/>
    <sheet name="PurchasesDec20" sheetId="43" r:id="rId25"/>
    <sheet name="SalesJan21" sheetId="32" r:id="rId26"/>
    <sheet name="PurchasesJan21" sheetId="44" r:id="rId27"/>
    <sheet name="SalesFeb21" sheetId="33" r:id="rId28"/>
    <sheet name="PurchasesFeb21" sheetId="45" r:id="rId29"/>
    <sheet name="SalesMar21" sheetId="34" r:id="rId30"/>
    <sheet name="PurchasesMar21" sheetId="46" r:id="rId31"/>
    <sheet name="Admin" sheetId="18" r:id="rId32"/>
  </sheets>
  <definedNames>
    <definedName name="_xlnm._FilterDatabase" localSheetId="30" hidden="1">PurchasesMar21!$G$2:$W$2</definedName>
    <definedName name="_xlnm.Print_Area" localSheetId="8">PurchasesApr20!$A$1:$U$68</definedName>
    <definedName name="_xlnm.Print_Area" localSheetId="16">PurchasesAug20!$A$1:$U$68</definedName>
    <definedName name="_xlnm.Print_Area" localSheetId="24">PurchasesDec20!$A$1:$U$68</definedName>
    <definedName name="_xlnm.Print_Area" localSheetId="28">PurchasesFeb21!$A$1:$U$68</definedName>
    <definedName name="_xlnm.Print_Area" localSheetId="26">PurchasesJan21!$A$1:$U$68</definedName>
    <definedName name="_xlnm.Print_Area" localSheetId="14">PurchasesJul20!$A$1:$U$68</definedName>
    <definedName name="_xlnm.Print_Area" localSheetId="12">PurchasesJun20!$A$1:$U$68</definedName>
    <definedName name="_xlnm.Print_Area" localSheetId="30">PurchasesMar21!$A$1:$U$68</definedName>
    <definedName name="_xlnm.Print_Area" localSheetId="10">PurchasesMay20!$A$1:$U$67</definedName>
    <definedName name="_xlnm.Print_Area" localSheetId="22">PurchasesNov20!$A$1:$U$68</definedName>
    <definedName name="_xlnm.Print_Area" localSheetId="20">PurchasesOct20!$A$1:$U$68</definedName>
    <definedName name="_xlnm.Print_Area" localSheetId="18">PurchasesSep20!$A$1:$U$68</definedName>
    <definedName name="_xlnm.Print_Titles" localSheetId="4">'Fixed Assets'!$1:$4</definedName>
    <definedName name="_xlnm.Print_Titles" localSheetId="3">'Profit &amp; Loss Acc'!$2:$4</definedName>
    <definedName name="_xlnm.Print_Titles" localSheetId="8">PurchasesApr20!$A:$A,PurchasesApr20!$1:$4</definedName>
    <definedName name="_xlnm.Print_Titles" localSheetId="16">PurchasesAug20!$A:$A,PurchasesAug20!$1:$4</definedName>
    <definedName name="_xlnm.Print_Titles" localSheetId="24">PurchasesDec20!$A:$A,PurchasesDec20!$1:$4</definedName>
    <definedName name="_xlnm.Print_Titles" localSheetId="28">PurchasesFeb21!$A:$A,PurchasesFeb21!$1:$4</definedName>
    <definedName name="_xlnm.Print_Titles" localSheetId="26">PurchasesJan21!$A:$A,PurchasesJan21!$1:$4</definedName>
    <definedName name="_xlnm.Print_Titles" localSheetId="14">PurchasesJul20!$A:$A,PurchasesJul20!$1:$4</definedName>
    <definedName name="_xlnm.Print_Titles" localSheetId="12">PurchasesJun20!$A:$A,PurchasesJun20!$1:$4</definedName>
    <definedName name="_xlnm.Print_Titles" localSheetId="30">PurchasesMar21!$A:$A,PurchasesMar21!$1:$4</definedName>
    <definedName name="_xlnm.Print_Titles" localSheetId="10">PurchasesMay20!$A:$A,PurchasesMay20!$1:$4</definedName>
    <definedName name="_xlnm.Print_Titles" localSheetId="22">PurchasesNov20!$A:$A,PurchasesNov20!$1:$4</definedName>
    <definedName name="_xlnm.Print_Titles" localSheetId="20">PurchasesOct20!$A:$A,PurchasesOct20!$1:$4</definedName>
    <definedName name="_xlnm.Print_Titles" localSheetId="18">PurchasesSep20!$A:$A,PurchasesSep20!$1:$4</definedName>
    <definedName name="_xlnm.Print_Titles" localSheetId="7">SalesApr20!$1:$3</definedName>
    <definedName name="_xlnm.Print_Titles" localSheetId="15">SalesAug20!$1:$3</definedName>
    <definedName name="_xlnm.Print_Titles" localSheetId="23">SalesDec20!$1:$3</definedName>
    <definedName name="_xlnm.Print_Titles" localSheetId="27">SalesFeb21!$1:$3</definedName>
    <definedName name="_xlnm.Print_Titles" localSheetId="25">SalesJan21!$1:$3</definedName>
    <definedName name="_xlnm.Print_Titles" localSheetId="13">SalesJul20!$1:$3</definedName>
    <definedName name="_xlnm.Print_Titles" localSheetId="11">SalesJun20!$1:$3</definedName>
    <definedName name="_xlnm.Print_Titles" localSheetId="29">SalesMar21!$1:$3</definedName>
    <definedName name="_xlnm.Print_Titles" localSheetId="9">SalesMay20!$1:$3</definedName>
    <definedName name="_xlnm.Print_Titles" localSheetId="21">SalesNov20!$1:$3</definedName>
    <definedName name="_xlnm.Print_Titles" localSheetId="19">SalesOct20!$1:$3</definedName>
    <definedName name="_xlnm.Print_Titles" localSheetId="17">SalesSep20!$1:$3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2" l="1"/>
  <c r="D18" i="22"/>
  <c r="D17" i="22"/>
  <c r="D16" i="22"/>
  <c r="D15" i="22"/>
  <c r="D14" i="22"/>
  <c r="D13" i="22"/>
  <c r="D12" i="22"/>
  <c r="D11" i="22"/>
  <c r="D10" i="22"/>
  <c r="D9" i="22"/>
  <c r="D8" i="22"/>
  <c r="C19" i="22"/>
  <c r="C18" i="22"/>
  <c r="C17" i="22"/>
  <c r="C16" i="22"/>
  <c r="C15" i="22"/>
  <c r="C14" i="22"/>
  <c r="C13" i="22"/>
  <c r="C12" i="22"/>
  <c r="C11" i="22"/>
  <c r="C10" i="22"/>
  <c r="C9" i="22"/>
  <c r="C8" i="22"/>
  <c r="F1" i="34"/>
  <c r="E1" i="34"/>
  <c r="D1" i="34"/>
  <c r="A61" i="34"/>
  <c r="F63" i="34"/>
  <c r="E63" i="34"/>
  <c r="A5" i="33" l="1"/>
  <c r="A5" i="32"/>
  <c r="F1" i="31"/>
  <c r="D1" i="31"/>
  <c r="E1" i="31"/>
  <c r="F58" i="31"/>
  <c r="E58" i="31"/>
  <c r="A49" i="31"/>
  <c r="A50" i="31" s="1"/>
  <c r="A5" i="28"/>
  <c r="A5" i="27"/>
  <c r="D1" i="26"/>
  <c r="F1" i="26"/>
  <c r="E1" i="26"/>
  <c r="F58" i="26"/>
  <c r="E58" i="26"/>
  <c r="A50" i="26"/>
  <c r="A51" i="26" s="1"/>
  <c r="A49" i="26"/>
  <c r="B49" i="26" s="1"/>
  <c r="A5" i="25"/>
  <c r="B7" i="23"/>
  <c r="B8" i="23"/>
  <c r="B9" i="23"/>
  <c r="B10" i="23"/>
  <c r="B11" i="23"/>
  <c r="A12" i="23"/>
  <c r="A11" i="23"/>
  <c r="A9" i="23"/>
  <c r="A10" i="23" s="1"/>
  <c r="A7" i="23"/>
  <c r="A8" i="23"/>
  <c r="B50" i="31" l="1"/>
  <c r="A51" i="31"/>
  <c r="B49" i="31"/>
  <c r="B51" i="26"/>
  <c r="A52" i="26"/>
  <c r="B50" i="26"/>
  <c r="F47" i="33"/>
  <c r="E47" i="33"/>
  <c r="F58" i="29"/>
  <c r="E58" i="29"/>
  <c r="A52" i="31" l="1"/>
  <c r="B51" i="31"/>
  <c r="A53" i="26"/>
  <c r="B52" i="26"/>
  <c r="F14" i="27"/>
  <c r="E14" i="27"/>
  <c r="F58" i="34"/>
  <c r="E58" i="34"/>
  <c r="F36" i="33"/>
  <c r="E36" i="33"/>
  <c r="F47" i="32"/>
  <c r="E47" i="32"/>
  <c r="F25" i="29"/>
  <c r="E25" i="29"/>
  <c r="F14" i="29"/>
  <c r="E14" i="29"/>
  <c r="F25" i="26"/>
  <c r="E25" i="26"/>
  <c r="F14" i="26"/>
  <c r="E14" i="26"/>
  <c r="D1" i="27"/>
  <c r="D1" i="23"/>
  <c r="F47" i="23"/>
  <c r="E47" i="23"/>
  <c r="A5" i="23"/>
  <c r="F26" i="27"/>
  <c r="F1" i="27" s="1"/>
  <c r="G24" i="6" s="1"/>
  <c r="E26" i="27"/>
  <c r="E47" i="30"/>
  <c r="F47" i="30"/>
  <c r="D1" i="28"/>
  <c r="D1" i="25"/>
  <c r="F47" i="25"/>
  <c r="E47" i="25"/>
  <c r="F36" i="23"/>
  <c r="E36"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36" i="29"/>
  <c r="F36" i="29"/>
  <c r="E47" i="29"/>
  <c r="F47" i="29"/>
  <c r="E14" i="28"/>
  <c r="F14" i="28"/>
  <c r="E25" i="28"/>
  <c r="F25" i="28"/>
  <c r="E36" i="28"/>
  <c r="F36" i="28"/>
  <c r="E47" i="28"/>
  <c r="F47" i="28"/>
  <c r="E37" i="27"/>
  <c r="F37" i="27"/>
  <c r="E48" i="27"/>
  <c r="F48" i="27"/>
  <c r="E1" i="27"/>
  <c r="G5" i="6" s="1"/>
  <c r="E36" i="26"/>
  <c r="F36" i="26"/>
  <c r="F24" i="6" s="1"/>
  <c r="G7" i="17" s="1"/>
  <c r="G22" i="17" s="1"/>
  <c r="E47" i="26"/>
  <c r="F47" i="26"/>
  <c r="E14" i="25"/>
  <c r="F14" i="25"/>
  <c r="E25" i="25"/>
  <c r="F25" i="25"/>
  <c r="E36" i="25"/>
  <c r="F36" i="25"/>
  <c r="D1" i="24"/>
  <c r="E14" i="24"/>
  <c r="F14" i="24"/>
  <c r="E25" i="24"/>
  <c r="F25" i="24"/>
  <c r="E36" i="24"/>
  <c r="F36" i="24"/>
  <c r="E47" i="24"/>
  <c r="F47" i="24"/>
  <c r="E14" i="23"/>
  <c r="F14" i="23"/>
  <c r="E25" i="23"/>
  <c r="F25"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6" i="23"/>
  <c r="B5" i="23"/>
  <c r="A1" i="37"/>
  <c r="A1" i="38" s="1"/>
  <c r="U4" i="36"/>
  <c r="U1" i="36" s="1"/>
  <c r="B52" i="31" l="1"/>
  <c r="A53" i="31"/>
  <c r="B53" i="26"/>
  <c r="A54" i="26"/>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B6" i="23"/>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1" i="25"/>
  <c r="E5" i="6" s="1"/>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D7" i="17" s="1"/>
  <c r="D22" i="17" s="1"/>
  <c r="E1" i="23"/>
  <c r="C5" i="6" s="1"/>
  <c r="D5" i="17" s="1"/>
  <c r="D19" i="17" s="1"/>
  <c r="B3" i="6"/>
  <c r="C62" i="16"/>
  <c r="D112" i="19"/>
  <c r="I1" i="16"/>
  <c r="D80" i="19" s="1"/>
  <c r="K33" i="16"/>
  <c r="K1" i="16" s="1"/>
  <c r="U4" i="38"/>
  <c r="U1" i="38" s="1"/>
  <c r="A1" i="39"/>
  <c r="N1" i="16"/>
  <c r="U4" i="37"/>
  <c r="U1" i="37" s="1"/>
  <c r="P15" i="16"/>
  <c r="P33" i="16" s="1"/>
  <c r="F1" i="25"/>
  <c r="E24" i="6" s="1"/>
  <c r="F7" i="17" s="1"/>
  <c r="F22" i="17" s="1"/>
  <c r="L24" i="6"/>
  <c r="M7" i="17" s="1"/>
  <c r="M22" i="17" s="1"/>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N24" i="6"/>
  <c r="O7" i="17" s="1"/>
  <c r="O22"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F1" i="28"/>
  <c r="H24" i="6" s="1"/>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G5" i="17" s="1"/>
  <c r="G19" i="17" s="1"/>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J7" i="17" s="1"/>
  <c r="J22" i="17" s="1"/>
  <c r="I5" i="6"/>
  <c r="J5" i="17" s="1"/>
  <c r="J19" i="17" s="1"/>
  <c r="E1" i="28"/>
  <c r="H5" i="6" s="1"/>
  <c r="I5" i="17" s="1"/>
  <c r="I19" i="17" s="1"/>
  <c r="H7" i="17"/>
  <c r="H5" i="17"/>
  <c r="A54" i="31" l="1"/>
  <c r="B53" i="31"/>
  <c r="A55" i="26"/>
  <c r="B54" i="26"/>
  <c r="Q33" i="16"/>
  <c r="Q1" i="16" s="1"/>
  <c r="O85" i="19" s="1"/>
  <c r="O1" i="45"/>
  <c r="M18" i="6" s="1"/>
  <c r="O1" i="39"/>
  <c r="G18" i="6" s="1"/>
  <c r="R1" i="43"/>
  <c r="K21" i="6" s="1"/>
  <c r="Q1" i="46"/>
  <c r="N20" i="6" s="1"/>
  <c r="R1" i="44"/>
  <c r="L21" i="6" s="1"/>
  <c r="L1" i="44"/>
  <c r="L15" i="6" s="1"/>
  <c r="O1" i="44"/>
  <c r="L18" i="6" s="1"/>
  <c r="G1" i="43"/>
  <c r="Q1" i="43"/>
  <c r="K20" i="6" s="1"/>
  <c r="H1" i="42"/>
  <c r="S1" i="42"/>
  <c r="G1" i="42"/>
  <c r="O1" i="40"/>
  <c r="H18" i="6" s="1"/>
  <c r="G1" i="40"/>
  <c r="P1" i="39"/>
  <c r="G19" i="6" s="1"/>
  <c r="I1" i="39"/>
  <c r="S1" i="41"/>
  <c r="H1" i="38"/>
  <c r="R1" i="36"/>
  <c r="D21" i="6" s="1"/>
  <c r="K1" i="36"/>
  <c r="D14" i="6" s="1"/>
  <c r="S1" i="35"/>
  <c r="T1" i="35" s="1"/>
  <c r="T2" i="35" s="1"/>
  <c r="P1" i="37"/>
  <c r="E19" i="6" s="1"/>
  <c r="P1" i="40"/>
  <c r="H19" i="6" s="1"/>
  <c r="N1" i="41"/>
  <c r="I17" i="6" s="1"/>
  <c r="S1" i="45"/>
  <c r="H1" i="45"/>
  <c r="I1" i="46"/>
  <c r="K1" i="45"/>
  <c r="M14" i="6" s="1"/>
  <c r="J1" i="45"/>
  <c r="H1" i="46"/>
  <c r="L1" i="45"/>
  <c r="M15" i="6" s="1"/>
  <c r="I1" i="45"/>
  <c r="M1" i="44"/>
  <c r="L16" i="6" s="1"/>
  <c r="K1" i="43"/>
  <c r="K14" i="6" s="1"/>
  <c r="K1" i="42"/>
  <c r="J14" i="6" s="1"/>
  <c r="I1" i="42"/>
  <c r="J1" i="40"/>
  <c r="Q1" i="40"/>
  <c r="H20" i="6" s="1"/>
  <c r="Q1" i="39"/>
  <c r="G20" i="6" s="1"/>
  <c r="K1" i="41"/>
  <c r="I14" i="6" s="1"/>
  <c r="H1" i="39"/>
  <c r="S1" i="39"/>
  <c r="K1" i="39"/>
  <c r="G14" i="6" s="1"/>
  <c r="L1" i="38"/>
  <c r="F15" i="6" s="1"/>
  <c r="M1" i="41"/>
  <c r="I16" i="6" s="1"/>
  <c r="Q1" i="37"/>
  <c r="E20" i="6" s="1"/>
  <c r="O1" i="36"/>
  <c r="D18" i="6" s="1"/>
  <c r="N1" i="39"/>
  <c r="G17" i="6" s="1"/>
  <c r="R1" i="38"/>
  <c r="F21" i="6" s="1"/>
  <c r="J1" i="36"/>
  <c r="H1" i="36"/>
  <c r="H1" i="35"/>
  <c r="L1" i="42"/>
  <c r="J15" i="6" s="1"/>
  <c r="R1" i="42"/>
  <c r="J21" i="6" s="1"/>
  <c r="O1" i="41"/>
  <c r="I18" i="6" s="1"/>
  <c r="Q1" i="45"/>
  <c r="M20" i="6" s="1"/>
  <c r="M1" i="45"/>
  <c r="M16" i="6" s="1"/>
  <c r="P1" i="46"/>
  <c r="N19" i="6" s="1"/>
  <c r="G1" i="45"/>
  <c r="O1" i="46"/>
  <c r="N18" i="6" s="1"/>
  <c r="Q1" i="44"/>
  <c r="L20" i="6" s="1"/>
  <c r="G1" i="44"/>
  <c r="J1" i="44"/>
  <c r="S1" i="43"/>
  <c r="K1" i="44"/>
  <c r="L14" i="6" s="1"/>
  <c r="I1" i="43"/>
  <c r="P1" i="42"/>
  <c r="J19" i="6" s="1"/>
  <c r="P1" i="41"/>
  <c r="I19" i="6"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H1" i="44"/>
  <c r="D1" i="44" s="1"/>
  <c r="L4" i="6" s="1"/>
  <c r="O1" i="43"/>
  <c r="K18" i="6" s="1"/>
  <c r="H1" i="41"/>
  <c r="L1" i="41"/>
  <c r="I15" i="6" s="1"/>
  <c r="P1" i="38"/>
  <c r="F19" i="6" s="1"/>
  <c r="G1" i="38"/>
  <c r="J1" i="37"/>
  <c r="Q1" i="38"/>
  <c r="F20" i="6" s="1"/>
  <c r="G1" i="35"/>
  <c r="N1" i="45"/>
  <c r="M17" i="6" s="1"/>
  <c r="S1" i="44"/>
  <c r="P1" i="44"/>
  <c r="L19" i="6" s="1"/>
  <c r="N1" i="42"/>
  <c r="J17" i="6" s="1"/>
  <c r="J22" i="6" s="1"/>
  <c r="K13" i="17" s="1"/>
  <c r="N1" i="43"/>
  <c r="K17" i="6" s="1"/>
  <c r="J1" i="41"/>
  <c r="R1" i="41"/>
  <c r="I21" i="6" s="1"/>
  <c r="G1" i="41"/>
  <c r="N1" i="38"/>
  <c r="F17" i="6" s="1"/>
  <c r="N1" i="37"/>
  <c r="E17" i="6" s="1"/>
  <c r="M1" i="38"/>
  <c r="F16" i="6" s="1"/>
  <c r="K1" i="38"/>
  <c r="F14" i="6" s="1"/>
  <c r="O1" i="37"/>
  <c r="E18" i="6" s="1"/>
  <c r="M1" i="37"/>
  <c r="E16" i="6" s="1"/>
  <c r="N1" i="35"/>
  <c r="C17" i="6" s="1"/>
  <c r="O1" i="35"/>
  <c r="C18" i="6" s="1"/>
  <c r="B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B19" i="6" s="1"/>
  <c r="J1" i="35"/>
  <c r="L1" i="35"/>
  <c r="C15" i="6" s="1"/>
  <c r="I1" i="35"/>
  <c r="J1" i="46"/>
  <c r="R1" i="45"/>
  <c r="M21" i="6" s="1"/>
  <c r="Q1" i="42"/>
  <c r="J20" i="6" s="1"/>
  <c r="K1" i="40"/>
  <c r="H14" i="6" s="1"/>
  <c r="H22" i="6" s="1"/>
  <c r="I13" i="17" s="1"/>
  <c r="R1" i="39"/>
  <c r="G21" i="6"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A62" i="34" l="1"/>
  <c r="B54" i="31"/>
  <c r="A55" i="31"/>
  <c r="B55" i="26"/>
  <c r="A57" i="26"/>
  <c r="A56" i="26"/>
  <c r="L22" i="6"/>
  <c r="M13" i="17" s="1"/>
  <c r="K22" i="6"/>
  <c r="L13" i="17" s="1"/>
  <c r="D22" i="6"/>
  <c r="E13" i="17" s="1"/>
  <c r="I22" i="6"/>
  <c r="J13" i="17" s="1"/>
  <c r="D1" i="43"/>
  <c r="K4" i="6" s="1"/>
  <c r="B16" i="6"/>
  <c r="G22" i="6"/>
  <c r="H13" i="17" s="1"/>
  <c r="N22" i="6"/>
  <c r="O13" i="17" s="1"/>
  <c r="M22" i="6"/>
  <c r="N13" i="17" s="1"/>
  <c r="A2" i="39"/>
  <c r="A13" i="23"/>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A57" i="31" l="1"/>
  <c r="A56" i="31"/>
  <c r="B55" i="31"/>
  <c r="A16" i="23"/>
  <c r="A17" i="23" s="1"/>
  <c r="A2" i="40"/>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B17" i="23" l="1"/>
  <c r="A18" i="23"/>
  <c r="B16" i="23"/>
  <c r="A1" i="43"/>
  <c r="U4" i="42"/>
  <c r="U1" i="42" s="1"/>
  <c r="A2" i="42" s="1"/>
  <c r="T2" i="40"/>
  <c r="T1" i="41"/>
  <c r="C26" i="17"/>
  <c r="D30" i="17"/>
  <c r="B18" i="23" l="1"/>
  <c r="A19" i="23"/>
  <c r="T2" i="41"/>
  <c r="T1" i="42"/>
  <c r="U4" i="43"/>
  <c r="U1" i="43" s="1"/>
  <c r="A2" i="43" s="1"/>
  <c r="A1" i="44"/>
  <c r="C30" i="17"/>
  <c r="C34" i="17" s="1"/>
  <c r="C27" i="6"/>
  <c r="B19" i="23" l="1"/>
  <c r="A20" i="23"/>
  <c r="U4" i="44"/>
  <c r="U1" i="44" s="1"/>
  <c r="A2" i="44" s="1"/>
  <c r="A1" i="45"/>
  <c r="T2" i="42"/>
  <c r="T1" i="43"/>
  <c r="B27" i="6"/>
  <c r="C35" i="17"/>
  <c r="C36" i="17" s="1"/>
  <c r="B20" i="23" l="1"/>
  <c r="A21" i="23"/>
  <c r="U4" i="45"/>
  <c r="U1" i="45" s="1"/>
  <c r="A2" i="45" s="1"/>
  <c r="A1" i="46"/>
  <c r="U4" i="46" s="1"/>
  <c r="U1" i="46" s="1"/>
  <c r="T2" i="43"/>
  <c r="T1" i="44"/>
  <c r="C37" i="17"/>
  <c r="C39" i="17"/>
  <c r="C38" i="17"/>
  <c r="A2" i="46" l="1"/>
  <c r="B1" i="6" s="1"/>
  <c r="D1" i="6" s="1"/>
  <c r="B21" i="23"/>
  <c r="A22" i="23"/>
  <c r="T2" i="44"/>
  <c r="T1" i="45"/>
  <c r="C41" i="17"/>
  <c r="I1" i="6" l="1"/>
  <c r="C1" i="6"/>
  <c r="I7" i="6" s="1"/>
  <c r="A23" i="23"/>
  <c r="A24" i="23" s="1"/>
  <c r="A27" i="23" s="1"/>
  <c r="B27" i="23" s="1"/>
  <c r="B22"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L8" i="6"/>
  <c r="I11" i="6"/>
  <c r="L11" i="6"/>
  <c r="C7" i="6"/>
  <c r="C8" i="6"/>
  <c r="I9" i="6"/>
  <c r="J9" i="6"/>
  <c r="M6" i="6"/>
  <c r="M8" i="6"/>
  <c r="C6" i="6"/>
  <c r="K11" i="6"/>
  <c r="K9" i="6"/>
  <c r="D6" i="6"/>
  <c r="F11" i="6"/>
  <c r="F7" i="6"/>
  <c r="G11" i="6"/>
  <c r="L7" i="6"/>
  <c r="N8" i="6"/>
  <c r="G7" i="6"/>
  <c r="M7" i="6"/>
  <c r="J11" i="6"/>
  <c r="C9" i="6"/>
  <c r="N7" i="6"/>
  <c r="M9" i="6"/>
  <c r="C11" i="6"/>
  <c r="E9" i="6"/>
  <c r="H7" i="6"/>
  <c r="E6" i="6"/>
  <c r="F8" i="6"/>
  <c r="M11" i="6"/>
  <c r="I6" i="6"/>
  <c r="G9" i="6"/>
  <c r="L9" i="6"/>
  <c r="E8" i="6"/>
  <c r="H8" i="6"/>
  <c r="H9" i="6"/>
  <c r="D8" i="6"/>
  <c r="G8" i="6"/>
  <c r="F9" i="6"/>
  <c r="D11" i="6"/>
  <c r="H11" i="6"/>
  <c r="J7" i="6"/>
  <c r="E11" i="6"/>
  <c r="I8" i="6"/>
  <c r="K6" i="6"/>
  <c r="K7" i="6"/>
  <c r="K8" i="6"/>
  <c r="A28" i="23"/>
  <c r="N10" i="6"/>
  <c r="J10" i="6"/>
  <c r="C10" i="6"/>
  <c r="K10" i="6"/>
  <c r="H10" i="6"/>
  <c r="F10" i="6"/>
  <c r="E10" i="6"/>
  <c r="I10" i="6"/>
  <c r="L10" i="6"/>
  <c r="M10" i="6"/>
  <c r="G10" i="6"/>
  <c r="B28" i="23"/>
  <c r="A29" i="23"/>
  <c r="B32" i="6"/>
  <c r="C33" i="6"/>
  <c r="B33" i="6" s="1"/>
  <c r="N12" i="6" l="1"/>
  <c r="O9" i="17" s="1"/>
  <c r="O11" i="17" s="1"/>
  <c r="O15" i="17" s="1"/>
  <c r="C12" i="6"/>
  <c r="C13" i="6" s="1"/>
  <c r="C23" i="6" s="1"/>
  <c r="F12" i="6"/>
  <c r="F13" i="6" s="1"/>
  <c r="F23" i="6" s="1"/>
  <c r="M12" i="6"/>
  <c r="M13" i="6" s="1"/>
  <c r="M23" i="6" s="1"/>
  <c r="D12" i="6"/>
  <c r="D13" i="6" s="1"/>
  <c r="D23" i="6" s="1"/>
  <c r="B7" i="6"/>
  <c r="I12" i="6"/>
  <c r="J9" i="17" s="1"/>
  <c r="J11" i="17" s="1"/>
  <c r="J15" i="17" s="1"/>
  <c r="B6" i="6"/>
  <c r="B11" i="6"/>
  <c r="B9" i="6"/>
  <c r="H12" i="6"/>
  <c r="G12" i="6"/>
  <c r="H9" i="17" s="1"/>
  <c r="H11" i="17" s="1"/>
  <c r="H15" i="17" s="1"/>
  <c r="E12" i="6"/>
  <c r="E13" i="6" s="1"/>
  <c r="E23" i="6" s="1"/>
  <c r="K12" i="6"/>
  <c r="L9" i="17" s="1"/>
  <c r="L11" i="17" s="1"/>
  <c r="L15" i="17" s="1"/>
  <c r="B8" i="6"/>
  <c r="L12" i="6"/>
  <c r="M9" i="17" s="1"/>
  <c r="M11" i="17" s="1"/>
  <c r="M15" i="17" s="1"/>
  <c r="J12" i="6"/>
  <c r="K9" i="17" s="1"/>
  <c r="K11" i="17" s="1"/>
  <c r="K15" i="17" s="1"/>
  <c r="G9" i="17"/>
  <c r="G11" i="17" s="1"/>
  <c r="G15" i="17" s="1"/>
  <c r="N13" i="6"/>
  <c r="N23" i="6" s="1"/>
  <c r="I13" i="6"/>
  <c r="I23" i="6" s="1"/>
  <c r="D9" i="17"/>
  <c r="D11" i="17" s="1"/>
  <c r="A30" i="23"/>
  <c r="B29" i="23"/>
  <c r="G13" i="6" l="1"/>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C9" i="17"/>
  <c r="A31" i="23"/>
  <c r="B30" i="23"/>
  <c r="D15" i="17"/>
  <c r="C11" i="17" l="1"/>
  <c r="C15" i="17"/>
  <c r="O64" i="19"/>
  <c r="D71" i="19" s="1"/>
  <c r="O71" i="19"/>
  <c r="O106" i="19" s="1"/>
  <c r="O94" i="19" s="1"/>
  <c r="D34" i="20" s="1"/>
  <c r="O34" i="20" s="1"/>
  <c r="D123" i="19" s="1"/>
  <c r="B31" i="23"/>
  <c r="A32" i="23"/>
  <c r="D99" i="19" l="1"/>
  <c r="D106" i="19" s="1"/>
  <c r="E5" i="8" s="1"/>
  <c r="E15" i="8" s="1"/>
  <c r="A33" i="23"/>
  <c r="B32" i="23"/>
  <c r="E14" i="8" l="1"/>
  <c r="E6" i="8"/>
  <c r="E7" i="8" s="1"/>
  <c r="E8" i="8" s="1"/>
  <c r="A35" i="23"/>
  <c r="A38" i="23" s="1"/>
  <c r="A34" i="23"/>
  <c r="B33" i="23"/>
  <c r="E9" i="8" l="1"/>
  <c r="E10" i="8" s="1"/>
  <c r="E17" i="8" s="1"/>
  <c r="E24" i="8" s="1"/>
  <c r="E26" i="8" s="1"/>
  <c r="A39" i="23"/>
  <c r="B38" i="23"/>
  <c r="B39" i="23" l="1"/>
  <c r="A40" i="23"/>
  <c r="E25" i="8"/>
  <c r="B40" i="23" l="1"/>
  <c r="A41" i="23"/>
  <c r="A42" i="23" l="1"/>
  <c r="B41" i="23"/>
  <c r="A43" i="23" l="1"/>
  <c r="B42" i="23"/>
  <c r="A44" i="23" l="1"/>
  <c r="B43" i="23"/>
  <c r="A46" i="23" l="1"/>
  <c r="B44" i="23"/>
  <c r="A5" i="24"/>
  <c r="A45"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5" i="26" s="1"/>
  <c r="B5" i="26" l="1"/>
  <c r="A6" i="26"/>
  <c r="A7" i="26" l="1"/>
  <c r="B6" i="26"/>
  <c r="A8" i="26" l="1"/>
  <c r="B7" i="26"/>
  <c r="A9" i="26" l="1"/>
  <c r="B8" i="26"/>
  <c r="B9" i="26" l="1"/>
  <c r="A10" i="26"/>
  <c r="B10" i="26" l="1"/>
  <c r="A11" i="26"/>
  <c r="A16" i="26" l="1"/>
  <c r="B11" i="26"/>
  <c r="A12" i="26"/>
  <c r="A13" i="26" s="1"/>
  <c r="A17" i="26" l="1"/>
  <c r="B16" i="26"/>
  <c r="A18" i="26" l="1"/>
  <c r="B17" i="26"/>
  <c r="A19" i="26" l="1"/>
  <c r="B18" i="26"/>
  <c r="A20" i="26" l="1"/>
  <c r="B19" i="26"/>
  <c r="B20" i="26" l="1"/>
  <c r="A21" i="26"/>
  <c r="B21" i="26" l="1"/>
  <c r="A22" i="26"/>
  <c r="B22" i="26" l="1"/>
  <c r="A23" i="26"/>
  <c r="A24" i="26" s="1"/>
  <c r="A27" i="26" s="1"/>
  <c r="B27" i="26" l="1"/>
  <c r="A28" i="26"/>
  <c r="B28" i="26" l="1"/>
  <c r="A29" i="26"/>
  <c r="A30" i="26" l="1"/>
  <c r="B29" i="26"/>
  <c r="A31" i="26" l="1"/>
  <c r="B30" i="26"/>
  <c r="A32" i="26" l="1"/>
  <c r="B31" i="26"/>
  <c r="A33" i="26" l="1"/>
  <c r="B32" i="26"/>
  <c r="A34" i="26" l="1"/>
  <c r="A35" i="26" s="1"/>
  <c r="A38" i="26" s="1"/>
  <c r="B33" i="26"/>
  <c r="A39" i="26" l="1"/>
  <c r="B38" i="26"/>
  <c r="B39" i="26" l="1"/>
  <c r="A40" i="26"/>
  <c r="A41" i="26" l="1"/>
  <c r="B40" i="26"/>
  <c r="B41" i="26" l="1"/>
  <c r="A42" i="26"/>
  <c r="A43" i="26" l="1"/>
  <c r="B42" i="26"/>
  <c r="A44" i="26" l="1"/>
  <c r="B43" i="26"/>
  <c r="A45" i="26" l="1"/>
  <c r="A46" i="26"/>
  <c r="B44" i="26"/>
  <c r="A6" i="27" l="1"/>
  <c r="B5" i="27"/>
  <c r="B6" i="27" l="1"/>
  <c r="A7" i="27"/>
  <c r="B7" i="27" l="1"/>
  <c r="A8" i="27"/>
  <c r="B8" i="27" s="1"/>
  <c r="A9" i="27" l="1"/>
  <c r="B9" i="27" l="1"/>
  <c r="A10" i="27"/>
  <c r="A11" i="27" l="1"/>
  <c r="B10" i="27"/>
  <c r="B11" i="27" l="1"/>
  <c r="A12" i="27"/>
  <c r="A13" i="27" s="1"/>
  <c r="A17" i="27"/>
  <c r="A18" i="27" l="1"/>
  <c r="B17" i="27"/>
  <c r="B18" i="27" l="1"/>
  <c r="A19" i="27"/>
  <c r="B19" i="27" l="1"/>
  <c r="A20" i="27"/>
  <c r="B20" i="27" l="1"/>
  <c r="A21" i="27"/>
  <c r="B21" i="27" l="1"/>
  <c r="A22" i="27"/>
  <c r="A23" i="27" l="1"/>
  <c r="A24" i="27" s="1"/>
  <c r="A25" i="27" s="1"/>
  <c r="A28" i="27" s="1"/>
  <c r="B22" i="27"/>
  <c r="A29" i="27" l="1"/>
  <c r="B28" i="27"/>
  <c r="B29" i="27" l="1"/>
  <c r="A30" i="27"/>
  <c r="A31" i="27" l="1"/>
  <c r="B30" i="27"/>
  <c r="A32" i="27" l="1"/>
  <c r="B31" i="27"/>
  <c r="A33" i="27" l="1"/>
  <c r="B32" i="27"/>
  <c r="B33" i="27" l="1"/>
  <c r="A34" i="27"/>
  <c r="B34" i="27" l="1"/>
  <c r="A36" i="27"/>
  <c r="A35" i="27"/>
  <c r="A39" i="27"/>
  <c r="A40" i="27" l="1"/>
  <c r="B39" i="27"/>
  <c r="A41" i="27" l="1"/>
  <c r="B40" i="27"/>
  <c r="B41" i="27" l="1"/>
  <c r="A42" i="27"/>
  <c r="B42" i="27" l="1"/>
  <c r="A43" i="27"/>
  <c r="B43" i="27" l="1"/>
  <c r="A44" i="27"/>
  <c r="A45" i="27" l="1"/>
  <c r="B44" i="27"/>
  <c r="A46" i="27" l="1"/>
  <c r="B45" i="27"/>
  <c r="A47" i="27"/>
  <c r="B5" i="28" l="1"/>
  <c r="A6" i="28"/>
  <c r="B6" i="28" l="1"/>
  <c r="A7" i="28"/>
  <c r="B7" i="28" l="1"/>
  <c r="A8" i="28"/>
  <c r="A9" i="28" l="1"/>
  <c r="B8" i="28"/>
  <c r="B9" i="28" l="1"/>
  <c r="A10" i="28"/>
  <c r="A11" i="28" l="1"/>
  <c r="B10" i="28"/>
  <c r="B11" i="28" l="1"/>
  <c r="A12" i="28"/>
  <c r="A13" i="28" s="1"/>
  <c r="A16" i="28" s="1"/>
  <c r="A17" i="28" l="1"/>
  <c r="B16" i="28"/>
  <c r="A18" i="28" l="1"/>
  <c r="B17" i="28"/>
  <c r="B18" i="28" l="1"/>
  <c r="A19" i="28"/>
  <c r="B19" i="28" l="1"/>
  <c r="A20" i="28"/>
  <c r="A21" i="28" l="1"/>
  <c r="B20" i="28"/>
  <c r="A22" i="28" l="1"/>
  <c r="B21" i="28"/>
  <c r="A23" i="28" l="1"/>
  <c r="A27" i="28"/>
  <c r="A24" i="28"/>
  <c r="B22" i="28"/>
  <c r="B27" i="28" l="1"/>
  <c r="A28" i="28"/>
  <c r="A29" i="28" l="1"/>
  <c r="B28" i="28"/>
  <c r="B29" i="28" l="1"/>
  <c r="A30"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A5" i="29" l="1"/>
  <c r="B44" i="28"/>
  <c r="A46" i="28"/>
  <c r="A45" i="28"/>
  <c r="A6" i="29" l="1"/>
  <c r="B5" i="29"/>
  <c r="A7" i="29" l="1"/>
  <c r="B6" i="29"/>
  <c r="A8" i="29" l="1"/>
  <c r="B7" i="29"/>
  <c r="A9" i="29" l="1"/>
  <c r="B8" i="29"/>
  <c r="B9" i="29" l="1"/>
  <c r="A10" i="29"/>
  <c r="A11" i="29" l="1"/>
  <c r="B10" i="29"/>
  <c r="B11" i="29" l="1"/>
  <c r="A12" i="29"/>
  <c r="A13" i="29" s="1"/>
  <c r="A16" i="29"/>
  <c r="A17" i="29" l="1"/>
  <c r="B16" i="29"/>
  <c r="A18" i="29" l="1"/>
  <c r="B17" i="29"/>
  <c r="A19" i="29" l="1"/>
  <c r="B18" i="29"/>
  <c r="B19" i="29" l="1"/>
  <c r="A20" i="29"/>
  <c r="A21" i="29" l="1"/>
  <c r="B20" i="29"/>
  <c r="B21" i="29" l="1"/>
  <c r="A22" i="29"/>
  <c r="B22" i="29" l="1"/>
  <c r="A23" i="29"/>
  <c r="A24" i="29" s="1"/>
  <c r="A27" i="29" s="1"/>
  <c r="A28" i="29" l="1"/>
  <c r="B27" i="29"/>
  <c r="A29" i="29" l="1"/>
  <c r="B28" i="29"/>
  <c r="B29" i="29" l="1"/>
  <c r="A30" i="29"/>
  <c r="B30" i="29" l="1"/>
  <c r="A31" i="29"/>
  <c r="A32" i="29" l="1"/>
  <c r="B31" i="29"/>
  <c r="B32" i="29" l="1"/>
  <c r="A33" i="29"/>
  <c r="B33" i="29" l="1"/>
  <c r="A34" i="29"/>
  <c r="A35" i="29"/>
  <c r="A38" i="29"/>
  <c r="A39" i="29" l="1"/>
  <c r="B38" i="29"/>
  <c r="B39" i="29" l="1"/>
  <c r="A40" i="29"/>
  <c r="A41" i="29" l="1"/>
  <c r="B40" i="29"/>
  <c r="B41" i="29" l="1"/>
  <c r="A42" i="29"/>
  <c r="A43" i="29" l="1"/>
  <c r="B42" i="29"/>
  <c r="B43" i="29" l="1"/>
  <c r="A44" i="29"/>
  <c r="A46" i="29" l="1"/>
  <c r="A49" i="29" s="1"/>
  <c r="A45" i="29"/>
  <c r="B44" i="29"/>
  <c r="B49" i="29" l="1"/>
  <c r="A50" i="29"/>
  <c r="A51" i="29" l="1"/>
  <c r="B50" i="29"/>
  <c r="A52" i="29" l="1"/>
  <c r="B51" i="29"/>
  <c r="A53" i="29" l="1"/>
  <c r="B52" i="29"/>
  <c r="A54" i="29" l="1"/>
  <c r="B53" i="29"/>
  <c r="B54" i="29" l="1"/>
  <c r="A55" i="29"/>
  <c r="B55" i="29" l="1"/>
  <c r="A57" i="29"/>
  <c r="A5" i="30" s="1"/>
  <c r="A56" i="29"/>
  <c r="B5" i="30" l="1"/>
  <c r="A6" i="30"/>
  <c r="B6" i="30" l="1"/>
  <c r="A7" i="30"/>
  <c r="B7" i="30" l="1"/>
  <c r="A8" i="30"/>
  <c r="B8" i="30" l="1"/>
  <c r="A9" i="30"/>
  <c r="B9" i="30" l="1"/>
  <c r="A10" i="30"/>
  <c r="B10" i="30" l="1"/>
  <c r="A11" i="30"/>
  <c r="A13" i="30" l="1"/>
  <c r="B11" i="30"/>
  <c r="A16" i="30"/>
  <c r="A12" i="30"/>
  <c r="B16" i="30" l="1"/>
  <c r="A17" i="30"/>
  <c r="A18" i="30" l="1"/>
  <c r="B17" i="30"/>
  <c r="A19" i="30" l="1"/>
  <c r="B18" i="30"/>
  <c r="A20" i="30" l="1"/>
  <c r="B19" i="30"/>
  <c r="A21" i="30" l="1"/>
  <c r="B20" i="30"/>
  <c r="B21" i="30" l="1"/>
  <c r="A22" i="30"/>
  <c r="A24" i="30" l="1"/>
  <c r="B22" i="30"/>
  <c r="A27" i="30"/>
  <c r="A23" i="30"/>
  <c r="B27" i="30" l="1"/>
  <c r="A28" i="30"/>
  <c r="A29" i="30" l="1"/>
  <c r="B28" i="30"/>
  <c r="B29" i="30" l="1"/>
  <c r="A30" i="30"/>
  <c r="B30" i="30" l="1"/>
  <c r="A31" i="30"/>
  <c r="B31" i="30" l="1"/>
  <c r="A32" i="30"/>
  <c r="B32" i="30" l="1"/>
  <c r="A33" i="30"/>
  <c r="A35" i="30" l="1"/>
  <c r="B33" i="30"/>
  <c r="A38" i="30"/>
  <c r="A34" i="30"/>
  <c r="B38" i="30" l="1"/>
  <c r="A39" i="30"/>
  <c r="B39" i="30" l="1"/>
  <c r="A40" i="30"/>
  <c r="B40" i="30" l="1"/>
  <c r="A41" i="30"/>
  <c r="A42" i="30" l="1"/>
  <c r="B41" i="30"/>
  <c r="B42" i="30" l="1"/>
  <c r="A43" i="30"/>
  <c r="A44" i="30" l="1"/>
  <c r="B43" i="30"/>
  <c r="B44" i="30" l="1"/>
  <c r="A45" i="30"/>
  <c r="A46" i="30" s="1"/>
  <c r="A5" i="31" s="1"/>
  <c r="A6" i="31" l="1"/>
  <c r="B5" i="31"/>
  <c r="A7" i="31" l="1"/>
  <c r="B6" i="31"/>
  <c r="A8" i="31" l="1"/>
  <c r="B7" i="31"/>
  <c r="A9" i="31" l="1"/>
  <c r="B8" i="31"/>
  <c r="B9" i="31" l="1"/>
  <c r="A10" i="31"/>
  <c r="A11" i="31" l="1"/>
  <c r="B10" i="31"/>
  <c r="B11" i="31" l="1"/>
  <c r="A12" i="31"/>
  <c r="A13" i="31" s="1"/>
  <c r="A16" i="31" s="1"/>
  <c r="A17" i="31" l="1"/>
  <c r="B16" i="31"/>
  <c r="B17" i="31" l="1"/>
  <c r="A18" i="31"/>
  <c r="A19" i="31" l="1"/>
  <c r="B18" i="31"/>
  <c r="A20" i="31" l="1"/>
  <c r="B19" i="31"/>
  <c r="A21" i="31" l="1"/>
  <c r="B20" i="31"/>
  <c r="B21" i="31" l="1"/>
  <c r="A22" i="31"/>
  <c r="A27" i="31" l="1"/>
  <c r="B22" i="31"/>
  <c r="A24" i="31"/>
  <c r="A23" i="31"/>
  <c r="A28" i="31" l="1"/>
  <c r="B27" i="31"/>
  <c r="B28" i="31" l="1"/>
  <c r="A29" i="31"/>
  <c r="B29" i="31" l="1"/>
  <c r="A30" i="31"/>
  <c r="B30" i="31" l="1"/>
  <c r="A31" i="31"/>
  <c r="A32" i="31" l="1"/>
  <c r="B31" i="31"/>
  <c r="A33" i="31" l="1"/>
  <c r="B32" i="31"/>
  <c r="A38" i="31" l="1"/>
  <c r="B33" i="31"/>
  <c r="A35" i="31"/>
  <c r="A34" i="31"/>
  <c r="B38" i="31" l="1"/>
  <c r="A39" i="31"/>
  <c r="B39" i="31" l="1"/>
  <c r="A40" i="31"/>
  <c r="B40" i="31" l="1"/>
  <c r="A41" i="31"/>
  <c r="B41" i="31" l="1"/>
  <c r="A42" i="31"/>
  <c r="B42" i="31" l="1"/>
  <c r="A43" i="31"/>
  <c r="A44" i="31" l="1"/>
  <c r="B43" i="31"/>
  <c r="A46" i="31" l="1"/>
  <c r="B44" i="31"/>
  <c r="A45" i="31"/>
  <c r="A6" i="32" l="1"/>
  <c r="B5" i="32"/>
  <c r="B6" i="32" l="1"/>
  <c r="A7" i="32"/>
  <c r="A8" i="32" l="1"/>
  <c r="B7" i="32"/>
  <c r="A9" i="32" l="1"/>
  <c r="B8" i="32"/>
  <c r="A10" i="32" l="1"/>
  <c r="B9" i="32"/>
  <c r="A11" i="32" l="1"/>
  <c r="B10" i="32"/>
  <c r="A12" i="32" l="1"/>
  <c r="B11" i="32"/>
  <c r="A13" i="32"/>
  <c r="A16" i="32"/>
  <c r="B16" i="32" l="1"/>
  <c r="A17" i="32"/>
  <c r="B17" i="32" l="1"/>
  <c r="A18" i="32"/>
  <c r="A19" i="32" l="1"/>
  <c r="B18" i="32"/>
  <c r="B19" i="32" l="1"/>
  <c r="A20" i="32"/>
  <c r="B20" i="32" l="1"/>
  <c r="A21" i="32"/>
  <c r="A22" i="32" l="1"/>
  <c r="B21" i="32"/>
  <c r="A23" i="32" l="1"/>
  <c r="A27" i="32"/>
  <c r="A24" i="32"/>
  <c r="B22" i="32"/>
  <c r="B27" i="32" l="1"/>
  <c r="A28" i="32"/>
  <c r="B28" i="32" l="1"/>
  <c r="A29" i="32"/>
  <c r="A30" i="32" l="1"/>
  <c r="B29" i="32"/>
  <c r="A31" i="32" l="1"/>
  <c r="B30" i="32"/>
  <c r="B31" i="32" l="1"/>
  <c r="A32" i="32"/>
  <c r="B32" i="32" l="1"/>
  <c r="A33" i="32"/>
  <c r="A34" i="32" l="1"/>
  <c r="B33" i="32"/>
  <c r="A35" i="32"/>
  <c r="A38" i="32"/>
  <c r="A39" i="32" l="1"/>
  <c r="B38" i="32"/>
  <c r="B39" i="32" l="1"/>
  <c r="A40" i="32"/>
  <c r="A41" i="32" l="1"/>
  <c r="B40" i="32"/>
  <c r="A42" i="32" l="1"/>
  <c r="B41" i="32"/>
  <c r="B42" i="32" l="1"/>
  <c r="A43" i="32"/>
  <c r="A44" i="32" l="1"/>
  <c r="B43" i="32"/>
  <c r="A45" i="32" l="1"/>
  <c r="B44" i="32"/>
  <c r="A46" i="32"/>
  <c r="A6" i="33" l="1"/>
  <c r="B5" i="33"/>
  <c r="B6" i="33" l="1"/>
  <c r="A7" i="33"/>
  <c r="B7" i="33" l="1"/>
  <c r="A8" i="33"/>
  <c r="B8" i="33" l="1"/>
  <c r="A9" i="33"/>
  <c r="B9" i="33" l="1"/>
  <c r="A10" i="33"/>
  <c r="A11" i="33" l="1"/>
  <c r="B10" i="33"/>
  <c r="A13" i="33" l="1"/>
  <c r="A16" i="33"/>
  <c r="B11" i="33"/>
  <c r="A12" i="33"/>
  <c r="B16" i="33" l="1"/>
  <c r="A17" i="33"/>
  <c r="B17" i="33" l="1"/>
  <c r="A18" i="33"/>
  <c r="B18" i="33" l="1"/>
  <c r="A19" i="33"/>
  <c r="A20" i="33" l="1"/>
  <c r="B19" i="33"/>
  <c r="B20" i="33" l="1"/>
  <c r="A21" i="33"/>
  <c r="B21" i="33" l="1"/>
  <c r="A22" i="33"/>
  <c r="A24" i="33" l="1"/>
  <c r="B22" i="33"/>
  <c r="A23" i="33"/>
  <c r="A27"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B43" i="33" l="1"/>
  <c r="A44" i="33"/>
  <c r="A45" i="33" l="1"/>
  <c r="A46" i="33" s="1"/>
  <c r="A5" i="34" s="1"/>
  <c r="B44" i="33"/>
  <c r="A6" i="34" l="1"/>
  <c r="B5" i="34"/>
  <c r="B6" i="34" l="1"/>
  <c r="A7" i="34"/>
  <c r="A8" i="34" l="1"/>
  <c r="B7" i="34"/>
  <c r="B8" i="34" l="1"/>
  <c r="A9" i="34"/>
  <c r="B9" i="34" l="1"/>
  <c r="A10" i="34"/>
  <c r="B10" i="34" l="1"/>
  <c r="A11" i="34"/>
  <c r="A12" i="34" l="1"/>
  <c r="B11" i="34"/>
  <c r="A16" i="34"/>
  <c r="A13" i="34"/>
  <c r="A17" i="34" l="1"/>
  <c r="B16" i="34"/>
  <c r="A18" i="34" l="1"/>
  <c r="B17" i="34"/>
  <c r="B18" i="34" l="1"/>
  <c r="A19" i="34"/>
  <c r="A20" i="34" l="1"/>
  <c r="B19" i="34"/>
  <c r="B20" i="34" l="1"/>
  <c r="A21" i="34"/>
  <c r="B21" i="34" l="1"/>
  <c r="A22" i="34"/>
  <c r="A23" i="34" l="1"/>
  <c r="A24" i="34"/>
  <c r="A27" i="34"/>
  <c r="B22" i="34"/>
  <c r="A28" i="34" l="1"/>
  <c r="B27" i="34"/>
  <c r="A29" i="34" l="1"/>
  <c r="B28" i="34"/>
  <c r="B29" i="34" l="1"/>
  <c r="A30" i="34"/>
  <c r="A31" i="34" l="1"/>
  <c r="B30" i="34"/>
  <c r="B31" i="34" l="1"/>
  <c r="A32" i="34"/>
  <c r="A33" i="34" l="1"/>
  <c r="B32" i="34"/>
  <c r="A38" i="34" l="1"/>
  <c r="B33" i="34"/>
  <c r="A34" i="34"/>
  <c r="A35" i="34"/>
  <c r="A39" i="34" l="1"/>
  <c r="B38" i="34"/>
  <c r="B39" i="34" l="1"/>
  <c r="A40" i="34"/>
  <c r="A41" i="34" l="1"/>
  <c r="B40" i="34"/>
  <c r="A42" i="34" l="1"/>
  <c r="B41" i="34"/>
  <c r="B42" i="34" l="1"/>
  <c r="A43" i="34"/>
  <c r="A44" i="34" l="1"/>
  <c r="B43" i="34"/>
  <c r="A49" i="34" l="1"/>
  <c r="A45" i="34"/>
  <c r="A46" i="34" s="1"/>
  <c r="B44" i="34"/>
  <c r="A50" i="34" l="1"/>
  <c r="B49" i="34"/>
  <c r="A51" i="34" l="1"/>
  <c r="B50" i="34"/>
  <c r="A52" i="34" l="1"/>
  <c r="B51" i="34"/>
  <c r="A53" i="34" l="1"/>
  <c r="B52" i="34"/>
  <c r="A54" i="34" l="1"/>
  <c r="B53" i="34"/>
  <c r="B54" i="34" l="1"/>
  <c r="A55" i="34"/>
  <c r="A60" i="34" s="1"/>
  <c r="B60" i="34" s="1"/>
  <c r="B55" i="34" l="1"/>
  <c r="A56" i="34"/>
  <c r="A57" i="34" s="1"/>
</calcChain>
</file>

<file path=xl/sharedStrings.xml><?xml version="1.0" encoding="utf-8"?>
<sst xmlns="http://schemas.openxmlformats.org/spreadsheetml/2006/main" count="989" uniqueCount="286">
  <si>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</si>
  <si>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</si>
  <si>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</si>
  <si>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</si>
  <si>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</si>
  <si>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</si>
  <si>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</si>
  <si>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</si>
  <si>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</si>
  <si>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</si>
  <si>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</si>
  <si>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</si>
  <si>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</si>
  <si>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</si>
  <si>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</si>
  <si>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</si>
  <si>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</si>
  <si>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</si>
  <si>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</si>
  <si>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</si>
  <si>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</si>
  <si>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</si>
  <si>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</si>
  <si>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</si>
  <si>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</si>
  <si>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</si>
  <si>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</si>
  <si>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</si>
  <si>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</si>
  <si>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</si>
  <si>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</si>
  <si>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</si>
  <si>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</si>
  <si>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</si>
  <si>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</si>
  <si>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</si>
  <si>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</si>
  <si>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</si>
  <si>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</si>
  <si>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</si>
  <si>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</si>
  <si>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</si>
  <si>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</si>
  <si>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</si>
  <si>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</si>
  <si>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</si>
  <si>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</si>
  <si>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</si>
  <si>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</si>
  <si>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</si>
  <si>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</si>
  <si>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</si>
  <si>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</si>
  <si>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</si>
  <si>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</si>
  <si>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</si>
  <si>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</si>
  <si>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</si>
  <si>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</si>
  <si>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</si>
  <si>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</si>
  <si>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</si>
  <si>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</si>
  <si>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</si>
  <si>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</si>
  <si>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</si>
  <si>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</si>
  <si>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</si>
  <si>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</si>
  <si>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</si>
  <si>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</si>
  <si>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</si>
  <si>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</si>
  <si>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</si>
  <si>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</si>
  <si>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</si>
  <si>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</si>
  <si>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</si>
  <si>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</si>
  <si>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</si>
  <si>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</si>
  <si>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</si>
  <si>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</si>
  <si>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</si>
  <si>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</si>
  <si>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</si>
  <si>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</si>
  <si>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</si>
  <si>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</si>
  <si>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</si>
  <si>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</si>
  <si>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</si>
  <si>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</si>
  <si>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</si>
  <si>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</si>
  <si>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</si>
  <si>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</si>
  <si>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</si>
  <si>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</si>
  <si>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</si>
  <si>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</si>
  <si>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</si>
  <si>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</si>
  <si>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</si>
  <si>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</si>
  <si>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</si>
  <si>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</si>
  <si>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</si>
  <si>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</si>
  <si>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</si>
  <si>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</si>
  <si>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</si>
  <si>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</si>
  <si>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</si>
  <si>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</si>
  <si>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</si>
  <si>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</si>
  <si>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</si>
  <si>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</si>
  <si>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</si>
  <si>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</si>
  <si>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</si>
  <si>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</si>
  <si>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</si>
  <si>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</si>
  <si>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</si>
  <si>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</si>
  <si>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</si>
  <si>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</si>
  <si>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</si>
  <si>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</si>
  <si>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</si>
  <si>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</si>
  <si>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</si>
  <si>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</si>
  <si>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</si>
  <si>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</si>
  <si>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</si>
  <si>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</si>
  <si>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</si>
  <si>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</si>
  <si>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</si>
  <si>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</si>
  <si>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</si>
  <si>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</si>
  <si>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</si>
  <si>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</si>
  <si>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</si>
  <si>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</si>
  <si>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</si>
  <si>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</si>
  <si>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</si>
  <si>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</si>
  <si>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</si>
  <si>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</si>
  <si>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</si>
  <si>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</si>
  <si>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</si>
  <si>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</si>
  <si>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</si>
  <si>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</si>
  <si>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</si>
  <si>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</si>
  <si>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</si>
  <si>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</si>
  <si>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</si>
  <si>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</si>
  <si>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</si>
  <si>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</si>
  <si>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</si>
  <si>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</si>
  <si>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</si>
  <si>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</si>
  <si>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</si>
  <si>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</si>
  <si>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</si>
  <si>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</si>
  <si>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</si>
  <si>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</si>
  <si>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</si>
  <si>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</si>
  <si>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</si>
  <si>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</si>
  <si>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</si>
  <si>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</si>
  <si>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</si>
  <si>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</si>
  <si>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</si>
  <si>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</si>
  <si>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</si>
  <si>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</si>
  <si>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</si>
  <si>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</si>
  <si>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</si>
  <si>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</si>
  <si>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</si>
  <si>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</si>
  <si>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</si>
  <si>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</si>
  <si>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</si>
  <si>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</si>
  <si>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</si>
  <si>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</si>
  <si>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</si>
  <si>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</si>
  <si>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</si>
  <si>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</si>
  <si>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</si>
  <si>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</si>
  <si>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</si>
  <si>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</si>
  <si>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</si>
  <si>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</si>
  <si>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</si>
  <si>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</si>
  <si>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</si>
  <si>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</si>
  <si>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</si>
  <si>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</si>
  <si>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</si>
  <si>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</si>
  <si>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</si>
  <si>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</si>
  <si>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</si>
  <si>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</si>
  <si>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</si>
  <si>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</si>
  <si>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</si>
  <si>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</si>
  <si>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</si>
  <si>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</si>
  <si>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</si>
  <si>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</si>
  <si>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</si>
  <si>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</si>
  <si>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</si>
  <si>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</si>
  <si>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</si>
  <si>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</si>
  <si>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</si>
  <si>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</si>
  <si>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</si>
  <si>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</si>
  <si>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</si>
  <si>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</si>
  <si>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</si>
  <si>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</si>
  <si>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</si>
  <si>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</si>
  <si>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</si>
  <si>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</si>
  <si>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</si>
  <si>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</si>
  <si>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</si>
  <si>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</si>
  <si>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</si>
  <si>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</si>
  <si>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</si>
  <si>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</si>
  <si>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</si>
  <si>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</si>
  <si>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</si>
  <si>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</si>
  <si>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</si>
  <si>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</si>
  <si>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</si>
  <si>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</si>
  <si>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</si>
  <si>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</si>
  <si>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</si>
  <si>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</si>
  <si>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</si>
  <si>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</si>
  <si>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</si>
  <si>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</si>
  <si>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</si>
  <si>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</si>
  <si>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</si>
  <si>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</si>
  <si>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</si>
  <si>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</si>
  <si>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2020-21</t>
  </si>
  <si>
    <t>29/02/2021</t>
  </si>
  <si>
    <t>2021-22</t>
  </si>
  <si>
    <t>COPY DETAILS TO HMRC FORM          Submit HMRC ONLINE by               31st January 2022</t>
  </si>
  <si>
    <t>[Financialaccountsyearto050421.xlsx]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</si>
</sst>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07">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70" fontId="2" fillId="0" borderId="0" xfId="0" applyNumberFormat="1" applyFont="1" applyBorder="1"/>
    <xf numFmtId="165" fontId="2" fillId="0" borderId="0" xfId="0" applyNumberFormat="1" applyFont="1" applyBorder="1"/>
    <xf numFmtId="166" fontId="2" fillId="0" borderId="0" xfId="0" applyNumberFormat="1" applyFont="1" applyBorder="1" applyAlignment="1">
      <alignment horizontal="center"/>
    </xf>
    <xf numFmtId="165" fontId="2" fillId="0" borderId="0" xfId="0" applyNumberFormat="1" applyFont="1" applyBorder="1" applyAlignment="1">
      <alignment horizontal="center"/>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7" xfId="0" applyFont="1" applyBorder="1" applyAlignment="1">
      <alignment horizontal="right"/>
    </xf>
    <xf numFmtId="0" fontId="11" fillId="0" borderId="49" xfId="0" applyFont="1" applyBorder="1" applyAlignment="1">
      <alignment horizontal="right"/>
    </xf>
    <xf numFmtId="168" fontId="26" fillId="3" borderId="0" xfId="0" applyNumberFormat="1" applyFont="1" applyFill="1" applyAlignment="1">
      <alignment horizontal="lef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0" fillId="3" borderId="0" xfId="0" applyFill="1" applyAlignment="1">
      <alignment horizontal="left"/>
    </xf>
    <xf numFmtId="0" fontId="26" fillId="3" borderId="0" xfId="0" applyFont="1" applyFill="1" applyAlignment="1">
      <alignment vertical="center"/>
    </xf>
    <xf numFmtId="169" fontId="27" fillId="0" borderId="49" xfId="0" applyNumberFormat="1" applyFont="1" applyBorder="1" applyAlignment="1">
      <alignment horizontal="center" vertical="center"/>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0" fontId="38" fillId="0" borderId="39" xfId="0"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0" fontId="38" fillId="0" borderId="0" xfId="0" applyFont="1" applyAlignment="1" applyProtection="1">
      <alignment vertical="center"/>
      <protection hidden="1"/>
    </xf>
    <xf numFmtId="0" fontId="38" fillId="0" borderId="33" xfId="0" applyFont="1" applyBorder="1" applyAlignment="1" applyProtection="1">
      <alignment vertical="center"/>
      <protection hidden="1"/>
    </xf>
    <xf numFmtId="0" fontId="26" fillId="0" borderId="33" xfId="0" applyFont="1" applyBorder="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38" fillId="0" borderId="48" xfId="0" applyFont="1" applyBorder="1" applyAlignment="1" applyProtection="1">
      <alignment vertical="center"/>
      <protection hidden="1"/>
    </xf>
    <xf numFmtId="0" fontId="26" fillId="3" borderId="0" xfId="0" applyFont="1" applyFill="1" applyAlignment="1" applyProtection="1">
      <alignment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168" fontId="26" fillId="3" borderId="0" xfId="0" applyNumberFormat="1" applyFont="1" applyFill="1" applyAlignment="1" applyProtection="1">
      <alignment horizontal="left"/>
      <protection hidden="1"/>
    </xf>
    <xf numFmtId="0" fontId="38" fillId="0" borderId="50" xfId="0" applyFont="1" applyBorder="1" applyAlignment="1" applyProtection="1">
      <alignment vertical="center"/>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0" fontId="11" fillId="3" borderId="22" xfId="0" applyFont="1" applyFill="1" applyBorder="1" applyAlignment="1" applyProtection="1">
      <alignment horizontal="center" vertical="center" wrapText="1"/>
      <protection hidden="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6"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B1" sqref="B1"/>
    </sheetView>
  </sheetViews>
  <sheetFormatPr defaultRowHeight="12.75" x14ac:dyDescent="0.2"/>
  <cols>
    <col min="1" max="1" width="3.42578125" customWidth="1"/>
    <col min="2" max="2" width="17" customWidth="1"/>
    <col min="3" max="5" width="23.140625" customWidth="1"/>
  </cols>
  <sheetData>
    <row r="2" spans="2:7" x14ac:dyDescent="0.2">
      <c r="B2" s="332" t="s">
        <v>275</v>
      </c>
      <c r="C2" s="332"/>
      <c r="D2" s="332"/>
      <c r="E2" s="332"/>
    </row>
    <row r="3" spans="2:7" ht="15" customHeight="1" x14ac:dyDescent="0.2">
      <c r="B3" s="279" t="s">
        <v>285</v>
      </c>
      <c r="C3" s="279"/>
      <c r="D3" s="279"/>
      <c r="E3" s="279"/>
    </row>
    <row r="4" spans="2:7" s="277" customFormat="1" ht="54.75" customHeight="1" x14ac:dyDescent="0.2">
      <c r="B4" s="333" t="s">
        <v>230</v>
      </c>
      <c r="C4" s="334"/>
      <c r="D4" s="334"/>
      <c r="E4" s="334"/>
    </row>
    <row r="5" spans="2:7" ht="15" customHeight="1" x14ac:dyDescent="0.2">
      <c r="B5" s="279"/>
      <c r="C5" s="279"/>
      <c r="D5" s="279"/>
      <c r="E5" s="279"/>
    </row>
    <row r="6" spans="2:7" x14ac:dyDescent="0.2">
      <c r="B6" s="280" t="s">
        <v>231</v>
      </c>
      <c r="C6" s="280" t="s">
        <v>276</v>
      </c>
      <c r="D6" s="280" t="s">
        <v>277</v>
      </c>
      <c r="E6" s="280" t="s">
        <v>232</v>
      </c>
    </row>
    <row r="7" spans="2:7" x14ac:dyDescent="0.2">
      <c r="B7" s="279"/>
      <c r="C7" s="279"/>
      <c r="D7" s="279"/>
      <c r="E7" s="279"/>
    </row>
    <row r="8" spans="2:7" x14ac:dyDescent="0.2">
      <c r="B8" s="281" t="str">
        <f>HYPERLINK(B3&amp;"'Business Details'!C5","Business Details")</f>
        <v>Business Details</v>
      </c>
      <c r="C8" s="282" t="str">
        <f>HYPERLINK(B3&amp;"'SalesApr20'!E5","SalesApr20")</f>
        <v>SalesApr20</v>
      </c>
      <c r="D8" s="282" t="str">
        <f>HYPERLINK(B3&amp;"'PurchasesApr20'!A5","PurchasesApr20")</f>
        <v>PurchasesApr20</v>
      </c>
      <c r="E8" s="281" t="str">
        <f>HYPERLINK(B3&amp;"'SE Short'!C8","SE Short")</f>
        <v>SE Short</v>
      </c>
      <c r="G8" t="s">
        <v>279</v>
      </c>
    </row>
    <row r="9" spans="2:7" x14ac:dyDescent="0.2">
      <c r="B9" s="281" t="str">
        <f>HYPERLINK(B3&amp;"'Fixed Assets'!A7","Fixed Assets")</f>
        <v>Fixed Assets</v>
      </c>
      <c r="C9" s="282" t="str">
        <f>HYPERLINK(B3&amp;"'SalesMay20'!E5","SalesMay20")</f>
        <v>SalesMay20</v>
      </c>
      <c r="D9" s="282" t="str">
        <f>HYPERLINK(B3&amp;"'PurchasesMay20'!A5","PurchasesMay20")</f>
        <v>PurchasesMay20</v>
      </c>
      <c r="E9" s="281" t="str">
        <f>HYPERLINK(B3&amp;"'Profit &amp; Loss Acc'!A1","Profit &amp; Loss Acc")</f>
        <v>Profit &amp; Loss Acc</v>
      </c>
    </row>
    <row r="10" spans="2:7" x14ac:dyDescent="0.2">
      <c r="B10" s="281"/>
      <c r="C10" s="282" t="str">
        <f>HYPERLINK(B3&amp;"'SalesJun20'!E5","SalesJun20")</f>
        <v>SalesJun20</v>
      </c>
      <c r="D10" s="282" t="str">
        <f>HYPERLINK(B3&amp;"'PurchasesJun20'!A5","PurchasesJun20")</f>
        <v>PurchasesJun20</v>
      </c>
      <c r="E10" s="281" t="str">
        <f>HYPERLINK(B3&amp;"'Draft Tax Calculation'!D2","Draft Tax Calculation")</f>
        <v>Draft Tax Calculation</v>
      </c>
    </row>
    <row r="11" spans="2:7" x14ac:dyDescent="0.2">
      <c r="B11" s="282"/>
      <c r="C11" s="282" t="str">
        <f>HYPERLINK(B3&amp;"'SalesJul20'!E5","SalesJul20")</f>
        <v>SalesJul20</v>
      </c>
      <c r="D11" s="282" t="str">
        <f>HYPERLINK(B3&amp;"'PurchasesJul20'!A5","PurchasesJul20")</f>
        <v>PurchasesJul20</v>
      </c>
      <c r="E11" s="281"/>
    </row>
    <row r="12" spans="2:7" x14ac:dyDescent="0.2">
      <c r="B12" s="282"/>
      <c r="C12" s="282" t="str">
        <f>HYPERLINK(B3&amp;"'SalesAug20'!E5","SalesAug20")</f>
        <v>SalesAug20</v>
      </c>
      <c r="D12" s="282" t="str">
        <f>HYPERLINK(B3&amp;"'PurchasesAug20'!A5","PurchasesAug20")</f>
        <v>PurchasesAug20</v>
      </c>
      <c r="E12" s="281"/>
    </row>
    <row r="13" spans="2:7" x14ac:dyDescent="0.2">
      <c r="B13" s="282"/>
      <c r="C13" s="282" t="str">
        <f>HYPERLINK(B3&amp;"'SalesSep20'!E5","SalesSep20")</f>
        <v>SalesSep20</v>
      </c>
      <c r="D13" s="282" t="str">
        <f>HYPERLINK(B3&amp;"'PurchasesSep20'!A5","PurchasesSep20")</f>
        <v>PurchasesSep20</v>
      </c>
      <c r="E13" s="281"/>
    </row>
    <row r="14" spans="2:7" x14ac:dyDescent="0.2">
      <c r="B14" s="282"/>
      <c r="C14" s="282" t="str">
        <f>HYPERLINK(B3&amp;"'SalesOct20'!E5","SalesOct20")</f>
        <v>SalesOct20</v>
      </c>
      <c r="D14" s="282" t="str">
        <f>HYPERLINK(B3&amp;"'PurchasesOct20'!A5","PurchasesOct20")</f>
        <v>PurchasesOct20</v>
      </c>
      <c r="E14" s="281"/>
    </row>
    <row r="15" spans="2:7" x14ac:dyDescent="0.2">
      <c r="B15" s="282"/>
      <c r="C15" s="282" t="str">
        <f>HYPERLINK(B3&amp;"'SalesNov20'!E5","SalesNov20")</f>
        <v>SalesNov20</v>
      </c>
      <c r="D15" s="282" t="str">
        <f>HYPERLINK(B3&amp;"'PurchasesNov20'!A5","PurchasesNov20")</f>
        <v>PurchasesNov20</v>
      </c>
      <c r="E15" s="281"/>
    </row>
    <row r="16" spans="2:7" x14ac:dyDescent="0.2">
      <c r="B16" s="282"/>
      <c r="C16" s="282" t="str">
        <f>HYPERLINK(B3&amp;"'SalesDec20'!E5","SalesDec20")</f>
        <v>SalesDec20</v>
      </c>
      <c r="D16" s="282" t="str">
        <f>HYPERLINK(B3&amp;"'PurchasesDec20'!A5","PurchasesDec20")</f>
        <v>PurchasesDec20</v>
      </c>
      <c r="E16" s="281"/>
    </row>
    <row r="17" spans="2:5" x14ac:dyDescent="0.2">
      <c r="B17" s="282"/>
      <c r="C17" s="282" t="str">
        <f>HYPERLINK(B3&amp;"'SalesJan21'!E5","SalesJan21")</f>
        <v>SalesJan21</v>
      </c>
      <c r="D17" s="282" t="str">
        <f>HYPERLINK(B3&amp;"'PurchasesJan21'!A5","PurchasesJan21")</f>
        <v>PurchasesJan21</v>
      </c>
      <c r="E17" s="279"/>
    </row>
    <row r="18" spans="2:5" x14ac:dyDescent="0.2">
      <c r="B18" s="282"/>
      <c r="C18" s="282" t="str">
        <f>HYPERLINK(B3&amp;"'SalesFeb21'!E5","SalesFeb21")</f>
        <v>SalesFeb21</v>
      </c>
      <c r="D18" s="282" t="str">
        <f>HYPERLINK(B3&amp;"'PurchasesFeb21'!A5","PurchasesFeb21")</f>
        <v>PurchasesFeb21</v>
      </c>
      <c r="E18" s="279"/>
    </row>
    <row r="19" spans="2:5" x14ac:dyDescent="0.2">
      <c r="B19" s="282"/>
      <c r="C19" s="282" t="str">
        <f>HYPERLINK(B3&amp;"'SalesMar21'!E5","SalesMar21")</f>
        <v>SalesMar21</v>
      </c>
      <c r="D19" s="282" t="str">
        <f>HYPERLINK(B3&amp;"'PurchasesMar21'!A5","PurchasesMar21")</f>
        <v>PurchasesMar21</v>
      </c>
      <c r="E19" s="279"/>
    </row>
    <row r="20" spans="2:5" x14ac:dyDescent="0.2">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25"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SUM(D4:D47)</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SalesApr20!A44+1</f>
        <v>43955</v>
      </c>
      <c r="B5" s="297">
        <f t="shared" ref="B5:B11" si="0">A5</f>
        <v>43955</v>
      </c>
      <c r="C5" s="296"/>
      <c r="D5" s="295"/>
      <c r="E5" s="294"/>
      <c r="F5" s="293"/>
    </row>
    <row r="6" spans="1:6" x14ac:dyDescent="0.2">
      <c r="A6" s="292">
        <f t="shared" ref="A6:A11" si="1">A5+1</f>
        <v>43956</v>
      </c>
      <c r="B6" s="285">
        <f t="shared" si="0"/>
        <v>43956</v>
      </c>
      <c r="F6" s="291"/>
    </row>
    <row r="7" spans="1:6" x14ac:dyDescent="0.2">
      <c r="A7" s="292">
        <f t="shared" si="1"/>
        <v>43957</v>
      </c>
      <c r="B7" s="285">
        <f t="shared" si="0"/>
        <v>43957</v>
      </c>
      <c r="F7" s="291"/>
    </row>
    <row r="8" spans="1:6" x14ac:dyDescent="0.2">
      <c r="A8" s="292">
        <f t="shared" si="1"/>
        <v>43958</v>
      </c>
      <c r="B8" s="285">
        <f t="shared" si="0"/>
        <v>43958</v>
      </c>
      <c r="F8" s="291"/>
    </row>
    <row r="9" spans="1:6" x14ac:dyDescent="0.2">
      <c r="A9" s="292">
        <f t="shared" si="1"/>
        <v>43959</v>
      </c>
      <c r="B9" s="285">
        <f t="shared" si="0"/>
        <v>43959</v>
      </c>
      <c r="F9" s="291"/>
    </row>
    <row r="10" spans="1:6" x14ac:dyDescent="0.2">
      <c r="A10" s="292">
        <f t="shared" si="1"/>
        <v>43960</v>
      </c>
      <c r="B10" s="285">
        <f t="shared" si="0"/>
        <v>43960</v>
      </c>
      <c r="F10" s="291"/>
    </row>
    <row r="11" spans="1:6" x14ac:dyDescent="0.2">
      <c r="A11" s="292">
        <f t="shared" si="1"/>
        <v>43961</v>
      </c>
      <c r="B11" s="285">
        <f t="shared" si="0"/>
        <v>43961</v>
      </c>
      <c r="F11" s="291"/>
    </row>
    <row r="12" spans="1:6" x14ac:dyDescent="0.2">
      <c r="A12" s="292">
        <f>A11</f>
        <v>43961</v>
      </c>
      <c r="B12" s="285" t="s">
        <v>234</v>
      </c>
      <c r="F12" s="291"/>
    </row>
    <row r="13" spans="1:6" x14ac:dyDescent="0.2">
      <c r="A13" s="292">
        <f>A11</f>
        <v>43961</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43962</v>
      </c>
      <c r="B16" s="297">
        <f t="shared" ref="B16:B22" si="2">A16</f>
        <v>43962</v>
      </c>
      <c r="C16" s="296"/>
      <c r="D16" s="295"/>
      <c r="E16" s="294"/>
      <c r="F16" s="293"/>
    </row>
    <row r="17" spans="1:6" x14ac:dyDescent="0.2">
      <c r="A17" s="292">
        <f t="shared" ref="A17:A22" si="3">A16+1</f>
        <v>43963</v>
      </c>
      <c r="B17" s="285">
        <f t="shared" si="2"/>
        <v>43963</v>
      </c>
      <c r="F17" s="291"/>
    </row>
    <row r="18" spans="1:6" x14ac:dyDescent="0.2">
      <c r="A18" s="292">
        <f t="shared" si="3"/>
        <v>43964</v>
      </c>
      <c r="B18" s="285">
        <f t="shared" si="2"/>
        <v>43964</v>
      </c>
      <c r="F18" s="291"/>
    </row>
    <row r="19" spans="1:6" x14ac:dyDescent="0.2">
      <c r="A19" s="292">
        <f t="shared" si="3"/>
        <v>43965</v>
      </c>
      <c r="B19" s="285">
        <f t="shared" si="2"/>
        <v>43965</v>
      </c>
      <c r="F19" s="291"/>
    </row>
    <row r="20" spans="1:6" x14ac:dyDescent="0.2">
      <c r="A20" s="292">
        <f t="shared" si="3"/>
        <v>43966</v>
      </c>
      <c r="B20" s="285">
        <f t="shared" si="2"/>
        <v>43966</v>
      </c>
      <c r="F20" s="291"/>
    </row>
    <row r="21" spans="1:6" x14ac:dyDescent="0.2">
      <c r="A21" s="292">
        <f t="shared" si="3"/>
        <v>43967</v>
      </c>
      <c r="B21" s="285">
        <f t="shared" si="2"/>
        <v>43967</v>
      </c>
      <c r="F21" s="291"/>
    </row>
    <row r="22" spans="1:6" x14ac:dyDescent="0.2">
      <c r="A22" s="292">
        <f t="shared" si="3"/>
        <v>43968</v>
      </c>
      <c r="B22" s="285">
        <f t="shared" si="2"/>
        <v>43968</v>
      </c>
      <c r="F22" s="291"/>
    </row>
    <row r="23" spans="1:6" x14ac:dyDescent="0.2">
      <c r="A23" s="292">
        <f>A22</f>
        <v>43968</v>
      </c>
      <c r="B23" s="285" t="s">
        <v>234</v>
      </c>
      <c r="F23" s="291"/>
    </row>
    <row r="24" spans="1:6" x14ac:dyDescent="0.2">
      <c r="A24" s="292">
        <f>A22</f>
        <v>43968</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43969</v>
      </c>
      <c r="B27" s="297">
        <f t="shared" ref="B27:B33" si="4">A27</f>
        <v>43969</v>
      </c>
      <c r="C27" s="296"/>
      <c r="D27" s="295"/>
      <c r="E27" s="294"/>
      <c r="F27" s="293"/>
    </row>
    <row r="28" spans="1:6" x14ac:dyDescent="0.2">
      <c r="A28" s="292">
        <f t="shared" ref="A28:A33" si="5">A27+1</f>
        <v>43970</v>
      </c>
      <c r="B28" s="285">
        <f t="shared" si="4"/>
        <v>43970</v>
      </c>
      <c r="F28" s="291"/>
    </row>
    <row r="29" spans="1:6" x14ac:dyDescent="0.2">
      <c r="A29" s="292">
        <f t="shared" si="5"/>
        <v>43971</v>
      </c>
      <c r="B29" s="285">
        <f t="shared" si="4"/>
        <v>43971</v>
      </c>
      <c r="F29" s="291"/>
    </row>
    <row r="30" spans="1:6" x14ac:dyDescent="0.2">
      <c r="A30" s="292">
        <f t="shared" si="5"/>
        <v>43972</v>
      </c>
      <c r="B30" s="285">
        <f t="shared" si="4"/>
        <v>43972</v>
      </c>
      <c r="F30" s="291"/>
    </row>
    <row r="31" spans="1:6" x14ac:dyDescent="0.2">
      <c r="A31" s="292">
        <f t="shared" si="5"/>
        <v>43973</v>
      </c>
      <c r="B31" s="285">
        <f t="shared" si="4"/>
        <v>43973</v>
      </c>
      <c r="F31" s="291"/>
    </row>
    <row r="32" spans="1:6" x14ac:dyDescent="0.2">
      <c r="A32" s="292">
        <f t="shared" si="5"/>
        <v>43974</v>
      </c>
      <c r="B32" s="285">
        <f t="shared" si="4"/>
        <v>43974</v>
      </c>
      <c r="F32" s="291"/>
    </row>
    <row r="33" spans="1:6" x14ac:dyDescent="0.2">
      <c r="A33" s="292">
        <f t="shared" si="5"/>
        <v>43975</v>
      </c>
      <c r="B33" s="285">
        <f t="shared" si="4"/>
        <v>43975</v>
      </c>
      <c r="F33" s="291"/>
    </row>
    <row r="34" spans="1:6" x14ac:dyDescent="0.2">
      <c r="A34" s="292">
        <f>A33</f>
        <v>43975</v>
      </c>
      <c r="B34" s="285" t="s">
        <v>234</v>
      </c>
      <c r="F34" s="291"/>
    </row>
    <row r="35" spans="1:6" x14ac:dyDescent="0.2">
      <c r="A35" s="292">
        <f>A33</f>
        <v>43975</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SalesMay20!A33+1</f>
        <v>43976</v>
      </c>
      <c r="B38" s="297">
        <f t="shared" ref="B38:B44" si="6">A38</f>
        <v>43976</v>
      </c>
      <c r="C38" s="296"/>
      <c r="D38" s="295"/>
      <c r="E38" s="294"/>
      <c r="F38" s="293"/>
    </row>
    <row r="39" spans="1:6" x14ac:dyDescent="0.2">
      <c r="A39" s="292">
        <f t="shared" ref="A39:A44" si="7">A38+1</f>
        <v>43977</v>
      </c>
      <c r="B39" s="285">
        <f t="shared" si="6"/>
        <v>43977</v>
      </c>
      <c r="F39" s="291"/>
    </row>
    <row r="40" spans="1:6" x14ac:dyDescent="0.2">
      <c r="A40" s="292">
        <f t="shared" si="7"/>
        <v>43978</v>
      </c>
      <c r="B40" s="285">
        <f t="shared" si="6"/>
        <v>43978</v>
      </c>
      <c r="F40" s="291"/>
    </row>
    <row r="41" spans="1:6" x14ac:dyDescent="0.2">
      <c r="A41" s="292">
        <f t="shared" si="7"/>
        <v>43979</v>
      </c>
      <c r="B41" s="285">
        <f t="shared" si="6"/>
        <v>43979</v>
      </c>
      <c r="F41" s="291"/>
    </row>
    <row r="42" spans="1:6" x14ac:dyDescent="0.2">
      <c r="A42" s="292">
        <f t="shared" si="7"/>
        <v>43980</v>
      </c>
      <c r="B42" s="285">
        <f t="shared" si="6"/>
        <v>43980</v>
      </c>
      <c r="F42" s="291"/>
    </row>
    <row r="43" spans="1:6" x14ac:dyDescent="0.2">
      <c r="A43" s="292">
        <f t="shared" si="7"/>
        <v>43981</v>
      </c>
      <c r="B43" s="285">
        <f t="shared" si="6"/>
        <v>43981</v>
      </c>
      <c r="F43" s="291"/>
    </row>
    <row r="44" spans="1:6" x14ac:dyDescent="0.2">
      <c r="A44" s="292">
        <f t="shared" si="7"/>
        <v>43982</v>
      </c>
      <c r="B44" s="285">
        <f t="shared" si="6"/>
        <v>43982</v>
      </c>
      <c r="F44" s="291"/>
    </row>
    <row r="45" spans="1:6" x14ac:dyDescent="0.2">
      <c r="A45" s="292">
        <f>A44</f>
        <v>43982</v>
      </c>
      <c r="B45" s="285" t="s">
        <v>234</v>
      </c>
      <c r="F45" s="291"/>
    </row>
    <row r="46" spans="1:6" x14ac:dyDescent="0.2">
      <c r="A46" s="292">
        <f>A44</f>
        <v>43982</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07"/>
    <col min="2" max="2" width="24" style="6" customWidth="1"/>
    <col min="3" max="3" width="16" style="6" customWidth="1"/>
    <col min="4" max="5" width="9.140625" style="306"/>
    <col min="6" max="6" width="12.7109375" style="305" customWidth="1"/>
    <col min="7" max="7" width="10" style="7" customWidth="1"/>
    <col min="8" max="8" width="9.5703125" style="7" customWidth="1"/>
    <col min="9" max="10" width="8.7109375" style="7" customWidth="1"/>
    <col min="11" max="11" width="8" style="7" customWidth="1"/>
    <col min="12" max="12" width="7.7109375" style="7" customWidth="1"/>
    <col min="13" max="13" width="8.7109375" style="7" customWidth="1"/>
    <col min="14" max="14" width="8.85546875" style="7" customWidth="1"/>
    <col min="15" max="15" width="9.42578125" style="7" customWidth="1"/>
    <col min="16" max="18" width="7.7109375" style="7" customWidth="1"/>
    <col min="19" max="19" width="8.140625" style="7" customWidth="1"/>
    <col min="20" max="20" width="12.85546875" style="6" customWidth="1"/>
    <col min="21" max="21" width="8.42578125" style="7" customWidth="1"/>
    <col min="22" max="16384" width="9.140625" style="6"/>
  </cols>
  <sheetData>
    <row r="1" spans="1:21" s="7" customFormat="1" ht="13.5" customHeight="1" x14ac:dyDescent="0.2">
      <c r="A1" s="323">
        <f>E1+SalesMay20!$D$1+PurchasesApr20!A1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S1+PurchasesApr20!T1</f>
        <v>0</v>
      </c>
      <c r="U1" s="320">
        <f>SUM(U4:U199)</f>
        <v>0</v>
      </c>
    </row>
    <row r="2" spans="1:21" s="7" customFormat="1" ht="13.5" customHeight="1" x14ac:dyDescent="0.2">
      <c r="A2" s="319">
        <f>U1+PurchasesApr20!A2</f>
        <v>0</v>
      </c>
      <c r="B2" s="104" t="s">
        <v>272</v>
      </c>
      <c r="C2" s="476" t="s">
        <v>271</v>
      </c>
      <c r="D2" s="478" t="s">
        <v>270</v>
      </c>
      <c r="E2" s="476" t="s">
        <v>269</v>
      </c>
      <c r="F2" s="433" t="s">
        <v>268</v>
      </c>
      <c r="G2" s="480" t="s">
        <v>267</v>
      </c>
      <c r="H2" s="481"/>
      <c r="I2" s="482">
        <f>G1+H1+I1+J1+PurchasesApr20!I2</f>
        <v>0</v>
      </c>
      <c r="J2" s="483"/>
      <c r="K2" s="433" t="s">
        <v>266</v>
      </c>
      <c r="L2" s="421" t="s">
        <v>265</v>
      </c>
      <c r="M2" s="421" t="s">
        <v>264</v>
      </c>
      <c r="N2" s="421" t="s">
        <v>274</v>
      </c>
      <c r="O2" s="421" t="s">
        <v>262</v>
      </c>
      <c r="P2" s="421" t="s">
        <v>261</v>
      </c>
      <c r="Q2" s="421"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2"/>
      <c r="M3" s="474"/>
      <c r="N3" s="474"/>
      <c r="O3" s="474"/>
      <c r="P3" s="474"/>
      <c r="Q3" s="474"/>
      <c r="R3" s="489"/>
      <c r="S3" s="491"/>
      <c r="T3" s="488"/>
      <c r="U3" s="490"/>
    </row>
    <row r="4" spans="1:21" s="308" customFormat="1" x14ac:dyDescent="0.2">
      <c r="A4" s="312" t="str">
        <f>IF((E1&lt;&gt;0),Admin!$B$6,"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IF((A1&lt;Admin!$F$22),((A1-PurchasesApr20!A1)*Admin!$G$21),(A1*Admin!$G$21-(A1-Admin!$F$21)*(Admin!$G$21-Admin!$G$22)-PurchasesApr20!A2))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SalesMay20!A44+1</f>
        <v>43983</v>
      </c>
      <c r="B5" s="297">
        <f t="shared" ref="B5:B11" si="0">A5</f>
        <v>43983</v>
      </c>
      <c r="C5" s="296"/>
      <c r="D5" s="295"/>
      <c r="E5" s="294"/>
      <c r="F5" s="293"/>
    </row>
    <row r="6" spans="1:6" x14ac:dyDescent="0.2">
      <c r="A6" s="292">
        <f t="shared" ref="A6:A11" si="1">A5+1</f>
        <v>43984</v>
      </c>
      <c r="B6" s="285">
        <f t="shared" si="0"/>
        <v>43984</v>
      </c>
      <c r="F6" s="291"/>
    </row>
    <row r="7" spans="1:6" x14ac:dyDescent="0.2">
      <c r="A7" s="292">
        <f t="shared" si="1"/>
        <v>43985</v>
      </c>
      <c r="B7" s="285">
        <f t="shared" si="0"/>
        <v>43985</v>
      </c>
      <c r="F7" s="291"/>
    </row>
    <row r="8" spans="1:6" x14ac:dyDescent="0.2">
      <c r="A8" s="292">
        <f t="shared" si="1"/>
        <v>43986</v>
      </c>
      <c r="B8" s="285">
        <f t="shared" si="0"/>
        <v>43986</v>
      </c>
      <c r="F8" s="291"/>
    </row>
    <row r="9" spans="1:6" x14ac:dyDescent="0.2">
      <c r="A9" s="292">
        <f t="shared" si="1"/>
        <v>43987</v>
      </c>
      <c r="B9" s="285">
        <f t="shared" si="0"/>
        <v>43987</v>
      </c>
      <c r="F9" s="291"/>
    </row>
    <row r="10" spans="1:6" x14ac:dyDescent="0.2">
      <c r="A10" s="292">
        <f t="shared" si="1"/>
        <v>43988</v>
      </c>
      <c r="B10" s="285">
        <f t="shared" si="0"/>
        <v>43988</v>
      </c>
      <c r="F10" s="291"/>
    </row>
    <row r="11" spans="1:6" x14ac:dyDescent="0.2">
      <c r="A11" s="292">
        <f t="shared" si="1"/>
        <v>43989</v>
      </c>
      <c r="B11" s="285">
        <f t="shared" si="0"/>
        <v>43989</v>
      </c>
      <c r="F11" s="291"/>
    </row>
    <row r="12" spans="1:6" x14ac:dyDescent="0.2">
      <c r="A12" s="292">
        <f>A11</f>
        <v>43989</v>
      </c>
      <c r="B12" s="285" t="s">
        <v>234</v>
      </c>
      <c r="F12" s="291"/>
    </row>
    <row r="13" spans="1:6" x14ac:dyDescent="0.2">
      <c r="A13" s="292">
        <f>A11</f>
        <v>43989</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43990</v>
      </c>
      <c r="B16" s="297">
        <f t="shared" ref="B16:B22" si="2">A16</f>
        <v>43990</v>
      </c>
      <c r="C16" s="296"/>
      <c r="D16" s="295"/>
      <c r="E16" s="294"/>
      <c r="F16" s="293"/>
    </row>
    <row r="17" spans="1:6" x14ac:dyDescent="0.2">
      <c r="A17" s="292">
        <f t="shared" ref="A17:A22" si="3">A16+1</f>
        <v>43991</v>
      </c>
      <c r="B17" s="285">
        <f t="shared" si="2"/>
        <v>43991</v>
      </c>
      <c r="F17" s="291"/>
    </row>
    <row r="18" spans="1:6" x14ac:dyDescent="0.2">
      <c r="A18" s="292">
        <f t="shared" si="3"/>
        <v>43992</v>
      </c>
      <c r="B18" s="285">
        <f t="shared" si="2"/>
        <v>43992</v>
      </c>
      <c r="F18" s="291"/>
    </row>
    <row r="19" spans="1:6" x14ac:dyDescent="0.2">
      <c r="A19" s="292">
        <f t="shared" si="3"/>
        <v>43993</v>
      </c>
      <c r="B19" s="285">
        <f t="shared" si="2"/>
        <v>43993</v>
      </c>
      <c r="F19" s="291"/>
    </row>
    <row r="20" spans="1:6" x14ac:dyDescent="0.2">
      <c r="A20" s="292">
        <f t="shared" si="3"/>
        <v>43994</v>
      </c>
      <c r="B20" s="285">
        <f t="shared" si="2"/>
        <v>43994</v>
      </c>
      <c r="F20" s="291"/>
    </row>
    <row r="21" spans="1:6" x14ac:dyDescent="0.2">
      <c r="A21" s="292">
        <f t="shared" si="3"/>
        <v>43995</v>
      </c>
      <c r="B21" s="285">
        <f t="shared" si="2"/>
        <v>43995</v>
      </c>
      <c r="F21" s="291"/>
    </row>
    <row r="22" spans="1:6" x14ac:dyDescent="0.2">
      <c r="A22" s="292">
        <f t="shared" si="3"/>
        <v>43996</v>
      </c>
      <c r="B22" s="285">
        <f t="shared" si="2"/>
        <v>43996</v>
      </c>
      <c r="F22" s="291"/>
    </row>
    <row r="23" spans="1:6" x14ac:dyDescent="0.2">
      <c r="A23" s="292">
        <f>A22</f>
        <v>43996</v>
      </c>
      <c r="B23" s="285" t="s">
        <v>234</v>
      </c>
      <c r="F23" s="291"/>
    </row>
    <row r="24" spans="1:6" x14ac:dyDescent="0.2">
      <c r="A24" s="292">
        <f>A22</f>
        <v>43996</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43997</v>
      </c>
      <c r="B27" s="297">
        <f t="shared" ref="B27:B33" si="4">A27</f>
        <v>43997</v>
      </c>
      <c r="C27" s="296"/>
      <c r="D27" s="295"/>
      <c r="E27" s="294"/>
      <c r="F27" s="293"/>
    </row>
    <row r="28" spans="1:6" x14ac:dyDescent="0.2">
      <c r="A28" s="292">
        <f t="shared" ref="A28:A33" si="5">A27+1</f>
        <v>43998</v>
      </c>
      <c r="B28" s="285">
        <f t="shared" si="4"/>
        <v>43998</v>
      </c>
      <c r="F28" s="291"/>
    </row>
    <row r="29" spans="1:6" x14ac:dyDescent="0.2">
      <c r="A29" s="292">
        <f t="shared" si="5"/>
        <v>43999</v>
      </c>
      <c r="B29" s="285">
        <f t="shared" si="4"/>
        <v>43999</v>
      </c>
      <c r="F29" s="291"/>
    </row>
    <row r="30" spans="1:6" x14ac:dyDescent="0.2">
      <c r="A30" s="292">
        <f t="shared" si="5"/>
        <v>44000</v>
      </c>
      <c r="B30" s="285">
        <f t="shared" si="4"/>
        <v>44000</v>
      </c>
      <c r="F30" s="291"/>
    </row>
    <row r="31" spans="1:6" x14ac:dyDescent="0.2">
      <c r="A31" s="292">
        <f t="shared" si="5"/>
        <v>44001</v>
      </c>
      <c r="B31" s="285">
        <f t="shared" si="4"/>
        <v>44001</v>
      </c>
      <c r="F31" s="291"/>
    </row>
    <row r="32" spans="1:6" x14ac:dyDescent="0.2">
      <c r="A32" s="292">
        <f t="shared" si="5"/>
        <v>44002</v>
      </c>
      <c r="B32" s="285">
        <f t="shared" si="4"/>
        <v>44002</v>
      </c>
      <c r="F32" s="291"/>
    </row>
    <row r="33" spans="1:6" x14ac:dyDescent="0.2">
      <c r="A33" s="292">
        <f t="shared" si="5"/>
        <v>44003</v>
      </c>
      <c r="B33" s="285">
        <f t="shared" si="4"/>
        <v>44003</v>
      </c>
      <c r="F33" s="291"/>
    </row>
    <row r="34" spans="1:6" x14ac:dyDescent="0.2">
      <c r="A34" s="292">
        <f>A33</f>
        <v>44003</v>
      </c>
      <c r="B34" s="285" t="s">
        <v>234</v>
      </c>
      <c r="F34" s="291"/>
    </row>
    <row r="35" spans="1:6" x14ac:dyDescent="0.2">
      <c r="A35" s="292">
        <f>A33</f>
        <v>44003</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44004</v>
      </c>
      <c r="B38" s="297">
        <f t="shared" ref="B38:B44" si="6">A38</f>
        <v>44004</v>
      </c>
      <c r="C38" s="296"/>
      <c r="D38" s="295"/>
      <c r="E38" s="294"/>
      <c r="F38" s="293"/>
    </row>
    <row r="39" spans="1:6" x14ac:dyDescent="0.2">
      <c r="A39" s="292">
        <f t="shared" ref="A39:A44" si="7">A38+1</f>
        <v>44005</v>
      </c>
      <c r="B39" s="285">
        <f t="shared" si="6"/>
        <v>44005</v>
      </c>
      <c r="F39" s="291"/>
    </row>
    <row r="40" spans="1:6" x14ac:dyDescent="0.2">
      <c r="A40" s="292">
        <f t="shared" si="7"/>
        <v>44006</v>
      </c>
      <c r="B40" s="285">
        <f t="shared" si="6"/>
        <v>44006</v>
      </c>
      <c r="F40" s="291"/>
    </row>
    <row r="41" spans="1:6" x14ac:dyDescent="0.2">
      <c r="A41" s="292">
        <f t="shared" si="7"/>
        <v>44007</v>
      </c>
      <c r="B41" s="285">
        <f t="shared" si="6"/>
        <v>44007</v>
      </c>
      <c r="F41" s="291"/>
    </row>
    <row r="42" spans="1:6" x14ac:dyDescent="0.2">
      <c r="A42" s="292">
        <f t="shared" si="7"/>
        <v>44008</v>
      </c>
      <c r="B42" s="285">
        <f t="shared" si="6"/>
        <v>44008</v>
      </c>
      <c r="F42" s="291"/>
    </row>
    <row r="43" spans="1:6" x14ac:dyDescent="0.2">
      <c r="A43" s="292">
        <f t="shared" si="7"/>
        <v>44009</v>
      </c>
      <c r="B43" s="285">
        <f t="shared" si="6"/>
        <v>44009</v>
      </c>
      <c r="F43" s="291"/>
    </row>
    <row r="44" spans="1:6" x14ac:dyDescent="0.2">
      <c r="A44" s="292">
        <f t="shared" si="7"/>
        <v>44010</v>
      </c>
      <c r="B44" s="285">
        <f t="shared" si="6"/>
        <v>44010</v>
      </c>
      <c r="F44" s="291"/>
    </row>
    <row r="45" spans="1:6" x14ac:dyDescent="0.2">
      <c r="A45" s="292">
        <f>A44</f>
        <v>44010</v>
      </c>
      <c r="B45" s="285" t="s">
        <v>234</v>
      </c>
      <c r="F45" s="291"/>
    </row>
    <row r="46" spans="1:6" x14ac:dyDescent="0.2">
      <c r="A46" s="292">
        <f>A45</f>
        <v>44010</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defaultRowHeight="12.75" x14ac:dyDescent="0.2"/>
  <cols>
    <col min="1" max="1" width="9.42578125" style="307" customWidth="1"/>
    <col min="2" max="2" width="24" style="6" customWidth="1"/>
    <col min="3" max="3" width="16" style="6" customWidth="1"/>
    <col min="4" max="5" width="9.140625" style="306"/>
    <col min="6" max="6" width="12.7109375" style="305" customWidth="1"/>
    <col min="7" max="8" width="9.85546875" style="7" customWidth="1"/>
    <col min="9" max="10" width="8.7109375" style="7" customWidth="1"/>
    <col min="11" max="12" width="7.7109375" style="7" customWidth="1"/>
    <col min="13" max="14" width="9.28515625" style="7" customWidth="1"/>
    <col min="15" max="15" width="9.5703125" style="7" customWidth="1"/>
    <col min="16" max="18" width="7.7109375" style="7" customWidth="1"/>
    <col min="19" max="19" width="8.7109375" style="7" customWidth="1"/>
    <col min="20" max="20" width="13" style="6" customWidth="1"/>
    <col min="21" max="21" width="8.28515625" style="7" customWidth="1"/>
    <col min="22" max="16384" width="9.140625" style="6"/>
  </cols>
  <sheetData>
    <row r="1" spans="1:21" s="7" customFormat="1" ht="13.5" customHeight="1" x14ac:dyDescent="0.2">
      <c r="A1" s="323">
        <f>E1+SalesJun20!$D$1+PurchasesMay20!A1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S1+PurchasesMay20!T1</f>
        <v>0</v>
      </c>
      <c r="U1" s="320">
        <f>SUM(U4:U199)</f>
        <v>0</v>
      </c>
    </row>
    <row r="2" spans="1:21" s="7" customFormat="1" ht="13.5" customHeight="1" x14ac:dyDescent="0.2">
      <c r="A2" s="319">
        <f>U1+PurchasesMay20!A2</f>
        <v>0</v>
      </c>
      <c r="B2" s="104" t="s">
        <v>272</v>
      </c>
      <c r="C2" s="476" t="s">
        <v>271</v>
      </c>
      <c r="D2" s="478" t="s">
        <v>270</v>
      </c>
      <c r="E2" s="476" t="s">
        <v>269</v>
      </c>
      <c r="F2" s="433" t="s">
        <v>268</v>
      </c>
      <c r="G2" s="480" t="s">
        <v>267</v>
      </c>
      <c r="H2" s="481"/>
      <c r="I2" s="482">
        <f>G1+H1+I1+J1+PurchasesMay20!I2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IF((E1&lt;&gt;0),Admin!$B$7,"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IF((A1&lt;Admin!$F$22),((A1-PurchasesMay20!A1)*Admin!$G$21),(A1*Admin!$G$21-(A1-Admin!$F$21)*(Admin!$G$21-Admin!$G$22)-PurchasesMay20!A2))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5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SUM(D4:D59)</f>
        <v>0</v>
      </c>
      <c r="E1" s="303">
        <f>SUM(E4:E59)/2</f>
        <v>0</v>
      </c>
      <c r="F1" s="303">
        <f>SUM(F4:F59)/2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SalesJun20!A46+1</f>
        <v>44011</v>
      </c>
      <c r="B5" s="297">
        <f t="shared" ref="B5:B22" si="0">A5</f>
        <v>44011</v>
      </c>
      <c r="C5" s="296"/>
      <c r="D5" s="295"/>
      <c r="E5" s="294"/>
      <c r="F5" s="293"/>
    </row>
    <row r="6" spans="1:6" x14ac:dyDescent="0.2">
      <c r="A6" s="292">
        <f t="shared" ref="A6:A20" si="1">A5+1</f>
        <v>44012</v>
      </c>
      <c r="B6" s="285">
        <f t="shared" si="0"/>
        <v>44012</v>
      </c>
      <c r="F6" s="291"/>
    </row>
    <row r="7" spans="1:6" x14ac:dyDescent="0.2">
      <c r="A7" s="292">
        <f>A6+1</f>
        <v>44013</v>
      </c>
      <c r="B7" s="285">
        <f t="shared" si="0"/>
        <v>44013</v>
      </c>
      <c r="F7" s="291"/>
    </row>
    <row r="8" spans="1:6" x14ac:dyDescent="0.2">
      <c r="A8" s="292">
        <f t="shared" si="1"/>
        <v>44014</v>
      </c>
      <c r="B8" s="285">
        <f t="shared" si="0"/>
        <v>44014</v>
      </c>
      <c r="F8" s="291"/>
    </row>
    <row r="9" spans="1:6" x14ac:dyDescent="0.2">
      <c r="A9" s="292">
        <f t="shared" si="1"/>
        <v>44015</v>
      </c>
      <c r="B9" s="285">
        <f t="shared" si="0"/>
        <v>44015</v>
      </c>
      <c r="F9" s="291"/>
    </row>
    <row r="10" spans="1:6" x14ac:dyDescent="0.2">
      <c r="A10" s="292">
        <f t="shared" si="1"/>
        <v>44016</v>
      </c>
      <c r="B10" s="285">
        <f t="shared" si="0"/>
        <v>44016</v>
      </c>
      <c r="F10" s="291"/>
    </row>
    <row r="11" spans="1:6" x14ac:dyDescent="0.2">
      <c r="A11" s="292">
        <f t="shared" si="1"/>
        <v>44017</v>
      </c>
      <c r="B11" s="285">
        <f t="shared" si="0"/>
        <v>44017</v>
      </c>
      <c r="F11" s="291"/>
    </row>
    <row r="12" spans="1:6" x14ac:dyDescent="0.2">
      <c r="A12" s="292">
        <f>A11</f>
        <v>44017</v>
      </c>
      <c r="B12" s="285" t="s">
        <v>234</v>
      </c>
      <c r="F12" s="291"/>
    </row>
    <row r="13" spans="1:6" x14ac:dyDescent="0.2">
      <c r="A13" s="292">
        <f>A12</f>
        <v>44017</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44018</v>
      </c>
      <c r="B16" s="297">
        <f t="shared" si="0"/>
        <v>44018</v>
      </c>
      <c r="C16" s="296"/>
      <c r="D16" s="295"/>
      <c r="E16" s="294"/>
      <c r="F16" s="293"/>
    </row>
    <row r="17" spans="1:6" x14ac:dyDescent="0.2">
      <c r="A17" s="292">
        <f t="shared" si="1"/>
        <v>44019</v>
      </c>
      <c r="B17" s="285">
        <f t="shared" si="0"/>
        <v>44019</v>
      </c>
      <c r="F17" s="291"/>
    </row>
    <row r="18" spans="1:6" x14ac:dyDescent="0.2">
      <c r="A18" s="292">
        <f t="shared" si="1"/>
        <v>44020</v>
      </c>
      <c r="B18" s="285">
        <f t="shared" si="0"/>
        <v>44020</v>
      </c>
      <c r="F18" s="291"/>
    </row>
    <row r="19" spans="1:6" x14ac:dyDescent="0.2">
      <c r="A19" s="292">
        <f t="shared" si="1"/>
        <v>44021</v>
      </c>
      <c r="B19" s="285">
        <f t="shared" si="0"/>
        <v>44021</v>
      </c>
      <c r="F19" s="291"/>
    </row>
    <row r="20" spans="1:6" x14ac:dyDescent="0.2">
      <c r="A20" s="292">
        <f t="shared" si="1"/>
        <v>44022</v>
      </c>
      <c r="B20" s="285">
        <f t="shared" si="0"/>
        <v>44022</v>
      </c>
      <c r="F20" s="291"/>
    </row>
    <row r="21" spans="1:6" x14ac:dyDescent="0.2">
      <c r="A21" s="292">
        <f>A20+1</f>
        <v>44023</v>
      </c>
      <c r="B21" s="285">
        <f t="shared" si="0"/>
        <v>44023</v>
      </c>
      <c r="F21" s="291"/>
    </row>
    <row r="22" spans="1:6" x14ac:dyDescent="0.2">
      <c r="A22" s="292">
        <f>A21+1</f>
        <v>44024</v>
      </c>
      <c r="B22" s="285">
        <f t="shared" si="0"/>
        <v>44024</v>
      </c>
      <c r="F22" s="291"/>
    </row>
    <row r="23" spans="1:6" x14ac:dyDescent="0.2">
      <c r="A23" s="292">
        <f>A22</f>
        <v>44024</v>
      </c>
      <c r="B23" s="285" t="s">
        <v>234</v>
      </c>
      <c r="F23" s="291"/>
    </row>
    <row r="24" spans="1:6" x14ac:dyDescent="0.2">
      <c r="A24" s="292">
        <f>A23</f>
        <v>44024</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44025</v>
      </c>
      <c r="B27" s="297">
        <f t="shared" ref="B27:B33" si="2">A27</f>
        <v>44025</v>
      </c>
      <c r="C27" s="296"/>
      <c r="D27" s="295"/>
      <c r="E27" s="294"/>
      <c r="F27" s="293"/>
    </row>
    <row r="28" spans="1:6" x14ac:dyDescent="0.2">
      <c r="A28" s="292">
        <f t="shared" ref="A28:A33" si="3">A27+1</f>
        <v>44026</v>
      </c>
      <c r="B28" s="285">
        <f t="shared" si="2"/>
        <v>44026</v>
      </c>
      <c r="F28" s="291"/>
    </row>
    <row r="29" spans="1:6" x14ac:dyDescent="0.2">
      <c r="A29" s="292">
        <f t="shared" si="3"/>
        <v>44027</v>
      </c>
      <c r="B29" s="285">
        <f t="shared" si="2"/>
        <v>44027</v>
      </c>
      <c r="F29" s="291"/>
    </row>
    <row r="30" spans="1:6" x14ac:dyDescent="0.2">
      <c r="A30" s="292">
        <f t="shared" si="3"/>
        <v>44028</v>
      </c>
      <c r="B30" s="285">
        <f t="shared" si="2"/>
        <v>44028</v>
      </c>
      <c r="F30" s="291"/>
    </row>
    <row r="31" spans="1:6" x14ac:dyDescent="0.2">
      <c r="A31" s="292">
        <f t="shared" si="3"/>
        <v>44029</v>
      </c>
      <c r="B31" s="285">
        <f t="shared" si="2"/>
        <v>44029</v>
      </c>
      <c r="F31" s="291"/>
    </row>
    <row r="32" spans="1:6" x14ac:dyDescent="0.2">
      <c r="A32" s="292">
        <f t="shared" si="3"/>
        <v>44030</v>
      </c>
      <c r="B32" s="285">
        <f t="shared" si="2"/>
        <v>44030</v>
      </c>
      <c r="F32" s="291"/>
    </row>
    <row r="33" spans="1:6" x14ac:dyDescent="0.2">
      <c r="A33" s="292">
        <f t="shared" si="3"/>
        <v>44031</v>
      </c>
      <c r="B33" s="285">
        <f t="shared" si="2"/>
        <v>44031</v>
      </c>
      <c r="F33" s="291"/>
    </row>
    <row r="34" spans="1:6" x14ac:dyDescent="0.2">
      <c r="A34" s="292">
        <f>A33</f>
        <v>44031</v>
      </c>
      <c r="B34" s="285" t="s">
        <v>234</v>
      </c>
      <c r="F34" s="291"/>
    </row>
    <row r="35" spans="1:6" x14ac:dyDescent="0.2">
      <c r="A35" s="292">
        <f>A34</f>
        <v>44031</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44032</v>
      </c>
      <c r="B38" s="297">
        <f t="shared" ref="B38:B44" si="4">A38</f>
        <v>44032</v>
      </c>
      <c r="C38" s="296"/>
      <c r="D38" s="295"/>
      <c r="E38" s="294"/>
      <c r="F38" s="293"/>
    </row>
    <row r="39" spans="1:6" x14ac:dyDescent="0.2">
      <c r="A39" s="292">
        <f t="shared" ref="A39:A44" si="5">A38+1</f>
        <v>44033</v>
      </c>
      <c r="B39" s="285">
        <f t="shared" si="4"/>
        <v>44033</v>
      </c>
      <c r="F39" s="291"/>
    </row>
    <row r="40" spans="1:6" x14ac:dyDescent="0.2">
      <c r="A40" s="292">
        <f t="shared" si="5"/>
        <v>44034</v>
      </c>
      <c r="B40" s="285">
        <f t="shared" si="4"/>
        <v>44034</v>
      </c>
      <c r="F40" s="291"/>
    </row>
    <row r="41" spans="1:6" x14ac:dyDescent="0.2">
      <c r="A41" s="292">
        <f t="shared" si="5"/>
        <v>44035</v>
      </c>
      <c r="B41" s="285">
        <f t="shared" si="4"/>
        <v>44035</v>
      </c>
      <c r="F41" s="291"/>
    </row>
    <row r="42" spans="1:6" x14ac:dyDescent="0.2">
      <c r="A42" s="292">
        <f t="shared" si="5"/>
        <v>44036</v>
      </c>
      <c r="B42" s="285">
        <f t="shared" si="4"/>
        <v>44036</v>
      </c>
      <c r="F42" s="291"/>
    </row>
    <row r="43" spans="1:6" x14ac:dyDescent="0.2">
      <c r="A43" s="292">
        <f t="shared" si="5"/>
        <v>44037</v>
      </c>
      <c r="B43" s="285">
        <f t="shared" si="4"/>
        <v>44037</v>
      </c>
      <c r="F43" s="291"/>
    </row>
    <row r="44" spans="1:6" x14ac:dyDescent="0.2">
      <c r="A44" s="292">
        <f t="shared" si="5"/>
        <v>44038</v>
      </c>
      <c r="B44" s="285">
        <f t="shared" si="4"/>
        <v>44038</v>
      </c>
      <c r="F44" s="291"/>
    </row>
    <row r="45" spans="1:6" x14ac:dyDescent="0.2">
      <c r="A45" s="292">
        <f>A44</f>
        <v>44038</v>
      </c>
      <c r="B45" s="285" t="s">
        <v>234</v>
      </c>
      <c r="F45" s="291"/>
    </row>
    <row r="46" spans="1:6" x14ac:dyDescent="0.2">
      <c r="A46" s="292">
        <f>A44</f>
        <v>44038</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44039</v>
      </c>
      <c r="B49" s="297">
        <f t="shared" ref="B49:B55" si="6">A49</f>
        <v>44039</v>
      </c>
      <c r="C49" s="296"/>
      <c r="D49" s="295"/>
      <c r="E49" s="294"/>
      <c r="F49" s="293"/>
    </row>
    <row r="50" spans="1:6" x14ac:dyDescent="0.2">
      <c r="A50" s="292">
        <f t="shared" ref="A50:A55" si="7">A49+1</f>
        <v>44040</v>
      </c>
      <c r="B50" s="285">
        <f t="shared" si="6"/>
        <v>44040</v>
      </c>
      <c r="F50" s="291"/>
    </row>
    <row r="51" spans="1:6" x14ac:dyDescent="0.2">
      <c r="A51" s="292">
        <f t="shared" si="7"/>
        <v>44041</v>
      </c>
      <c r="B51" s="285">
        <f t="shared" si="6"/>
        <v>44041</v>
      </c>
      <c r="F51" s="291"/>
    </row>
    <row r="52" spans="1:6" x14ac:dyDescent="0.2">
      <c r="A52" s="292">
        <f t="shared" si="7"/>
        <v>44042</v>
      </c>
      <c r="B52" s="285">
        <f t="shared" si="6"/>
        <v>44042</v>
      </c>
      <c r="F52" s="291"/>
    </row>
    <row r="53" spans="1:6" x14ac:dyDescent="0.2">
      <c r="A53" s="292">
        <f t="shared" si="7"/>
        <v>44043</v>
      </c>
      <c r="B53" s="285">
        <f t="shared" si="6"/>
        <v>44043</v>
      </c>
      <c r="F53" s="291"/>
    </row>
    <row r="54" spans="1:6" x14ac:dyDescent="0.2">
      <c r="A54" s="292">
        <f t="shared" si="7"/>
        <v>44044</v>
      </c>
      <c r="B54" s="285">
        <f t="shared" si="6"/>
        <v>44044</v>
      </c>
      <c r="F54" s="291"/>
    </row>
    <row r="55" spans="1:6" x14ac:dyDescent="0.2">
      <c r="A55" s="292">
        <f t="shared" si="7"/>
        <v>44045</v>
      </c>
      <c r="B55" s="285">
        <f t="shared" si="6"/>
        <v>44045</v>
      </c>
      <c r="F55" s="291"/>
    </row>
    <row r="56" spans="1:6" x14ac:dyDescent="0.2">
      <c r="A56" s="292">
        <f>A55</f>
        <v>44045</v>
      </c>
      <c r="B56" s="285" t="s">
        <v>234</v>
      </c>
      <c r="F56" s="291"/>
    </row>
    <row r="57" spans="1:6" x14ac:dyDescent="0.2">
      <c r="A57" s="292">
        <f>A55</f>
        <v>44045</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5" width="9.42578125" style="7" customWidth="1"/>
    <col min="16" max="18" width="7.7109375" style="7" customWidth="1"/>
    <col min="19" max="19" width="8.140625" style="7" customWidth="1"/>
    <col min="20" max="20" width="13.140625" style="6" customWidth="1"/>
    <col min="21" max="21" width="8.28515625" style="7" customWidth="1"/>
    <col min="22" max="16384" width="9.140625" style="6"/>
  </cols>
  <sheetData>
    <row r="1" spans="1:21" s="7" customFormat="1" ht="13.5" customHeight="1" x14ac:dyDescent="0.2">
      <c r="A1" s="323">
        <f>E1+SalesJul20!$D$1+PurchasesJun20!A1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S1+PurchasesJun20!T1</f>
        <v>0</v>
      </c>
      <c r="U1" s="320">
        <f>SUM(U4:U199)</f>
        <v>0</v>
      </c>
    </row>
    <row r="2" spans="1:21" s="7" customFormat="1" ht="13.5" customHeight="1" x14ac:dyDescent="0.2">
      <c r="A2" s="319">
        <f>U1+PurchasesJun20!A2</f>
        <v>0</v>
      </c>
      <c r="B2" s="104" t="s">
        <v>272</v>
      </c>
      <c r="C2" s="476" t="s">
        <v>271</v>
      </c>
      <c r="D2" s="478" t="s">
        <v>270</v>
      </c>
      <c r="E2" s="476" t="s">
        <v>269</v>
      </c>
      <c r="F2" s="433" t="s">
        <v>268</v>
      </c>
      <c r="G2" s="480" t="s">
        <v>267</v>
      </c>
      <c r="H2" s="481"/>
      <c r="I2" s="482">
        <f>G1+H1+I1+J1+PurchasesJun20!I2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IF((E1&lt;&gt;0),Admin!$B$8,"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IF((A1&lt;Admin!$F$22),((A1-PurchasesJun20!A1)*Admin!$G$21),(A1*Admin!$G$21-(A1-Admin!$F$21)*(Admin!$G$21-Admin!$G$22)-PurchasesJun20!A2))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SUM(D4:D49)</f>
        <v>0</v>
      </c>
      <c r="E1" s="303">
        <f>SUM(E4:E49)/2</f>
        <v>0</v>
      </c>
      <c r="F1" s="303">
        <f>SUM(F4:F49)/2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SalesJul20!A57+1</f>
        <v>44046</v>
      </c>
      <c r="B5" s="297">
        <f t="shared" ref="B5:B11" si="0">A5</f>
        <v>44046</v>
      </c>
      <c r="C5" s="296"/>
      <c r="D5" s="295"/>
      <c r="E5" s="294"/>
      <c r="F5" s="293"/>
    </row>
    <row r="6" spans="1:6" x14ac:dyDescent="0.2">
      <c r="A6" s="292">
        <f t="shared" ref="A6:A11" si="1">A5+1</f>
        <v>44047</v>
      </c>
      <c r="B6" s="285">
        <f t="shared" si="0"/>
        <v>44047</v>
      </c>
      <c r="F6" s="291"/>
    </row>
    <row r="7" spans="1:6" x14ac:dyDescent="0.2">
      <c r="A7" s="292">
        <f t="shared" si="1"/>
        <v>44048</v>
      </c>
      <c r="B7" s="285">
        <f t="shared" si="0"/>
        <v>44048</v>
      </c>
      <c r="F7" s="291"/>
    </row>
    <row r="8" spans="1:6" x14ac:dyDescent="0.2">
      <c r="A8" s="292">
        <f t="shared" si="1"/>
        <v>44049</v>
      </c>
      <c r="B8" s="285">
        <f>A8</f>
        <v>44049</v>
      </c>
      <c r="F8" s="291"/>
    </row>
    <row r="9" spans="1:6" x14ac:dyDescent="0.2">
      <c r="A9" s="292">
        <f t="shared" si="1"/>
        <v>44050</v>
      </c>
      <c r="B9" s="285">
        <f t="shared" si="0"/>
        <v>44050</v>
      </c>
      <c r="F9" s="291"/>
    </row>
    <row r="10" spans="1:6" x14ac:dyDescent="0.2">
      <c r="A10" s="292">
        <f t="shared" si="1"/>
        <v>44051</v>
      </c>
      <c r="B10" s="285">
        <f t="shared" si="0"/>
        <v>44051</v>
      </c>
      <c r="F10" s="291"/>
    </row>
    <row r="11" spans="1:6" x14ac:dyDescent="0.2">
      <c r="A11" s="292">
        <f t="shared" si="1"/>
        <v>44052</v>
      </c>
      <c r="B11" s="285">
        <f t="shared" si="0"/>
        <v>44052</v>
      </c>
      <c r="F11" s="291"/>
    </row>
    <row r="12" spans="1:6" x14ac:dyDescent="0.2">
      <c r="A12" s="292">
        <f>A11</f>
        <v>44052</v>
      </c>
      <c r="B12" s="285" t="s">
        <v>234</v>
      </c>
      <c r="F12" s="291"/>
    </row>
    <row r="13" spans="1:6" x14ac:dyDescent="0.2">
      <c r="A13" s="292">
        <f>A12</f>
        <v>44052</v>
      </c>
      <c r="B13" s="285" t="s">
        <v>233</v>
      </c>
      <c r="F13" s="291"/>
    </row>
    <row r="14" spans="1:6" ht="13.5" thickBot="1" x14ac:dyDescent="0.25">
      <c r="A14" s="290"/>
      <c r="B14" s="289"/>
      <c r="C14" s="287"/>
      <c r="D14" s="288"/>
      <c r="E14" s="300">
        <f>SUM(E5:E13)</f>
        <v>0</v>
      </c>
      <c r="F14" s="299">
        <f>SUM(F5:F13)</f>
        <v>0</v>
      </c>
    </row>
    <row r="16" spans="1:6" ht="13.5" thickBot="1" x14ac:dyDescent="0.25"/>
    <row r="17" spans="1:6" x14ac:dyDescent="0.2">
      <c r="A17" s="298">
        <f>A11+1</f>
        <v>44053</v>
      </c>
      <c r="B17" s="297">
        <f t="shared" ref="B17:B22" si="2">A17</f>
        <v>44053</v>
      </c>
      <c r="C17" s="296"/>
      <c r="D17" s="295"/>
      <c r="E17" s="294"/>
      <c r="F17" s="293"/>
    </row>
    <row r="18" spans="1:6" x14ac:dyDescent="0.2">
      <c r="A18" s="292">
        <f t="shared" ref="A18:A23" si="3">A17+1</f>
        <v>44054</v>
      </c>
      <c r="B18" s="285">
        <f t="shared" si="2"/>
        <v>44054</v>
      </c>
      <c r="F18" s="291"/>
    </row>
    <row r="19" spans="1:6" x14ac:dyDescent="0.2">
      <c r="A19" s="292">
        <f t="shared" si="3"/>
        <v>44055</v>
      </c>
      <c r="B19" s="285">
        <f t="shared" si="2"/>
        <v>44055</v>
      </c>
      <c r="F19" s="291"/>
    </row>
    <row r="20" spans="1:6" x14ac:dyDescent="0.2">
      <c r="A20" s="292">
        <f t="shared" si="3"/>
        <v>44056</v>
      </c>
      <c r="B20" s="285">
        <f t="shared" si="2"/>
        <v>44056</v>
      </c>
      <c r="F20" s="291"/>
    </row>
    <row r="21" spans="1:6" x14ac:dyDescent="0.2">
      <c r="A21" s="292">
        <f t="shared" si="3"/>
        <v>44057</v>
      </c>
      <c r="B21" s="285">
        <f t="shared" si="2"/>
        <v>44057</v>
      </c>
      <c r="F21" s="291"/>
    </row>
    <row r="22" spans="1:6" x14ac:dyDescent="0.2">
      <c r="A22" s="292">
        <f t="shared" si="3"/>
        <v>44058</v>
      </c>
      <c r="B22" s="285">
        <f t="shared" si="2"/>
        <v>44058</v>
      </c>
      <c r="F22" s="291"/>
    </row>
    <row r="23" spans="1:6" x14ac:dyDescent="0.2">
      <c r="A23" s="292">
        <f t="shared" si="3"/>
        <v>44059</v>
      </c>
      <c r="B23" s="327" t="s">
        <v>280</v>
      </c>
      <c r="F23" s="291"/>
    </row>
    <row r="24" spans="1:6" x14ac:dyDescent="0.2">
      <c r="A24" s="292">
        <f>A23</f>
        <v>44059</v>
      </c>
      <c r="B24" s="285" t="s">
        <v>234</v>
      </c>
      <c r="F24" s="291"/>
    </row>
    <row r="25" spans="1:6" x14ac:dyDescent="0.2">
      <c r="A25" s="292">
        <f>A24</f>
        <v>44059</v>
      </c>
      <c r="B25" s="285" t="s">
        <v>233</v>
      </c>
      <c r="F25" s="291"/>
    </row>
    <row r="26" spans="1:6" ht="13.5" thickBot="1" x14ac:dyDescent="0.25">
      <c r="A26" s="290"/>
      <c r="B26" s="289"/>
      <c r="C26" s="287"/>
      <c r="D26" s="288"/>
      <c r="E26" s="300">
        <f>SUM(E17:E25)</f>
        <v>0</v>
      </c>
      <c r="F26" s="299">
        <f>SUM(F17:F25)</f>
        <v>0</v>
      </c>
    </row>
    <row r="27" spans="1:6" ht="13.5" thickBot="1" x14ac:dyDescent="0.25"/>
    <row r="28" spans="1:6" x14ac:dyDescent="0.2">
      <c r="A28" s="298">
        <f>A25+1</f>
        <v>44060</v>
      </c>
      <c r="B28" s="297">
        <f t="shared" ref="B28:B34" si="4">A28</f>
        <v>44060</v>
      </c>
      <c r="C28" s="296"/>
      <c r="D28" s="295"/>
      <c r="E28" s="294"/>
      <c r="F28" s="293"/>
    </row>
    <row r="29" spans="1:6" x14ac:dyDescent="0.2">
      <c r="A29" s="292">
        <f t="shared" ref="A29:A34" si="5">A28+1</f>
        <v>44061</v>
      </c>
      <c r="B29" s="285">
        <f t="shared" si="4"/>
        <v>44061</v>
      </c>
      <c r="F29" s="291"/>
    </row>
    <row r="30" spans="1:6" x14ac:dyDescent="0.2">
      <c r="A30" s="292">
        <f t="shared" si="5"/>
        <v>44062</v>
      </c>
      <c r="B30" s="285">
        <f t="shared" si="4"/>
        <v>44062</v>
      </c>
      <c r="F30" s="291"/>
    </row>
    <row r="31" spans="1:6" x14ac:dyDescent="0.2">
      <c r="A31" s="292">
        <f t="shared" si="5"/>
        <v>44063</v>
      </c>
      <c r="B31" s="285">
        <f t="shared" si="4"/>
        <v>44063</v>
      </c>
      <c r="F31" s="291"/>
    </row>
    <row r="32" spans="1:6" x14ac:dyDescent="0.2">
      <c r="A32" s="292">
        <f t="shared" si="5"/>
        <v>44064</v>
      </c>
      <c r="B32" s="285">
        <f t="shared" si="4"/>
        <v>44064</v>
      </c>
      <c r="F32" s="291"/>
    </row>
    <row r="33" spans="1:6" x14ac:dyDescent="0.2">
      <c r="A33" s="292">
        <f t="shared" si="5"/>
        <v>44065</v>
      </c>
      <c r="B33" s="285">
        <f t="shared" si="4"/>
        <v>44065</v>
      </c>
      <c r="F33" s="291"/>
    </row>
    <row r="34" spans="1:6" x14ac:dyDescent="0.2">
      <c r="A34" s="292">
        <f t="shared" si="5"/>
        <v>44066</v>
      </c>
      <c r="B34" s="285">
        <f t="shared" si="4"/>
        <v>44066</v>
      </c>
      <c r="F34" s="291"/>
    </row>
    <row r="35" spans="1:6" x14ac:dyDescent="0.2">
      <c r="A35" s="292">
        <f>A34</f>
        <v>44066</v>
      </c>
      <c r="B35" s="285" t="s">
        <v>234</v>
      </c>
      <c r="F35" s="291"/>
    </row>
    <row r="36" spans="1:6" x14ac:dyDescent="0.2">
      <c r="A36" s="292">
        <f>A34</f>
        <v>44066</v>
      </c>
      <c r="B36" s="285" t="s">
        <v>233</v>
      </c>
      <c r="F36" s="291"/>
    </row>
    <row r="37" spans="1:6" ht="13.5" thickBot="1" x14ac:dyDescent="0.25">
      <c r="A37" s="290"/>
      <c r="B37" s="289"/>
      <c r="C37" s="287"/>
      <c r="D37" s="288"/>
      <c r="E37" s="300">
        <f>SUM(E28:E36)</f>
        <v>0</v>
      </c>
      <c r="F37" s="299">
        <f>SUM(F28:F36)</f>
        <v>0</v>
      </c>
    </row>
    <row r="38" spans="1:6" ht="13.5" thickBot="1" x14ac:dyDescent="0.25"/>
    <row r="39" spans="1:6" x14ac:dyDescent="0.2">
      <c r="A39" s="298">
        <f>A34+1</f>
        <v>44067</v>
      </c>
      <c r="B39" s="297">
        <f t="shared" ref="B39:B45" si="6">A39</f>
        <v>44067</v>
      </c>
      <c r="C39" s="296"/>
      <c r="D39" s="295"/>
      <c r="E39" s="294"/>
      <c r="F39" s="293"/>
    </row>
    <row r="40" spans="1:6" x14ac:dyDescent="0.2">
      <c r="A40" s="292">
        <f t="shared" ref="A40:A45" si="7">A39+1</f>
        <v>44068</v>
      </c>
      <c r="B40" s="285">
        <f t="shared" si="6"/>
        <v>44068</v>
      </c>
      <c r="F40" s="291"/>
    </row>
    <row r="41" spans="1:6" x14ac:dyDescent="0.2">
      <c r="A41" s="292">
        <f t="shared" si="7"/>
        <v>44069</v>
      </c>
      <c r="B41" s="285">
        <f t="shared" si="6"/>
        <v>44069</v>
      </c>
      <c r="F41" s="291"/>
    </row>
    <row r="42" spans="1:6" x14ac:dyDescent="0.2">
      <c r="A42" s="292">
        <f t="shared" si="7"/>
        <v>44070</v>
      </c>
      <c r="B42" s="285">
        <f t="shared" si="6"/>
        <v>44070</v>
      </c>
      <c r="F42" s="291"/>
    </row>
    <row r="43" spans="1:6" x14ac:dyDescent="0.2">
      <c r="A43" s="292">
        <f t="shared" si="7"/>
        <v>44071</v>
      </c>
      <c r="B43" s="285">
        <f t="shared" si="6"/>
        <v>44071</v>
      </c>
      <c r="F43" s="291"/>
    </row>
    <row r="44" spans="1:6" x14ac:dyDescent="0.2">
      <c r="A44" s="292">
        <f t="shared" si="7"/>
        <v>44072</v>
      </c>
      <c r="B44" s="285">
        <f t="shared" si="6"/>
        <v>44072</v>
      </c>
      <c r="F44" s="291"/>
    </row>
    <row r="45" spans="1:6" x14ac:dyDescent="0.2">
      <c r="A45" s="292">
        <f t="shared" si="7"/>
        <v>44073</v>
      </c>
      <c r="B45" s="285">
        <f t="shared" si="6"/>
        <v>44073</v>
      </c>
      <c r="F45" s="291"/>
    </row>
    <row r="46" spans="1:6" x14ac:dyDescent="0.2">
      <c r="A46" s="292">
        <f>A45</f>
        <v>44073</v>
      </c>
      <c r="B46" s="285" t="s">
        <v>234</v>
      </c>
      <c r="F46" s="291"/>
    </row>
    <row r="47" spans="1:6" x14ac:dyDescent="0.2">
      <c r="A47" s="292">
        <f>A45</f>
        <v>44073</v>
      </c>
      <c r="B47" s="285" t="s">
        <v>233</v>
      </c>
      <c r="F47" s="291"/>
    </row>
    <row r="48" spans="1:6" ht="13.5" thickBot="1" x14ac:dyDescent="0.25">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 style="7" customWidth="1"/>
    <col min="15" max="15" width="9.28515625" style="7" customWidth="1"/>
    <col min="16" max="18" width="7.7109375" style="7" customWidth="1"/>
    <col min="19" max="19" width="8.5703125" style="7" customWidth="1"/>
    <col min="20" max="20" width="13.28515625" style="6" customWidth="1"/>
    <col min="21" max="21" width="8.28515625" style="7" customWidth="1"/>
    <col min="22" max="16384" width="9.140625" style="6"/>
  </cols>
  <sheetData>
    <row r="1" spans="1:21" s="7" customFormat="1" ht="13.5" customHeight="1" x14ac:dyDescent="0.2">
      <c r="A1" s="323">
        <f>E1+SalesAug20!$D$1+PurchasesJul20!A1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S1+PurchasesJul20!T1</f>
        <v>0</v>
      </c>
      <c r="U1" s="320">
        <f>SUM(U4:U199)</f>
        <v>0</v>
      </c>
    </row>
    <row r="2" spans="1:21" s="7" customFormat="1" ht="13.5" customHeight="1" x14ac:dyDescent="0.2">
      <c r="A2" s="319">
        <f>U1+PurchasesJul20!A2</f>
        <v>0</v>
      </c>
      <c r="B2" s="104" t="s">
        <v>272</v>
      </c>
      <c r="C2" s="476" t="s">
        <v>271</v>
      </c>
      <c r="D2" s="478" t="s">
        <v>270</v>
      </c>
      <c r="E2" s="476" t="s">
        <v>269</v>
      </c>
      <c r="F2" s="433" t="s">
        <v>268</v>
      </c>
      <c r="G2" s="480" t="s">
        <v>267</v>
      </c>
      <c r="H2" s="481"/>
      <c r="I2" s="482">
        <f>G1+H1+I1+J1+PurchasesJul20!I2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IF((E1&lt;&gt;0),Admin!$B$9,"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IF((A1&lt;Admin!$F$22),((A1-PurchasesJul20!A1)*Admin!$G$21),(A1*Admin!$G$21-(A1-Admin!$F$21)*(Admin!$G$21-Admin!$G$22)-PurchasesJul20!A2))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SalesAug20!A47+1</f>
        <v>44074</v>
      </c>
      <c r="B5" s="297">
        <f>A5</f>
        <v>44074</v>
      </c>
      <c r="C5" s="296"/>
      <c r="D5" s="295"/>
      <c r="E5" s="294"/>
      <c r="F5" s="293"/>
    </row>
    <row r="6" spans="1:6" x14ac:dyDescent="0.2">
      <c r="A6" s="292">
        <f>A5+1</f>
        <v>44075</v>
      </c>
      <c r="B6" s="285">
        <f>A6</f>
        <v>44075</v>
      </c>
      <c r="F6" s="291"/>
    </row>
    <row r="7" spans="1:6" x14ac:dyDescent="0.2">
      <c r="A7" s="292">
        <f>A6+1</f>
        <v>44076</v>
      </c>
      <c r="B7" s="285">
        <f>A7</f>
        <v>44076</v>
      </c>
      <c r="F7" s="291"/>
    </row>
    <row r="8" spans="1:6" x14ac:dyDescent="0.2">
      <c r="A8" s="292">
        <f t="shared" ref="A8:A10" si="0">A7+1</f>
        <v>44077</v>
      </c>
      <c r="B8" s="285">
        <f t="shared" ref="B8:B10" si="1">A8</f>
        <v>44077</v>
      </c>
      <c r="F8" s="291"/>
    </row>
    <row r="9" spans="1:6" x14ac:dyDescent="0.2">
      <c r="A9" s="292">
        <f t="shared" si="0"/>
        <v>44078</v>
      </c>
      <c r="B9" s="285">
        <f t="shared" si="1"/>
        <v>44078</v>
      </c>
      <c r="F9" s="291"/>
    </row>
    <row r="10" spans="1:6" x14ac:dyDescent="0.2">
      <c r="A10" s="292">
        <f t="shared" si="0"/>
        <v>44079</v>
      </c>
      <c r="B10" s="285">
        <f t="shared" si="1"/>
        <v>44079</v>
      </c>
      <c r="F10" s="291"/>
    </row>
    <row r="11" spans="1:6" x14ac:dyDescent="0.2">
      <c r="A11" s="292">
        <f>A10+1</f>
        <v>44080</v>
      </c>
      <c r="B11" s="285">
        <f>A11</f>
        <v>44080</v>
      </c>
      <c r="F11" s="291"/>
    </row>
    <row r="12" spans="1:6" x14ac:dyDescent="0.2">
      <c r="A12" s="292">
        <f>A11</f>
        <v>44080</v>
      </c>
      <c r="B12" s="285" t="s">
        <v>234</v>
      </c>
      <c r="F12" s="291"/>
    </row>
    <row r="13" spans="1:6" x14ac:dyDescent="0.2">
      <c r="A13" s="292">
        <f>A12</f>
        <v>44080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44081</v>
      </c>
      <c r="B16" s="297">
        <f t="shared" ref="B16:B22" si="2">A16</f>
        <v>44081</v>
      </c>
      <c r="C16" s="296"/>
      <c r="D16" s="295"/>
      <c r="E16" s="294"/>
      <c r="F16" s="293"/>
    </row>
    <row r="17" spans="1:6" x14ac:dyDescent="0.2">
      <c r="A17" s="292">
        <f t="shared" ref="A17:A22" si="3">A16+1</f>
        <v>44082</v>
      </c>
      <c r="B17" s="285">
        <f t="shared" si="2"/>
        <v>44082</v>
      </c>
      <c r="F17" s="291"/>
    </row>
    <row r="18" spans="1:6" x14ac:dyDescent="0.2">
      <c r="A18" s="292">
        <f t="shared" si="3"/>
        <v>44083</v>
      </c>
      <c r="B18" s="285">
        <f t="shared" si="2"/>
        <v>44083</v>
      </c>
      <c r="F18" s="291"/>
    </row>
    <row r="19" spans="1:6" x14ac:dyDescent="0.2">
      <c r="A19" s="292">
        <f t="shared" si="3"/>
        <v>44084</v>
      </c>
      <c r="B19" s="285">
        <f t="shared" si="2"/>
        <v>44084</v>
      </c>
      <c r="F19" s="291"/>
    </row>
    <row r="20" spans="1:6" x14ac:dyDescent="0.2">
      <c r="A20" s="292">
        <f t="shared" si="3"/>
        <v>44085</v>
      </c>
      <c r="B20" s="285">
        <f t="shared" si="2"/>
        <v>44085</v>
      </c>
      <c r="F20" s="291"/>
    </row>
    <row r="21" spans="1:6" x14ac:dyDescent="0.2">
      <c r="A21" s="292">
        <f t="shared" si="3"/>
        <v>44086</v>
      </c>
      <c r="B21" s="285">
        <f t="shared" si="2"/>
        <v>44086</v>
      </c>
      <c r="F21" s="291"/>
    </row>
    <row r="22" spans="1:6" x14ac:dyDescent="0.2">
      <c r="A22" s="292">
        <f t="shared" si="3"/>
        <v>44087</v>
      </c>
      <c r="B22" s="285">
        <f t="shared" si="2"/>
        <v>44087</v>
      </c>
      <c r="F22" s="291"/>
    </row>
    <row r="23" spans="1:6" x14ac:dyDescent="0.2">
      <c r="A23" s="292">
        <f>A22</f>
        <v>44087</v>
      </c>
      <c r="B23" s="285" t="s">
        <v>234</v>
      </c>
      <c r="F23" s="291"/>
    </row>
    <row r="24" spans="1:6" x14ac:dyDescent="0.2">
      <c r="A24" s="292">
        <f>A22</f>
        <v>44087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44088</v>
      </c>
      <c r="B27" s="297">
        <f t="shared" ref="B27:B33" si="4">A27</f>
        <v>44088</v>
      </c>
      <c r="C27" s="296"/>
      <c r="D27" s="295"/>
      <c r="E27" s="294"/>
      <c r="F27" s="293"/>
    </row>
    <row r="28" spans="1:6" x14ac:dyDescent="0.2">
      <c r="A28" s="292">
        <f t="shared" ref="A28:A33" si="5">A27+1</f>
        <v>44089</v>
      </c>
      <c r="B28" s="285">
        <f t="shared" si="4"/>
        <v>44089</v>
      </c>
      <c r="F28" s="291"/>
    </row>
    <row r="29" spans="1:6" x14ac:dyDescent="0.2">
      <c r="A29" s="292">
        <f t="shared" si="5"/>
        <v>44090</v>
      </c>
      <c r="B29" s="285">
        <f t="shared" si="4"/>
        <v>44090</v>
      </c>
      <c r="F29" s="291"/>
    </row>
    <row r="30" spans="1:6" x14ac:dyDescent="0.2">
      <c r="A30" s="292">
        <f t="shared" si="5"/>
        <v>44091</v>
      </c>
      <c r="B30" s="285">
        <f t="shared" si="4"/>
        <v>44091</v>
      </c>
      <c r="F30" s="291"/>
    </row>
    <row r="31" spans="1:6" x14ac:dyDescent="0.2">
      <c r="A31" s="292">
        <f t="shared" si="5"/>
        <v>44092</v>
      </c>
      <c r="B31" s="285">
        <f t="shared" si="4"/>
        <v>44092</v>
      </c>
      <c r="F31" s="291"/>
    </row>
    <row r="32" spans="1:6" x14ac:dyDescent="0.2">
      <c r="A32" s="292">
        <f t="shared" si="5"/>
        <v>44093</v>
      </c>
      <c r="B32" s="285">
        <f t="shared" si="4"/>
        <v>44093</v>
      </c>
      <c r="F32" s="291"/>
    </row>
    <row r="33" spans="1:6" x14ac:dyDescent="0.2">
      <c r="A33" s="292">
        <f t="shared" si="5"/>
        <v>44094</v>
      </c>
      <c r="B33" s="285">
        <f t="shared" si="4"/>
        <v>44094</v>
      </c>
      <c r="F33" s="291"/>
    </row>
    <row r="34" spans="1:6" x14ac:dyDescent="0.2">
      <c r="A34" s="292">
        <f>A33</f>
        <v>44094</v>
      </c>
      <c r="B34" s="285" t="s">
        <v>234</v>
      </c>
      <c r="F34" s="291"/>
    </row>
    <row r="35" spans="1:6" x14ac:dyDescent="0.2">
      <c r="A35" s="292">
        <f>A33</f>
        <v>44094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44095</v>
      </c>
      <c r="B38" s="297">
        <f t="shared" ref="B38:B44" si="6">A38</f>
        <v>44095</v>
      </c>
      <c r="C38" s="296"/>
      <c r="D38" s="295"/>
      <c r="E38" s="294"/>
      <c r="F38" s="293"/>
    </row>
    <row r="39" spans="1:6" x14ac:dyDescent="0.2">
      <c r="A39" s="292">
        <f t="shared" ref="A39:A44" si="7">A38+1</f>
        <v>44096</v>
      </c>
      <c r="B39" s="285">
        <f t="shared" si="6"/>
        <v>44096</v>
      </c>
      <c r="F39" s="291"/>
    </row>
    <row r="40" spans="1:6" x14ac:dyDescent="0.2">
      <c r="A40" s="292">
        <f t="shared" si="7"/>
        <v>44097</v>
      </c>
      <c r="B40" s="285">
        <f t="shared" si="6"/>
        <v>44097</v>
      </c>
      <c r="F40" s="291"/>
    </row>
    <row r="41" spans="1:6" x14ac:dyDescent="0.2">
      <c r="A41" s="292">
        <f t="shared" si="7"/>
        <v>44098</v>
      </c>
      <c r="B41" s="285">
        <f t="shared" si="6"/>
        <v>44098</v>
      </c>
      <c r="F41" s="291"/>
    </row>
    <row r="42" spans="1:6" x14ac:dyDescent="0.2">
      <c r="A42" s="292">
        <f t="shared" si="7"/>
        <v>44099</v>
      </c>
      <c r="B42" s="285">
        <f t="shared" si="6"/>
        <v>44099</v>
      </c>
      <c r="F42" s="291"/>
    </row>
    <row r="43" spans="1:6" x14ac:dyDescent="0.2">
      <c r="A43" s="292">
        <f t="shared" si="7"/>
        <v>44100</v>
      </c>
      <c r="B43" s="285">
        <f t="shared" si="6"/>
        <v>44100</v>
      </c>
      <c r="F43" s="291"/>
    </row>
    <row r="44" spans="1:6" x14ac:dyDescent="0.2">
      <c r="A44" s="292">
        <f t="shared" si="7"/>
        <v>44101</v>
      </c>
      <c r="B44" s="285">
        <f t="shared" si="6"/>
        <v>44101</v>
      </c>
      <c r="F44" s="291"/>
    </row>
    <row r="45" spans="1:6" x14ac:dyDescent="0.2">
      <c r="A45" s="292">
        <f>A44</f>
        <v>44101</v>
      </c>
      <c r="B45" s="285" t="s">
        <v>234</v>
      </c>
      <c r="F45" s="291"/>
    </row>
    <row r="46" spans="1:6" x14ac:dyDescent="0.2">
      <c r="A46" s="292">
        <f>A44</f>
        <v>44101</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42578125" style="7" customWidth="1"/>
    <col min="16" max="18" width="7.7109375" style="7" customWidth="1"/>
    <col min="19" max="19" width="8.5703125" style="7" customWidth="1"/>
    <col min="20" max="20" width="12.85546875" style="6" customWidth="1"/>
    <col min="21" max="21" width="8" style="7" customWidth="1"/>
    <col min="22" max="16384" width="9.140625" style="6"/>
  </cols>
  <sheetData>
    <row r="1" spans="1:21" s="7" customFormat="1" ht="13.5" customHeight="1" x14ac:dyDescent="0.2">
      <c r="A1" s="323">
        <f>E1+SalesSep20!$D$1+PurchasesAug20!A1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S1+PurchasesAug20!T1</f>
        <v>0</v>
      </c>
      <c r="U1" s="320">
        <f>SUM(U4:U199)</f>
        <v>0</v>
      </c>
    </row>
    <row r="2" spans="1:21" s="7" customFormat="1" ht="13.5" customHeight="1" x14ac:dyDescent="0.2">
      <c r="A2" s="319">
        <f>U1+PurchasesAug20!A2</f>
        <v>0</v>
      </c>
      <c r="B2" s="104" t="s">
        <v>272</v>
      </c>
      <c r="C2" s="476" t="s">
        <v>271</v>
      </c>
      <c r="D2" s="478" t="s">
        <v>270</v>
      </c>
      <c r="E2" s="476" t="s">
        <v>269</v>
      </c>
      <c r="F2" s="433" t="s">
        <v>268</v>
      </c>
      <c r="G2" s="480" t="s">
        <v>267</v>
      </c>
      <c r="H2" s="481"/>
      <c r="I2" s="482">
        <f>G1+H1+I1+J1+PurchasesAug20!I2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IF((E1&lt;&gt;0),Admin!$B$10,"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IF((A1&lt;Admin!$F$22),((A1-PurchasesAug20!A1)*Admin!$G$21),(A1*Admin!$G$21-(A1-Admin!$F$21)*(Admin!$G$21-Admin!$G$22)-PurchasesAug20!A2))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defaultRowHeight="12" x14ac:dyDescent="0.2"/>
  <cols>
    <col min="1" max="1" width="3.7109375" style="169" customWidth="1"/>
    <col min="2" max="2" width="0.85546875" style="169" customWidth="1"/>
    <col min="3" max="3" width="3.7109375" style="169" customWidth="1"/>
    <col min="4" max="4" width="4.7109375" style="169" customWidth="1"/>
    <col min="5" max="5" width="1.7109375" style="169" customWidth="1"/>
    <col min="6" max="6" width="10.7109375" style="169" customWidth="1"/>
    <col min="7" max="7" width="1.7109375" style="169" customWidth="1"/>
    <col min="8" max="9" width="2.5703125" style="169" customWidth="1"/>
    <col min="10" max="11" width="6.7109375" style="169" customWidth="1"/>
    <col min="12" max="12" width="3.7109375" style="169" customWidth="1"/>
    <col min="13" max="13" width="0.85546875" style="169" customWidth="1"/>
    <col min="14" max="15" width="3.7109375" style="169" customWidth="1"/>
    <col min="16" max="17" width="6.7109375" style="169" customWidth="1"/>
    <col min="18" max="18" width="1.7109375" style="169" customWidth="1"/>
    <col min="19" max="20" width="2.5703125" style="169" customWidth="1"/>
    <col min="21" max="21" width="2.7109375" style="169" customWidth="1"/>
    <col min="22" max="22" width="7.7109375" style="169" customWidth="1"/>
    <col min="23" max="23" width="4.7109375" style="169" customWidth="1"/>
    <col min="24" max="16384" width="9.140625" style="169"/>
  </cols>
  <sheetData>
    <row r="1" spans="1:23" ht="15.75" customHeight="1" x14ac:dyDescent="0.2">
      <c r="A1" s="357" t="s">
        <v>133</v>
      </c>
      <c r="B1" s="358"/>
      <c r="C1" s="358"/>
      <c r="D1" s="358"/>
      <c r="E1" s="358"/>
      <c r="F1" s="358"/>
      <c r="G1" s="358"/>
      <c r="H1" s="358"/>
      <c r="I1" s="358"/>
      <c r="J1" s="358"/>
      <c r="K1" s="358"/>
      <c r="L1" s="358"/>
      <c r="M1" s="358"/>
      <c r="N1" s="358"/>
      <c r="O1" s="358"/>
      <c r="P1" s="358"/>
      <c r="Q1" s="358"/>
      <c r="R1" s="358"/>
      <c r="S1" s="358"/>
      <c r="T1" s="358"/>
      <c r="U1" s="358"/>
      <c r="V1" s="358"/>
      <c r="W1" s="359"/>
    </row>
    <row r="2" spans="1:23" ht="3.95" customHeight="1" x14ac:dyDescent="0.2">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2">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1" customHeight="1" x14ac:dyDescent="0.2">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2">
      <c r="A5" s="173"/>
      <c r="B5" s="174"/>
      <c r="C5" s="351"/>
      <c r="D5" s="352"/>
      <c r="E5" s="352"/>
      <c r="F5" s="352"/>
      <c r="G5" s="352"/>
      <c r="H5" s="352"/>
      <c r="I5" s="352"/>
      <c r="J5" s="353"/>
      <c r="K5" s="174"/>
      <c r="L5" s="174"/>
      <c r="M5" s="174"/>
      <c r="N5" s="174"/>
      <c r="O5" s="360"/>
      <c r="P5" s="361"/>
      <c r="Q5" s="174"/>
      <c r="R5" s="360"/>
      <c r="S5" s="362"/>
      <c r="T5" s="362"/>
      <c r="U5" s="361"/>
      <c r="V5" s="174"/>
      <c r="W5" s="177"/>
    </row>
    <row r="6" spans="1:23" ht="6" customHeight="1" x14ac:dyDescent="0.2">
      <c r="A6" s="173"/>
      <c r="B6" s="174"/>
      <c r="C6" s="174"/>
      <c r="D6" s="174"/>
      <c r="E6" s="174"/>
      <c r="F6" s="174"/>
      <c r="G6" s="174"/>
      <c r="H6" s="174"/>
      <c r="I6" s="174"/>
      <c r="J6" s="174"/>
      <c r="K6" s="174"/>
      <c r="L6" s="174"/>
      <c r="M6" s="174"/>
      <c r="N6" s="174"/>
      <c r="O6" s="174"/>
      <c r="P6" s="174"/>
      <c r="Q6" s="174"/>
      <c r="R6" s="174"/>
      <c r="S6" s="174"/>
      <c r="T6" s="174"/>
      <c r="U6" s="174"/>
      <c r="V6" s="174"/>
      <c r="W6" s="177"/>
    </row>
    <row r="7" spans="1:23" ht="12.75" x14ac:dyDescent="0.2">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2">
      <c r="A8" s="182"/>
      <c r="B8" s="174"/>
      <c r="C8" s="351" t="s">
        <v>213</v>
      </c>
      <c r="D8" s="352"/>
      <c r="E8" s="352"/>
      <c r="F8" s="352"/>
      <c r="G8" s="352"/>
      <c r="H8" s="352"/>
      <c r="I8" s="352"/>
      <c r="J8" s="353"/>
      <c r="K8" s="174"/>
      <c r="L8" s="174"/>
      <c r="M8" s="174"/>
      <c r="N8" s="183" t="s">
        <v>138</v>
      </c>
      <c r="O8" s="175"/>
      <c r="P8" s="175"/>
      <c r="Q8" s="175"/>
      <c r="R8" s="175"/>
      <c r="S8" s="175"/>
      <c r="T8" s="175"/>
      <c r="U8" s="175"/>
      <c r="V8" s="175"/>
      <c r="W8" s="181"/>
    </row>
    <row r="9" spans="1:23" ht="8.1" customHeight="1" x14ac:dyDescent="0.2">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2">
      <c r="A10" s="182"/>
      <c r="B10" s="174"/>
      <c r="C10" s="351"/>
      <c r="D10" s="352"/>
      <c r="E10" s="352"/>
      <c r="F10" s="352"/>
      <c r="G10" s="352"/>
      <c r="H10" s="352"/>
      <c r="I10" s="352"/>
      <c r="J10" s="353"/>
      <c r="K10" s="174"/>
      <c r="L10" s="174"/>
      <c r="M10" s="174"/>
      <c r="N10" s="186"/>
      <c r="O10" s="184"/>
      <c r="P10" s="184"/>
      <c r="Q10" s="184"/>
      <c r="R10" s="174"/>
      <c r="S10" s="174"/>
      <c r="T10" s="174"/>
      <c r="U10" s="174"/>
      <c r="V10" s="174"/>
      <c r="W10" s="185"/>
    </row>
    <row r="11" spans="1:23" ht="8.1" customHeight="1" x14ac:dyDescent="0.2">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2">
      <c r="A12" s="182"/>
      <c r="B12" s="174"/>
      <c r="C12" s="351"/>
      <c r="D12" s="352"/>
      <c r="E12" s="352"/>
      <c r="F12" s="352"/>
      <c r="G12" s="352"/>
      <c r="H12" s="352"/>
      <c r="I12" s="352"/>
      <c r="J12" s="353"/>
      <c r="K12" s="174"/>
      <c r="L12" s="178">
        <v>5</v>
      </c>
      <c r="M12" s="174"/>
      <c r="N12" s="175" t="s">
        <v>139</v>
      </c>
      <c r="O12" s="175"/>
      <c r="P12" s="175"/>
      <c r="Q12" s="175"/>
      <c r="R12" s="179"/>
      <c r="S12" s="337">
        <f>Admin!B4</f>
        <v>43927</v>
      </c>
      <c r="T12" s="354"/>
      <c r="U12" s="354"/>
      <c r="V12" s="354"/>
      <c r="W12" s="181"/>
    </row>
    <row r="13" spans="1:23" ht="11.25" customHeight="1" x14ac:dyDescent="0.2">
      <c r="A13" s="182"/>
      <c r="B13" s="174"/>
      <c r="C13" s="174"/>
      <c r="D13" s="174"/>
      <c r="E13" s="174"/>
      <c r="F13" s="174"/>
      <c r="G13" s="174"/>
      <c r="H13" s="174"/>
      <c r="I13" s="174"/>
      <c r="J13" s="174"/>
      <c r="K13" s="174"/>
      <c r="L13" s="174"/>
      <c r="M13" s="174"/>
      <c r="N13" s="355" t="s">
        <v>140</v>
      </c>
      <c r="O13" s="355"/>
      <c r="P13" s="355"/>
      <c r="Q13" s="355"/>
      <c r="R13" s="355"/>
      <c r="S13" s="355"/>
      <c r="T13" s="355"/>
      <c r="U13" s="355"/>
      <c r="V13" s="355"/>
      <c r="W13" s="187"/>
    </row>
    <row r="14" spans="1:23" ht="8.1" customHeight="1" x14ac:dyDescent="0.2">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5" x14ac:dyDescent="0.2">
      <c r="A15" s="178">
        <v>2</v>
      </c>
      <c r="B15" s="174"/>
      <c r="C15" s="175" t="s">
        <v>141</v>
      </c>
      <c r="D15" s="175"/>
      <c r="E15" s="175"/>
      <c r="F15" s="174"/>
      <c r="G15" s="174"/>
      <c r="H15" s="174"/>
      <c r="I15" s="174"/>
      <c r="J15" s="174"/>
      <c r="K15" s="174"/>
      <c r="L15" s="174"/>
      <c r="M15" s="174"/>
      <c r="N15" s="343"/>
      <c r="O15" s="344"/>
      <c r="P15" s="344"/>
      <c r="Q15" s="356"/>
      <c r="R15" s="175"/>
      <c r="S15" s="175"/>
      <c r="T15" s="175"/>
      <c r="U15" s="175"/>
      <c r="V15" s="175"/>
      <c r="W15" s="181"/>
    </row>
    <row r="16" spans="1:23" ht="6" customHeight="1" x14ac:dyDescent="0.2">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2">
      <c r="A17" s="182"/>
      <c r="B17" s="174"/>
      <c r="C17" s="335"/>
      <c r="D17" s="336"/>
      <c r="E17" s="174"/>
      <c r="F17" s="188"/>
      <c r="G17" s="174"/>
      <c r="H17" s="174"/>
      <c r="I17" s="174"/>
      <c r="J17" s="174"/>
      <c r="K17" s="174"/>
      <c r="L17" s="174"/>
      <c r="M17" s="174"/>
      <c r="N17" s="175"/>
      <c r="O17" s="175"/>
      <c r="P17" s="175"/>
      <c r="Q17" s="175"/>
      <c r="R17" s="175"/>
      <c r="S17" s="175"/>
      <c r="T17" s="175"/>
      <c r="U17" s="175"/>
      <c r="V17" s="175"/>
      <c r="W17" s="181"/>
    </row>
    <row r="18" spans="1:23" ht="12.75" x14ac:dyDescent="0.2">
      <c r="A18" s="182"/>
      <c r="B18" s="174"/>
      <c r="C18" s="174"/>
      <c r="D18" s="174"/>
      <c r="E18" s="174"/>
      <c r="F18" s="174"/>
      <c r="G18" s="174"/>
      <c r="H18" s="174"/>
      <c r="I18" s="174"/>
      <c r="J18" s="174"/>
      <c r="K18" s="174"/>
      <c r="L18" s="178">
        <v>6</v>
      </c>
      <c r="M18" s="175"/>
      <c r="N18" s="175" t="s">
        <v>142</v>
      </c>
      <c r="O18" s="189"/>
      <c r="P18" s="175"/>
      <c r="Q18" s="175"/>
      <c r="R18" s="175"/>
      <c r="S18" s="337">
        <f>Admin!B17</f>
        <v>44291</v>
      </c>
      <c r="T18" s="338"/>
      <c r="U18" s="339"/>
      <c r="V18" s="339"/>
      <c r="W18" s="181"/>
    </row>
    <row r="19" spans="1:23" x14ac:dyDescent="0.2">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2">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5" x14ac:dyDescent="0.2">
      <c r="A21" s="182"/>
      <c r="B21" s="174"/>
      <c r="C21" s="183" t="s">
        <v>146</v>
      </c>
      <c r="D21" s="184"/>
      <c r="E21" s="184"/>
      <c r="F21" s="184"/>
      <c r="G21" s="184"/>
      <c r="H21" s="184"/>
      <c r="I21" s="184"/>
      <c r="J21" s="184"/>
      <c r="K21" s="184"/>
      <c r="L21" s="174"/>
      <c r="M21" s="174"/>
      <c r="N21" s="343"/>
      <c r="O21" s="344"/>
      <c r="P21" s="344"/>
      <c r="Q21" s="345"/>
      <c r="R21" s="174"/>
      <c r="S21" s="174"/>
      <c r="T21" s="174"/>
      <c r="U21" s="174"/>
      <c r="V21" s="174"/>
      <c r="W21" s="185"/>
    </row>
    <row r="22" spans="1:23" ht="9.9499999999999993" customHeight="1" x14ac:dyDescent="0.2">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2">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5">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2">
      <c r="A25" s="182"/>
      <c r="B25" s="174"/>
      <c r="C25" s="174"/>
      <c r="D25" s="174"/>
      <c r="E25" s="174"/>
      <c r="F25" s="174"/>
      <c r="G25" s="174"/>
      <c r="H25" s="174"/>
      <c r="I25" s="174"/>
      <c r="J25" s="174"/>
      <c r="K25" s="174"/>
      <c r="L25" s="174"/>
      <c r="M25" s="174"/>
      <c r="N25" s="343">
        <f>Admin!B17</f>
        <v>44291</v>
      </c>
      <c r="O25" s="344"/>
      <c r="P25" s="344"/>
      <c r="Q25" s="345"/>
      <c r="R25" s="174"/>
      <c r="S25" s="174"/>
      <c r="T25" s="174"/>
      <c r="U25" s="174"/>
      <c r="V25" s="174"/>
      <c r="W25" s="185"/>
    </row>
    <row r="26" spans="1:23" ht="12" customHeight="1" x14ac:dyDescent="0.2">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2">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2">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2">
      <c r="A29" s="174"/>
      <c r="B29" s="174"/>
      <c r="C29" s="193" t="s">
        <v>50</v>
      </c>
      <c r="D29" s="346"/>
      <c r="E29" s="347"/>
      <c r="F29" s="348"/>
      <c r="G29" s="194" t="s">
        <v>153</v>
      </c>
      <c r="H29" s="195">
        <v>0</v>
      </c>
      <c r="I29" s="195">
        <v>0</v>
      </c>
      <c r="J29" s="174"/>
      <c r="K29" s="174"/>
      <c r="L29" s="175"/>
      <c r="M29" s="174"/>
      <c r="N29" s="193" t="s">
        <v>50</v>
      </c>
      <c r="O29" s="346"/>
      <c r="P29" s="349"/>
      <c r="Q29" s="350"/>
      <c r="R29" s="194" t="s">
        <v>153</v>
      </c>
      <c r="S29" s="195">
        <v>0</v>
      </c>
      <c r="T29" s="195">
        <v>0</v>
      </c>
      <c r="U29" s="175"/>
      <c r="V29" s="175"/>
      <c r="W29" s="185"/>
    </row>
    <row r="30" spans="1:23" ht="8.1" customHeight="1" x14ac:dyDescent="0.2">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2">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2">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3.95" customHeight="1" x14ac:dyDescent="0.2">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2">
      <c r="A34" s="174"/>
      <c r="B34" s="174"/>
      <c r="C34" s="193" t="s">
        <v>50</v>
      </c>
      <c r="D34" s="340">
        <f>'SE Short'!O94</f>
        <v>0</v>
      </c>
      <c r="E34" s="341"/>
      <c r="F34" s="342"/>
      <c r="G34" s="194" t="s">
        <v>153</v>
      </c>
      <c r="H34" s="195">
        <v>0</v>
      </c>
      <c r="I34" s="195">
        <v>0</v>
      </c>
      <c r="J34" s="174"/>
      <c r="K34" s="174"/>
      <c r="L34" s="174"/>
      <c r="M34" s="174"/>
      <c r="N34" s="193" t="s">
        <v>50</v>
      </c>
      <c r="O34" s="340">
        <f>D29-D34+'SE Short'!O106</f>
        <v>0</v>
      </c>
      <c r="P34" s="341"/>
      <c r="Q34" s="342"/>
      <c r="R34" s="194" t="s">
        <v>153</v>
      </c>
      <c r="S34" s="195">
        <v>0</v>
      </c>
      <c r="T34" s="195">
        <v>0</v>
      </c>
      <c r="U34" s="174"/>
      <c r="V34" s="174"/>
      <c r="W34" s="185"/>
    </row>
    <row r="35" spans="1:23" ht="8.1" customHeight="1" x14ac:dyDescent="0.2">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8"/>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SUM(E4:E58)/2</f>
        <v>0</v>
      </c>
      <c r="F1" s="303">
        <f>SUM(F4:F58)/2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SalesSep20!A44+1</f>
        <v>44102</v>
      </c>
      <c r="B5" s="297">
        <f>A5</f>
        <v>44102</v>
      </c>
      <c r="C5" s="296"/>
      <c r="D5" s="295"/>
      <c r="E5" s="294"/>
      <c r="F5" s="293"/>
    </row>
    <row r="6" spans="1:6" x14ac:dyDescent="0.2">
      <c r="A6" s="292">
        <f>A5+1</f>
        <v>44103</v>
      </c>
      <c r="B6" s="285">
        <f t="shared" ref="B6:B11" si="0">A6</f>
        <v>44103</v>
      </c>
      <c r="F6" s="291"/>
    </row>
    <row r="7" spans="1:6" x14ac:dyDescent="0.2">
      <c r="A7" s="292">
        <f>A6+1</f>
        <v>44104</v>
      </c>
      <c r="B7" s="285">
        <f t="shared" si="0"/>
        <v>44104</v>
      </c>
      <c r="F7" s="291"/>
    </row>
    <row r="8" spans="1:6" x14ac:dyDescent="0.2">
      <c r="A8" s="292">
        <f t="shared" ref="A8:A11" si="1">A7+1</f>
        <v>44105</v>
      </c>
      <c r="B8" s="285">
        <f t="shared" si="0"/>
        <v>44105</v>
      </c>
      <c r="F8" s="291"/>
    </row>
    <row r="9" spans="1:6" x14ac:dyDescent="0.2">
      <c r="A9" s="292">
        <f t="shared" si="1"/>
        <v>44106</v>
      </c>
      <c r="B9" s="285">
        <f t="shared" si="0"/>
        <v>44106</v>
      </c>
      <c r="F9" s="291"/>
    </row>
    <row r="10" spans="1:6" x14ac:dyDescent="0.2">
      <c r="A10" s="292">
        <f t="shared" si="1"/>
        <v>44107</v>
      </c>
      <c r="B10" s="285">
        <f t="shared" si="0"/>
        <v>44107</v>
      </c>
      <c r="F10" s="291"/>
    </row>
    <row r="11" spans="1:6" x14ac:dyDescent="0.2">
      <c r="A11" s="292">
        <f t="shared" si="1"/>
        <v>44108</v>
      </c>
      <c r="B11" s="285">
        <f t="shared" si="0"/>
        <v>44108</v>
      </c>
      <c r="F11" s="291"/>
    </row>
    <row r="12" spans="1:6" x14ac:dyDescent="0.2">
      <c r="A12" s="292">
        <f>A11</f>
        <v>44108</v>
      </c>
      <c r="B12" s="285" t="s">
        <v>234</v>
      </c>
      <c r="F12" s="291"/>
    </row>
    <row r="13" spans="1:6" x14ac:dyDescent="0.2">
      <c r="A13" s="292">
        <f>A12</f>
        <v>44108</v>
      </c>
      <c r="B13" s="285" t="s">
        <v>233</v>
      </c>
      <c r="F13" s="291"/>
    </row>
    <row r="14" spans="1:6" ht="13.5" thickBot="1" x14ac:dyDescent="0.25">
      <c r="A14" s="290"/>
      <c r="B14" s="289"/>
      <c r="C14" s="287"/>
      <c r="D14" s="288"/>
      <c r="E14" s="326">
        <f>SUM(E5:E13)</f>
        <v>0</v>
      </c>
      <c r="F14" s="299">
        <f>SUM(F5:F13)</f>
        <v>0</v>
      </c>
    </row>
    <row r="15" spans="1:6" ht="13.5" thickBot="1" x14ac:dyDescent="0.25"/>
    <row r="16" spans="1:6" x14ac:dyDescent="0.2">
      <c r="A16" s="298">
        <f>A11+1</f>
        <v>44109</v>
      </c>
      <c r="B16" s="297">
        <f t="shared" ref="B16:B22" si="2">A16</f>
        <v>44109</v>
      </c>
      <c r="C16" s="296"/>
      <c r="D16" s="295"/>
      <c r="E16" s="294"/>
      <c r="F16" s="293"/>
    </row>
    <row r="17" spans="1:6" x14ac:dyDescent="0.2">
      <c r="A17" s="292">
        <f t="shared" ref="A17:A22" si="3">A16+1</f>
        <v>44110</v>
      </c>
      <c r="B17" s="285">
        <f t="shared" si="2"/>
        <v>44110</v>
      </c>
      <c r="F17" s="291"/>
    </row>
    <row r="18" spans="1:6" x14ac:dyDescent="0.2">
      <c r="A18" s="292">
        <f t="shared" si="3"/>
        <v>44111</v>
      </c>
      <c r="B18" s="285">
        <f t="shared" si="2"/>
        <v>44111</v>
      </c>
      <c r="F18" s="291"/>
    </row>
    <row r="19" spans="1:6" x14ac:dyDescent="0.2">
      <c r="A19" s="292">
        <f t="shared" si="3"/>
        <v>44112</v>
      </c>
      <c r="B19" s="285">
        <f t="shared" si="2"/>
        <v>44112</v>
      </c>
      <c r="F19" s="291"/>
    </row>
    <row r="20" spans="1:6" x14ac:dyDescent="0.2">
      <c r="A20" s="292">
        <f t="shared" si="3"/>
        <v>44113</v>
      </c>
      <c r="B20" s="285">
        <f t="shared" si="2"/>
        <v>44113</v>
      </c>
      <c r="F20" s="291"/>
    </row>
    <row r="21" spans="1:6" x14ac:dyDescent="0.2">
      <c r="A21" s="292">
        <f t="shared" si="3"/>
        <v>44114</v>
      </c>
      <c r="B21" s="285">
        <f t="shared" si="2"/>
        <v>44114</v>
      </c>
      <c r="F21" s="291"/>
    </row>
    <row r="22" spans="1:6" x14ac:dyDescent="0.2">
      <c r="A22" s="292">
        <f t="shared" si="3"/>
        <v>44115</v>
      </c>
      <c r="B22" s="285">
        <f t="shared" si="2"/>
        <v>44115</v>
      </c>
      <c r="F22" s="291"/>
    </row>
    <row r="23" spans="1:6" x14ac:dyDescent="0.2">
      <c r="A23" s="292">
        <f>A22</f>
        <v>44115</v>
      </c>
      <c r="B23" s="285" t="s">
        <v>234</v>
      </c>
      <c r="F23" s="291"/>
    </row>
    <row r="24" spans="1:6" x14ac:dyDescent="0.2">
      <c r="A24" s="292">
        <f>A23</f>
        <v>44115</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44116</v>
      </c>
      <c r="B27" s="297">
        <f t="shared" ref="B27:B33" si="4">A27</f>
        <v>44116</v>
      </c>
      <c r="C27" s="296"/>
      <c r="D27" s="295"/>
      <c r="E27" s="294"/>
      <c r="F27" s="293"/>
    </row>
    <row r="28" spans="1:6" x14ac:dyDescent="0.2">
      <c r="A28" s="292">
        <f t="shared" ref="A28:A33" si="5">A27+1</f>
        <v>44117</v>
      </c>
      <c r="B28" s="285">
        <f t="shared" si="4"/>
        <v>44117</v>
      </c>
      <c r="F28" s="291"/>
    </row>
    <row r="29" spans="1:6" x14ac:dyDescent="0.2">
      <c r="A29" s="292">
        <f t="shared" si="5"/>
        <v>44118</v>
      </c>
      <c r="B29" s="285">
        <f t="shared" si="4"/>
        <v>44118</v>
      </c>
      <c r="F29" s="291"/>
    </row>
    <row r="30" spans="1:6" x14ac:dyDescent="0.2">
      <c r="A30" s="292">
        <f t="shared" si="5"/>
        <v>44119</v>
      </c>
      <c r="B30" s="285">
        <f t="shared" si="4"/>
        <v>44119</v>
      </c>
      <c r="F30" s="291"/>
    </row>
    <row r="31" spans="1:6" x14ac:dyDescent="0.2">
      <c r="A31" s="292">
        <f t="shared" si="5"/>
        <v>44120</v>
      </c>
      <c r="B31" s="285">
        <f t="shared" si="4"/>
        <v>44120</v>
      </c>
      <c r="F31" s="291"/>
    </row>
    <row r="32" spans="1:6" x14ac:dyDescent="0.2">
      <c r="A32" s="292">
        <f t="shared" si="5"/>
        <v>44121</v>
      </c>
      <c r="B32" s="285">
        <f t="shared" si="4"/>
        <v>44121</v>
      </c>
      <c r="F32" s="291"/>
    </row>
    <row r="33" spans="1:6" x14ac:dyDescent="0.2">
      <c r="A33" s="292">
        <f t="shared" si="5"/>
        <v>44122</v>
      </c>
      <c r="B33" s="285">
        <f t="shared" si="4"/>
        <v>44122</v>
      </c>
      <c r="F33" s="291"/>
    </row>
    <row r="34" spans="1:6" x14ac:dyDescent="0.2">
      <c r="A34" s="292">
        <f>A33</f>
        <v>44122</v>
      </c>
      <c r="B34" s="285" t="s">
        <v>234</v>
      </c>
      <c r="F34" s="291"/>
    </row>
    <row r="35" spans="1:6" x14ac:dyDescent="0.2">
      <c r="A35" s="292">
        <f>A33</f>
        <v>44122</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44123</v>
      </c>
      <c r="B38" s="297">
        <f t="shared" ref="B38:B44" si="6">A38</f>
        <v>44123</v>
      </c>
      <c r="C38" s="296"/>
      <c r="D38" s="295"/>
      <c r="E38" s="294"/>
      <c r="F38" s="293"/>
    </row>
    <row r="39" spans="1:6" x14ac:dyDescent="0.2">
      <c r="A39" s="292">
        <f t="shared" ref="A39:A44" si="7">A38+1</f>
        <v>44124</v>
      </c>
      <c r="B39" s="285">
        <f t="shared" si="6"/>
        <v>44124</v>
      </c>
      <c r="F39" s="291"/>
    </row>
    <row r="40" spans="1:6" x14ac:dyDescent="0.2">
      <c r="A40" s="292">
        <f t="shared" si="7"/>
        <v>44125</v>
      </c>
      <c r="B40" s="285">
        <f t="shared" si="6"/>
        <v>44125</v>
      </c>
      <c r="F40" s="291"/>
    </row>
    <row r="41" spans="1:6" x14ac:dyDescent="0.2">
      <c r="A41" s="292">
        <f t="shared" si="7"/>
        <v>44126</v>
      </c>
      <c r="B41" s="285">
        <f t="shared" si="6"/>
        <v>44126</v>
      </c>
      <c r="F41" s="291"/>
    </row>
    <row r="42" spans="1:6" x14ac:dyDescent="0.2">
      <c r="A42" s="292">
        <f t="shared" si="7"/>
        <v>44127</v>
      </c>
      <c r="B42" s="285">
        <f t="shared" si="6"/>
        <v>44127</v>
      </c>
      <c r="F42" s="291"/>
    </row>
    <row r="43" spans="1:6" x14ac:dyDescent="0.2">
      <c r="A43" s="292">
        <f t="shared" si="7"/>
        <v>44128</v>
      </c>
      <c r="B43" s="285">
        <f t="shared" si="6"/>
        <v>44128</v>
      </c>
      <c r="F43" s="291"/>
    </row>
    <row r="44" spans="1:6" x14ac:dyDescent="0.2">
      <c r="A44" s="292">
        <f t="shared" si="7"/>
        <v>44129</v>
      </c>
      <c r="B44" s="285">
        <f t="shared" si="6"/>
        <v>44129</v>
      </c>
      <c r="F44" s="291"/>
    </row>
    <row r="45" spans="1:6" x14ac:dyDescent="0.2">
      <c r="A45" s="292">
        <f>A44</f>
        <v>44129</v>
      </c>
      <c r="B45" s="285" t="s">
        <v>234</v>
      </c>
      <c r="F45" s="291"/>
    </row>
    <row r="46" spans="1:6" x14ac:dyDescent="0.2">
      <c r="A46" s="292">
        <f>A44</f>
        <v>44129</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44130</v>
      </c>
      <c r="B49" s="297">
        <f t="shared" ref="B49:B55" si="8">A49</f>
        <v>44130</v>
      </c>
      <c r="C49" s="296"/>
      <c r="D49" s="295"/>
      <c r="E49" s="294"/>
      <c r="F49" s="293"/>
    </row>
    <row r="50" spans="1:6" x14ac:dyDescent="0.2">
      <c r="A50" s="292">
        <f t="shared" ref="A50:A55" si="9">A49+1</f>
        <v>44131</v>
      </c>
      <c r="B50" s="285">
        <f t="shared" si="8"/>
        <v>44131</v>
      </c>
      <c r="F50" s="291"/>
    </row>
    <row r="51" spans="1:6" x14ac:dyDescent="0.2">
      <c r="A51" s="292">
        <f t="shared" si="9"/>
        <v>44132</v>
      </c>
      <c r="B51" s="285">
        <f t="shared" si="8"/>
        <v>44132</v>
      </c>
      <c r="F51" s="291"/>
    </row>
    <row r="52" spans="1:6" x14ac:dyDescent="0.2">
      <c r="A52" s="292">
        <f t="shared" si="9"/>
        <v>44133</v>
      </c>
      <c r="B52" s="285">
        <f t="shared" si="8"/>
        <v>44133</v>
      </c>
      <c r="F52" s="291"/>
    </row>
    <row r="53" spans="1:6" x14ac:dyDescent="0.2">
      <c r="A53" s="292">
        <f t="shared" si="9"/>
        <v>44134</v>
      </c>
      <c r="B53" s="285">
        <f t="shared" si="8"/>
        <v>44134</v>
      </c>
      <c r="F53" s="291"/>
    </row>
    <row r="54" spans="1:6" x14ac:dyDescent="0.2">
      <c r="A54" s="292">
        <f t="shared" si="9"/>
        <v>44135</v>
      </c>
      <c r="B54" s="285">
        <f t="shared" si="8"/>
        <v>44135</v>
      </c>
      <c r="F54" s="291"/>
    </row>
    <row r="55" spans="1:6" x14ac:dyDescent="0.2">
      <c r="A55" s="292">
        <f t="shared" si="9"/>
        <v>44136</v>
      </c>
      <c r="B55" s="285">
        <f t="shared" si="8"/>
        <v>44136</v>
      </c>
      <c r="F55" s="291"/>
    </row>
    <row r="56" spans="1:6" x14ac:dyDescent="0.2">
      <c r="A56" s="292">
        <f>A55</f>
        <v>44136</v>
      </c>
      <c r="B56" s="285" t="s">
        <v>234</v>
      </c>
      <c r="F56" s="291"/>
    </row>
    <row r="57" spans="1:6" x14ac:dyDescent="0.2">
      <c r="A57" s="292">
        <f>A55</f>
        <v>44136</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3" style="6" customWidth="1"/>
    <col min="21" max="21" width="8.140625" style="7" customWidth="1"/>
    <col min="22" max="16384" width="9.140625" style="6"/>
  </cols>
  <sheetData>
    <row r="1" spans="1:21" s="7" customFormat="1" ht="13.5" customHeight="1" x14ac:dyDescent="0.2">
      <c r="A1" s="323">
        <f>E1+SalesOct20!$D$1+PurchasesSep20!A1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S1+PurchasesSep20!T1</f>
        <v>0</v>
      </c>
      <c r="U1" s="320">
        <f>SUM(U4:U199)</f>
        <v>0</v>
      </c>
    </row>
    <row r="2" spans="1:21" s="7" customFormat="1" ht="13.5" customHeight="1" x14ac:dyDescent="0.2">
      <c r="A2" s="319">
        <f>U1+PurchasesSep20!A2</f>
        <v>0</v>
      </c>
      <c r="B2" s="104" t="s">
        <v>272</v>
      </c>
      <c r="C2" s="476" t="s">
        <v>271</v>
      </c>
      <c r="D2" s="478" t="s">
        <v>270</v>
      </c>
      <c r="E2" s="476" t="s">
        <v>269</v>
      </c>
      <c r="F2" s="433" t="s">
        <v>268</v>
      </c>
      <c r="G2" s="480" t="s">
        <v>267</v>
      </c>
      <c r="H2" s="481"/>
      <c r="I2" s="482">
        <f>G1+H1+I1+J1+PurchasesSep20!I2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IF((E1&lt;&gt;0),Admin!$B$11,"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IF((A1&lt;Admin!$F$22),((A1-PurchasesSep20!A1)*Admin!$G$21),(A1*Admin!$G$21-(A1-Admin!$F$21)*(Admin!$G$21-Admin!$G$22)-PurchasesSep20!A2))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SalesOct20!A57+1</f>
        <v>44137</v>
      </c>
      <c r="B5" s="297">
        <f t="shared" ref="B5:B11" si="0">A5</f>
        <v>44137</v>
      </c>
      <c r="C5" s="296"/>
      <c r="D5" s="295"/>
      <c r="E5" s="294"/>
      <c r="F5" s="293"/>
    </row>
    <row r="6" spans="1:6" x14ac:dyDescent="0.2">
      <c r="A6" s="292">
        <f t="shared" ref="A6:A11" si="1">A5+1</f>
        <v>44138</v>
      </c>
      <c r="B6" s="285">
        <f t="shared" si="0"/>
        <v>44138</v>
      </c>
      <c r="F6" s="291"/>
    </row>
    <row r="7" spans="1:6" x14ac:dyDescent="0.2">
      <c r="A7" s="292">
        <f t="shared" si="1"/>
        <v>44139</v>
      </c>
      <c r="B7" s="285">
        <f t="shared" si="0"/>
        <v>44139</v>
      </c>
      <c r="F7" s="291"/>
    </row>
    <row r="8" spans="1:6" x14ac:dyDescent="0.2">
      <c r="A8" s="292">
        <f t="shared" si="1"/>
        <v>44140</v>
      </c>
      <c r="B8" s="285">
        <f t="shared" si="0"/>
        <v>44140</v>
      </c>
      <c r="F8" s="291"/>
    </row>
    <row r="9" spans="1:6" x14ac:dyDescent="0.2">
      <c r="A9" s="292">
        <f t="shared" si="1"/>
        <v>44141</v>
      </c>
      <c r="B9" s="285">
        <f t="shared" si="0"/>
        <v>44141</v>
      </c>
      <c r="F9" s="291"/>
    </row>
    <row r="10" spans="1:6" x14ac:dyDescent="0.2">
      <c r="A10" s="292">
        <f t="shared" si="1"/>
        <v>44142</v>
      </c>
      <c r="B10" s="285">
        <f t="shared" si="0"/>
        <v>44142</v>
      </c>
      <c r="F10" s="291"/>
    </row>
    <row r="11" spans="1:6" x14ac:dyDescent="0.2">
      <c r="A11" s="292">
        <f t="shared" si="1"/>
        <v>44143</v>
      </c>
      <c r="B11" s="285">
        <f t="shared" si="0"/>
        <v>44143</v>
      </c>
      <c r="F11" s="291"/>
    </row>
    <row r="12" spans="1:6" x14ac:dyDescent="0.2">
      <c r="A12" s="292">
        <f>A11</f>
        <v>44143</v>
      </c>
      <c r="B12" s="285" t="s">
        <v>234</v>
      </c>
      <c r="F12" s="291"/>
    </row>
    <row r="13" spans="1:6" x14ac:dyDescent="0.2">
      <c r="A13" s="292">
        <f>A11</f>
        <v>44143</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44144</v>
      </c>
      <c r="B16" s="297">
        <f t="shared" ref="B16:B22" si="2">A16</f>
        <v>44144</v>
      </c>
      <c r="C16" s="296"/>
      <c r="D16" s="295"/>
      <c r="E16" s="294"/>
      <c r="F16" s="293"/>
    </row>
    <row r="17" spans="1:6" x14ac:dyDescent="0.2">
      <c r="A17" s="292">
        <f t="shared" ref="A17:A22" si="3">A16+1</f>
        <v>44145</v>
      </c>
      <c r="B17" s="285">
        <f t="shared" si="2"/>
        <v>44145</v>
      </c>
      <c r="F17" s="291"/>
    </row>
    <row r="18" spans="1:6" x14ac:dyDescent="0.2">
      <c r="A18" s="292">
        <f t="shared" si="3"/>
        <v>44146</v>
      </c>
      <c r="B18" s="285">
        <f t="shared" si="2"/>
        <v>44146</v>
      </c>
      <c r="F18" s="291"/>
    </row>
    <row r="19" spans="1:6" x14ac:dyDescent="0.2">
      <c r="A19" s="292">
        <f t="shared" si="3"/>
        <v>44147</v>
      </c>
      <c r="B19" s="285">
        <f t="shared" si="2"/>
        <v>44147</v>
      </c>
      <c r="F19" s="291"/>
    </row>
    <row r="20" spans="1:6" x14ac:dyDescent="0.2">
      <c r="A20" s="292">
        <f t="shared" si="3"/>
        <v>44148</v>
      </c>
      <c r="B20" s="285">
        <f t="shared" si="2"/>
        <v>44148</v>
      </c>
      <c r="F20" s="291"/>
    </row>
    <row r="21" spans="1:6" x14ac:dyDescent="0.2">
      <c r="A21" s="292">
        <f t="shared" si="3"/>
        <v>44149</v>
      </c>
      <c r="B21" s="285">
        <f t="shared" si="2"/>
        <v>44149</v>
      </c>
      <c r="F21" s="291"/>
    </row>
    <row r="22" spans="1:6" x14ac:dyDescent="0.2">
      <c r="A22" s="292">
        <f t="shared" si="3"/>
        <v>44150</v>
      </c>
      <c r="B22" s="285">
        <f t="shared" si="2"/>
        <v>44150</v>
      </c>
      <c r="F22" s="291"/>
    </row>
    <row r="23" spans="1:6" x14ac:dyDescent="0.2">
      <c r="A23" s="292">
        <f>A22</f>
        <v>44150</v>
      </c>
      <c r="B23" s="285" t="s">
        <v>234</v>
      </c>
      <c r="F23" s="291"/>
    </row>
    <row r="24" spans="1:6" x14ac:dyDescent="0.2">
      <c r="A24" s="292">
        <f>A22</f>
        <v>44150</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44151</v>
      </c>
      <c r="B27" s="297">
        <f t="shared" ref="B27:B33" si="4">A27</f>
        <v>44151</v>
      </c>
      <c r="C27" s="296"/>
      <c r="D27" s="295"/>
      <c r="E27" s="294"/>
      <c r="F27" s="293"/>
    </row>
    <row r="28" spans="1:6" x14ac:dyDescent="0.2">
      <c r="A28" s="292">
        <f t="shared" ref="A28:A33" si="5">A27+1</f>
        <v>44152</v>
      </c>
      <c r="B28" s="285">
        <f t="shared" si="4"/>
        <v>44152</v>
      </c>
      <c r="F28" s="291"/>
    </row>
    <row r="29" spans="1:6" x14ac:dyDescent="0.2">
      <c r="A29" s="292">
        <f t="shared" si="5"/>
        <v>44153</v>
      </c>
      <c r="B29" s="285">
        <f t="shared" si="4"/>
        <v>44153</v>
      </c>
      <c r="F29" s="291"/>
    </row>
    <row r="30" spans="1:6" x14ac:dyDescent="0.2">
      <c r="A30" s="292">
        <f t="shared" si="5"/>
        <v>44154</v>
      </c>
      <c r="B30" s="285">
        <f t="shared" si="4"/>
        <v>44154</v>
      </c>
      <c r="F30" s="291"/>
    </row>
    <row r="31" spans="1:6" x14ac:dyDescent="0.2">
      <c r="A31" s="292">
        <f t="shared" si="5"/>
        <v>44155</v>
      </c>
      <c r="B31" s="285">
        <f t="shared" si="4"/>
        <v>44155</v>
      </c>
      <c r="F31" s="291"/>
    </row>
    <row r="32" spans="1:6" x14ac:dyDescent="0.2">
      <c r="A32" s="292">
        <f t="shared" si="5"/>
        <v>44156</v>
      </c>
      <c r="B32" s="285">
        <f t="shared" si="4"/>
        <v>44156</v>
      </c>
      <c r="F32" s="291"/>
    </row>
    <row r="33" spans="1:6" x14ac:dyDescent="0.2">
      <c r="A33" s="292">
        <f t="shared" si="5"/>
        <v>44157</v>
      </c>
      <c r="B33" s="285">
        <f t="shared" si="4"/>
        <v>44157</v>
      </c>
      <c r="F33" s="291"/>
    </row>
    <row r="34" spans="1:6" x14ac:dyDescent="0.2">
      <c r="A34" s="292">
        <f>A33</f>
        <v>44157</v>
      </c>
      <c r="B34" s="285" t="s">
        <v>234</v>
      </c>
      <c r="F34" s="291"/>
    </row>
    <row r="35" spans="1:6" x14ac:dyDescent="0.2">
      <c r="A35" s="292">
        <f>A33</f>
        <v>44157</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44158</v>
      </c>
      <c r="B38" s="297">
        <f>A38</f>
        <v>44158</v>
      </c>
      <c r="C38" s="296"/>
      <c r="D38" s="295"/>
      <c r="E38" s="294"/>
      <c r="F38" s="293"/>
    </row>
    <row r="39" spans="1:6" x14ac:dyDescent="0.2">
      <c r="A39" s="292">
        <f t="shared" ref="A39:A44" si="6">A38+1</f>
        <v>44159</v>
      </c>
      <c r="B39" s="285">
        <f>A39</f>
        <v>44159</v>
      </c>
      <c r="F39" s="291"/>
    </row>
    <row r="40" spans="1:6" x14ac:dyDescent="0.2">
      <c r="A40" s="292">
        <f t="shared" si="6"/>
        <v>44160</v>
      </c>
      <c r="B40" s="285">
        <f>A40</f>
        <v>44160</v>
      </c>
      <c r="F40" s="291"/>
    </row>
    <row r="41" spans="1:6" x14ac:dyDescent="0.2">
      <c r="A41" s="292">
        <f t="shared" si="6"/>
        <v>44161</v>
      </c>
      <c r="B41" s="285">
        <f>A41</f>
        <v>44161</v>
      </c>
      <c r="F41" s="291"/>
    </row>
    <row r="42" spans="1:6" x14ac:dyDescent="0.2">
      <c r="A42" s="292">
        <f t="shared" si="6"/>
        <v>44162</v>
      </c>
      <c r="B42" s="285">
        <f t="shared" ref="B42:B44" si="7">A42</f>
        <v>44162</v>
      </c>
      <c r="F42" s="291"/>
    </row>
    <row r="43" spans="1:6" x14ac:dyDescent="0.2">
      <c r="A43" s="292">
        <f t="shared" si="6"/>
        <v>44163</v>
      </c>
      <c r="B43" s="285">
        <f t="shared" si="7"/>
        <v>44163</v>
      </c>
      <c r="F43" s="291"/>
    </row>
    <row r="44" spans="1:6" x14ac:dyDescent="0.2">
      <c r="A44" s="292">
        <f t="shared" si="6"/>
        <v>44164</v>
      </c>
      <c r="B44" s="285">
        <f t="shared" si="7"/>
        <v>44164</v>
      </c>
      <c r="F44" s="291"/>
    </row>
    <row r="45" spans="1:6" x14ac:dyDescent="0.2">
      <c r="A45" s="292">
        <f>A44</f>
        <v>44164</v>
      </c>
      <c r="B45" s="285" t="s">
        <v>234</v>
      </c>
      <c r="F45" s="291"/>
    </row>
    <row r="46" spans="1:6" x14ac:dyDescent="0.2">
      <c r="A46" s="292">
        <f>A45</f>
        <v>44164</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140625" style="7"/>
    <col min="14" max="15" width="9.28515625" style="7" customWidth="1"/>
    <col min="16" max="18" width="7.7109375" style="7" customWidth="1"/>
    <col min="19" max="19" width="8.5703125" style="7" customWidth="1"/>
    <col min="20" max="20" width="13" style="6" customWidth="1"/>
    <col min="21" max="21" width="8" style="7" customWidth="1"/>
    <col min="22" max="16384" width="9.140625" style="6"/>
  </cols>
  <sheetData>
    <row r="1" spans="1:21" s="7" customFormat="1" ht="13.5" customHeight="1" x14ac:dyDescent="0.2">
      <c r="A1" s="323">
        <f>E1+SalesNov20!$D$1+PurchasesOct20!A1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S1+PurchasesOct20!T1</f>
        <v>0</v>
      </c>
      <c r="U1" s="320">
        <f>SUM(U4:U199)</f>
        <v>0</v>
      </c>
    </row>
    <row r="2" spans="1:21" s="7" customFormat="1" ht="13.5" customHeight="1" x14ac:dyDescent="0.2">
      <c r="A2" s="319">
        <f>U1+PurchasesOct20!A2</f>
        <v>0</v>
      </c>
      <c r="B2" s="104" t="s">
        <v>272</v>
      </c>
      <c r="C2" s="476" t="s">
        <v>271</v>
      </c>
      <c r="D2" s="478" t="s">
        <v>270</v>
      </c>
      <c r="E2" s="476" t="s">
        <v>269</v>
      </c>
      <c r="F2" s="433" t="s">
        <v>268</v>
      </c>
      <c r="G2" s="480" t="s">
        <v>267</v>
      </c>
      <c r="H2" s="481"/>
      <c r="I2" s="482">
        <f>G1+H1+I1+J1+PurchasesOct20!I2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IF((E1&lt;&gt;0),Admin!$B$12,"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IF((A1&lt;Admin!$F$22),((A1-PurchasesOct20!A1)*Admin!$G$21),(A1*Admin!$G$21-(A1-Admin!$F$21)*(Admin!$G$21-Admin!$G$22)-PurchasesOct20!A2))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E5" sqref="E5"/>
    </sheetView>
  </sheetViews>
  <sheetFormatPr defaultRowHeight="12.75" x14ac:dyDescent="0.2"/>
  <cols>
    <col min="1" max="1" width="9.85546875" style="286" customWidth="1"/>
    <col min="2" max="2" width="14.7109375" style="285" customWidth="1"/>
    <col min="3" max="3" width="13.7109375" style="7" customWidth="1"/>
    <col min="4" max="4" width="13.7109375" style="284" customWidth="1"/>
    <col min="5" max="5" width="13.7109375" style="283" customWidth="1"/>
    <col min="6" max="6" width="13.7109375" style="7" customWidth="1"/>
    <col min="7" max="16384" width="9.140625" style="7"/>
  </cols>
  <sheetData>
    <row r="1" spans="1:6" s="302" customFormat="1" ht="12.75" customHeight="1" x14ac:dyDescent="0.2">
      <c r="A1" s="470" t="s">
        <v>241</v>
      </c>
      <c r="B1" s="468" t="s">
        <v>240</v>
      </c>
      <c r="C1" s="303" t="s">
        <v>239</v>
      </c>
      <c r="D1" s="304">
        <f>SUM(D4:D58)</f>
        <v>0</v>
      </c>
      <c r="E1" s="303">
        <f>SUM(E4:E59)/2</f>
        <v>0</v>
      </c>
      <c r="F1" s="303">
        <f>SUM(F4:F58)/2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SalesNov20!A46+1</f>
        <v>44165</v>
      </c>
      <c r="B5" s="297">
        <f>A5</f>
        <v>44165</v>
      </c>
      <c r="C5" s="296"/>
      <c r="D5" s="295"/>
      <c r="E5" s="294"/>
      <c r="F5" s="293"/>
    </row>
    <row r="6" spans="1:6" x14ac:dyDescent="0.2">
      <c r="A6" s="292">
        <f>A5+1</f>
        <v>44166</v>
      </c>
      <c r="B6" s="285">
        <f>A6</f>
        <v>44166</v>
      </c>
      <c r="F6" s="291"/>
    </row>
    <row r="7" spans="1:6" x14ac:dyDescent="0.2">
      <c r="A7" s="292">
        <f>A6+1</f>
        <v>44167</v>
      </c>
      <c r="B7" s="285">
        <f>A7</f>
        <v>44167</v>
      </c>
      <c r="F7" s="291"/>
    </row>
    <row r="8" spans="1:6" x14ac:dyDescent="0.2">
      <c r="A8" s="292">
        <f t="shared" ref="A8:A11" si="0">A7+1</f>
        <v>44168</v>
      </c>
      <c r="B8" s="285">
        <f t="shared" ref="B8:B11" si="1">A8</f>
        <v>44168</v>
      </c>
      <c r="F8" s="291"/>
    </row>
    <row r="9" spans="1:6" x14ac:dyDescent="0.2">
      <c r="A9" s="292">
        <f t="shared" si="0"/>
        <v>44169</v>
      </c>
      <c r="B9" s="285">
        <f t="shared" si="1"/>
        <v>44169</v>
      </c>
      <c r="F9" s="291"/>
    </row>
    <row r="10" spans="1:6" x14ac:dyDescent="0.2">
      <c r="A10" s="292">
        <f t="shared" si="0"/>
        <v>44170</v>
      </c>
      <c r="B10" s="285">
        <f t="shared" si="1"/>
        <v>44170</v>
      </c>
      <c r="F10" s="291"/>
    </row>
    <row r="11" spans="1:6" x14ac:dyDescent="0.2">
      <c r="A11" s="292">
        <f t="shared" si="0"/>
        <v>44171</v>
      </c>
      <c r="B11" s="285">
        <f t="shared" si="1"/>
        <v>44171</v>
      </c>
      <c r="F11" s="291"/>
    </row>
    <row r="12" spans="1:6" x14ac:dyDescent="0.2">
      <c r="A12" s="292">
        <f>A11</f>
        <v>44171</v>
      </c>
      <c r="B12" s="285" t="s">
        <v>234</v>
      </c>
      <c r="F12" s="291"/>
    </row>
    <row r="13" spans="1:6" x14ac:dyDescent="0.2">
      <c r="A13" s="292">
        <f>A12</f>
        <v>44171</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44172</v>
      </c>
      <c r="B16" s="297">
        <f t="shared" ref="B16:B22" si="2">A16</f>
        <v>44172</v>
      </c>
      <c r="C16" s="296"/>
      <c r="D16" s="295"/>
      <c r="E16" s="294"/>
      <c r="F16" s="293"/>
    </row>
    <row r="17" spans="1:6" x14ac:dyDescent="0.2">
      <c r="A17" s="292">
        <f t="shared" ref="A17:A22" si="3">A16+1</f>
        <v>44173</v>
      </c>
      <c r="B17" s="285">
        <f t="shared" si="2"/>
        <v>44173</v>
      </c>
      <c r="F17" s="291"/>
    </row>
    <row r="18" spans="1:6" x14ac:dyDescent="0.2">
      <c r="A18" s="292">
        <f t="shared" si="3"/>
        <v>44174</v>
      </c>
      <c r="B18" s="285">
        <f t="shared" si="2"/>
        <v>44174</v>
      </c>
      <c r="F18" s="291"/>
    </row>
    <row r="19" spans="1:6" x14ac:dyDescent="0.2">
      <c r="A19" s="292">
        <f t="shared" si="3"/>
        <v>44175</v>
      </c>
      <c r="B19" s="285">
        <f t="shared" si="2"/>
        <v>44175</v>
      </c>
      <c r="F19" s="291"/>
    </row>
    <row r="20" spans="1:6" x14ac:dyDescent="0.2">
      <c r="A20" s="292">
        <f t="shared" si="3"/>
        <v>44176</v>
      </c>
      <c r="B20" s="285">
        <f t="shared" si="2"/>
        <v>44176</v>
      </c>
      <c r="F20" s="291"/>
    </row>
    <row r="21" spans="1:6" x14ac:dyDescent="0.2">
      <c r="A21" s="292">
        <f t="shared" si="3"/>
        <v>44177</v>
      </c>
      <c r="B21" s="285">
        <f t="shared" si="2"/>
        <v>44177</v>
      </c>
      <c r="F21" s="291"/>
    </row>
    <row r="22" spans="1:6" x14ac:dyDescent="0.2">
      <c r="A22" s="292">
        <f t="shared" si="3"/>
        <v>44178</v>
      </c>
      <c r="B22" s="285">
        <f t="shared" si="2"/>
        <v>44178</v>
      </c>
      <c r="F22" s="291"/>
    </row>
    <row r="23" spans="1:6" x14ac:dyDescent="0.2">
      <c r="A23" s="292">
        <f>A22</f>
        <v>44178</v>
      </c>
      <c r="B23" s="285" t="s">
        <v>234</v>
      </c>
      <c r="F23" s="291"/>
    </row>
    <row r="24" spans="1:6" x14ac:dyDescent="0.2">
      <c r="A24" s="292">
        <f>A22</f>
        <v>44178</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44179</v>
      </c>
      <c r="B27" s="297">
        <f t="shared" ref="B27:B33" si="4">A27</f>
        <v>44179</v>
      </c>
      <c r="C27" s="296"/>
      <c r="D27" s="295"/>
      <c r="E27" s="294"/>
      <c r="F27" s="293"/>
    </row>
    <row r="28" spans="1:6" x14ac:dyDescent="0.2">
      <c r="A28" s="292">
        <f t="shared" ref="A28:A33" si="5">A27+1</f>
        <v>44180</v>
      </c>
      <c r="B28" s="285">
        <f t="shared" si="4"/>
        <v>44180</v>
      </c>
      <c r="F28" s="291"/>
    </row>
    <row r="29" spans="1:6" x14ac:dyDescent="0.2">
      <c r="A29" s="292">
        <f t="shared" si="5"/>
        <v>44181</v>
      </c>
      <c r="B29" s="285">
        <f t="shared" si="4"/>
        <v>44181</v>
      </c>
      <c r="F29" s="291"/>
    </row>
    <row r="30" spans="1:6" x14ac:dyDescent="0.2">
      <c r="A30" s="292">
        <f t="shared" si="5"/>
        <v>44182</v>
      </c>
      <c r="B30" s="285">
        <f t="shared" si="4"/>
        <v>44182</v>
      </c>
      <c r="F30" s="291"/>
    </row>
    <row r="31" spans="1:6" x14ac:dyDescent="0.2">
      <c r="A31" s="292">
        <f t="shared" si="5"/>
        <v>44183</v>
      </c>
      <c r="B31" s="285">
        <f t="shared" si="4"/>
        <v>44183</v>
      </c>
      <c r="F31" s="291"/>
    </row>
    <row r="32" spans="1:6" x14ac:dyDescent="0.2">
      <c r="A32" s="292">
        <f t="shared" si="5"/>
        <v>44184</v>
      </c>
      <c r="B32" s="285">
        <f t="shared" si="4"/>
        <v>44184</v>
      </c>
      <c r="F32" s="291"/>
    </row>
    <row r="33" spans="1:6" x14ac:dyDescent="0.2">
      <c r="A33" s="292">
        <f t="shared" si="5"/>
        <v>44185</v>
      </c>
      <c r="B33" s="285">
        <f t="shared" si="4"/>
        <v>44185</v>
      </c>
      <c r="F33" s="291"/>
    </row>
    <row r="34" spans="1:6" x14ac:dyDescent="0.2">
      <c r="A34" s="292">
        <f>A33</f>
        <v>44185</v>
      </c>
      <c r="B34" s="285" t="s">
        <v>234</v>
      </c>
      <c r="F34" s="291"/>
    </row>
    <row r="35" spans="1:6" x14ac:dyDescent="0.2">
      <c r="A35" s="292">
        <f>A33</f>
        <v>44185</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44186</v>
      </c>
      <c r="B38" s="297">
        <f t="shared" ref="B38:B44" si="6">A38</f>
        <v>44186</v>
      </c>
      <c r="C38" s="296"/>
      <c r="D38" s="295"/>
      <c r="E38" s="294"/>
      <c r="F38" s="293"/>
    </row>
    <row r="39" spans="1:6" x14ac:dyDescent="0.2">
      <c r="A39" s="292">
        <f t="shared" ref="A39:A44" si="7">A38+1</f>
        <v>44187</v>
      </c>
      <c r="B39" s="285">
        <f t="shared" si="6"/>
        <v>44187</v>
      </c>
      <c r="F39" s="291"/>
    </row>
    <row r="40" spans="1:6" x14ac:dyDescent="0.2">
      <c r="A40" s="292">
        <f t="shared" si="7"/>
        <v>44188</v>
      </c>
      <c r="B40" s="285">
        <f t="shared" si="6"/>
        <v>44188</v>
      </c>
      <c r="F40" s="291"/>
    </row>
    <row r="41" spans="1:6" x14ac:dyDescent="0.2">
      <c r="A41" s="292">
        <f t="shared" si="7"/>
        <v>44189</v>
      </c>
      <c r="B41" s="285">
        <f t="shared" si="6"/>
        <v>44189</v>
      </c>
      <c r="F41" s="291"/>
    </row>
    <row r="42" spans="1:6" x14ac:dyDescent="0.2">
      <c r="A42" s="292">
        <f t="shared" si="7"/>
        <v>44190</v>
      </c>
      <c r="B42" s="285">
        <f t="shared" si="6"/>
        <v>44190</v>
      </c>
      <c r="F42" s="291"/>
    </row>
    <row r="43" spans="1:6" x14ac:dyDescent="0.2">
      <c r="A43" s="292">
        <f t="shared" si="7"/>
        <v>44191</v>
      </c>
      <c r="B43" s="285">
        <f t="shared" si="6"/>
        <v>44191</v>
      </c>
      <c r="F43" s="291"/>
    </row>
    <row r="44" spans="1:6" x14ac:dyDescent="0.2">
      <c r="A44" s="292">
        <f t="shared" si="7"/>
        <v>44192</v>
      </c>
      <c r="B44" s="285">
        <f t="shared" si="6"/>
        <v>44192</v>
      </c>
      <c r="F44" s="291"/>
    </row>
    <row r="45" spans="1:6" x14ac:dyDescent="0.2">
      <c r="A45" s="292">
        <f>A44</f>
        <v>44192</v>
      </c>
      <c r="B45" s="285" t="s">
        <v>234</v>
      </c>
      <c r="F45" s="291"/>
    </row>
    <row r="46" spans="1:6" x14ac:dyDescent="0.2">
      <c r="A46" s="292">
        <f>A44</f>
        <v>44192</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44193</v>
      </c>
      <c r="B49" s="297">
        <f t="shared" ref="B49:B55" si="8">A49</f>
        <v>44193</v>
      </c>
      <c r="C49" s="296"/>
      <c r="D49" s="295"/>
      <c r="E49" s="294"/>
      <c r="F49" s="293"/>
    </row>
    <row r="50" spans="1:6" x14ac:dyDescent="0.2">
      <c r="A50" s="292">
        <f t="shared" ref="A50:A55" si="9">A49+1</f>
        <v>44194</v>
      </c>
      <c r="B50" s="285">
        <f t="shared" si="8"/>
        <v>44194</v>
      </c>
      <c r="F50" s="291"/>
    </row>
    <row r="51" spans="1:6" x14ac:dyDescent="0.2">
      <c r="A51" s="292">
        <f t="shared" si="9"/>
        <v>44195</v>
      </c>
      <c r="B51" s="285">
        <f t="shared" si="8"/>
        <v>44195</v>
      </c>
      <c r="F51" s="291"/>
    </row>
    <row r="52" spans="1:6" x14ac:dyDescent="0.2">
      <c r="A52" s="292">
        <f t="shared" si="9"/>
        <v>44196</v>
      </c>
      <c r="B52" s="285">
        <f t="shared" si="8"/>
        <v>44196</v>
      </c>
      <c r="F52" s="291"/>
    </row>
    <row r="53" spans="1:6" x14ac:dyDescent="0.2">
      <c r="A53" s="292">
        <f t="shared" si="9"/>
        <v>44197</v>
      </c>
      <c r="B53" s="285">
        <f t="shared" si="8"/>
        <v>44197</v>
      </c>
      <c r="F53" s="291"/>
    </row>
    <row r="54" spans="1:6" x14ac:dyDescent="0.2">
      <c r="A54" s="292">
        <f t="shared" si="9"/>
        <v>44198</v>
      </c>
      <c r="B54" s="285">
        <f t="shared" si="8"/>
        <v>44198</v>
      </c>
      <c r="F54" s="291"/>
    </row>
    <row r="55" spans="1:6" x14ac:dyDescent="0.2">
      <c r="A55" s="292">
        <f t="shared" si="9"/>
        <v>44199</v>
      </c>
      <c r="B55" s="285">
        <f t="shared" si="8"/>
        <v>44199</v>
      </c>
      <c r="F55" s="291"/>
    </row>
    <row r="56" spans="1:6" x14ac:dyDescent="0.2">
      <c r="A56" s="292">
        <f>A55</f>
        <v>44199</v>
      </c>
      <c r="B56" s="285" t="s">
        <v>234</v>
      </c>
      <c r="F56" s="291"/>
    </row>
    <row r="57" spans="1:6" x14ac:dyDescent="0.2">
      <c r="A57" s="292">
        <f>A55</f>
        <v>44199</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7109375" style="7" customWidth="1"/>
    <col min="20" max="20" width="12.85546875" style="6" customWidth="1"/>
    <col min="21" max="21" width="8.42578125" style="7" customWidth="1"/>
    <col min="22" max="16384" width="9.140625" style="6"/>
  </cols>
  <sheetData>
    <row r="1" spans="1:21" s="7" customFormat="1" ht="13.5" customHeight="1" x14ac:dyDescent="0.2">
      <c r="A1" s="323">
        <f>E1+SalesDec20!$D$1+PurchasesNov20!A1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S1+PurchasesNov20!T1</f>
        <v>0</v>
      </c>
      <c r="U1" s="320">
        <f>SUM(U4:U199)</f>
        <v>0</v>
      </c>
    </row>
    <row r="2" spans="1:21" s="7" customFormat="1" ht="13.5" customHeight="1" x14ac:dyDescent="0.2">
      <c r="A2" s="319">
        <f>U1+PurchasesNov20!A2</f>
        <v>0</v>
      </c>
      <c r="B2" s="104" t="s">
        <v>272</v>
      </c>
      <c r="C2" s="476" t="s">
        <v>271</v>
      </c>
      <c r="D2" s="478" t="s">
        <v>270</v>
      </c>
      <c r="E2" s="476" t="s">
        <v>269</v>
      </c>
      <c r="F2" s="433" t="s">
        <v>268</v>
      </c>
      <c r="G2" s="480" t="s">
        <v>267</v>
      </c>
      <c r="H2" s="481"/>
      <c r="I2" s="482">
        <f>G1+H1+I1+J1+PurchasesNov20!I2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IF((E1&lt;&gt;0),Admin!$B$13,"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IF((A1&lt;Admin!$F$22),((A1-PurchasesNov20!A1)*Admin!$G$21),(A1*Admin!$G$21-(A1-Admin!$F$21)*(Admin!$G$21-Admin!$G$22)-PurchasesNov20!A2))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SUM(D4:D37)</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SalesDec20!A57+1</f>
        <v>44200</v>
      </c>
      <c r="B5" s="297">
        <f t="shared" ref="B5:B11" si="0">A5</f>
        <v>44200</v>
      </c>
      <c r="C5" s="296"/>
      <c r="D5" s="295"/>
      <c r="E5" s="294"/>
      <c r="F5" s="293"/>
    </row>
    <row r="6" spans="1:6" x14ac:dyDescent="0.2">
      <c r="A6" s="292">
        <f t="shared" ref="A6:A11" si="1">A5+1</f>
        <v>44201</v>
      </c>
      <c r="B6" s="285">
        <f t="shared" si="0"/>
        <v>44201</v>
      </c>
      <c r="F6" s="291"/>
    </row>
    <row r="7" spans="1:6" x14ac:dyDescent="0.2">
      <c r="A7" s="292">
        <f t="shared" si="1"/>
        <v>44202</v>
      </c>
      <c r="B7" s="285">
        <f t="shared" si="0"/>
        <v>44202</v>
      </c>
      <c r="F7" s="291"/>
    </row>
    <row r="8" spans="1:6" x14ac:dyDescent="0.2">
      <c r="A8" s="292">
        <f t="shared" si="1"/>
        <v>44203</v>
      </c>
      <c r="B8" s="285">
        <f t="shared" si="0"/>
        <v>44203</v>
      </c>
      <c r="F8" s="291"/>
    </row>
    <row r="9" spans="1:6" x14ac:dyDescent="0.2">
      <c r="A9" s="292">
        <f t="shared" si="1"/>
        <v>44204</v>
      </c>
      <c r="B9" s="285">
        <f t="shared" si="0"/>
        <v>44204</v>
      </c>
      <c r="F9" s="291"/>
    </row>
    <row r="10" spans="1:6" x14ac:dyDescent="0.2">
      <c r="A10" s="292">
        <f t="shared" si="1"/>
        <v>44205</v>
      </c>
      <c r="B10" s="285">
        <f t="shared" si="0"/>
        <v>44205</v>
      </c>
      <c r="F10" s="291"/>
    </row>
    <row r="11" spans="1:6" x14ac:dyDescent="0.2">
      <c r="A11" s="292">
        <f t="shared" si="1"/>
        <v>44206</v>
      </c>
      <c r="B11" s="285">
        <f t="shared" si="0"/>
        <v>44206</v>
      </c>
      <c r="F11" s="291"/>
    </row>
    <row r="12" spans="1:6" x14ac:dyDescent="0.2">
      <c r="A12" s="292">
        <f>A11</f>
        <v>44206</v>
      </c>
      <c r="B12" s="285" t="s">
        <v>234</v>
      </c>
      <c r="F12" s="291"/>
    </row>
    <row r="13" spans="1:6" x14ac:dyDescent="0.2">
      <c r="A13" s="292">
        <f>A11</f>
        <v>44206</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44207</v>
      </c>
      <c r="B16" s="297">
        <f t="shared" ref="B16:B22" si="2">A16</f>
        <v>44207</v>
      </c>
      <c r="C16" s="296"/>
      <c r="D16" s="295"/>
      <c r="E16" s="294"/>
      <c r="F16" s="293"/>
    </row>
    <row r="17" spans="1:6" x14ac:dyDescent="0.2">
      <c r="A17" s="292">
        <f t="shared" ref="A17:A22" si="3">A16+1</f>
        <v>44208</v>
      </c>
      <c r="B17" s="285">
        <f t="shared" si="2"/>
        <v>44208</v>
      </c>
      <c r="F17" s="291"/>
    </row>
    <row r="18" spans="1:6" x14ac:dyDescent="0.2">
      <c r="A18" s="292">
        <f t="shared" si="3"/>
        <v>44209</v>
      </c>
      <c r="B18" s="285">
        <f t="shared" si="2"/>
        <v>44209</v>
      </c>
      <c r="F18" s="291"/>
    </row>
    <row r="19" spans="1:6" x14ac:dyDescent="0.2">
      <c r="A19" s="292">
        <f t="shared" si="3"/>
        <v>44210</v>
      </c>
      <c r="B19" s="285">
        <f t="shared" si="2"/>
        <v>44210</v>
      </c>
      <c r="F19" s="291"/>
    </row>
    <row r="20" spans="1:6" x14ac:dyDescent="0.2">
      <c r="A20" s="292">
        <f t="shared" si="3"/>
        <v>44211</v>
      </c>
      <c r="B20" s="285">
        <f t="shared" si="2"/>
        <v>44211</v>
      </c>
      <c r="F20" s="291"/>
    </row>
    <row r="21" spans="1:6" x14ac:dyDescent="0.2">
      <c r="A21" s="292">
        <f t="shared" si="3"/>
        <v>44212</v>
      </c>
      <c r="B21" s="285">
        <f t="shared" si="2"/>
        <v>44212</v>
      </c>
      <c r="F21" s="291"/>
    </row>
    <row r="22" spans="1:6" x14ac:dyDescent="0.2">
      <c r="A22" s="292">
        <f t="shared" si="3"/>
        <v>44213</v>
      </c>
      <c r="B22" s="285">
        <f t="shared" si="2"/>
        <v>44213</v>
      </c>
      <c r="F22" s="291"/>
    </row>
    <row r="23" spans="1:6" x14ac:dyDescent="0.2">
      <c r="A23" s="292">
        <f>A22</f>
        <v>44213</v>
      </c>
      <c r="B23" s="285" t="s">
        <v>234</v>
      </c>
      <c r="F23" s="291"/>
    </row>
    <row r="24" spans="1:6" x14ac:dyDescent="0.2">
      <c r="A24" s="292">
        <f>A22</f>
        <v>44213</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44214</v>
      </c>
      <c r="B27" s="297">
        <f t="shared" ref="B27:B33" si="4">A27</f>
        <v>44214</v>
      </c>
      <c r="C27" s="296"/>
      <c r="D27" s="295"/>
      <c r="E27" s="294"/>
      <c r="F27" s="293"/>
    </row>
    <row r="28" spans="1:6" x14ac:dyDescent="0.2">
      <c r="A28" s="292">
        <f t="shared" ref="A28:A33" si="5">A27+1</f>
        <v>44215</v>
      </c>
      <c r="B28" s="285">
        <f t="shared" si="4"/>
        <v>44215</v>
      </c>
      <c r="F28" s="291"/>
    </row>
    <row r="29" spans="1:6" x14ac:dyDescent="0.2">
      <c r="A29" s="292">
        <f t="shared" si="5"/>
        <v>44216</v>
      </c>
      <c r="B29" s="285">
        <f t="shared" si="4"/>
        <v>44216</v>
      </c>
      <c r="F29" s="291"/>
    </row>
    <row r="30" spans="1:6" x14ac:dyDescent="0.2">
      <c r="A30" s="292">
        <f t="shared" si="5"/>
        <v>44217</v>
      </c>
      <c r="B30" s="285">
        <f t="shared" si="4"/>
        <v>44217</v>
      </c>
      <c r="F30" s="291"/>
    </row>
    <row r="31" spans="1:6" x14ac:dyDescent="0.2">
      <c r="A31" s="292">
        <f t="shared" si="5"/>
        <v>44218</v>
      </c>
      <c r="B31" s="285">
        <f t="shared" si="4"/>
        <v>44218</v>
      </c>
      <c r="F31" s="291"/>
    </row>
    <row r="32" spans="1:6" x14ac:dyDescent="0.2">
      <c r="A32" s="292">
        <f t="shared" si="5"/>
        <v>44219</v>
      </c>
      <c r="B32" s="285">
        <f t="shared" si="4"/>
        <v>44219</v>
      </c>
      <c r="F32" s="291"/>
    </row>
    <row r="33" spans="1:6" x14ac:dyDescent="0.2">
      <c r="A33" s="292">
        <f t="shared" si="5"/>
        <v>44220</v>
      </c>
      <c r="B33" s="285">
        <f t="shared" si="4"/>
        <v>44220</v>
      </c>
      <c r="F33" s="291"/>
    </row>
    <row r="34" spans="1:6" x14ac:dyDescent="0.2">
      <c r="A34" s="292">
        <f>A33</f>
        <v>44220</v>
      </c>
      <c r="B34" s="285" t="s">
        <v>234</v>
      </c>
      <c r="F34" s="291"/>
    </row>
    <row r="35" spans="1:6" x14ac:dyDescent="0.2">
      <c r="A35" s="292">
        <f>A33</f>
        <v>44220</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44221</v>
      </c>
      <c r="B38" s="297">
        <f t="shared" ref="B38:B44" si="6">A38</f>
        <v>44221</v>
      </c>
      <c r="C38" s="296"/>
      <c r="D38" s="295"/>
      <c r="E38" s="294"/>
      <c r="F38" s="293"/>
    </row>
    <row r="39" spans="1:6" x14ac:dyDescent="0.2">
      <c r="A39" s="292">
        <f t="shared" ref="A39:A44" si="7">A38+1</f>
        <v>44222</v>
      </c>
      <c r="B39" s="285">
        <f t="shared" si="6"/>
        <v>44222</v>
      </c>
      <c r="F39" s="291"/>
    </row>
    <row r="40" spans="1:6" x14ac:dyDescent="0.2">
      <c r="A40" s="292">
        <f t="shared" si="7"/>
        <v>44223</v>
      </c>
      <c r="B40" s="285">
        <f t="shared" si="6"/>
        <v>44223</v>
      </c>
      <c r="F40" s="291"/>
    </row>
    <row r="41" spans="1:6" x14ac:dyDescent="0.2">
      <c r="A41" s="292">
        <f t="shared" si="7"/>
        <v>44224</v>
      </c>
      <c r="B41" s="285">
        <f t="shared" si="6"/>
        <v>44224</v>
      </c>
      <c r="F41" s="291"/>
    </row>
    <row r="42" spans="1:6" x14ac:dyDescent="0.2">
      <c r="A42" s="292">
        <f t="shared" si="7"/>
        <v>44225</v>
      </c>
      <c r="B42" s="285">
        <f t="shared" si="6"/>
        <v>44225</v>
      </c>
      <c r="F42" s="291"/>
    </row>
    <row r="43" spans="1:6" x14ac:dyDescent="0.2">
      <c r="A43" s="292">
        <f t="shared" si="7"/>
        <v>44226</v>
      </c>
      <c r="B43" s="285">
        <f t="shared" si="6"/>
        <v>44226</v>
      </c>
      <c r="F43" s="291"/>
    </row>
    <row r="44" spans="1:6" x14ac:dyDescent="0.2">
      <c r="A44" s="292">
        <f t="shared" si="7"/>
        <v>44227</v>
      </c>
      <c r="B44" s="285">
        <f t="shared" si="6"/>
        <v>44227</v>
      </c>
      <c r="F44" s="291"/>
    </row>
    <row r="45" spans="1:6" x14ac:dyDescent="0.2">
      <c r="A45" s="292">
        <f>A44</f>
        <v>44227</v>
      </c>
      <c r="B45" s="285" t="s">
        <v>234</v>
      </c>
      <c r="F45" s="291"/>
    </row>
    <row r="46" spans="1:6" x14ac:dyDescent="0.2">
      <c r="A46" s="292">
        <f>A44</f>
        <v>44227</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2.85546875" style="6" customWidth="1"/>
    <col min="21" max="21" width="8.140625" style="7" customWidth="1"/>
    <col min="22" max="16384" width="9.140625" style="6"/>
  </cols>
  <sheetData>
    <row r="1" spans="1:21" s="7" customFormat="1" ht="13.5" customHeight="1" x14ac:dyDescent="0.2">
      <c r="A1" s="323">
        <f>E1+SalesJan21!$D$1+PurchasesDec20!A1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S1+PurchasesDec20!T1</f>
        <v>0</v>
      </c>
      <c r="U1" s="320">
        <f>SUM(U4:U199)</f>
        <v>0</v>
      </c>
    </row>
    <row r="2" spans="1:21" s="7" customFormat="1" ht="13.5" customHeight="1" x14ac:dyDescent="0.2">
      <c r="A2" s="319">
        <f>U1+PurchasesDec20!A2</f>
        <v>0</v>
      </c>
      <c r="B2" s="104" t="s">
        <v>272</v>
      </c>
      <c r="C2" s="476" t="s">
        <v>271</v>
      </c>
      <c r="D2" s="478" t="s">
        <v>270</v>
      </c>
      <c r="E2" s="476" t="s">
        <v>269</v>
      </c>
      <c r="F2" s="433" t="s">
        <v>268</v>
      </c>
      <c r="G2" s="480" t="s">
        <v>267</v>
      </c>
      <c r="H2" s="481"/>
      <c r="I2" s="482">
        <f>G1+H1+I1+J1+PurchasesDec20!I2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IF((E1&lt;&gt;0),Admin!$B$14,"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IF((A1&lt;Admin!$F$22),((A1-PurchasesDec20!A1)*Admin!$G$21),(A1*Admin!$G$21-(A1-Admin!$F$21)*(Admin!$G$21-Admin!$G$22)-PurchasesDec20!A2))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SUM(D4:D26)</f>
        <v>0</v>
      </c>
      <c r="E1" s="303">
        <f>SUM(E4:E47)/2</f>
        <v>0</v>
      </c>
      <c r="F1" s="303">
        <f>SUM(F4:F47)/2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SalesJan21!A46+1</f>
        <v>44228</v>
      </c>
      <c r="B5" s="297">
        <f t="shared" ref="B5:B11" si="0">A5</f>
        <v>44228</v>
      </c>
      <c r="C5" s="296"/>
      <c r="D5" s="295"/>
      <c r="E5" s="294"/>
      <c r="F5" s="293"/>
    </row>
    <row r="6" spans="1:6" x14ac:dyDescent="0.2">
      <c r="A6" s="292">
        <f t="shared" ref="A6:A11" si="1">A5+1</f>
        <v>44229</v>
      </c>
      <c r="B6" s="285">
        <f t="shared" si="0"/>
        <v>44229</v>
      </c>
      <c r="F6" s="291"/>
    </row>
    <row r="7" spans="1:6" x14ac:dyDescent="0.2">
      <c r="A7" s="292">
        <f t="shared" si="1"/>
        <v>44230</v>
      </c>
      <c r="B7" s="285">
        <f t="shared" si="0"/>
        <v>44230</v>
      </c>
      <c r="F7" s="291"/>
    </row>
    <row r="8" spans="1:6" x14ac:dyDescent="0.2">
      <c r="A8" s="292">
        <f t="shared" si="1"/>
        <v>44231</v>
      </c>
      <c r="B8" s="285">
        <f t="shared" si="0"/>
        <v>44231</v>
      </c>
      <c r="F8" s="291"/>
    </row>
    <row r="9" spans="1:6" x14ac:dyDescent="0.2">
      <c r="A9" s="292">
        <f t="shared" si="1"/>
        <v>44232</v>
      </c>
      <c r="B9" s="285">
        <f t="shared" si="0"/>
        <v>44232</v>
      </c>
      <c r="F9" s="291"/>
    </row>
    <row r="10" spans="1:6" x14ac:dyDescent="0.2">
      <c r="A10" s="292">
        <f t="shared" si="1"/>
        <v>44233</v>
      </c>
      <c r="B10" s="285">
        <f t="shared" si="0"/>
        <v>44233</v>
      </c>
      <c r="F10" s="291"/>
    </row>
    <row r="11" spans="1:6" x14ac:dyDescent="0.2">
      <c r="A11" s="292">
        <f t="shared" si="1"/>
        <v>44234</v>
      </c>
      <c r="B11" s="285">
        <f t="shared" si="0"/>
        <v>44234</v>
      </c>
      <c r="F11" s="291"/>
    </row>
    <row r="12" spans="1:6" x14ac:dyDescent="0.2">
      <c r="A12" s="292">
        <f>A11</f>
        <v>44234</v>
      </c>
      <c r="B12" s="285" t="s">
        <v>234</v>
      </c>
      <c r="F12" s="291"/>
    </row>
    <row r="13" spans="1:6" x14ac:dyDescent="0.2">
      <c r="A13" s="292">
        <f>A11</f>
        <v>44234</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44235</v>
      </c>
      <c r="B16" s="297">
        <f t="shared" ref="B16:B22" si="2">A16</f>
        <v>44235</v>
      </c>
      <c r="C16" s="296"/>
      <c r="D16" s="295"/>
      <c r="E16" s="294"/>
      <c r="F16" s="293"/>
    </row>
    <row r="17" spans="1:6" x14ac:dyDescent="0.2">
      <c r="A17" s="292">
        <f t="shared" ref="A17:A22" si="3">A16+1</f>
        <v>44236</v>
      </c>
      <c r="B17" s="285">
        <f t="shared" si="2"/>
        <v>44236</v>
      </c>
      <c r="F17" s="291"/>
    </row>
    <row r="18" spans="1:6" x14ac:dyDescent="0.2">
      <c r="A18" s="292">
        <f t="shared" si="3"/>
        <v>44237</v>
      </c>
      <c r="B18" s="285">
        <f t="shared" si="2"/>
        <v>44237</v>
      </c>
      <c r="F18" s="291"/>
    </row>
    <row r="19" spans="1:6" x14ac:dyDescent="0.2">
      <c r="A19" s="292">
        <f t="shared" si="3"/>
        <v>44238</v>
      </c>
      <c r="B19" s="285">
        <f t="shared" si="2"/>
        <v>44238</v>
      </c>
      <c r="F19" s="291"/>
    </row>
    <row r="20" spans="1:6" x14ac:dyDescent="0.2">
      <c r="A20" s="292">
        <f t="shared" si="3"/>
        <v>44239</v>
      </c>
      <c r="B20" s="285">
        <f t="shared" si="2"/>
        <v>44239</v>
      </c>
      <c r="F20" s="291"/>
    </row>
    <row r="21" spans="1:6" x14ac:dyDescent="0.2">
      <c r="A21" s="292">
        <f t="shared" si="3"/>
        <v>44240</v>
      </c>
      <c r="B21" s="285">
        <f t="shared" si="2"/>
        <v>44240</v>
      </c>
      <c r="F21" s="291"/>
    </row>
    <row r="22" spans="1:6" x14ac:dyDescent="0.2">
      <c r="A22" s="292">
        <f t="shared" si="3"/>
        <v>44241</v>
      </c>
      <c r="B22" s="285">
        <f t="shared" si="2"/>
        <v>44241</v>
      </c>
      <c r="F22" s="291"/>
    </row>
    <row r="23" spans="1:6" x14ac:dyDescent="0.2">
      <c r="A23" s="292">
        <f>A22</f>
        <v>44241</v>
      </c>
      <c r="B23" s="285" t="s">
        <v>234</v>
      </c>
      <c r="F23" s="291"/>
    </row>
    <row r="24" spans="1:6" x14ac:dyDescent="0.2">
      <c r="A24" s="292">
        <f>A22</f>
        <v>44241</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44242</v>
      </c>
      <c r="B27" s="297">
        <f t="shared" ref="B27:B33" si="4">A27</f>
        <v>44242</v>
      </c>
      <c r="C27" s="296"/>
      <c r="D27" s="295"/>
      <c r="E27" s="294"/>
      <c r="F27" s="293"/>
    </row>
    <row r="28" spans="1:6" x14ac:dyDescent="0.2">
      <c r="A28" s="292">
        <f t="shared" ref="A28:A33" si="5">A27+1</f>
        <v>44243</v>
      </c>
      <c r="B28" s="285">
        <f t="shared" si="4"/>
        <v>44243</v>
      </c>
      <c r="F28" s="291"/>
    </row>
    <row r="29" spans="1:6" x14ac:dyDescent="0.2">
      <c r="A29" s="292">
        <f t="shared" si="5"/>
        <v>44244</v>
      </c>
      <c r="B29" s="285">
        <f t="shared" si="4"/>
        <v>44244</v>
      </c>
      <c r="F29" s="291"/>
    </row>
    <row r="30" spans="1:6" x14ac:dyDescent="0.2">
      <c r="A30" s="292">
        <f t="shared" si="5"/>
        <v>44245</v>
      </c>
      <c r="B30" s="285">
        <f t="shared" si="4"/>
        <v>44245</v>
      </c>
      <c r="F30" s="291"/>
    </row>
    <row r="31" spans="1:6" x14ac:dyDescent="0.2">
      <c r="A31" s="292">
        <f t="shared" si="5"/>
        <v>44246</v>
      </c>
      <c r="B31" s="285">
        <f t="shared" si="4"/>
        <v>44246</v>
      </c>
      <c r="F31" s="291"/>
    </row>
    <row r="32" spans="1:6" x14ac:dyDescent="0.2">
      <c r="A32" s="292">
        <f t="shared" si="5"/>
        <v>44247</v>
      </c>
      <c r="B32" s="285">
        <f t="shared" si="4"/>
        <v>44247</v>
      </c>
      <c r="F32" s="291"/>
    </row>
    <row r="33" spans="1:6" x14ac:dyDescent="0.2">
      <c r="A33" s="292">
        <f t="shared" si="5"/>
        <v>44248</v>
      </c>
      <c r="B33" s="285">
        <f t="shared" si="4"/>
        <v>44248</v>
      </c>
      <c r="F33" s="291"/>
    </row>
    <row r="34" spans="1:6" x14ac:dyDescent="0.2">
      <c r="A34" s="292">
        <f>A33</f>
        <v>44248</v>
      </c>
      <c r="B34" s="285" t="s">
        <v>234</v>
      </c>
      <c r="F34" s="291"/>
    </row>
    <row r="35" spans="1:6" x14ac:dyDescent="0.2">
      <c r="A35" s="292">
        <f>A33</f>
        <v>44248</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44249</v>
      </c>
      <c r="B38" s="297">
        <f>A38</f>
        <v>44249</v>
      </c>
      <c r="C38" s="296"/>
      <c r="D38" s="295"/>
      <c r="E38" s="296"/>
      <c r="F38" s="293"/>
    </row>
    <row r="39" spans="1:6" x14ac:dyDescent="0.2">
      <c r="A39" s="292">
        <f>A38+1</f>
        <v>44250</v>
      </c>
      <c r="B39" s="285">
        <f>A39</f>
        <v>44250</v>
      </c>
      <c r="E39" s="7"/>
      <c r="F39" s="291"/>
    </row>
    <row r="40" spans="1:6" x14ac:dyDescent="0.2">
      <c r="A40" s="292">
        <f t="shared" ref="A40:A44" si="6">A39+1</f>
        <v>44251</v>
      </c>
      <c r="B40" s="285">
        <f t="shared" ref="B40:B41" si="7">A40</f>
        <v>44251</v>
      </c>
      <c r="E40" s="7"/>
      <c r="F40" s="291"/>
    </row>
    <row r="41" spans="1:6" x14ac:dyDescent="0.2">
      <c r="A41" s="292">
        <f t="shared" si="6"/>
        <v>44252</v>
      </c>
      <c r="B41" s="285">
        <f t="shared" si="7"/>
        <v>44252</v>
      </c>
      <c r="E41" s="7"/>
      <c r="F41" s="291"/>
    </row>
    <row r="42" spans="1:6" x14ac:dyDescent="0.2">
      <c r="A42" s="292">
        <f t="shared" si="6"/>
        <v>44253</v>
      </c>
      <c r="B42" s="285">
        <f>A42</f>
        <v>44253</v>
      </c>
      <c r="E42" s="7"/>
      <c r="F42" s="291"/>
    </row>
    <row r="43" spans="1:6" x14ac:dyDescent="0.2">
      <c r="A43" s="292">
        <f t="shared" si="6"/>
        <v>44254</v>
      </c>
      <c r="B43" s="285">
        <f>A43</f>
        <v>44254</v>
      </c>
      <c r="E43" s="7"/>
      <c r="F43" s="291"/>
    </row>
    <row r="44" spans="1:6" x14ac:dyDescent="0.2">
      <c r="A44" s="292">
        <f t="shared" si="6"/>
        <v>44255</v>
      </c>
      <c r="B44" s="285">
        <f>A44</f>
        <v>44255</v>
      </c>
      <c r="E44" s="7"/>
      <c r="F44" s="291"/>
    </row>
    <row r="45" spans="1:6" x14ac:dyDescent="0.2">
      <c r="A45" s="292">
        <f>A44</f>
        <v>44255</v>
      </c>
      <c r="B45" s="285" t="s">
        <v>234</v>
      </c>
      <c r="E45" s="7"/>
      <c r="F45" s="291"/>
    </row>
    <row r="46" spans="1:6" x14ac:dyDescent="0.2">
      <c r="A46" s="292">
        <f>A45</f>
        <v>44255</v>
      </c>
      <c r="B46" s="285" t="s">
        <v>233</v>
      </c>
      <c r="E46" s="7"/>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140625" style="7"/>
    <col min="15" max="15" width="9.28515625" style="7" customWidth="1"/>
    <col min="16" max="18" width="7.7109375" style="7" customWidth="1"/>
    <col min="19" max="19" width="8.140625" style="7" customWidth="1"/>
    <col min="20" max="20" width="12.42578125" style="6" customWidth="1"/>
    <col min="21" max="21" width="8.140625" style="7" customWidth="1"/>
    <col min="22" max="16384" width="9.140625" style="6"/>
  </cols>
  <sheetData>
    <row r="1" spans="1:21" s="7" customFormat="1" ht="13.5" customHeight="1" x14ac:dyDescent="0.2">
      <c r="A1" s="323">
        <f>E1+SalesFeb21!$D$1+PurchasesJan21!A1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S1+PurchasesJan21!T1</f>
        <v>0</v>
      </c>
      <c r="U1" s="320">
        <f>SUM(U4:U199)</f>
        <v>0</v>
      </c>
    </row>
    <row r="2" spans="1:21" s="7" customFormat="1" ht="13.5" customHeight="1" x14ac:dyDescent="0.2">
      <c r="A2" s="319">
        <f>U1+PurchasesJan21!A2</f>
        <v>0</v>
      </c>
      <c r="B2" s="104" t="s">
        <v>272</v>
      </c>
      <c r="C2" s="476" t="s">
        <v>271</v>
      </c>
      <c r="D2" s="478" t="s">
        <v>270</v>
      </c>
      <c r="E2" s="476" t="s">
        <v>269</v>
      </c>
      <c r="F2" s="433" t="s">
        <v>268</v>
      </c>
      <c r="G2" s="480" t="s">
        <v>267</v>
      </c>
      <c r="H2" s="481"/>
      <c r="I2" s="482">
        <f>G1+H1+I1+J1+PurchasesJan21!I2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0"/>
    </row>
    <row r="4" spans="1:21" s="308" customFormat="1" x14ac:dyDescent="0.2">
      <c r="A4" s="312" t="str">
        <f>IF((E1&lt;&gt;0),Admin!$B$15,"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IF((A1&lt;Admin!$F$22),((A1-PurchasesJan21!A1)*Admin!$G$21),(A1*Admin!$G$21-(A1-Admin!$F$21)*(Admin!$G$21-Admin!$G$22)-PurchasesJan21!A2))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Y15" sqref="Y15"/>
    </sheetView>
  </sheetViews>
  <sheetFormatPr defaultRowHeight="12" x14ac:dyDescent="0.2"/>
  <cols>
    <col min="1" max="1" width="3.7109375" style="159" customWidth="1"/>
    <col min="2" max="2" width="0.85546875" style="159" customWidth="1"/>
    <col min="3" max="3" width="3.7109375" style="159" customWidth="1"/>
    <col min="4" max="4" width="4.7109375" style="159" customWidth="1"/>
    <col min="5" max="5" width="1.7109375" style="159" customWidth="1"/>
    <col min="6" max="6" width="10.7109375" style="159" customWidth="1"/>
    <col min="7" max="7" width="1.7109375" style="159" customWidth="1"/>
    <col min="8" max="9" width="2.5703125" style="159" customWidth="1"/>
    <col min="10" max="11" width="6.7109375" style="159" customWidth="1"/>
    <col min="12" max="12" width="3.7109375" style="159" customWidth="1"/>
    <col min="13" max="13" width="0.85546875" style="159" customWidth="1"/>
    <col min="14" max="15" width="3.7109375" style="159" customWidth="1"/>
    <col min="16" max="17" width="6.7109375" style="159" customWidth="1"/>
    <col min="18" max="18" width="1.7109375" style="159" customWidth="1"/>
    <col min="19" max="20" width="2.5703125" style="159" customWidth="1"/>
    <col min="21" max="21" width="2.7109375" style="159" customWidth="1"/>
    <col min="22" max="22" width="7.7109375" style="159" customWidth="1"/>
    <col min="23" max="23" width="4.7109375" style="159" customWidth="1"/>
    <col min="24" max="16384" width="9.140625" style="159"/>
  </cols>
  <sheetData>
    <row r="1" spans="1:23" ht="30" customHeight="1" x14ac:dyDescent="0.2">
      <c r="A1" s="388" t="s">
        <v>157</v>
      </c>
      <c r="B1" s="388"/>
      <c r="C1" s="388"/>
      <c r="D1" s="388"/>
      <c r="E1" s="388"/>
      <c r="F1" s="388"/>
      <c r="G1" s="389" t="s">
        <v>284</v>
      </c>
      <c r="H1" s="389"/>
      <c r="I1" s="389"/>
      <c r="J1" s="389"/>
      <c r="K1" s="389"/>
      <c r="L1" s="389"/>
      <c r="M1" s="389"/>
      <c r="N1" s="389"/>
      <c r="O1" s="390" t="s">
        <v>158</v>
      </c>
      <c r="P1" s="390"/>
      <c r="Q1" s="390"/>
      <c r="R1" s="390"/>
      <c r="S1" s="390"/>
      <c r="T1" s="390"/>
      <c r="U1" s="390"/>
      <c r="V1" s="390"/>
      <c r="W1" s="390"/>
    </row>
    <row r="2" spans="1:23" ht="30" customHeight="1" x14ac:dyDescent="0.2">
      <c r="A2" s="388"/>
      <c r="B2" s="388"/>
      <c r="C2" s="388"/>
      <c r="D2" s="388"/>
      <c r="E2" s="388"/>
      <c r="F2" s="388"/>
      <c r="G2" s="389"/>
      <c r="H2" s="389"/>
      <c r="I2" s="389"/>
      <c r="J2" s="389"/>
      <c r="K2" s="389"/>
      <c r="L2" s="389"/>
      <c r="M2" s="389"/>
      <c r="N2" s="389"/>
      <c r="O2" s="391" t="s">
        <v>159</v>
      </c>
      <c r="P2" s="391"/>
      <c r="Q2" s="392">
        <f>Admin!B4</f>
        <v>43927</v>
      </c>
      <c r="R2" s="392"/>
      <c r="S2" s="392"/>
      <c r="T2" s="392"/>
      <c r="U2" s="205" t="s">
        <v>160</v>
      </c>
      <c r="V2" s="392">
        <f>Admin!B17</f>
        <v>44291</v>
      </c>
      <c r="W2" s="392"/>
    </row>
    <row r="3" spans="1:23" ht="8.25" customHeight="1" x14ac:dyDescent="0.2">
      <c r="A3" s="383"/>
      <c r="B3" s="383"/>
      <c r="C3" s="383"/>
      <c r="D3" s="383"/>
      <c r="E3" s="383"/>
      <c r="F3" s="383"/>
      <c r="G3" s="383"/>
      <c r="H3" s="383"/>
      <c r="I3" s="383"/>
      <c r="J3" s="383"/>
      <c r="K3" s="383"/>
      <c r="L3" s="383"/>
      <c r="M3" s="383"/>
      <c r="N3" s="383"/>
      <c r="O3" s="383"/>
      <c r="P3" s="383"/>
      <c r="Q3" s="383"/>
      <c r="R3" s="383"/>
      <c r="S3" s="383"/>
      <c r="T3" s="383"/>
      <c r="U3" s="383"/>
      <c r="V3" s="383"/>
      <c r="W3" s="383"/>
    </row>
    <row r="4" spans="1:23" ht="9.9499999999999993" customHeight="1" x14ac:dyDescent="0.2">
      <c r="A4" s="384"/>
      <c r="B4" s="384"/>
      <c r="C4" s="384"/>
      <c r="D4" s="384"/>
      <c r="E4" s="384"/>
      <c r="F4" s="384"/>
      <c r="G4" s="384"/>
      <c r="H4" s="384"/>
      <c r="I4" s="384"/>
      <c r="J4" s="384"/>
      <c r="K4" s="384"/>
      <c r="L4" s="384"/>
      <c r="M4" s="384"/>
      <c r="N4" s="384"/>
      <c r="O4" s="384"/>
      <c r="P4" s="384"/>
      <c r="Q4" s="384"/>
      <c r="R4" s="384"/>
      <c r="S4" s="384"/>
      <c r="T4" s="384"/>
      <c r="U4" s="384"/>
      <c r="V4" s="384"/>
      <c r="W4" s="384"/>
    </row>
    <row r="5" spans="1:23" ht="6" customHeight="1" x14ac:dyDescent="0.2">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2">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1" customHeight="1" x14ac:dyDescent="0.2">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25">
      <c r="A8" s="209"/>
      <c r="B8" s="158"/>
      <c r="C8" s="380" t="str">
        <f>IF('Business Details'!C5&gt;0,'Business Details'!C5," ")</f>
        <v xml:space="preserve"> </v>
      </c>
      <c r="D8" s="381"/>
      <c r="E8" s="381"/>
      <c r="F8" s="381"/>
      <c r="G8" s="381"/>
      <c r="H8" s="381"/>
      <c r="I8" s="381"/>
      <c r="J8" s="382"/>
      <c r="K8" s="249"/>
      <c r="L8" s="249"/>
      <c r="M8" s="249"/>
      <c r="N8" s="249"/>
      <c r="O8" s="385" t="str">
        <f>IF('Business Details'!O5&gt;0,'Business Details'!O5," ")</f>
        <v xml:space="preserve"> </v>
      </c>
      <c r="P8" s="386"/>
      <c r="Q8" s="249"/>
      <c r="R8" s="385" t="str">
        <f>IF('Business Details'!R5&gt;0,'Business Details'!R5," ")</f>
        <v xml:space="preserve"> </v>
      </c>
      <c r="S8" s="387"/>
      <c r="T8" s="387"/>
      <c r="U8" s="386"/>
      <c r="V8" s="158"/>
      <c r="W8" s="212"/>
    </row>
    <row r="9" spans="1:23" ht="6" customHeight="1" x14ac:dyDescent="0.2">
      <c r="A9" s="213"/>
      <c r="B9" s="214"/>
      <c r="C9" s="214"/>
      <c r="D9" s="214"/>
      <c r="E9" s="214"/>
      <c r="F9" s="214"/>
      <c r="G9" s="214"/>
      <c r="H9" s="214"/>
      <c r="I9" s="214"/>
      <c r="J9" s="214"/>
      <c r="K9" s="214"/>
      <c r="L9" s="214"/>
      <c r="M9" s="214"/>
      <c r="N9" s="214"/>
      <c r="O9" s="214"/>
      <c r="P9" s="214"/>
      <c r="Q9" s="214"/>
      <c r="R9" s="214"/>
      <c r="S9" s="214"/>
      <c r="T9" s="214"/>
      <c r="U9" s="214"/>
      <c r="V9" s="214"/>
      <c r="W9" s="215"/>
    </row>
    <row r="10" spans="1:23" ht="24.95" customHeight="1" x14ac:dyDescent="0.2">
      <c r="A10" s="379" t="s">
        <v>33</v>
      </c>
      <c r="B10" s="379"/>
      <c r="C10" s="379"/>
      <c r="D10" s="379"/>
      <c r="E10" s="379"/>
      <c r="F10" s="379"/>
      <c r="G10" s="379"/>
      <c r="H10" s="379"/>
      <c r="I10" s="379"/>
      <c r="J10" s="379"/>
      <c r="K10" s="379"/>
      <c r="L10" s="379"/>
      <c r="M10" s="379"/>
      <c r="N10" s="379"/>
      <c r="O10" s="379"/>
      <c r="P10" s="379"/>
      <c r="Q10" s="379"/>
      <c r="R10" s="379"/>
      <c r="S10" s="379"/>
      <c r="T10" s="379"/>
      <c r="U10" s="379"/>
      <c r="V10" s="379"/>
      <c r="W10" s="379"/>
    </row>
    <row r="11" spans="1:23" ht="8.1" customHeight="1" x14ac:dyDescent="0.2">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2.75" x14ac:dyDescent="0.2">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2">
      <c r="A13" s="223"/>
      <c r="B13" s="158"/>
      <c r="C13" s="380" t="str">
        <f>IF('Business Details'!C8&gt;0,'Business Details'!C8," ")</f>
        <v>Taxi Driver</v>
      </c>
      <c r="D13" s="381"/>
      <c r="E13" s="381"/>
      <c r="F13" s="381"/>
      <c r="G13" s="381"/>
      <c r="H13" s="381"/>
      <c r="I13" s="381"/>
      <c r="J13" s="382"/>
      <c r="K13" s="158"/>
      <c r="L13" s="158"/>
      <c r="M13" s="158"/>
      <c r="N13" s="224" t="s">
        <v>138</v>
      </c>
      <c r="O13" s="210"/>
      <c r="P13" s="210"/>
      <c r="Q13" s="210"/>
      <c r="R13" s="210"/>
      <c r="S13" s="210"/>
      <c r="T13" s="210"/>
      <c r="U13" s="210"/>
      <c r="V13" s="210"/>
      <c r="W13" s="222"/>
    </row>
    <row r="14" spans="1:23" ht="8.1" customHeight="1" x14ac:dyDescent="0.2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25">
      <c r="A15" s="223"/>
      <c r="B15" s="158"/>
      <c r="C15" s="380" t="str">
        <f>IF('Business Details'!C10&gt;0,'Business Details'!C10," ")</f>
        <v xml:space="preserve"> </v>
      </c>
      <c r="D15" s="381"/>
      <c r="E15" s="381"/>
      <c r="F15" s="381"/>
      <c r="G15" s="381"/>
      <c r="H15" s="381"/>
      <c r="I15" s="381"/>
      <c r="J15" s="382"/>
      <c r="K15" s="158"/>
      <c r="L15" s="158"/>
      <c r="M15" s="158"/>
      <c r="N15" s="251"/>
      <c r="O15" s="225"/>
      <c r="P15" s="225"/>
      <c r="Q15" s="225"/>
      <c r="R15" s="158"/>
      <c r="S15" s="158"/>
      <c r="T15" s="158"/>
      <c r="U15" s="158"/>
      <c r="V15" s="158"/>
      <c r="W15" s="226"/>
    </row>
    <row r="16" spans="1:23" ht="8.1" customHeight="1" x14ac:dyDescent="0.2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2">
      <c r="A17" s="223"/>
      <c r="B17" s="158"/>
      <c r="C17" s="380" t="str">
        <f>IF('Business Details'!C12&gt;0,'Business Details'!C12," ")</f>
        <v xml:space="preserve"> </v>
      </c>
      <c r="D17" s="381"/>
      <c r="E17" s="381"/>
      <c r="F17" s="381"/>
      <c r="G17" s="381"/>
      <c r="H17" s="381"/>
      <c r="I17" s="381"/>
      <c r="J17" s="382"/>
      <c r="K17" s="158"/>
      <c r="L17" s="219">
        <v>5</v>
      </c>
      <c r="M17" s="158"/>
      <c r="N17" s="210" t="s">
        <v>139</v>
      </c>
      <c r="O17" s="210"/>
      <c r="P17" s="210"/>
      <c r="Q17" s="210"/>
      <c r="R17" s="220"/>
      <c r="S17" s="378">
        <f>Admin!B4</f>
        <v>43927</v>
      </c>
      <c r="T17" s="378"/>
      <c r="U17" s="378"/>
      <c r="V17" s="378"/>
      <c r="W17" s="222"/>
    </row>
    <row r="18" spans="1:23" ht="12" customHeight="1" x14ac:dyDescent="0.2">
      <c r="A18" s="223"/>
      <c r="B18" s="158"/>
      <c r="C18" s="158"/>
      <c r="D18" s="158"/>
      <c r="E18" s="158"/>
      <c r="F18" s="158"/>
      <c r="G18" s="158"/>
      <c r="H18" s="158"/>
      <c r="I18" s="158"/>
      <c r="J18" s="158"/>
      <c r="K18" s="158"/>
      <c r="L18" s="158"/>
      <c r="M18" s="158"/>
      <c r="N18" s="375" t="s">
        <v>161</v>
      </c>
      <c r="O18" s="375"/>
      <c r="P18" s="375"/>
      <c r="Q18" s="375"/>
      <c r="R18" s="375"/>
      <c r="S18" s="375"/>
      <c r="T18" s="375"/>
      <c r="U18" s="375"/>
      <c r="V18" s="375"/>
      <c r="W18" s="227"/>
    </row>
    <row r="19" spans="1:23" ht="8.1" customHeight="1" x14ac:dyDescent="0.2">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5" x14ac:dyDescent="0.2">
      <c r="A20" s="219">
        <v>2</v>
      </c>
      <c r="B20" s="158"/>
      <c r="C20" s="210" t="s">
        <v>141</v>
      </c>
      <c r="D20" s="210"/>
      <c r="E20" s="210"/>
      <c r="F20" s="158"/>
      <c r="G20" s="158"/>
      <c r="H20" s="158"/>
      <c r="I20" s="158"/>
      <c r="J20" s="158"/>
      <c r="K20" s="158"/>
      <c r="L20" s="158"/>
      <c r="M20" s="158"/>
      <c r="N20" s="371" t="str">
        <f>IF('Business Details'!N15&gt;0,'Business Details'!N15," ")</f>
        <v xml:space="preserve"> </v>
      </c>
      <c r="O20" s="372"/>
      <c r="P20" s="372"/>
      <c r="Q20" s="373"/>
      <c r="R20" s="210"/>
      <c r="S20" s="210"/>
      <c r="T20" s="210"/>
      <c r="U20" s="210"/>
      <c r="V20" s="210"/>
      <c r="W20" s="222"/>
    </row>
    <row r="21" spans="1:23" ht="8.1" customHeight="1" x14ac:dyDescent="0.2">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25">
      <c r="A22" s="223"/>
      <c r="B22" s="158"/>
      <c r="C22" s="376" t="str">
        <f>IF('Business Details'!C17&gt;0,'Business Details'!C17," ")</f>
        <v xml:space="preserve"> </v>
      </c>
      <c r="D22" s="377"/>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2">
      <c r="A23" s="223"/>
      <c r="B23" s="158"/>
      <c r="C23" s="158"/>
      <c r="D23" s="158"/>
      <c r="E23" s="158"/>
      <c r="F23" s="158"/>
      <c r="G23" s="158"/>
      <c r="H23" s="158"/>
      <c r="I23" s="158"/>
      <c r="J23" s="158"/>
      <c r="K23" s="158"/>
      <c r="L23" s="219">
        <v>6</v>
      </c>
      <c r="M23" s="210"/>
      <c r="N23" s="210" t="s">
        <v>142</v>
      </c>
      <c r="O23" s="228"/>
      <c r="P23" s="210"/>
      <c r="Q23" s="210"/>
      <c r="R23" s="210"/>
      <c r="S23" s="378">
        <f>Admin!B17</f>
        <v>44291</v>
      </c>
      <c r="T23" s="378"/>
      <c r="U23" s="378"/>
      <c r="V23" s="378"/>
      <c r="W23" s="222"/>
    </row>
    <row r="24" spans="1:23" x14ac:dyDescent="0.2">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2">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5" x14ac:dyDescent="0.2">
      <c r="A26" s="223"/>
      <c r="B26" s="158"/>
      <c r="C26" s="224" t="s">
        <v>146</v>
      </c>
      <c r="D26" s="225"/>
      <c r="E26" s="225"/>
      <c r="F26" s="225"/>
      <c r="G26" s="225"/>
      <c r="H26" s="225"/>
      <c r="I26" s="225"/>
      <c r="J26" s="225"/>
      <c r="K26" s="225"/>
      <c r="L26" s="158"/>
      <c r="M26" s="158"/>
      <c r="N26" s="371" t="str">
        <f>IF('Business Details'!N21&gt;0,'Business Details'!N21," ")</f>
        <v xml:space="preserve"> </v>
      </c>
      <c r="O26" s="372"/>
      <c r="P26" s="372"/>
      <c r="Q26" s="373"/>
      <c r="R26" s="158"/>
      <c r="S26" s="158"/>
      <c r="T26" s="158"/>
      <c r="U26" s="158"/>
      <c r="V26" s="158"/>
      <c r="W26" s="226"/>
    </row>
    <row r="27" spans="1:23" x14ac:dyDescent="0.2">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2">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2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1" customHeight="1" x14ac:dyDescent="0.2">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5" x14ac:dyDescent="0.2">
      <c r="A31" s="223"/>
      <c r="B31" s="158"/>
      <c r="C31" s="158"/>
      <c r="D31" s="158"/>
      <c r="E31" s="158"/>
      <c r="F31" s="158"/>
      <c r="G31" s="158"/>
      <c r="H31" s="158"/>
      <c r="I31" s="158"/>
      <c r="J31" s="158"/>
      <c r="K31" s="158"/>
      <c r="L31" s="158"/>
      <c r="M31" s="158"/>
      <c r="N31" s="371">
        <f>Admin!B17</f>
        <v>44291</v>
      </c>
      <c r="O31" s="372"/>
      <c r="P31" s="372"/>
      <c r="Q31" s="373"/>
      <c r="R31" s="158"/>
      <c r="S31" s="158"/>
      <c r="T31" s="158"/>
      <c r="U31" s="158"/>
      <c r="V31" s="158"/>
      <c r="W31" s="226"/>
    </row>
    <row r="32" spans="1:23" ht="8.1" customHeight="1" x14ac:dyDescent="0.2">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4.95" customHeight="1" x14ac:dyDescent="0.2">
      <c r="A33" s="374" t="str">
        <f>"Business income - if your annual turnover was below £"&amp;Admin!F26&amp;" VAT threshold"</f>
        <v>Business income - if your annual turnover was below £85000 VAT threshold</v>
      </c>
      <c r="B33" s="374"/>
      <c r="C33" s="374"/>
      <c r="D33" s="374"/>
      <c r="E33" s="374"/>
      <c r="F33" s="374"/>
      <c r="G33" s="374"/>
      <c r="H33" s="374"/>
      <c r="I33" s="374"/>
      <c r="J33" s="374"/>
      <c r="K33" s="374"/>
      <c r="L33" s="374"/>
      <c r="M33" s="374"/>
      <c r="N33" s="374"/>
      <c r="O33" s="374"/>
      <c r="P33" s="374"/>
      <c r="Q33" s="374"/>
      <c r="R33" s="374"/>
      <c r="S33" s="374"/>
      <c r="T33" s="374"/>
      <c r="U33" s="374"/>
      <c r="V33" s="374"/>
      <c r="W33" s="374"/>
    </row>
    <row r="34" spans="1:23" ht="8.1" customHeight="1" x14ac:dyDescent="0.2">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2">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2">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2">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5.75" x14ac:dyDescent="0.2">
      <c r="A38" s="223"/>
      <c r="B38" s="158"/>
      <c r="C38" s="233" t="s">
        <v>50</v>
      </c>
      <c r="D38" s="364">
        <f>'Profit &amp; Loss Acc'!B5</f>
        <v>0</v>
      </c>
      <c r="E38" s="365"/>
      <c r="F38" s="366"/>
      <c r="G38" s="234" t="s">
        <v>153</v>
      </c>
      <c r="H38" s="235">
        <v>0</v>
      </c>
      <c r="I38" s="235">
        <v>0</v>
      </c>
      <c r="J38" s="158"/>
      <c r="K38" s="158"/>
      <c r="L38" s="158"/>
      <c r="M38" s="158"/>
      <c r="N38" s="233" t="s">
        <v>50</v>
      </c>
      <c r="O38" s="364"/>
      <c r="P38" s="365"/>
      <c r="Q38" s="366"/>
      <c r="R38" s="234" t="s">
        <v>153</v>
      </c>
      <c r="S38" s="235">
        <v>0</v>
      </c>
      <c r="T38" s="235">
        <v>0</v>
      </c>
      <c r="U38" s="236"/>
      <c r="V38" s="237"/>
      <c r="W38" s="226"/>
    </row>
    <row r="39" spans="1:23" ht="8.1" customHeight="1" x14ac:dyDescent="0.2">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4.95" customHeight="1" x14ac:dyDescent="0.2">
      <c r="A40" s="363" t="s">
        <v>166</v>
      </c>
      <c r="B40" s="363"/>
      <c r="C40" s="363"/>
      <c r="D40" s="363"/>
      <c r="E40" s="363"/>
      <c r="F40" s="363"/>
      <c r="G40" s="363"/>
      <c r="H40" s="363"/>
      <c r="I40" s="363"/>
      <c r="J40" s="363"/>
      <c r="K40" s="363"/>
      <c r="L40" s="363"/>
      <c r="M40" s="363"/>
      <c r="N40" s="363"/>
      <c r="O40" s="363"/>
      <c r="P40" s="363"/>
      <c r="Q40" s="363"/>
      <c r="R40" s="363"/>
      <c r="S40" s="363"/>
      <c r="T40" s="363"/>
      <c r="U40" s="363"/>
      <c r="V40" s="363"/>
      <c r="W40" s="363"/>
    </row>
    <row r="41" spans="1:23" s="238" customFormat="1" ht="14.1" customHeight="1" x14ac:dyDescent="0.2">
      <c r="A41" s="367" t="s">
        <v>167</v>
      </c>
      <c r="B41" s="367"/>
      <c r="C41" s="367"/>
      <c r="D41" s="367"/>
      <c r="E41" s="367"/>
      <c r="F41" s="367"/>
      <c r="G41" s="367"/>
      <c r="H41" s="367"/>
      <c r="I41" s="367"/>
      <c r="J41" s="367"/>
      <c r="K41" s="367"/>
      <c r="L41" s="367"/>
      <c r="M41" s="367"/>
      <c r="N41" s="367"/>
      <c r="O41" s="367"/>
      <c r="P41" s="367"/>
      <c r="Q41" s="367"/>
      <c r="R41" s="367"/>
      <c r="S41" s="367"/>
      <c r="T41" s="367"/>
      <c r="U41" s="367"/>
      <c r="V41" s="367"/>
      <c r="W41" s="367"/>
    </row>
    <row r="42" spans="1:23" s="238" customFormat="1" ht="14.1" customHeight="1" x14ac:dyDescent="0.2">
      <c r="A42" s="370" t="s">
        <v>168</v>
      </c>
      <c r="B42" s="370"/>
      <c r="C42" s="370"/>
      <c r="D42" s="370"/>
      <c r="E42" s="370"/>
      <c r="F42" s="370"/>
      <c r="G42" s="370"/>
      <c r="H42" s="370"/>
      <c r="I42" s="370"/>
      <c r="J42" s="370"/>
      <c r="K42" s="370"/>
      <c r="L42" s="370"/>
      <c r="M42" s="370"/>
      <c r="N42" s="370"/>
      <c r="O42" s="370"/>
      <c r="P42" s="370"/>
      <c r="Q42" s="370"/>
      <c r="R42" s="370"/>
      <c r="S42" s="370"/>
      <c r="T42" s="370"/>
      <c r="U42" s="370"/>
      <c r="V42" s="370"/>
      <c r="W42" s="370"/>
    </row>
    <row r="43" spans="1:23" ht="8.1" customHeight="1" x14ac:dyDescent="0.2">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2">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2">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5.75" x14ac:dyDescent="0.2">
      <c r="A46" s="223"/>
      <c r="B46" s="158"/>
      <c r="C46" s="233" t="s">
        <v>50</v>
      </c>
      <c r="D46" s="364" t="str">
        <f>IF(('Profit &amp; Loss Acc'!B5&lt;30000)," ",'Profit &amp; Loss Acc'!B12-'Profit &amp; Loss Acc'!B10)</f>
        <v xml:space="preserve"> </v>
      </c>
      <c r="E46" s="365"/>
      <c r="F46" s="366"/>
      <c r="G46" s="234" t="s">
        <v>153</v>
      </c>
      <c r="H46" s="235">
        <v>0</v>
      </c>
      <c r="I46" s="235">
        <v>0</v>
      </c>
      <c r="J46" s="158"/>
      <c r="K46" s="158"/>
      <c r="L46" s="158"/>
      <c r="M46" s="158"/>
      <c r="N46" s="233" t="s">
        <v>50</v>
      </c>
      <c r="O46" s="364" t="str">
        <f>IF(('Profit &amp; Loss Acc'!B5&lt;30000)," ",'Profit &amp; Loss Acc'!B18)</f>
        <v xml:space="preserve"> </v>
      </c>
      <c r="P46" s="365"/>
      <c r="Q46" s="366"/>
      <c r="R46" s="234" t="s">
        <v>153</v>
      </c>
      <c r="S46" s="235">
        <v>0</v>
      </c>
      <c r="T46" s="235">
        <v>0</v>
      </c>
      <c r="U46" s="158"/>
      <c r="V46" s="158"/>
      <c r="W46" s="226"/>
    </row>
    <row r="47" spans="1:23" x14ac:dyDescent="0.2">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2">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2">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2">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5.75" x14ac:dyDescent="0.2">
      <c r="A51" s="223"/>
      <c r="B51" s="158"/>
      <c r="C51" s="233" t="s">
        <v>50</v>
      </c>
      <c r="D51" s="364"/>
      <c r="E51" s="365"/>
      <c r="F51" s="366"/>
      <c r="G51" s="234" t="s">
        <v>153</v>
      </c>
      <c r="H51" s="235">
        <v>0</v>
      </c>
      <c r="I51" s="235">
        <v>0</v>
      </c>
      <c r="J51" s="158"/>
      <c r="K51" s="158"/>
      <c r="L51" s="158"/>
      <c r="M51" s="158"/>
      <c r="N51" s="233" t="s">
        <v>50</v>
      </c>
      <c r="O51" s="364" t="str">
        <f>IF(('Profit &amp; Loss Acc'!B5&lt;30000)," ",'Profit &amp; Loss Acc'!B19+'Profit &amp; Loss Acc'!B20)</f>
        <v xml:space="preserve"> </v>
      </c>
      <c r="P51" s="365"/>
      <c r="Q51" s="366"/>
      <c r="R51" s="234" t="s">
        <v>153</v>
      </c>
      <c r="S51" s="235">
        <v>0</v>
      </c>
      <c r="T51" s="235">
        <v>0</v>
      </c>
      <c r="U51" s="158"/>
      <c r="V51" s="158"/>
      <c r="W51" s="226"/>
    </row>
    <row r="52" spans="1:23" ht="12.75" customHeight="1" x14ac:dyDescent="0.2">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2">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2">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5.75" x14ac:dyDescent="0.2">
      <c r="A55" s="223"/>
      <c r="B55" s="158"/>
      <c r="C55" s="233" t="s">
        <v>50</v>
      </c>
      <c r="D55" s="364" t="str">
        <f>IF(('Profit &amp; Loss Acc'!B5&lt;30000)," ",'Profit &amp; Loss Acc'!B14)</f>
        <v xml:space="preserve"> </v>
      </c>
      <c r="E55" s="365"/>
      <c r="F55" s="366"/>
      <c r="G55" s="234" t="s">
        <v>153</v>
      </c>
      <c r="H55" s="235">
        <v>0</v>
      </c>
      <c r="I55" s="235">
        <v>0</v>
      </c>
      <c r="J55" s="158"/>
      <c r="K55" s="158"/>
      <c r="L55" s="158"/>
      <c r="M55" s="158"/>
      <c r="N55" s="233" t="s">
        <v>50</v>
      </c>
      <c r="O55" s="364" t="str">
        <f>IF(('Profit &amp; Loss Acc'!B5&lt;30000)," ",'Profit &amp; Loss Acc'!B16)</f>
        <v xml:space="preserve"> </v>
      </c>
      <c r="P55" s="365"/>
      <c r="Q55" s="366"/>
      <c r="R55" s="234" t="s">
        <v>153</v>
      </c>
      <c r="S55" s="235">
        <v>0</v>
      </c>
      <c r="T55" s="235">
        <v>0</v>
      </c>
      <c r="U55" s="158"/>
      <c r="V55" s="158"/>
      <c r="W55" s="226"/>
    </row>
    <row r="56" spans="1:23" x14ac:dyDescent="0.2">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2">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2">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2">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5.75" x14ac:dyDescent="0.2">
      <c r="A60" s="223"/>
      <c r="B60" s="158"/>
      <c r="C60" s="233" t="s">
        <v>50</v>
      </c>
      <c r="D60" s="364" t="str">
        <f>IF(('Profit &amp; Loss Acc'!B5&lt;30000)," ",'Profit &amp; Loss Acc'!B15)</f>
        <v xml:space="preserve"> </v>
      </c>
      <c r="E60" s="365"/>
      <c r="F60" s="366"/>
      <c r="G60" s="234" t="s">
        <v>153</v>
      </c>
      <c r="H60" s="235">
        <v>0</v>
      </c>
      <c r="I60" s="235">
        <v>0</v>
      </c>
      <c r="J60" s="158"/>
      <c r="K60" s="158"/>
      <c r="L60" s="158"/>
      <c r="M60" s="158"/>
      <c r="N60" s="233" t="s">
        <v>50</v>
      </c>
      <c r="O60" s="364" t="str">
        <f>IF(('Profit &amp; Loss Acc'!B5&lt;30000)," ",'Profit &amp; Loss Acc'!B17+'Profit &amp; Loss Acc'!B21)</f>
        <v xml:space="preserve"> </v>
      </c>
      <c r="P60" s="365"/>
      <c r="Q60" s="366"/>
      <c r="R60" s="234" t="s">
        <v>153</v>
      </c>
      <c r="S60" s="235">
        <v>0</v>
      </c>
      <c r="T60" s="235">
        <v>0</v>
      </c>
      <c r="U60" s="158"/>
      <c r="V60" s="158"/>
      <c r="W60" s="226"/>
    </row>
    <row r="61" spans="1:23" x14ac:dyDescent="0.2">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2">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2">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5.75" x14ac:dyDescent="0.2">
      <c r="A64" s="223"/>
      <c r="B64" s="158"/>
      <c r="C64" s="233" t="s">
        <v>50</v>
      </c>
      <c r="D64" s="364"/>
      <c r="E64" s="365"/>
      <c r="F64" s="366"/>
      <c r="G64" s="234" t="s">
        <v>153</v>
      </c>
      <c r="H64" s="235">
        <v>0</v>
      </c>
      <c r="I64" s="235">
        <v>0</v>
      </c>
      <c r="J64" s="158"/>
      <c r="K64" s="158"/>
      <c r="L64" s="158"/>
      <c r="M64" s="158"/>
      <c r="N64" s="233" t="s">
        <v>50</v>
      </c>
      <c r="O64" s="364">
        <f>'Profit &amp; Loss Acc'!B12+'Profit &amp; Loss Acc'!B22-'Profit &amp; Loss Acc'!B10</f>
        <v>0</v>
      </c>
      <c r="P64" s="365"/>
      <c r="Q64" s="366"/>
      <c r="R64" s="234" t="s">
        <v>153</v>
      </c>
      <c r="S64" s="235">
        <v>0</v>
      </c>
      <c r="T64" s="235">
        <v>0</v>
      </c>
      <c r="U64" s="158"/>
      <c r="V64" s="158"/>
      <c r="W64" s="226"/>
    </row>
    <row r="65" spans="1:26" ht="8.1" customHeight="1" x14ac:dyDescent="0.2">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4.95" customHeight="1" x14ac:dyDescent="0.2">
      <c r="A66" s="369" t="s">
        <v>181</v>
      </c>
      <c r="B66" s="369"/>
      <c r="C66" s="369"/>
      <c r="D66" s="369"/>
      <c r="E66" s="369"/>
      <c r="F66" s="369"/>
      <c r="G66" s="369"/>
      <c r="H66" s="369"/>
      <c r="I66" s="369"/>
      <c r="J66" s="369"/>
      <c r="K66" s="369"/>
      <c r="L66" s="369"/>
      <c r="M66" s="369"/>
      <c r="N66" s="369"/>
      <c r="O66" s="369"/>
      <c r="P66" s="369"/>
      <c r="Q66" s="369"/>
      <c r="R66" s="369"/>
      <c r="S66" s="369"/>
      <c r="T66" s="369"/>
      <c r="U66" s="369"/>
      <c r="V66" s="369"/>
      <c r="W66" s="369"/>
    </row>
    <row r="67" spans="1:26" ht="8.1" customHeight="1" x14ac:dyDescent="0.2">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2">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2">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2">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5.75" x14ac:dyDescent="0.2">
      <c r="A71" s="223"/>
      <c r="B71" s="158"/>
      <c r="C71" s="233" t="s">
        <v>50</v>
      </c>
      <c r="D71" s="364">
        <f>IF((D38+O38-O64)&gt;=0,D38+O38-O64,0)</f>
        <v>0</v>
      </c>
      <c r="E71" s="365"/>
      <c r="F71" s="366"/>
      <c r="G71" s="234" t="s">
        <v>153</v>
      </c>
      <c r="H71" s="235">
        <v>0</v>
      </c>
      <c r="I71" s="235">
        <v>0</v>
      </c>
      <c r="J71" s="158"/>
      <c r="K71" s="158"/>
      <c r="L71" s="158"/>
      <c r="M71" s="158"/>
      <c r="N71" s="233" t="s">
        <v>50</v>
      </c>
      <c r="O71" s="364">
        <f>IF((D38+O38-O64)&lt;0,-D38-O38+O64,0)</f>
        <v>0</v>
      </c>
      <c r="P71" s="365"/>
      <c r="Q71" s="366"/>
      <c r="R71" s="234" t="s">
        <v>153</v>
      </c>
      <c r="S71" s="235">
        <v>0</v>
      </c>
      <c r="T71" s="235">
        <v>0</v>
      </c>
      <c r="U71" s="158"/>
      <c r="V71" s="158"/>
      <c r="W71" s="240"/>
      <c r="Y71" s="241"/>
      <c r="Z71" s="241"/>
    </row>
    <row r="72" spans="1:26" ht="8.1" customHeight="1" x14ac:dyDescent="0.2">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4.95" customHeight="1" x14ac:dyDescent="0.2">
      <c r="A73" s="368" t="s">
        <v>186</v>
      </c>
      <c r="B73" s="368"/>
      <c r="C73" s="368"/>
      <c r="D73" s="368"/>
      <c r="E73" s="368"/>
      <c r="F73" s="368"/>
      <c r="G73" s="368"/>
      <c r="H73" s="368"/>
      <c r="I73" s="368"/>
      <c r="J73" s="368"/>
      <c r="K73" s="368"/>
      <c r="L73" s="368"/>
      <c r="M73" s="368"/>
      <c r="N73" s="368"/>
      <c r="O73" s="368"/>
      <c r="P73" s="368"/>
      <c r="Q73" s="368"/>
      <c r="R73" s="368"/>
      <c r="S73" s="368"/>
      <c r="T73" s="368"/>
      <c r="U73" s="368"/>
      <c r="V73" s="368"/>
      <c r="W73" s="368"/>
      <c r="Y73" s="241"/>
      <c r="Z73" s="241"/>
    </row>
    <row r="74" spans="1:26" ht="14.1" customHeight="1" x14ac:dyDescent="0.2">
      <c r="A74" s="367" t="s">
        <v>187</v>
      </c>
      <c r="B74" s="367"/>
      <c r="C74" s="367"/>
      <c r="D74" s="367"/>
      <c r="E74" s="367"/>
      <c r="F74" s="367"/>
      <c r="G74" s="367"/>
      <c r="H74" s="367"/>
      <c r="I74" s="367"/>
      <c r="J74" s="367"/>
      <c r="K74" s="367"/>
      <c r="L74" s="367"/>
      <c r="M74" s="367"/>
      <c r="N74" s="367"/>
      <c r="O74" s="367"/>
      <c r="P74" s="367"/>
      <c r="Q74" s="367"/>
      <c r="R74" s="367"/>
      <c r="S74" s="367"/>
      <c r="T74" s="367"/>
      <c r="U74" s="367"/>
      <c r="V74" s="367"/>
      <c r="W74" s="367"/>
    </row>
    <row r="75" spans="1:26" ht="14.1" customHeight="1" x14ac:dyDescent="0.2">
      <c r="A75" s="367" t="s">
        <v>188</v>
      </c>
      <c r="B75" s="367"/>
      <c r="C75" s="367"/>
      <c r="D75" s="367"/>
      <c r="E75" s="367"/>
      <c r="F75" s="367"/>
      <c r="G75" s="367"/>
      <c r="H75" s="367"/>
      <c r="I75" s="367"/>
      <c r="J75" s="367"/>
      <c r="K75" s="367"/>
      <c r="L75" s="367"/>
      <c r="M75" s="367"/>
      <c r="N75" s="367"/>
      <c r="O75" s="367"/>
      <c r="P75" s="367"/>
      <c r="Q75" s="367"/>
      <c r="R75" s="367"/>
      <c r="S75" s="367"/>
      <c r="T75" s="367"/>
      <c r="U75" s="367"/>
      <c r="V75" s="367"/>
      <c r="W75" s="367"/>
      <c r="Y75" s="241"/>
      <c r="Z75" s="241"/>
    </row>
    <row r="76" spans="1:26" ht="13.5" customHeight="1" x14ac:dyDescent="0.2">
      <c r="A76" s="367" t="s">
        <v>189</v>
      </c>
      <c r="B76" s="367"/>
      <c r="C76" s="367"/>
      <c r="D76" s="367"/>
      <c r="E76" s="367"/>
      <c r="F76" s="367"/>
      <c r="G76" s="367"/>
      <c r="H76" s="367"/>
      <c r="I76" s="367"/>
      <c r="J76" s="367"/>
      <c r="K76" s="367"/>
      <c r="L76" s="367"/>
      <c r="M76" s="367"/>
      <c r="N76" s="367"/>
      <c r="O76" s="367"/>
      <c r="P76" s="367"/>
      <c r="Q76" s="367"/>
      <c r="R76" s="367"/>
      <c r="S76" s="367"/>
      <c r="T76" s="367"/>
      <c r="U76" s="367"/>
      <c r="V76" s="367"/>
      <c r="W76" s="367"/>
    </row>
    <row r="77" spans="1:26" ht="8.1" customHeight="1" x14ac:dyDescent="0.2">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2">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2">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2">
      <c r="A80" s="239"/>
      <c r="B80" s="158"/>
      <c r="C80" s="233" t="s">
        <v>50</v>
      </c>
      <c r="D80" s="364">
        <f>IF(('Fixed Assets'!I1)&gt;0,'Fixed Assets'!I1,0)</f>
        <v>0</v>
      </c>
      <c r="E80" s="365"/>
      <c r="F80" s="366"/>
      <c r="G80" s="234" t="s">
        <v>153</v>
      </c>
      <c r="H80" s="235">
        <v>0</v>
      </c>
      <c r="I80" s="235">
        <v>0</v>
      </c>
      <c r="J80" s="210"/>
      <c r="K80" s="210"/>
      <c r="L80" s="210"/>
      <c r="M80" s="158"/>
      <c r="N80" s="233" t="s">
        <v>50</v>
      </c>
      <c r="O80" s="364">
        <f>IF(('Fixed Assets'!J1+'Fixed Assets'!P1)&gt;0,'Fixed Assets'!J1+'Fixed Assets'!P1,0)</f>
        <v>0</v>
      </c>
      <c r="P80" s="365"/>
      <c r="Q80" s="366"/>
      <c r="R80" s="234" t="s">
        <v>153</v>
      </c>
      <c r="S80" s="235">
        <v>0</v>
      </c>
      <c r="T80" s="235">
        <v>0</v>
      </c>
      <c r="U80" s="158"/>
      <c r="V80" s="158"/>
      <c r="W80" s="226"/>
    </row>
    <row r="81" spans="1:23" ht="6" customHeight="1" x14ac:dyDescent="0.2">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2">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2">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2">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5.75" x14ac:dyDescent="0.2">
      <c r="A85" s="239"/>
      <c r="B85" s="158"/>
      <c r="C85" s="233" t="s">
        <v>50</v>
      </c>
      <c r="D85" s="364">
        <f>IF(('Fixed Assets'!K1+'Fixed Assets'!J1)&lt;1000,'Fixed Assets'!K1,0)</f>
        <v>0</v>
      </c>
      <c r="E85" s="365"/>
      <c r="F85" s="366"/>
      <c r="G85" s="234" t="s">
        <v>153</v>
      </c>
      <c r="H85" s="235">
        <v>0</v>
      </c>
      <c r="I85" s="235">
        <v>0</v>
      </c>
      <c r="J85" s="210"/>
      <c r="K85" s="210"/>
      <c r="L85" s="158"/>
      <c r="M85" s="158"/>
      <c r="N85" s="233" t="s">
        <v>50</v>
      </c>
      <c r="O85" s="364">
        <f>IF('Fixed Assets'!Q1&gt;0,'Fixed Assets'!Q1,0)</f>
        <v>0</v>
      </c>
      <c r="P85" s="365"/>
      <c r="Q85" s="366"/>
      <c r="R85" s="234" t="s">
        <v>153</v>
      </c>
      <c r="S85" s="235">
        <v>0</v>
      </c>
      <c r="T85" s="235">
        <v>0</v>
      </c>
      <c r="U85" s="158"/>
      <c r="V85" s="158"/>
      <c r="W85" s="226"/>
    </row>
    <row r="86" spans="1:23" ht="8.1" customHeight="1" x14ac:dyDescent="0.2">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4.95" customHeight="1" x14ac:dyDescent="0.2">
      <c r="A87" s="363" t="s">
        <v>191</v>
      </c>
      <c r="B87" s="363"/>
      <c r="C87" s="363"/>
      <c r="D87" s="363"/>
      <c r="E87" s="363"/>
      <c r="F87" s="363"/>
      <c r="G87" s="363"/>
      <c r="H87" s="363"/>
      <c r="I87" s="363"/>
      <c r="J87" s="363"/>
      <c r="K87" s="363"/>
      <c r="L87" s="363"/>
      <c r="M87" s="363"/>
      <c r="N87" s="363"/>
      <c r="O87" s="363"/>
      <c r="P87" s="363"/>
      <c r="Q87" s="363"/>
      <c r="R87" s="363"/>
      <c r="S87" s="363"/>
      <c r="T87" s="363"/>
      <c r="U87" s="363"/>
      <c r="V87" s="363"/>
      <c r="W87" s="363"/>
    </row>
    <row r="88" spans="1:23" ht="15.95" customHeight="1" x14ac:dyDescent="0.2">
      <c r="A88" s="367" t="s">
        <v>192</v>
      </c>
      <c r="B88" s="367"/>
      <c r="C88" s="367"/>
      <c r="D88" s="367"/>
      <c r="E88" s="367"/>
      <c r="F88" s="367"/>
      <c r="G88" s="367"/>
      <c r="H88" s="367"/>
      <c r="I88" s="367"/>
      <c r="J88" s="367"/>
      <c r="K88" s="367"/>
      <c r="L88" s="367"/>
      <c r="M88" s="367"/>
      <c r="N88" s="367"/>
      <c r="O88" s="367"/>
      <c r="P88" s="367"/>
      <c r="Q88" s="367"/>
      <c r="R88" s="367"/>
      <c r="S88" s="367"/>
      <c r="T88" s="367"/>
      <c r="U88" s="367"/>
      <c r="V88" s="367"/>
      <c r="W88" s="367"/>
    </row>
    <row r="89" spans="1:23" ht="15.75" customHeight="1" x14ac:dyDescent="0.2">
      <c r="A89" s="367" t="s">
        <v>193</v>
      </c>
      <c r="B89" s="367"/>
      <c r="C89" s="367"/>
      <c r="D89" s="367"/>
      <c r="E89" s="367"/>
      <c r="F89" s="367"/>
      <c r="G89" s="367"/>
      <c r="H89" s="367"/>
      <c r="I89" s="367"/>
      <c r="J89" s="367"/>
      <c r="K89" s="367"/>
      <c r="L89" s="367"/>
      <c r="M89" s="367"/>
      <c r="N89" s="367"/>
      <c r="O89" s="367"/>
      <c r="P89" s="367"/>
      <c r="Q89" s="367"/>
      <c r="R89" s="367"/>
      <c r="S89" s="367"/>
      <c r="T89" s="367"/>
      <c r="U89" s="367"/>
      <c r="V89" s="367"/>
      <c r="W89" s="367"/>
    </row>
    <row r="90" spans="1:23" ht="8.1" customHeight="1" x14ac:dyDescent="0.2">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2">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2">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2">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5.75" x14ac:dyDescent="0.2">
      <c r="A94" s="158"/>
      <c r="B94" s="158"/>
      <c r="C94" s="233" t="s">
        <v>50</v>
      </c>
      <c r="D94" s="364">
        <f>'Business Details'!O29</f>
        <v>0</v>
      </c>
      <c r="E94" s="365"/>
      <c r="F94" s="366"/>
      <c r="G94" s="234" t="s">
        <v>153</v>
      </c>
      <c r="H94" s="235">
        <v>0</v>
      </c>
      <c r="I94" s="235">
        <v>0</v>
      </c>
      <c r="J94" s="158"/>
      <c r="K94" s="158"/>
      <c r="L94" s="158"/>
      <c r="M94" s="158"/>
      <c r="N94" s="233" t="s">
        <v>50</v>
      </c>
      <c r="O94" s="364">
        <f>IF(O106&gt;0,0,IF('Business Details'!D29=0,0,IF(D99&gt;'Business Details'!D29,'Business Details'!D29,D99)))</f>
        <v>0</v>
      </c>
      <c r="P94" s="365"/>
      <c r="Q94" s="366"/>
      <c r="R94" s="234" t="s">
        <v>153</v>
      </c>
      <c r="S94" s="235">
        <v>0</v>
      </c>
      <c r="T94" s="235">
        <v>0</v>
      </c>
      <c r="U94" s="158"/>
      <c r="V94" s="158"/>
      <c r="W94" s="226"/>
    </row>
    <row r="95" spans="1:23" x14ac:dyDescent="0.2">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2">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2">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2">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5.75" x14ac:dyDescent="0.2">
      <c r="A99" s="223"/>
      <c r="B99" s="158"/>
      <c r="C99" s="233" t="s">
        <v>50</v>
      </c>
      <c r="D99" s="364">
        <f>IF((D71+O85+D94-O71-D80-D85-O80)&gt;0,D71+O85+D94-O71-D80-D85-O80,0)</f>
        <v>0</v>
      </c>
      <c r="E99" s="365"/>
      <c r="F99" s="366"/>
      <c r="G99" s="234" t="s">
        <v>153</v>
      </c>
      <c r="H99" s="235">
        <v>0</v>
      </c>
      <c r="I99" s="235">
        <v>0</v>
      </c>
      <c r="J99" s="158"/>
      <c r="K99" s="158"/>
      <c r="L99" s="210"/>
      <c r="M99" s="158"/>
      <c r="N99" s="233" t="s">
        <v>50</v>
      </c>
      <c r="O99" s="364">
        <f>'Profit &amp; Loss Acc'!B24</f>
        <v>0</v>
      </c>
      <c r="P99" s="365"/>
      <c r="Q99" s="366"/>
      <c r="R99" s="234" t="s">
        <v>153</v>
      </c>
      <c r="S99" s="235">
        <v>0</v>
      </c>
      <c r="T99" s="235">
        <v>0</v>
      </c>
      <c r="U99" s="158"/>
      <c r="V99" s="158"/>
      <c r="W99" s="226"/>
      <c r="Y99" s="241"/>
      <c r="Z99" s="241"/>
    </row>
    <row r="100" spans="1:26" ht="12" customHeight="1" x14ac:dyDescent="0.2">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4.95" customHeight="1" x14ac:dyDescent="0.2">
      <c r="A101" s="368" t="s">
        <v>198</v>
      </c>
      <c r="B101" s="368"/>
      <c r="C101" s="368"/>
      <c r="D101" s="368"/>
      <c r="E101" s="368"/>
      <c r="F101" s="368"/>
      <c r="G101" s="368"/>
      <c r="H101" s="368"/>
      <c r="I101" s="368"/>
      <c r="J101" s="368"/>
      <c r="K101" s="368"/>
      <c r="L101" s="368"/>
      <c r="M101" s="368"/>
      <c r="N101" s="368"/>
      <c r="O101" s="368"/>
      <c r="P101" s="368"/>
      <c r="Q101" s="368"/>
      <c r="R101" s="368"/>
      <c r="S101" s="368"/>
      <c r="T101" s="368"/>
      <c r="U101" s="368"/>
      <c r="V101" s="368"/>
      <c r="W101" s="368"/>
    </row>
    <row r="102" spans="1:26" ht="8.1" customHeight="1" x14ac:dyDescent="0.2">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2">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2">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2">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5.75" x14ac:dyDescent="0.2">
      <c r="A106" s="239"/>
      <c r="B106" s="158"/>
      <c r="C106" s="233" t="s">
        <v>50</v>
      </c>
      <c r="D106" s="364">
        <f>IF((D99+O99-O94)&gt;0,D99+O99-O94,0)</f>
        <v>0</v>
      </c>
      <c r="E106" s="365"/>
      <c r="F106" s="366"/>
      <c r="G106" s="234" t="s">
        <v>153</v>
      </c>
      <c r="H106" s="235">
        <v>0</v>
      </c>
      <c r="I106" s="235">
        <v>0</v>
      </c>
      <c r="J106" s="210"/>
      <c r="K106" s="210"/>
      <c r="L106" s="210"/>
      <c r="M106" s="158"/>
      <c r="N106" s="233" t="s">
        <v>50</v>
      </c>
      <c r="O106" s="364">
        <f>IF((O71+D80+D85+O80-D71-O85-D94)&gt;=0,O71+D80+D85+O80-D71-O85-D94,0)</f>
        <v>0</v>
      </c>
      <c r="P106" s="365"/>
      <c r="Q106" s="366"/>
      <c r="R106" s="234" t="s">
        <v>153</v>
      </c>
      <c r="S106" s="235">
        <v>0</v>
      </c>
      <c r="T106" s="235">
        <v>0</v>
      </c>
      <c r="U106" s="158"/>
      <c r="V106" s="158"/>
      <c r="W106" s="226"/>
    </row>
    <row r="107" spans="1:26" ht="6" customHeight="1" x14ac:dyDescent="0.2">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4.95" customHeight="1" x14ac:dyDescent="0.2">
      <c r="A108" s="363" t="s">
        <v>199</v>
      </c>
      <c r="B108" s="363"/>
      <c r="C108" s="363"/>
      <c r="D108" s="363"/>
      <c r="E108" s="363"/>
      <c r="F108" s="363"/>
      <c r="G108" s="363"/>
      <c r="H108" s="363"/>
      <c r="I108" s="363"/>
      <c r="J108" s="363"/>
      <c r="K108" s="363"/>
      <c r="L108" s="363"/>
      <c r="M108" s="363"/>
      <c r="N108" s="363"/>
      <c r="O108" s="363"/>
      <c r="P108" s="363"/>
      <c r="Q108" s="363"/>
      <c r="R108" s="363"/>
      <c r="S108" s="363"/>
      <c r="T108" s="363"/>
      <c r="U108" s="363"/>
      <c r="V108" s="363"/>
      <c r="W108" s="363"/>
    </row>
    <row r="109" spans="1:26" ht="15.95" customHeight="1" x14ac:dyDescent="0.2">
      <c r="A109" s="367" t="s">
        <v>200</v>
      </c>
      <c r="B109" s="367"/>
      <c r="C109" s="367"/>
      <c r="D109" s="367"/>
      <c r="E109" s="367"/>
      <c r="F109" s="367"/>
      <c r="G109" s="367"/>
      <c r="H109" s="367"/>
      <c r="I109" s="367"/>
      <c r="J109" s="367"/>
      <c r="K109" s="367"/>
      <c r="L109" s="367"/>
      <c r="M109" s="367"/>
      <c r="N109" s="367"/>
      <c r="O109" s="367"/>
      <c r="P109" s="367"/>
      <c r="Q109" s="367"/>
      <c r="R109" s="367"/>
      <c r="S109" s="367"/>
      <c r="T109" s="367"/>
      <c r="U109" s="367"/>
      <c r="V109" s="367"/>
      <c r="W109" s="367"/>
    </row>
    <row r="110" spans="1:26" ht="8.1" customHeight="1" x14ac:dyDescent="0.2">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2">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2">
      <c r="A112" s="239"/>
      <c r="B112" s="158"/>
      <c r="C112" s="210" t="s">
        <v>203</v>
      </c>
      <c r="D112" s="393" t="str">
        <f>Admin!G$2</f>
        <v>2020-21</v>
      </c>
      <c r="E112" s="394"/>
      <c r="F112" s="394"/>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2">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5.75" x14ac:dyDescent="0.2">
      <c r="A114" s="223"/>
      <c r="B114" s="158"/>
      <c r="C114" s="233" t="s">
        <v>50</v>
      </c>
      <c r="D114" s="364"/>
      <c r="E114" s="365"/>
      <c r="F114" s="366"/>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2">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2">
      <c r="A116" s="219">
        <v>33</v>
      </c>
      <c r="B116" s="158"/>
      <c r="C116" s="210" t="s">
        <v>204</v>
      </c>
      <c r="D116" s="210"/>
      <c r="E116" s="210"/>
      <c r="F116" s="210"/>
      <c r="G116" s="210"/>
      <c r="H116" s="210"/>
      <c r="I116" s="210"/>
      <c r="J116" s="210"/>
      <c r="K116" s="210"/>
      <c r="L116" s="219">
        <v>36</v>
      </c>
      <c r="M116" s="158"/>
      <c r="N116" s="210" t="s">
        <v>205</v>
      </c>
      <c r="O116" s="158"/>
      <c r="P116" s="158"/>
      <c r="Q116" s="158"/>
      <c r="R116" s="393" t="str">
        <f>Admin!G$2</f>
        <v>2020-21</v>
      </c>
      <c r="S116" s="394"/>
      <c r="T116" s="394"/>
      <c r="U116" s="210" t="s">
        <v>206</v>
      </c>
      <c r="V116" s="158"/>
      <c r="W116" s="226"/>
    </row>
    <row r="117" spans="1:23" ht="12" customHeight="1" x14ac:dyDescent="0.2">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2">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5.75" x14ac:dyDescent="0.2">
      <c r="A119" s="223"/>
      <c r="B119" s="158"/>
      <c r="C119" s="233" t="s">
        <v>50</v>
      </c>
      <c r="D119" s="364"/>
      <c r="E119" s="365"/>
      <c r="F119" s="366"/>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2">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2">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2">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5.75" x14ac:dyDescent="0.2">
      <c r="A123" s="223"/>
      <c r="B123" s="158"/>
      <c r="C123" s="233" t="s">
        <v>50</v>
      </c>
      <c r="D123" s="364">
        <f>'Business Details'!O34</f>
        <v>0</v>
      </c>
      <c r="E123" s="365"/>
      <c r="F123" s="366"/>
      <c r="G123" s="234" t="s">
        <v>153</v>
      </c>
      <c r="H123" s="235">
        <v>0</v>
      </c>
      <c r="I123" s="235">
        <v>0</v>
      </c>
      <c r="J123" s="158"/>
      <c r="K123" s="158"/>
      <c r="L123" s="210"/>
      <c r="M123" s="158"/>
      <c r="N123" s="233" t="s">
        <v>50</v>
      </c>
      <c r="O123" s="364">
        <v>0</v>
      </c>
      <c r="P123" s="365"/>
      <c r="Q123" s="366"/>
      <c r="R123" s="234" t="s">
        <v>153</v>
      </c>
      <c r="S123" s="235">
        <v>0</v>
      </c>
      <c r="T123" s="235">
        <v>0</v>
      </c>
      <c r="U123" s="158"/>
      <c r="V123" s="158"/>
      <c r="W123" s="226"/>
    </row>
    <row r="124" spans="1:23" ht="12" customHeight="1" x14ac:dyDescent="0.2">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108:W108"/>
    <mergeCell ref="D99:F99"/>
    <mergeCell ref="O99:Q99"/>
    <mergeCell ref="A88:W88"/>
    <mergeCell ref="A89:W89"/>
    <mergeCell ref="D94:F94"/>
    <mergeCell ref="O94:Q94"/>
    <mergeCell ref="A101:W101"/>
    <mergeCell ref="D106:F106"/>
    <mergeCell ref="O106:Q10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3"/>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6" width="12.7109375" style="7" customWidth="1"/>
    <col min="7" max="7" width="8.85546875" customWidth="1"/>
    <col min="8" max="16384" width="9.140625" style="7"/>
  </cols>
  <sheetData>
    <row r="1" spans="1:6" s="302" customFormat="1" x14ac:dyDescent="0.2">
      <c r="A1" s="470" t="s">
        <v>241</v>
      </c>
      <c r="B1" s="468" t="s">
        <v>240</v>
      </c>
      <c r="C1" s="303" t="s">
        <v>239</v>
      </c>
      <c r="D1" s="304">
        <f>SUM(D4:D63)</f>
        <v>0</v>
      </c>
      <c r="E1" s="303">
        <f>SUM(E4:E63)/2</f>
        <v>0</v>
      </c>
      <c r="F1" s="303">
        <f>SUM(F4:F63)/2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SalesFeb21!A46+1</f>
        <v>44256</v>
      </c>
      <c r="B5" s="297">
        <f t="shared" ref="B5:B11" si="0">A5</f>
        <v>44256</v>
      </c>
      <c r="C5" s="296"/>
      <c r="D5" s="295"/>
      <c r="E5" s="296"/>
      <c r="F5" s="293"/>
    </row>
    <row r="6" spans="1:6" x14ac:dyDescent="0.2">
      <c r="A6" s="292">
        <f t="shared" ref="A6:A11" si="1">A5+1</f>
        <v>44257</v>
      </c>
      <c r="B6" s="285">
        <f t="shared" si="0"/>
        <v>44257</v>
      </c>
      <c r="F6" s="291"/>
    </row>
    <row r="7" spans="1:6" x14ac:dyDescent="0.2">
      <c r="A7" s="292">
        <f t="shared" si="1"/>
        <v>44258</v>
      </c>
      <c r="B7" s="285">
        <f t="shared" si="0"/>
        <v>44258</v>
      </c>
      <c r="F7" s="291"/>
    </row>
    <row r="8" spans="1:6" x14ac:dyDescent="0.2">
      <c r="A8" s="292">
        <f t="shared" si="1"/>
        <v>44259</v>
      </c>
      <c r="B8" s="285">
        <f t="shared" si="0"/>
        <v>44259</v>
      </c>
      <c r="F8" s="291"/>
    </row>
    <row r="9" spans="1:6" x14ac:dyDescent="0.2">
      <c r="A9" s="292">
        <f t="shared" si="1"/>
        <v>44260</v>
      </c>
      <c r="B9" s="285">
        <f t="shared" si="0"/>
        <v>44260</v>
      </c>
      <c r="F9" s="291"/>
    </row>
    <row r="10" spans="1:6" x14ac:dyDescent="0.2">
      <c r="A10" s="292">
        <f t="shared" si="1"/>
        <v>44261</v>
      </c>
      <c r="B10" s="285">
        <f t="shared" si="0"/>
        <v>44261</v>
      </c>
      <c r="F10" s="291"/>
    </row>
    <row r="11" spans="1:6" x14ac:dyDescent="0.2">
      <c r="A11" s="292">
        <f t="shared" si="1"/>
        <v>44262</v>
      </c>
      <c r="B11" s="285">
        <f t="shared" si="0"/>
        <v>44262</v>
      </c>
      <c r="F11" s="291"/>
    </row>
    <row r="12" spans="1:6" x14ac:dyDescent="0.2">
      <c r="A12" s="292">
        <f>A11</f>
        <v>44262</v>
      </c>
      <c r="B12" s="285" t="s">
        <v>234</v>
      </c>
      <c r="F12" s="291"/>
    </row>
    <row r="13" spans="1:6" x14ac:dyDescent="0.2">
      <c r="A13" s="292">
        <f>A11</f>
        <v>44262</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44263</v>
      </c>
      <c r="B16" s="297">
        <f t="shared" ref="B16:B22" si="2">A16</f>
        <v>44263</v>
      </c>
      <c r="C16" s="296"/>
      <c r="D16" s="295"/>
      <c r="E16" s="296"/>
      <c r="F16" s="293"/>
    </row>
    <row r="17" spans="1:6" x14ac:dyDescent="0.2">
      <c r="A17" s="292">
        <f t="shared" ref="A17:A22" si="3">A16+1</f>
        <v>44264</v>
      </c>
      <c r="B17" s="285">
        <f t="shared" si="2"/>
        <v>44264</v>
      </c>
      <c r="F17" s="291"/>
    </row>
    <row r="18" spans="1:6" x14ac:dyDescent="0.2">
      <c r="A18" s="292">
        <f t="shared" si="3"/>
        <v>44265</v>
      </c>
      <c r="B18" s="285">
        <f t="shared" si="2"/>
        <v>44265</v>
      </c>
      <c r="F18" s="291"/>
    </row>
    <row r="19" spans="1:6" x14ac:dyDescent="0.2">
      <c r="A19" s="292">
        <f t="shared" si="3"/>
        <v>44266</v>
      </c>
      <c r="B19" s="285">
        <f t="shared" si="2"/>
        <v>44266</v>
      </c>
      <c r="F19" s="291"/>
    </row>
    <row r="20" spans="1:6" x14ac:dyDescent="0.2">
      <c r="A20" s="292">
        <f t="shared" si="3"/>
        <v>44267</v>
      </c>
      <c r="B20" s="285">
        <f t="shared" si="2"/>
        <v>44267</v>
      </c>
      <c r="F20" s="291"/>
    </row>
    <row r="21" spans="1:6" x14ac:dyDescent="0.2">
      <c r="A21" s="292">
        <f t="shared" si="3"/>
        <v>44268</v>
      </c>
      <c r="B21" s="285">
        <f t="shared" si="2"/>
        <v>44268</v>
      </c>
      <c r="F21" s="291"/>
    </row>
    <row r="22" spans="1:6" x14ac:dyDescent="0.2">
      <c r="A22" s="292">
        <f t="shared" si="3"/>
        <v>44269</v>
      </c>
      <c r="B22" s="285">
        <f t="shared" si="2"/>
        <v>44269</v>
      </c>
      <c r="F22" s="291"/>
    </row>
    <row r="23" spans="1:6" x14ac:dyDescent="0.2">
      <c r="A23" s="292">
        <f>A22</f>
        <v>44269</v>
      </c>
      <c r="B23" s="285" t="s">
        <v>234</v>
      </c>
      <c r="F23" s="291"/>
    </row>
    <row r="24" spans="1:6" x14ac:dyDescent="0.2">
      <c r="A24" s="292">
        <f>A22</f>
        <v>44269</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44270</v>
      </c>
      <c r="B27" s="297">
        <f t="shared" ref="B27:B33" si="4">A27</f>
        <v>44270</v>
      </c>
      <c r="C27" s="296"/>
      <c r="D27" s="295"/>
      <c r="E27" s="296"/>
      <c r="F27" s="293"/>
    </row>
    <row r="28" spans="1:6" x14ac:dyDescent="0.2">
      <c r="A28" s="292">
        <f t="shared" ref="A28:A33" si="5">A27+1</f>
        <v>44271</v>
      </c>
      <c r="B28" s="285">
        <f t="shared" si="4"/>
        <v>44271</v>
      </c>
      <c r="F28" s="291"/>
    </row>
    <row r="29" spans="1:6" x14ac:dyDescent="0.2">
      <c r="A29" s="292">
        <f t="shared" si="5"/>
        <v>44272</v>
      </c>
      <c r="B29" s="285">
        <f t="shared" si="4"/>
        <v>44272</v>
      </c>
      <c r="F29" s="291"/>
    </row>
    <row r="30" spans="1:6" x14ac:dyDescent="0.2">
      <c r="A30" s="292">
        <f t="shared" si="5"/>
        <v>44273</v>
      </c>
      <c r="B30" s="285">
        <f t="shared" si="4"/>
        <v>44273</v>
      </c>
      <c r="F30" s="291"/>
    </row>
    <row r="31" spans="1:6" x14ac:dyDescent="0.2">
      <c r="A31" s="292">
        <f t="shared" si="5"/>
        <v>44274</v>
      </c>
      <c r="B31" s="285">
        <f t="shared" si="4"/>
        <v>44274</v>
      </c>
      <c r="F31" s="291"/>
    </row>
    <row r="32" spans="1:6" x14ac:dyDescent="0.2">
      <c r="A32" s="292">
        <f t="shared" si="5"/>
        <v>44275</v>
      </c>
      <c r="B32" s="285">
        <f t="shared" si="4"/>
        <v>44275</v>
      </c>
      <c r="F32" s="291"/>
    </row>
    <row r="33" spans="1:6" x14ac:dyDescent="0.2">
      <c r="A33" s="292">
        <f t="shared" si="5"/>
        <v>44276</v>
      </c>
      <c r="B33" s="285">
        <f t="shared" si="4"/>
        <v>44276</v>
      </c>
      <c r="F33" s="291"/>
    </row>
    <row r="34" spans="1:6" x14ac:dyDescent="0.2">
      <c r="A34" s="292">
        <f>A33</f>
        <v>44276</v>
      </c>
      <c r="B34" s="285" t="s">
        <v>234</v>
      </c>
      <c r="F34" s="291"/>
    </row>
    <row r="35" spans="1:6" x14ac:dyDescent="0.2">
      <c r="A35" s="292">
        <f>A33</f>
        <v>44276</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44277</v>
      </c>
      <c r="B38" s="297">
        <f t="shared" ref="B38:B44" si="6">A38</f>
        <v>44277</v>
      </c>
      <c r="C38" s="296"/>
      <c r="D38" s="295"/>
      <c r="E38" s="296"/>
      <c r="F38" s="293"/>
    </row>
    <row r="39" spans="1:6" x14ac:dyDescent="0.2">
      <c r="A39" s="292">
        <f t="shared" ref="A39:A44" si="7">A38+1</f>
        <v>44278</v>
      </c>
      <c r="B39" s="285">
        <f t="shared" si="6"/>
        <v>44278</v>
      </c>
      <c r="E39" s="283"/>
      <c r="F39" s="291"/>
    </row>
    <row r="40" spans="1:6" x14ac:dyDescent="0.2">
      <c r="A40" s="292">
        <f t="shared" si="7"/>
        <v>44279</v>
      </c>
      <c r="B40" s="285">
        <f t="shared" si="6"/>
        <v>44279</v>
      </c>
      <c r="E40" s="283"/>
      <c r="F40" s="291"/>
    </row>
    <row r="41" spans="1:6" x14ac:dyDescent="0.2">
      <c r="A41" s="292">
        <f t="shared" si="7"/>
        <v>44280</v>
      </c>
      <c r="B41" s="285">
        <f t="shared" si="6"/>
        <v>44280</v>
      </c>
      <c r="E41" s="283"/>
      <c r="F41" s="291"/>
    </row>
    <row r="42" spans="1:6" x14ac:dyDescent="0.2">
      <c r="A42" s="292">
        <f t="shared" si="7"/>
        <v>44281</v>
      </c>
      <c r="B42" s="285">
        <f t="shared" si="6"/>
        <v>44281</v>
      </c>
      <c r="E42" s="283"/>
      <c r="F42" s="291"/>
    </row>
    <row r="43" spans="1:6" x14ac:dyDescent="0.2">
      <c r="A43" s="292">
        <f t="shared" si="7"/>
        <v>44282</v>
      </c>
      <c r="B43" s="285">
        <f t="shared" si="6"/>
        <v>44282</v>
      </c>
      <c r="E43" s="283"/>
      <c r="F43" s="291"/>
    </row>
    <row r="44" spans="1:6" x14ac:dyDescent="0.2">
      <c r="A44" s="292">
        <f t="shared" si="7"/>
        <v>44283</v>
      </c>
      <c r="B44" s="285">
        <f t="shared" si="6"/>
        <v>44283</v>
      </c>
      <c r="E44" s="283"/>
      <c r="F44" s="291"/>
    </row>
    <row r="45" spans="1:6" x14ac:dyDescent="0.2">
      <c r="A45" s="292">
        <f>A44</f>
        <v>44283</v>
      </c>
      <c r="B45" s="285" t="s">
        <v>234</v>
      </c>
      <c r="F45" s="291"/>
    </row>
    <row r="46" spans="1:6" x14ac:dyDescent="0.2">
      <c r="A46" s="292">
        <f>A45</f>
        <v>44283</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44284</v>
      </c>
      <c r="B49" s="297">
        <f t="shared" ref="B49:B55" si="8">A49</f>
        <v>44284</v>
      </c>
      <c r="C49" s="296"/>
      <c r="D49" s="295"/>
      <c r="E49" s="296"/>
      <c r="F49" s="293"/>
    </row>
    <row r="50" spans="1:6" x14ac:dyDescent="0.2">
      <c r="A50" s="292">
        <f t="shared" ref="A50:A55" si="9">A49+1</f>
        <v>44285</v>
      </c>
      <c r="B50" s="285">
        <f t="shared" si="8"/>
        <v>44285</v>
      </c>
      <c r="E50" s="283"/>
      <c r="F50" s="291"/>
    </row>
    <row r="51" spans="1:6" x14ac:dyDescent="0.2">
      <c r="A51" s="292">
        <f t="shared" si="9"/>
        <v>44286</v>
      </c>
      <c r="B51" s="285">
        <f t="shared" si="8"/>
        <v>44286</v>
      </c>
      <c r="E51" s="283"/>
      <c r="F51" s="291"/>
    </row>
    <row r="52" spans="1:6" x14ac:dyDescent="0.2">
      <c r="A52" s="292">
        <f t="shared" si="9"/>
        <v>44287</v>
      </c>
      <c r="B52" s="285">
        <f t="shared" si="8"/>
        <v>44287</v>
      </c>
      <c r="E52" s="283"/>
      <c r="F52" s="291"/>
    </row>
    <row r="53" spans="1:6" x14ac:dyDescent="0.2">
      <c r="A53" s="292">
        <f t="shared" si="9"/>
        <v>44288</v>
      </c>
      <c r="B53" s="285">
        <f t="shared" si="8"/>
        <v>44288</v>
      </c>
      <c r="E53" s="283"/>
      <c r="F53" s="291"/>
    </row>
    <row r="54" spans="1:6" x14ac:dyDescent="0.2">
      <c r="A54" s="292">
        <f t="shared" si="9"/>
        <v>44289</v>
      </c>
      <c r="B54" s="285">
        <f t="shared" si="8"/>
        <v>44289</v>
      </c>
      <c r="E54" s="283"/>
      <c r="F54" s="291"/>
    </row>
    <row r="55" spans="1:6" x14ac:dyDescent="0.2">
      <c r="A55" s="292">
        <f t="shared" si="9"/>
        <v>44290</v>
      </c>
      <c r="B55" s="285">
        <f t="shared" si="8"/>
        <v>44290</v>
      </c>
      <c r="E55" s="283"/>
      <c r="F55" s="291"/>
    </row>
    <row r="56" spans="1:6" x14ac:dyDescent="0.2">
      <c r="A56" s="292">
        <f>A55</f>
        <v>44290</v>
      </c>
      <c r="B56" s="285" t="s">
        <v>234</v>
      </c>
      <c r="F56" s="291"/>
    </row>
    <row r="57" spans="1:6" x14ac:dyDescent="0.2">
      <c r="A57" s="292">
        <f>A56</f>
        <v>44290</v>
      </c>
      <c r="B57" s="285" t="s">
        <v>233</v>
      </c>
      <c r="F57" s="291"/>
    </row>
    <row r="58" spans="1:6" ht="13.5" thickBot="1" x14ac:dyDescent="0.25">
      <c r="A58" s="290"/>
      <c r="B58" s="289"/>
      <c r="C58" s="287"/>
      <c r="D58" s="288"/>
      <c r="E58" s="300">
        <f>SUM(E49:E57)</f>
        <v>0</v>
      </c>
      <c r="F58" s="299">
        <f>SUM(F49:F57)</f>
        <v>0</v>
      </c>
    </row>
    <row r="59" spans="1:6" ht="13.5" thickBot="1" x14ac:dyDescent="0.25"/>
    <row r="60" spans="1:6" x14ac:dyDescent="0.2">
      <c r="A60" s="298">
        <f>A55+1</f>
        <v>44291</v>
      </c>
      <c r="B60" s="297">
        <f t="shared" ref="B60" si="10">A60</f>
        <v>44291</v>
      </c>
      <c r="C60" s="296"/>
      <c r="D60" s="295"/>
      <c r="E60" s="296"/>
      <c r="F60" s="293"/>
    </row>
    <row r="61" spans="1:6" x14ac:dyDescent="0.2">
      <c r="A61" s="292">
        <f>A60</f>
        <v>44291</v>
      </c>
      <c r="B61" s="285" t="s">
        <v>234</v>
      </c>
      <c r="F61" s="291"/>
    </row>
    <row r="62" spans="1:6" x14ac:dyDescent="0.2">
      <c r="A62" s="292">
        <f>A61</f>
        <v>44291</v>
      </c>
      <c r="B62" s="285" t="s">
        <v>233</v>
      </c>
      <c r="F62" s="291"/>
    </row>
    <row r="63" spans="1:6" ht="13.5" thickBot="1" x14ac:dyDescent="0.25">
      <c r="A63" s="290"/>
      <c r="B63" s="289"/>
      <c r="C63" s="287"/>
      <c r="D63" s="288"/>
      <c r="E63" s="300">
        <f>SUM(E60:E62)</f>
        <v>0</v>
      </c>
      <c r="F63" s="299">
        <f>SUM(F60:F62)</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7.85546875" style="7" customWidth="1"/>
    <col min="20" max="20" width="12.5703125" style="6" customWidth="1"/>
    <col min="21" max="21" width="8.140625" style="7" customWidth="1"/>
    <col min="22" max="16384" width="9.140625" style="6"/>
  </cols>
  <sheetData>
    <row r="1" spans="1:21" s="7" customFormat="1" ht="13.5" customHeight="1" x14ac:dyDescent="0.2">
      <c r="A1" s="323">
        <f>E1+SalesMar21!$D$1+PurchasesFeb21!A1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S1+PurchasesFeb21!T1</f>
        <v>0</v>
      </c>
      <c r="U1" s="320">
        <f>SUM(U4:U199)</f>
        <v>0</v>
      </c>
    </row>
    <row r="2" spans="1:21" s="7" customFormat="1" ht="13.5" customHeight="1" x14ac:dyDescent="0.2">
      <c r="A2" s="319">
        <f>U1+PurchasesFeb21!A2</f>
        <v>0</v>
      </c>
      <c r="B2" s="104" t="s">
        <v>272</v>
      </c>
      <c r="C2" s="476" t="s">
        <v>271</v>
      </c>
      <c r="D2" s="478" t="s">
        <v>270</v>
      </c>
      <c r="E2" s="476" t="s">
        <v>269</v>
      </c>
      <c r="F2" s="433" t="s">
        <v>268</v>
      </c>
      <c r="G2" s="480" t="s">
        <v>267</v>
      </c>
      <c r="H2" s="481"/>
      <c r="I2" s="482">
        <f>G1+H1+I1+J1+PurchasesFeb21!I2</f>
        <v>0</v>
      </c>
      <c r="J2" s="483"/>
      <c r="K2" s="433" t="s">
        <v>266</v>
      </c>
      <c r="L2" s="433" t="s">
        <v>265</v>
      </c>
      <c r="M2" s="433" t="s">
        <v>264</v>
      </c>
      <c r="N2" s="433" t="s">
        <v>274</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93"/>
      <c r="L3" s="493"/>
      <c r="M3" s="489"/>
      <c r="N3" s="489"/>
      <c r="O3" s="489"/>
      <c r="P3" s="489"/>
      <c r="Q3" s="489"/>
      <c r="R3" s="489"/>
      <c r="S3" s="491"/>
      <c r="T3" s="488"/>
      <c r="U3" s="491"/>
    </row>
    <row r="4" spans="1:21" s="308" customFormat="1" x14ac:dyDescent="0.2">
      <c r="A4" s="312" t="str">
        <f>IF((E1&lt;&gt;0),Admin!$B$16,"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18">
        <f>IF((A1&lt;Admin!$F$22),((A1-PurchasesFeb21!A1)*Admin!$G$21),(A1*Admin!$G$21-(A1-Admin!$F$21)*(Admin!$G$21-Admin!$G$22)-PurchasesFeb21!A2))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N21" sqref="N21"/>
    </sheetView>
  </sheetViews>
  <sheetFormatPr defaultRowHeight="12" x14ac:dyDescent="0.2"/>
  <cols>
    <col min="1" max="1" width="1.5703125" style="122" customWidth="1"/>
    <col min="2" max="2" width="10.140625" style="139" bestFit="1" customWidth="1"/>
    <col min="3" max="3" width="4.7109375" style="122" customWidth="1"/>
    <col min="4" max="5" width="11.140625" style="122" customWidth="1"/>
    <col min="6" max="6" width="11" style="122" customWidth="1"/>
    <col min="7" max="7" width="9.140625" style="140"/>
    <col min="8" max="8" width="4.7109375" style="122" customWidth="1"/>
    <col min="9" max="12" width="9.140625" style="122"/>
    <col min="13" max="13" width="11.5703125" style="122" customWidth="1"/>
    <col min="14" max="14" width="9.140625" style="122"/>
    <col min="15" max="15" width="3.28515625" style="122" customWidth="1"/>
    <col min="16" max="16384" width="9.140625" style="122"/>
  </cols>
  <sheetData>
    <row r="1" spans="1:15" ht="12" customHeight="1" thickBot="1" x14ac:dyDescent="0.25">
      <c r="A1" s="119"/>
      <c r="B1" s="120" t="s">
        <v>70</v>
      </c>
      <c r="C1" s="119"/>
      <c r="D1" s="495"/>
      <c r="E1" s="495"/>
      <c r="F1" s="495"/>
      <c r="G1" s="121"/>
      <c r="H1" s="119"/>
      <c r="I1" s="119"/>
      <c r="J1" s="119"/>
      <c r="K1" s="119"/>
      <c r="L1" s="119"/>
      <c r="M1" s="119"/>
      <c r="N1" s="119"/>
      <c r="O1" s="119"/>
    </row>
    <row r="2" spans="1:15" ht="12" customHeight="1" x14ac:dyDescent="0.2">
      <c r="A2" s="119"/>
      <c r="B2" s="123">
        <v>43890</v>
      </c>
      <c r="C2" s="119"/>
      <c r="D2" s="496" t="s">
        <v>71</v>
      </c>
      <c r="E2" s="497"/>
      <c r="F2" s="498"/>
      <c r="G2" s="252" t="str">
        <f>B23</f>
        <v>2020-21</v>
      </c>
      <c r="H2" s="119"/>
      <c r="I2" s="499" t="s">
        <v>72</v>
      </c>
      <c r="J2" s="500"/>
      <c r="K2" s="124" t="str">
        <f>G2</f>
        <v>2020-21</v>
      </c>
      <c r="L2" s="119"/>
      <c r="M2" s="119"/>
      <c r="N2" s="119"/>
      <c r="O2" s="119"/>
    </row>
    <row r="3" spans="1:15" ht="12" customHeight="1" thickBot="1" x14ac:dyDescent="0.25">
      <c r="A3" s="119"/>
      <c r="B3" s="123">
        <v>43921</v>
      </c>
      <c r="C3" s="119"/>
      <c r="D3" s="119"/>
      <c r="E3" s="119"/>
      <c r="F3" s="119"/>
      <c r="G3" s="125"/>
      <c r="H3" s="119"/>
      <c r="I3" s="119"/>
      <c r="J3" s="126"/>
      <c r="K3" s="126"/>
      <c r="L3" s="121"/>
      <c r="M3" s="119"/>
      <c r="N3" s="119"/>
      <c r="O3" s="119"/>
    </row>
    <row r="4" spans="1:15" ht="12" customHeight="1" thickBot="1" x14ac:dyDescent="0.25">
      <c r="A4" s="119"/>
      <c r="B4" s="127">
        <v>43927</v>
      </c>
      <c r="C4" s="119"/>
      <c r="D4" s="494" t="s">
        <v>132</v>
      </c>
      <c r="E4" s="494"/>
      <c r="F4" s="494"/>
      <c r="G4" s="128">
        <v>1</v>
      </c>
      <c r="H4" s="119"/>
      <c r="I4" s="494" t="s">
        <v>73</v>
      </c>
      <c r="J4" s="494"/>
      <c r="K4" s="494"/>
      <c r="L4" s="494"/>
      <c r="M4" s="494"/>
      <c r="N4" s="129">
        <v>12500</v>
      </c>
      <c r="O4" s="125" t="s">
        <v>50</v>
      </c>
    </row>
    <row r="5" spans="1:15" ht="12" customHeight="1" x14ac:dyDescent="0.2">
      <c r="A5" s="119"/>
      <c r="B5" s="123">
        <v>43951</v>
      </c>
      <c r="C5" s="119"/>
      <c r="D5" s="494" t="s">
        <v>74</v>
      </c>
      <c r="E5" s="494"/>
      <c r="F5" s="494"/>
      <c r="G5" s="128">
        <v>0.18</v>
      </c>
      <c r="H5" s="119"/>
      <c r="I5" s="119"/>
      <c r="J5" s="119"/>
      <c r="K5" s="119"/>
      <c r="L5" s="119"/>
      <c r="M5" s="119"/>
      <c r="N5" s="125"/>
      <c r="O5" s="125"/>
    </row>
    <row r="6" spans="1:15" ht="12" customHeight="1" x14ac:dyDescent="0.2">
      <c r="A6" s="119"/>
      <c r="B6" s="123">
        <v>43982</v>
      </c>
      <c r="C6" s="119"/>
      <c r="D6" s="119"/>
      <c r="E6" s="119"/>
      <c r="F6" s="119"/>
      <c r="G6" s="125"/>
      <c r="H6" s="119"/>
      <c r="I6" s="494" t="s">
        <v>75</v>
      </c>
      <c r="J6" s="494"/>
      <c r="K6" s="494"/>
      <c r="L6" s="494"/>
      <c r="M6" s="494"/>
      <c r="N6" s="128">
        <v>0.2</v>
      </c>
      <c r="O6" s="125" t="s">
        <v>76</v>
      </c>
    </row>
    <row r="7" spans="1:15" ht="12" customHeight="1" x14ac:dyDescent="0.2">
      <c r="A7" s="119"/>
      <c r="B7" s="123">
        <v>44012</v>
      </c>
      <c r="C7" s="119"/>
      <c r="D7" s="494" t="s">
        <v>77</v>
      </c>
      <c r="E7" s="494"/>
      <c r="F7" s="494"/>
      <c r="G7" s="125"/>
      <c r="H7" s="119"/>
      <c r="I7" s="494" t="s">
        <v>78</v>
      </c>
      <c r="J7" s="494"/>
      <c r="K7" s="494"/>
      <c r="L7" s="494"/>
      <c r="M7" s="494"/>
      <c r="N7" s="128">
        <v>0.4</v>
      </c>
      <c r="O7" s="125" t="s">
        <v>76</v>
      </c>
    </row>
    <row r="8" spans="1:15" ht="12" customHeight="1" x14ac:dyDescent="0.2">
      <c r="A8" s="119"/>
      <c r="B8" s="123">
        <v>44043</v>
      </c>
      <c r="C8" s="119"/>
      <c r="D8" s="119" t="s">
        <v>79</v>
      </c>
      <c r="E8" s="130">
        <v>12000</v>
      </c>
      <c r="F8" s="119" t="s">
        <v>80</v>
      </c>
      <c r="G8" s="130">
        <v>3000</v>
      </c>
      <c r="H8" s="119"/>
      <c r="I8" s="119"/>
      <c r="J8" s="119"/>
      <c r="K8" s="119"/>
      <c r="L8" s="119"/>
      <c r="M8" s="119"/>
      <c r="N8" s="125"/>
      <c r="O8" s="125"/>
    </row>
    <row r="9" spans="1:15" ht="12" customHeight="1" x14ac:dyDescent="0.2">
      <c r="A9" s="119"/>
      <c r="B9" s="123">
        <v>44074</v>
      </c>
      <c r="C9" s="119"/>
      <c r="D9" s="119"/>
      <c r="E9" s="125"/>
      <c r="F9" s="119"/>
      <c r="G9" s="125"/>
      <c r="H9" s="119"/>
      <c r="I9" s="494" t="s">
        <v>81</v>
      </c>
      <c r="J9" s="501"/>
      <c r="K9" s="501"/>
      <c r="L9" s="131" t="s">
        <v>82</v>
      </c>
      <c r="M9" s="131" t="s">
        <v>83</v>
      </c>
      <c r="N9" s="132" t="s">
        <v>84</v>
      </c>
      <c r="O9" s="125"/>
    </row>
    <row r="10" spans="1:15" ht="12" customHeight="1" x14ac:dyDescent="0.2">
      <c r="A10" s="119"/>
      <c r="B10" s="123">
        <v>44104</v>
      </c>
      <c r="C10" s="119"/>
      <c r="D10" s="119"/>
      <c r="E10" s="125"/>
      <c r="F10" s="119"/>
      <c r="G10" s="125"/>
      <c r="H10" s="119"/>
      <c r="I10" s="119"/>
      <c r="J10" s="119"/>
      <c r="K10" s="119"/>
      <c r="L10" s="119"/>
      <c r="M10" s="119"/>
      <c r="N10" s="125"/>
      <c r="O10" s="125"/>
    </row>
    <row r="11" spans="1:15" ht="12" customHeight="1" x14ac:dyDescent="0.2">
      <c r="A11" s="119"/>
      <c r="B11" s="123">
        <v>44135</v>
      </c>
      <c r="C11" s="119"/>
      <c r="D11" s="496" t="s">
        <v>85</v>
      </c>
      <c r="E11" s="497"/>
      <c r="F11" s="498"/>
      <c r="G11" s="125" t="s">
        <v>76</v>
      </c>
      <c r="H11" s="119"/>
      <c r="I11" s="119" t="s">
        <v>86</v>
      </c>
      <c r="J11" s="119"/>
      <c r="K11" s="133">
        <v>0.2</v>
      </c>
      <c r="L11" s="125">
        <f>N11</f>
        <v>0</v>
      </c>
      <c r="M11" s="125">
        <v>37500</v>
      </c>
      <c r="N11" s="130">
        <v>0</v>
      </c>
      <c r="O11" s="125"/>
    </row>
    <row r="12" spans="1:15" ht="12" customHeight="1" x14ac:dyDescent="0.2">
      <c r="A12" s="119"/>
      <c r="B12" s="123">
        <v>44165</v>
      </c>
      <c r="C12" s="119"/>
      <c r="D12" s="119"/>
      <c r="E12" s="119"/>
      <c r="F12" s="119"/>
      <c r="G12" s="125"/>
      <c r="H12" s="119"/>
      <c r="I12" s="119" t="s">
        <v>87</v>
      </c>
      <c r="J12" s="119"/>
      <c r="K12" s="133">
        <v>0.4</v>
      </c>
      <c r="L12" s="125">
        <v>37501</v>
      </c>
      <c r="M12" s="119"/>
      <c r="N12" s="130">
        <v>37501</v>
      </c>
      <c r="O12" s="125"/>
    </row>
    <row r="13" spans="1:15" ht="12" customHeight="1" x14ac:dyDescent="0.2">
      <c r="A13" s="119"/>
      <c r="B13" s="123">
        <v>44196</v>
      </c>
      <c r="C13" s="119"/>
      <c r="D13" s="494" t="s">
        <v>88</v>
      </c>
      <c r="E13" s="494"/>
      <c r="F13" s="494"/>
      <c r="G13" s="128">
        <v>0</v>
      </c>
      <c r="H13" s="119"/>
      <c r="I13" s="119"/>
      <c r="J13" s="119"/>
      <c r="K13" s="119"/>
      <c r="L13" s="119"/>
      <c r="M13" s="119"/>
      <c r="N13" s="119"/>
      <c r="O13" s="119"/>
    </row>
    <row r="14" spans="1:15" ht="12" customHeight="1" x14ac:dyDescent="0.2">
      <c r="A14" s="119"/>
      <c r="B14" s="123">
        <v>44227</v>
      </c>
      <c r="C14" s="119"/>
      <c r="D14" s="494" t="s">
        <v>89</v>
      </c>
      <c r="E14" s="494"/>
      <c r="F14" s="494"/>
      <c r="G14" s="128">
        <v>0.1</v>
      </c>
      <c r="H14" s="119"/>
      <c r="I14" s="502" t="s">
        <v>90</v>
      </c>
      <c r="J14" s="503"/>
      <c r="K14" s="504"/>
      <c r="L14" s="134" t="str">
        <f>G2</f>
        <v>2020-21</v>
      </c>
      <c r="M14" s="119"/>
      <c r="N14" s="119"/>
      <c r="O14" s="119"/>
    </row>
    <row r="15" spans="1:15" ht="12" customHeight="1" x14ac:dyDescent="0.2">
      <c r="A15" s="119"/>
      <c r="B15" s="123" t="s">
        <v>282</v>
      </c>
      <c r="C15" s="119"/>
      <c r="D15" s="494" t="s">
        <v>91</v>
      </c>
      <c r="E15" s="494"/>
      <c r="F15" s="494"/>
      <c r="G15" s="128">
        <v>0.2</v>
      </c>
      <c r="H15" s="119"/>
      <c r="I15" s="119"/>
      <c r="J15" s="119"/>
      <c r="K15" s="119"/>
      <c r="L15" s="119"/>
      <c r="M15" s="119"/>
      <c r="N15" s="119"/>
      <c r="O15" s="119"/>
    </row>
    <row r="16" spans="1:15" ht="12" customHeight="1" thickBot="1" x14ac:dyDescent="0.25">
      <c r="A16" s="119"/>
      <c r="B16" s="123">
        <v>44286</v>
      </c>
      <c r="C16" s="119"/>
      <c r="D16" s="494" t="s">
        <v>92</v>
      </c>
      <c r="E16" s="494"/>
      <c r="F16" s="494"/>
      <c r="G16" s="128">
        <v>0.33</v>
      </c>
      <c r="H16" s="119"/>
      <c r="I16" s="494" t="s">
        <v>93</v>
      </c>
      <c r="J16" s="494"/>
      <c r="K16" s="494"/>
      <c r="L16" s="135">
        <v>3.05</v>
      </c>
      <c r="M16" s="119"/>
      <c r="N16" s="119"/>
      <c r="O16" s="119"/>
    </row>
    <row r="17" spans="1:15" ht="12" customHeight="1" thickBot="1" x14ac:dyDescent="0.25">
      <c r="A17" s="119"/>
      <c r="B17" s="127">
        <v>44291</v>
      </c>
      <c r="C17" s="119"/>
      <c r="D17" s="494" t="s">
        <v>94</v>
      </c>
      <c r="E17" s="494"/>
      <c r="F17" s="494"/>
      <c r="G17" s="128">
        <v>0.25</v>
      </c>
      <c r="H17" s="119"/>
      <c r="I17" s="119"/>
      <c r="J17" s="119"/>
      <c r="K17" s="119"/>
      <c r="L17" s="137"/>
      <c r="M17" s="119"/>
      <c r="N17" s="119"/>
      <c r="O17" s="119"/>
    </row>
    <row r="18" spans="1:15" ht="12" customHeight="1" x14ac:dyDescent="0.2">
      <c r="A18" s="119"/>
      <c r="B18" s="123">
        <v>44316</v>
      </c>
      <c r="C18" s="119"/>
      <c r="D18" s="119"/>
      <c r="E18" s="119"/>
      <c r="F18" s="119"/>
      <c r="G18" s="125"/>
      <c r="H18" s="119"/>
      <c r="I18" s="119"/>
      <c r="J18" s="119"/>
      <c r="K18" s="119"/>
      <c r="L18" s="119"/>
      <c r="M18" s="119"/>
      <c r="N18" s="119"/>
      <c r="O18" s="119"/>
    </row>
    <row r="19" spans="1:15" ht="12" customHeight="1" x14ac:dyDescent="0.2">
      <c r="A19" s="119"/>
      <c r="B19" s="123">
        <v>44347</v>
      </c>
      <c r="C19" s="119"/>
      <c r="D19" s="496" t="s">
        <v>96</v>
      </c>
      <c r="E19" s="498"/>
      <c r="F19" s="125" t="s">
        <v>97</v>
      </c>
      <c r="G19" s="125" t="s">
        <v>98</v>
      </c>
      <c r="H19" s="119"/>
      <c r="I19" s="506" t="s">
        <v>95</v>
      </c>
      <c r="J19" s="506"/>
      <c r="K19" s="506"/>
      <c r="L19" s="119"/>
      <c r="M19" s="505" t="s">
        <v>228</v>
      </c>
      <c r="N19" s="119"/>
      <c r="O19" s="119"/>
    </row>
    <row r="20" spans="1:15" ht="12" customHeight="1" x14ac:dyDescent="0.2">
      <c r="A20" s="119"/>
      <c r="B20" s="123">
        <v>44377</v>
      </c>
      <c r="C20" s="119"/>
      <c r="D20" s="121"/>
      <c r="E20" s="121"/>
      <c r="F20" s="125"/>
      <c r="G20" s="125"/>
      <c r="H20" s="119"/>
      <c r="I20" s="506"/>
      <c r="J20" s="506"/>
      <c r="K20" s="506"/>
      <c r="L20" s="128">
        <v>0.09</v>
      </c>
      <c r="M20" s="505"/>
      <c r="N20" s="130">
        <v>9500</v>
      </c>
      <c r="O20" s="125" t="s">
        <v>50</v>
      </c>
    </row>
    <row r="21" spans="1:15" ht="12" customHeight="1" x14ac:dyDescent="0.2">
      <c r="A21" s="119"/>
      <c r="B21" s="123">
        <v>44592</v>
      </c>
      <c r="C21" s="119"/>
      <c r="D21" s="494" t="s">
        <v>99</v>
      </c>
      <c r="E21" s="494"/>
      <c r="F21" s="130">
        <v>10000</v>
      </c>
      <c r="G21" s="135">
        <v>0.45</v>
      </c>
      <c r="H21" s="119"/>
      <c r="I21" s="136"/>
      <c r="J21" s="136"/>
      <c r="K21" s="136"/>
      <c r="L21" s="133"/>
      <c r="M21" s="119"/>
      <c r="N21" s="119"/>
      <c r="O21" s="119"/>
    </row>
    <row r="22" spans="1:15" ht="12" customHeight="1" thickBot="1" x14ac:dyDescent="0.25">
      <c r="A22" s="119"/>
      <c r="B22" s="123">
        <v>44773</v>
      </c>
      <c r="C22" s="119"/>
      <c r="D22" s="119" t="s">
        <v>101</v>
      </c>
      <c r="E22" s="119"/>
      <c r="F22" s="130">
        <v>10001</v>
      </c>
      <c r="G22" s="135">
        <v>0.25</v>
      </c>
      <c r="H22" s="119"/>
      <c r="I22" s="506" t="s">
        <v>100</v>
      </c>
      <c r="J22" s="506"/>
      <c r="K22" s="506"/>
      <c r="L22" s="119"/>
      <c r="M22" s="505" t="s">
        <v>229</v>
      </c>
      <c r="N22" s="119"/>
      <c r="O22" s="119"/>
    </row>
    <row r="23" spans="1:15" ht="12" customHeight="1" thickBot="1" x14ac:dyDescent="0.25">
      <c r="A23" s="119"/>
      <c r="B23" s="127" t="s">
        <v>281</v>
      </c>
      <c r="C23" s="119"/>
      <c r="D23" s="119"/>
      <c r="E23" s="119"/>
      <c r="F23" s="125"/>
      <c r="G23" s="137"/>
      <c r="H23" s="119"/>
      <c r="I23" s="506"/>
      <c r="J23" s="506"/>
      <c r="K23" s="506"/>
      <c r="L23" s="128">
        <v>0.02</v>
      </c>
      <c r="M23" s="505"/>
      <c r="N23" s="130">
        <v>50000</v>
      </c>
      <c r="O23" s="125" t="s">
        <v>50</v>
      </c>
    </row>
    <row r="24" spans="1:15" ht="12" customHeight="1" thickBot="1" x14ac:dyDescent="0.25">
      <c r="A24" s="119"/>
      <c r="B24" s="127" t="s">
        <v>283</v>
      </c>
      <c r="C24" s="119"/>
      <c r="D24" s="496" t="s">
        <v>96</v>
      </c>
      <c r="E24" s="498"/>
      <c r="F24" s="119"/>
      <c r="G24" s="119"/>
      <c r="H24" s="119"/>
      <c r="I24" s="119"/>
      <c r="J24" s="119"/>
      <c r="K24" s="119"/>
      <c r="L24" s="119"/>
      <c r="M24" s="119"/>
      <c r="N24" s="119"/>
      <c r="O24" s="119"/>
    </row>
    <row r="25" spans="1:15" ht="12" customHeight="1" x14ac:dyDescent="0.2">
      <c r="A25" s="119"/>
      <c r="B25" s="119"/>
      <c r="C25" s="119"/>
      <c r="D25" s="119"/>
      <c r="E25" s="119"/>
      <c r="F25" s="119"/>
      <c r="G25" s="119"/>
      <c r="H25" s="119"/>
      <c r="I25" s="119"/>
      <c r="J25" s="119"/>
      <c r="K25" s="119"/>
      <c r="L25" s="119"/>
      <c r="M25" s="119"/>
      <c r="N25" s="119"/>
      <c r="O25" s="119"/>
    </row>
    <row r="26" spans="1:15" ht="12" customHeight="1" x14ac:dyDescent="0.2">
      <c r="A26" s="119"/>
      <c r="B26" s="138"/>
      <c r="C26" s="119"/>
      <c r="D26" s="494" t="s">
        <v>278</v>
      </c>
      <c r="E26" s="494"/>
      <c r="F26" s="130">
        <v>85000</v>
      </c>
      <c r="G26" s="119"/>
      <c r="H26" s="119"/>
      <c r="I26" s="119"/>
      <c r="J26" s="119"/>
      <c r="K26" s="119"/>
      <c r="L26" s="119"/>
      <c r="M26" s="119"/>
      <c r="N26" s="119"/>
      <c r="O26" s="119"/>
    </row>
    <row r="27" spans="1:15" x14ac:dyDescent="0.2">
      <c r="A27" s="119"/>
      <c r="B27" s="138"/>
      <c r="C27" s="119"/>
      <c r="D27" s="119"/>
      <c r="E27" s="119"/>
      <c r="F27" s="119"/>
      <c r="G27" s="125"/>
      <c r="H27" s="119"/>
      <c r="I27" s="119"/>
      <c r="J27" s="119"/>
      <c r="K27" s="119"/>
      <c r="L27" s="119"/>
      <c r="M27" s="119"/>
      <c r="N27" s="119"/>
      <c r="O27" s="119"/>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19" t="s">
        <v>43</v>
      </c>
      <c r="B1" s="20">
        <f>ROUND(PurchasesMar21!$A$2,0)</f>
        <v>0</v>
      </c>
      <c r="C1" s="22" t="str">
        <f>IF(B1&gt;J1,"MILEAGE ALLOWANCE"," ")</f>
        <v xml:space="preserve"> </v>
      </c>
      <c r="D1" s="395" t="str">
        <f>IF(J1&gt;=B1,"CABSMART                                                                          MOST TAX EFFICIENT OPTION IS  &gt; &gt; &gt; &gt;","CABSMART                                                                            &lt; &lt; &lt; &lt;  MOST TAX EFFICIENT OPTION IS")</f>
        <v>CABSMART                                                                          MOST TAX EFFICIENT OPTION IS  &gt; &gt; &gt; &gt;</v>
      </c>
      <c r="E1" s="396"/>
      <c r="F1" s="396"/>
      <c r="G1" s="396"/>
      <c r="H1" s="397"/>
      <c r="I1" s="21" t="str">
        <f>IF(J1&gt;=B1,"VEHICLE EXPENSES"," ")</f>
        <v>VEHICLE EXPENSES</v>
      </c>
      <c r="J1" s="253">
        <f>ROUND(PurchasesMar21!$I$2+'Fixed Assets'!I1-'Fixed Assets'!I15-'Fixed Assets'!I44+'Fixed Assets'!J1-'Fixed Assets'!J15-'Fixed Assets'!J44+'Fixed Assets'!P1-'Fixed Assets'!P15-'Fixed Assets'!P44-'Fixed Assets'!Q1+'Fixed Assets'!Q15+'Fixed Assets'!Q44,0)</f>
        <v>0</v>
      </c>
      <c r="K1" s="400" t="s">
        <v>42</v>
      </c>
      <c r="L1" s="401"/>
      <c r="M1" s="401"/>
      <c r="N1" s="401"/>
      <c r="O1" s="23"/>
    </row>
    <row r="2" spans="1:15" s="157" customFormat="1" ht="12" x14ac:dyDescent="0.2">
      <c r="A2" s="402" t="s">
        <v>19</v>
      </c>
      <c r="B2" s="154" t="s">
        <v>114</v>
      </c>
      <c r="C2" s="398">
        <f>Admin!B$5</f>
        <v>43951</v>
      </c>
      <c r="D2" s="398">
        <f>Admin!B$6</f>
        <v>43982</v>
      </c>
      <c r="E2" s="398">
        <f>Admin!B$7</f>
        <v>44012</v>
      </c>
      <c r="F2" s="398">
        <f>Admin!B$8</f>
        <v>44043</v>
      </c>
      <c r="G2" s="398">
        <f>Admin!B$9</f>
        <v>44074</v>
      </c>
      <c r="H2" s="398">
        <f>Admin!B$10</f>
        <v>44104</v>
      </c>
      <c r="I2" s="398">
        <f>Admin!B$11</f>
        <v>44135</v>
      </c>
      <c r="J2" s="398">
        <f>Admin!B$12</f>
        <v>44165</v>
      </c>
      <c r="K2" s="398">
        <f>Admin!B$13</f>
        <v>44196</v>
      </c>
      <c r="L2" s="398">
        <f>Admin!B$14</f>
        <v>44227</v>
      </c>
      <c r="M2" s="398" t="str">
        <f>Admin!B$15</f>
        <v>29/02/2021</v>
      </c>
      <c r="N2" s="398">
        <f>Admin!B$16</f>
        <v>44286</v>
      </c>
      <c r="O2" s="155"/>
    </row>
    <row r="3" spans="1:15" s="159" customFormat="1" ht="12" x14ac:dyDescent="0.2">
      <c r="A3" s="399"/>
      <c r="B3" s="156" t="str">
        <f>Admin!G$2</f>
        <v>2020-21</v>
      </c>
      <c r="C3" s="399"/>
      <c r="D3" s="399"/>
      <c r="E3" s="399"/>
      <c r="F3" s="399"/>
      <c r="G3" s="399"/>
      <c r="H3" s="399"/>
      <c r="I3" s="399"/>
      <c r="J3" s="399"/>
      <c r="K3" s="399"/>
      <c r="L3" s="399"/>
      <c r="M3" s="399"/>
      <c r="N3" s="399"/>
      <c r="O3" s="158"/>
    </row>
    <row r="4" spans="1:15" s="8" customFormat="1" ht="13.5" customHeight="1" x14ac:dyDescent="0.2">
      <c r="A4" s="28" t="str">
        <f>IF(B4=" "," ","Purchase analysis errors")</f>
        <v xml:space="preserve"> </v>
      </c>
      <c r="B4" s="88" t="str">
        <f>IF((SUM(C4:N4)&gt;1),ROUND(SUM(C4:N4),0)," ")</f>
        <v xml:space="preserve"> </v>
      </c>
      <c r="C4" s="88" t="str">
        <f>IF((PurchasesApr20!$D$1&lt;&gt;0),PurchasesApr20!$D$1," ")</f>
        <v xml:space="preserve"> </v>
      </c>
      <c r="D4" s="88" t="str">
        <f>IF((PurchasesMay20!$D$1&lt;&gt;0),PurchasesMay20!$D$1," ")</f>
        <v xml:space="preserve"> </v>
      </c>
      <c r="E4" s="88" t="str">
        <f>IF((PurchasesJun20!$D$1&lt;&gt;0),PurchasesJun20!$D$1," ")</f>
        <v xml:space="preserve"> </v>
      </c>
      <c r="F4" s="88" t="str">
        <f>IF((PurchasesJul20!$D$1&lt;&gt;0),PurchasesJul20!$D$1," ")</f>
        <v xml:space="preserve"> </v>
      </c>
      <c r="G4" s="88" t="str">
        <f>IF((PurchasesAug20!$D$1&lt;&gt;0),PurchasesAug20!$D$1," ")</f>
        <v xml:space="preserve"> </v>
      </c>
      <c r="H4" s="88" t="str">
        <f>IF((PurchasesSep20!$D$1&lt;&gt;0),PurchasesSep20!$D$1," ")</f>
        <v xml:space="preserve"> </v>
      </c>
      <c r="I4" s="88" t="str">
        <f>IF((PurchasesOct20!$D$1&lt;&gt;0),PurchasesOct20!$D$1," ")</f>
        <v xml:space="preserve"> </v>
      </c>
      <c r="J4" s="88" t="str">
        <f>IF((PurchasesNov20!$D$1&lt;&gt;0),PurchasesNov20!$D$1," ")</f>
        <v xml:space="preserve"> </v>
      </c>
      <c r="K4" s="88" t="str">
        <f>IF((PurchasesDec20!$D$1&lt;&gt;0),PurchasesDec20!$D$1," ")</f>
        <v xml:space="preserve"> </v>
      </c>
      <c r="L4" s="88" t="str">
        <f>IF((PurchasesJan21!$D$1&lt;&gt;0),PurchasesJan21!$D$1," ")</f>
        <v xml:space="preserve"> </v>
      </c>
      <c r="M4" s="88" t="str">
        <f>IF((PurchasesFeb21!$D$1&lt;&gt;0),PurchasesFeb21!$D$1," ")</f>
        <v xml:space="preserve"> </v>
      </c>
      <c r="N4" s="88" t="str">
        <f>IF((PurchasesMar21!$D$1&lt;&gt;0),PurchasesMar21!$D$1," ")</f>
        <v xml:space="preserve"> </v>
      </c>
      <c r="O4" s="87"/>
    </row>
    <row r="5" spans="1:15" x14ac:dyDescent="0.2">
      <c r="A5" s="84" t="s">
        <v>1</v>
      </c>
      <c r="B5" s="115">
        <f>ROUNDDOWN(SUM(C5:N5),0)</f>
        <v>0</v>
      </c>
      <c r="C5" s="115">
        <f>SalesApr20!$E$1</f>
        <v>0</v>
      </c>
      <c r="D5" s="115">
        <f>SalesMay20!$E$1</f>
        <v>0</v>
      </c>
      <c r="E5" s="115">
        <f>SalesJun20!$E$1</f>
        <v>0</v>
      </c>
      <c r="F5" s="115">
        <f>SalesJul20!$E$1</f>
        <v>0</v>
      </c>
      <c r="G5" s="115">
        <f>SalesAug20!$E$1</f>
        <v>0</v>
      </c>
      <c r="H5" s="115">
        <f>SalesSep20!$E$1</f>
        <v>0</v>
      </c>
      <c r="I5" s="115">
        <f>SalesOct20!$E$1</f>
        <v>0</v>
      </c>
      <c r="J5" s="115">
        <f>SalesNov20!$E$1</f>
        <v>0</v>
      </c>
      <c r="K5" s="115">
        <f>SalesDec20!$E$1</f>
        <v>0</v>
      </c>
      <c r="L5" s="115">
        <f>SalesJan21!$E$1</f>
        <v>0</v>
      </c>
      <c r="M5" s="115">
        <f>SalesFeb21!$E$1</f>
        <v>0</v>
      </c>
      <c r="N5" s="115">
        <f>SalesMar21!$E$1</f>
        <v>0</v>
      </c>
      <c r="O5" s="23"/>
    </row>
    <row r="6" spans="1:15" x14ac:dyDescent="0.2">
      <c r="A6" s="28" t="s">
        <v>28</v>
      </c>
      <c r="B6" s="2">
        <f>ROUNDUP(SUM(C6:N6),0)</f>
        <v>0</v>
      </c>
      <c r="C6" s="2">
        <f>IF((C1="mileage allowance"),0,(PurchasesApr20!$G$1))</f>
        <v>0</v>
      </c>
      <c r="D6" s="2">
        <f>IF((C1="mileage allowance"),0,(PurchasesMay20!$G$1))</f>
        <v>0</v>
      </c>
      <c r="E6" s="2">
        <f>IF((C1="mileage allowance"),0,(PurchasesJun20!$G$1))</f>
        <v>0</v>
      </c>
      <c r="F6" s="2">
        <f>IF((C1="mileage allowance"),0,(PurchasesJul20!$G$1))</f>
        <v>0</v>
      </c>
      <c r="G6" s="2">
        <f>IF((C1="mileage allowance"),0,(PurchasesAug20!$G$1))</f>
        <v>0</v>
      </c>
      <c r="H6" s="2">
        <f>IF((C1="mileage allowance"),0,(PurchasesSep20!$G$1))</f>
        <v>0</v>
      </c>
      <c r="I6" s="2">
        <f>IF((C1="mileage allowance"),0,(PurchasesOct20!$G$1))</f>
        <v>0</v>
      </c>
      <c r="J6" s="2">
        <f>IF((C1="mileage allowance"),0,(PurchasesNov20!$G$1))</f>
        <v>0</v>
      </c>
      <c r="K6" s="2">
        <f>IF((C1="mileage allowance"),0,(PurchasesDec20!$G$1))</f>
        <v>0</v>
      </c>
      <c r="L6" s="2">
        <f>IF((C1="mileage allowance"),0,(PurchasesJan21!$G$1))</f>
        <v>0</v>
      </c>
      <c r="M6" s="2">
        <f>IF((C1="mileage allowance"),0,(PurchasesFeb21!$G$1))</f>
        <v>0</v>
      </c>
      <c r="N6" s="2">
        <f>IF((C1="mileage allowance"),0,(PurchasesMar21!$G$1))</f>
        <v>0</v>
      </c>
      <c r="O6" s="23"/>
    </row>
    <row r="7" spans="1:15" x14ac:dyDescent="0.2">
      <c r="A7" s="28" t="s">
        <v>29</v>
      </c>
      <c r="B7" s="2">
        <f>ROUNDUP(SUM(C7:N7),0)</f>
        <v>0</v>
      </c>
      <c r="C7" s="2">
        <f>IF((C1="mileage allowance"),0,(PurchasesApr20!$H$1))</f>
        <v>0</v>
      </c>
      <c r="D7" s="2">
        <f>IF((C1="mileage allowance"),0,(PurchasesMay20!$H$1))</f>
        <v>0</v>
      </c>
      <c r="E7" s="2">
        <f>IF((C1="mileage allowance"),0,(PurchasesJun20!$H$1))</f>
        <v>0</v>
      </c>
      <c r="F7" s="2">
        <f>IF((C1="mileage allowance"),0,(PurchasesJul20!$H$1))</f>
        <v>0</v>
      </c>
      <c r="G7" s="2">
        <f>IF((C1="mileage allowance"),0,(PurchasesAug20!$H$1))</f>
        <v>0</v>
      </c>
      <c r="H7" s="2">
        <f>IF((C1="mileage allowance"),0,(PurchasesSep20!$H$1))</f>
        <v>0</v>
      </c>
      <c r="I7" s="2">
        <f>IF((C1="mileage allowance"),0,(PurchasesOct20!$H$1))</f>
        <v>0</v>
      </c>
      <c r="J7" s="2">
        <f>IF((C1="mileage allowance"),0,(PurchasesNov20!$H$1))</f>
        <v>0</v>
      </c>
      <c r="K7" s="2">
        <f>IF((C1="mileage allowance"),0,(PurchasesDec20!$H$1))</f>
        <v>0</v>
      </c>
      <c r="L7" s="2">
        <f>IF((C1="mileage allowance"),0,(PurchasesJan21!$H$1))</f>
        <v>0</v>
      </c>
      <c r="M7" s="2">
        <f>IF((C1="mileage allowance"),0,(PurchasesFeb21!$H$1))</f>
        <v>0</v>
      </c>
      <c r="N7" s="2">
        <f>IF((C1="mileage allowance"),0,(PurchasesMar21!$H$1))</f>
        <v>0</v>
      </c>
      <c r="O7" s="23"/>
    </row>
    <row r="8" spans="1:15" x14ac:dyDescent="0.2">
      <c r="A8" s="28" t="s">
        <v>30</v>
      </c>
      <c r="B8" s="2">
        <f>ROUNDUP(SUM(C8:N8),0)</f>
        <v>0</v>
      </c>
      <c r="C8" s="2">
        <f>IF((C1="mileage allowance"),0,(PurchasesApr20!$I$1))</f>
        <v>0</v>
      </c>
      <c r="D8" s="2">
        <f>IF((C1="mileage allowance"),0,(PurchasesMay20!$I$1))</f>
        <v>0</v>
      </c>
      <c r="E8" s="2">
        <f>IF((C1="mileage allowance"),0,(PurchasesJun20!$I$1))</f>
        <v>0</v>
      </c>
      <c r="F8" s="2">
        <f>IF((C1="mileage allowance"),0,(PurchasesJul20!$I$1))</f>
        <v>0</v>
      </c>
      <c r="G8" s="2">
        <f>IF((C1="mileage allowance"),0,(PurchasesAug20!$I$1))</f>
        <v>0</v>
      </c>
      <c r="H8" s="2">
        <f>IF((C1="mileage allowance"),0,(PurchasesSep20!$I$1))</f>
        <v>0</v>
      </c>
      <c r="I8" s="2">
        <f>IF((C1="mileage allowance"),0,(PurchasesOct20!$I$1))</f>
        <v>0</v>
      </c>
      <c r="J8" s="2">
        <f>IF((C1="mileage allowance"),0,(PurchasesNov20!$I$1))</f>
        <v>0</v>
      </c>
      <c r="K8" s="2">
        <f>IF((C1="mileage allowance"),0,(PurchasesDec20!$I$1))</f>
        <v>0</v>
      </c>
      <c r="L8" s="2">
        <f>IF((C1="mileage allowance"),0,(PurchasesJan21!$I$1))</f>
        <v>0</v>
      </c>
      <c r="M8" s="2">
        <f>IF((C1="mileage allowance"),0,(PurchasesFeb21!$I$1))</f>
        <v>0</v>
      </c>
      <c r="N8" s="2">
        <f>IF((C1="mileage allowance"),0,(PurchasesMar21!$I$1))</f>
        <v>0</v>
      </c>
      <c r="O8" s="23"/>
    </row>
    <row r="9" spans="1:15" x14ac:dyDescent="0.2">
      <c r="A9" s="28" t="s">
        <v>31</v>
      </c>
      <c r="B9" s="2">
        <f>ROUNDUP(SUM(C9:N9),0)</f>
        <v>0</v>
      </c>
      <c r="C9" s="2">
        <f>IF((C1="mileage allowance"),0,(PurchasesApr20!$J$1))</f>
        <v>0</v>
      </c>
      <c r="D9" s="2">
        <f>IF((C1="mileage allowance"),0,(PurchasesMay20!$J$1))</f>
        <v>0</v>
      </c>
      <c r="E9" s="2">
        <f>IF((C1="mileage allowance"),0,(PurchasesJun20!$J$1))</f>
        <v>0</v>
      </c>
      <c r="F9" s="2">
        <f>IF((C1="mileage allowance"),0,(PurchasesJul20!$J$1))</f>
        <v>0</v>
      </c>
      <c r="G9" s="2">
        <f>IF((C1="mileage allowance"),0,(PurchasesAug20!$J$1))</f>
        <v>0</v>
      </c>
      <c r="H9" s="2">
        <f>IF((C1="mileage allowance"),0,(PurchasesSep20!$J$1))</f>
        <v>0</v>
      </c>
      <c r="I9" s="2">
        <f>IF((C1="mileage allowance"),0,(PurchasesOct20!$J$1))</f>
        <v>0</v>
      </c>
      <c r="J9" s="2">
        <f>IF((C1="mileage allowance"),0,(PurchasesNov20!$J$1))</f>
        <v>0</v>
      </c>
      <c r="K9" s="2">
        <f>IF((C1="mileage allowance"),0,(PurchasesDec20!$J$1))</f>
        <v>0</v>
      </c>
      <c r="L9" s="2">
        <f>IF((C1="mileage allowance"),0,(PurchasesJan21!$J$1))</f>
        <v>0</v>
      </c>
      <c r="M9" s="2">
        <f>IF((C1="mileage allowance"),0,(PurchasesFeb21!$J$1))</f>
        <v>0</v>
      </c>
      <c r="N9" s="2">
        <f>IF((C1="mileage allowance"),0,(PurchasesMar21!$J$1))</f>
        <v>0</v>
      </c>
      <c r="O9" s="23"/>
    </row>
    <row r="10" spans="1:15" x14ac:dyDescent="0.2">
      <c r="A10" s="85"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23"/>
    </row>
    <row r="11" spans="1:15" x14ac:dyDescent="0.2">
      <c r="A11" s="28" t="s">
        <v>27</v>
      </c>
      <c r="B11" s="9">
        <f>ROUNDUP(SUM(C11:N11),0)</f>
        <v>0</v>
      </c>
      <c r="C11" s="9">
        <f>IF((C1="mileage allowance"),(PurchasesApr20!$U$1),0)</f>
        <v>0</v>
      </c>
      <c r="D11" s="9">
        <f>IF((C1="mileage allowance"),(PurchasesMay20!$U$1),0)</f>
        <v>0</v>
      </c>
      <c r="E11" s="9">
        <f>IF((C1="mileage allowance"),(PurchasesJun20!$U$1),0)</f>
        <v>0</v>
      </c>
      <c r="F11" s="9">
        <f>IF((C1="mileage allowance"),(PurchasesJul20!$U$1),0)</f>
        <v>0</v>
      </c>
      <c r="G11" s="9">
        <f>IF((C1="mileage allowance"),(PurchasesAug20!$U$1),0)</f>
        <v>0</v>
      </c>
      <c r="H11" s="9">
        <f>IF((C1="mileage allowance"),(PurchasesSep20!$U$1),0)</f>
        <v>0</v>
      </c>
      <c r="I11" s="9">
        <f>IF((C1="mileage allowance"),(PurchasesOct20!$U$1),0)</f>
        <v>0</v>
      </c>
      <c r="J11" s="9">
        <f>IF((C1="mileage allowance"),(PurchasesNov20!$U$1),0)</f>
        <v>0</v>
      </c>
      <c r="K11" s="9">
        <f>IF((C1="mileage allowance"),(PurchasesDec20!$U$1),0)</f>
        <v>0</v>
      </c>
      <c r="L11" s="9">
        <f>IF((C1="mileage allowance"),(PurchasesJan21!$U$1),0)</f>
        <v>0</v>
      </c>
      <c r="M11" s="9">
        <f>IF((C1="mileage allowance"),(PurchasesFeb21!$U$1),0)</f>
        <v>0</v>
      </c>
      <c r="N11" s="9">
        <f>IF((C1="mileage allowance"),(PurchasesMar21!$U$1),0)</f>
        <v>0</v>
      </c>
      <c r="O11" s="23"/>
    </row>
    <row r="12" spans="1:15" x14ac:dyDescent="0.2">
      <c r="A12" s="86" t="s">
        <v>32</v>
      </c>
      <c r="B12" s="115">
        <f>ROUNDUP(SUM(B6:B11),0)</f>
        <v>0</v>
      </c>
      <c r="C12" s="115">
        <f t="shared" ref="C12:N12" si="0">SUM(C6:C11)</f>
        <v>0</v>
      </c>
      <c r="D12" s="115">
        <f t="shared" si="0"/>
        <v>0</v>
      </c>
      <c r="E12" s="115">
        <f t="shared" si="0"/>
        <v>0</v>
      </c>
      <c r="F12" s="115">
        <f t="shared" si="0"/>
        <v>0</v>
      </c>
      <c r="G12" s="115">
        <f t="shared" si="0"/>
        <v>0</v>
      </c>
      <c r="H12" s="115">
        <f t="shared" si="0"/>
        <v>0</v>
      </c>
      <c r="I12" s="115">
        <f t="shared" si="0"/>
        <v>0</v>
      </c>
      <c r="J12" s="115">
        <f t="shared" si="0"/>
        <v>0</v>
      </c>
      <c r="K12" s="115">
        <f t="shared" si="0"/>
        <v>0</v>
      </c>
      <c r="L12" s="115">
        <f t="shared" si="0"/>
        <v>0</v>
      </c>
      <c r="M12" s="115">
        <f t="shared" si="0"/>
        <v>0</v>
      </c>
      <c r="N12" s="115">
        <f t="shared" si="0"/>
        <v>0</v>
      </c>
      <c r="O12" s="23"/>
    </row>
    <row r="13" spans="1:15" x14ac:dyDescent="0.2">
      <c r="A13" s="86" t="s">
        <v>2</v>
      </c>
      <c r="B13" s="115">
        <f>ROUNDUP(B5-B12,0)</f>
        <v>0</v>
      </c>
      <c r="C13" s="115">
        <f t="shared" ref="C13:N13" si="1">C5-C12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5">
        <f t="shared" si="1"/>
        <v>0</v>
      </c>
      <c r="N13" s="115">
        <f t="shared" si="1"/>
        <v>0</v>
      </c>
      <c r="O13" s="23"/>
    </row>
    <row r="14" spans="1:15" x14ac:dyDescent="0.2">
      <c r="A14" s="28" t="s">
        <v>9</v>
      </c>
      <c r="B14" s="2">
        <f t="shared" ref="B14:B21" si="2">ROUNDUP(SUM(C14:N14),0)</f>
        <v>0</v>
      </c>
      <c r="C14" s="2">
        <f>PurchasesApr20!$K$1</f>
        <v>0</v>
      </c>
      <c r="D14" s="2">
        <f>PurchasesMay20!$K$1</f>
        <v>0</v>
      </c>
      <c r="E14" s="2">
        <f>PurchasesJun20!$K$1</f>
        <v>0</v>
      </c>
      <c r="F14" s="2">
        <f>PurchasesJul20!$K$1</f>
        <v>0</v>
      </c>
      <c r="G14" s="2">
        <f>PurchasesAug20!$K$1</f>
        <v>0</v>
      </c>
      <c r="H14" s="2">
        <f>PurchasesSep20!$K$1</f>
        <v>0</v>
      </c>
      <c r="I14" s="2">
        <f>PurchasesOct20!$K$1</f>
        <v>0</v>
      </c>
      <c r="J14" s="2">
        <f>PurchasesNov20!$K$1</f>
        <v>0</v>
      </c>
      <c r="K14" s="2">
        <f>PurchasesDec20!$K$1</f>
        <v>0</v>
      </c>
      <c r="L14" s="2">
        <f>PurchasesJan21!$K$1</f>
        <v>0</v>
      </c>
      <c r="M14" s="2">
        <f>PurchasesFeb21!$K$1</f>
        <v>0</v>
      </c>
      <c r="N14" s="2">
        <f>PurchasesMar21!$K$1</f>
        <v>0</v>
      </c>
      <c r="O14" s="23"/>
    </row>
    <row r="15" spans="1:15" x14ac:dyDescent="0.2">
      <c r="A15" s="28" t="s">
        <v>10</v>
      </c>
      <c r="B15" s="2">
        <f t="shared" si="2"/>
        <v>0</v>
      </c>
      <c r="C15" s="2">
        <f>PurchasesApr20!$L$1</f>
        <v>0</v>
      </c>
      <c r="D15" s="2">
        <f>PurchasesMay20!$L$1</f>
        <v>0</v>
      </c>
      <c r="E15" s="2">
        <f>PurchasesJun20!$L$1</f>
        <v>0</v>
      </c>
      <c r="F15" s="2">
        <f>PurchasesJul20!$L$1</f>
        <v>0</v>
      </c>
      <c r="G15" s="2">
        <f>PurchasesAug20!$L$1</f>
        <v>0</v>
      </c>
      <c r="H15" s="2">
        <f>PurchasesSep20!$L$1</f>
        <v>0</v>
      </c>
      <c r="I15" s="2">
        <f>PurchasesOct20!$L$1</f>
        <v>0</v>
      </c>
      <c r="J15" s="2">
        <f>PurchasesNov20!$L$1</f>
        <v>0</v>
      </c>
      <c r="K15" s="2">
        <f>PurchasesDec20!$L$1</f>
        <v>0</v>
      </c>
      <c r="L15" s="2">
        <f>PurchasesJan21!$L$1</f>
        <v>0</v>
      </c>
      <c r="M15" s="2">
        <f>PurchasesFeb21!$L$1</f>
        <v>0</v>
      </c>
      <c r="N15" s="2">
        <f>PurchasesMar21!$L$1</f>
        <v>0</v>
      </c>
      <c r="O15" s="23"/>
    </row>
    <row r="16" spans="1:15" x14ac:dyDescent="0.2">
      <c r="A16" s="28" t="s">
        <v>11</v>
      </c>
      <c r="B16" s="2">
        <f t="shared" si="2"/>
        <v>0</v>
      </c>
      <c r="C16" s="2">
        <f>PurchasesApr20!$M$1</f>
        <v>0</v>
      </c>
      <c r="D16" s="2">
        <f>PurchasesMay20!$M$1</f>
        <v>0</v>
      </c>
      <c r="E16" s="2">
        <f>PurchasesJun20!$M$1</f>
        <v>0</v>
      </c>
      <c r="F16" s="2">
        <f>PurchasesJul20!$M$1</f>
        <v>0</v>
      </c>
      <c r="G16" s="2">
        <f>PurchasesAug20!$M$1</f>
        <v>0</v>
      </c>
      <c r="H16" s="2">
        <f>PurchasesSep20!$M$1</f>
        <v>0</v>
      </c>
      <c r="I16" s="2">
        <f>PurchasesOct20!$M$1</f>
        <v>0</v>
      </c>
      <c r="J16" s="2">
        <f>PurchasesNov20!$M$1</f>
        <v>0</v>
      </c>
      <c r="K16" s="2">
        <f>PurchasesDec20!$M$1</f>
        <v>0</v>
      </c>
      <c r="L16" s="2">
        <f>PurchasesJan21!$M$1</f>
        <v>0</v>
      </c>
      <c r="M16" s="2">
        <f>PurchasesFeb21!$M$1</f>
        <v>0</v>
      </c>
      <c r="N16" s="2">
        <f>PurchasesMar21!$M$1</f>
        <v>0</v>
      </c>
      <c r="O16" s="23"/>
    </row>
    <row r="17" spans="1:15" x14ac:dyDescent="0.2">
      <c r="A17" s="28" t="s">
        <v>3</v>
      </c>
      <c r="B17" s="2">
        <f t="shared" si="2"/>
        <v>0</v>
      </c>
      <c r="C17" s="2">
        <f>PurchasesApr20!$N$1</f>
        <v>0</v>
      </c>
      <c r="D17" s="2">
        <f>PurchasesMay20!$N$1</f>
        <v>0</v>
      </c>
      <c r="E17" s="2">
        <f>PurchasesJun20!$N$1</f>
        <v>0</v>
      </c>
      <c r="F17" s="2">
        <f>PurchasesJul20!$N$1</f>
        <v>0</v>
      </c>
      <c r="G17" s="2">
        <f>PurchasesAug20!$N$1</f>
        <v>0</v>
      </c>
      <c r="H17" s="2">
        <f>PurchasesSep20!$N$1</f>
        <v>0</v>
      </c>
      <c r="I17" s="2">
        <f>PurchasesOct20!$N$1</f>
        <v>0</v>
      </c>
      <c r="J17" s="2">
        <f>PurchasesNov20!$N$1</f>
        <v>0</v>
      </c>
      <c r="K17" s="2">
        <f>PurchasesDec20!$N$1</f>
        <v>0</v>
      </c>
      <c r="L17" s="2">
        <f>PurchasesJan21!$N$1</f>
        <v>0</v>
      </c>
      <c r="M17" s="2">
        <f>PurchasesFeb21!$N$1</f>
        <v>0</v>
      </c>
      <c r="N17" s="2">
        <f>PurchasesMar21!$N$1</f>
        <v>0</v>
      </c>
      <c r="O17" s="23"/>
    </row>
    <row r="18" spans="1:15" x14ac:dyDescent="0.2">
      <c r="A18" s="28" t="s">
        <v>4</v>
      </c>
      <c r="B18" s="2">
        <f t="shared" si="2"/>
        <v>0</v>
      </c>
      <c r="C18" s="2">
        <f>PurchasesApr20!$O$1</f>
        <v>0</v>
      </c>
      <c r="D18" s="2">
        <f>PurchasesMay20!$O$1</f>
        <v>0</v>
      </c>
      <c r="E18" s="2">
        <f>PurchasesJun20!$O$1</f>
        <v>0</v>
      </c>
      <c r="F18" s="2">
        <f>PurchasesJul20!$O$1</f>
        <v>0</v>
      </c>
      <c r="G18" s="2">
        <f>PurchasesAug20!$O$1</f>
        <v>0</v>
      </c>
      <c r="H18" s="2">
        <f>PurchasesSep20!$O$1</f>
        <v>0</v>
      </c>
      <c r="I18" s="2">
        <f>PurchasesOct20!$O$1</f>
        <v>0</v>
      </c>
      <c r="J18" s="2">
        <f>PurchasesNov20!$O$1</f>
        <v>0</v>
      </c>
      <c r="K18" s="2">
        <f>PurchasesDec20!$O$1</f>
        <v>0</v>
      </c>
      <c r="L18" s="2">
        <f>PurchasesJan21!$O$1</f>
        <v>0</v>
      </c>
      <c r="M18" s="2">
        <f>PurchasesFeb21!$O$1</f>
        <v>0</v>
      </c>
      <c r="N18" s="2">
        <f>PurchasesMar21!$O$1</f>
        <v>0</v>
      </c>
      <c r="O18" s="23"/>
    </row>
    <row r="19" spans="1:15" x14ac:dyDescent="0.2">
      <c r="A19" s="28" t="s">
        <v>0</v>
      </c>
      <c r="B19" s="2">
        <f t="shared" si="2"/>
        <v>0</v>
      </c>
      <c r="C19" s="2">
        <f>PurchasesApr20!$P$1</f>
        <v>0</v>
      </c>
      <c r="D19" s="2">
        <f>PurchasesMay20!$P$1</f>
        <v>0</v>
      </c>
      <c r="E19" s="2">
        <f>PurchasesJun20!$P$1</f>
        <v>0</v>
      </c>
      <c r="F19" s="2">
        <f>PurchasesJul20!$P$1</f>
        <v>0</v>
      </c>
      <c r="G19" s="2">
        <f>PurchasesAug20!$P$1</f>
        <v>0</v>
      </c>
      <c r="H19" s="2">
        <f>PurchasesSep20!$P$1</f>
        <v>0</v>
      </c>
      <c r="I19" s="2">
        <f>PurchasesOct20!$P$1</f>
        <v>0</v>
      </c>
      <c r="J19" s="2">
        <f>PurchasesNov20!$P$1</f>
        <v>0</v>
      </c>
      <c r="K19" s="2">
        <f>PurchasesDec20!$P$1</f>
        <v>0</v>
      </c>
      <c r="L19" s="2">
        <f>PurchasesJan21!$P$1</f>
        <v>0</v>
      </c>
      <c r="M19" s="2">
        <f>PurchasesFeb21!$P$1</f>
        <v>0</v>
      </c>
      <c r="N19" s="2">
        <f>PurchasesMar21!$P$1</f>
        <v>0</v>
      </c>
      <c r="O19" s="23"/>
    </row>
    <row r="20" spans="1:15" x14ac:dyDescent="0.2">
      <c r="A20" s="28" t="s">
        <v>5</v>
      </c>
      <c r="B20" s="2">
        <f t="shared" si="2"/>
        <v>0</v>
      </c>
      <c r="C20" s="2">
        <f>PurchasesApr20!$Q$1</f>
        <v>0</v>
      </c>
      <c r="D20" s="2">
        <f>PurchasesMay20!$Q$1</f>
        <v>0</v>
      </c>
      <c r="E20" s="2">
        <f>PurchasesJun20!$Q$1</f>
        <v>0</v>
      </c>
      <c r="F20" s="2">
        <f>PurchasesJul20!$Q$1</f>
        <v>0</v>
      </c>
      <c r="G20" s="2">
        <f>PurchasesAug20!$Q$1</f>
        <v>0</v>
      </c>
      <c r="H20" s="2">
        <f>PurchasesSep20!$Q$1</f>
        <v>0</v>
      </c>
      <c r="I20" s="2">
        <f>PurchasesOct20!$Q$1</f>
        <v>0</v>
      </c>
      <c r="J20" s="2">
        <f>PurchasesNov20!$Q$1</f>
        <v>0</v>
      </c>
      <c r="K20" s="2">
        <f>PurchasesDec20!$Q$1</f>
        <v>0</v>
      </c>
      <c r="L20" s="2">
        <f>PurchasesJan21!$Q$1</f>
        <v>0</v>
      </c>
      <c r="M20" s="2">
        <f>PurchasesFeb21!$Q$1</f>
        <v>0</v>
      </c>
      <c r="N20" s="2">
        <f>PurchasesMar21!$Q$1</f>
        <v>0</v>
      </c>
      <c r="O20" s="23"/>
    </row>
    <row r="21" spans="1:15" x14ac:dyDescent="0.2">
      <c r="A21" s="28" t="s">
        <v>6</v>
      </c>
      <c r="B21" s="2">
        <f t="shared" si="2"/>
        <v>0</v>
      </c>
      <c r="C21" s="2">
        <f>PurchasesApr20!$R$1</f>
        <v>0</v>
      </c>
      <c r="D21" s="2">
        <f>PurchasesMay20!$R$1</f>
        <v>0</v>
      </c>
      <c r="E21" s="2">
        <f>PurchasesJun20!$R$1</f>
        <v>0</v>
      </c>
      <c r="F21" s="2">
        <f>PurchasesJul20!$R$1</f>
        <v>0</v>
      </c>
      <c r="G21" s="2">
        <f>PurchasesAug20!$R$1</f>
        <v>0</v>
      </c>
      <c r="H21" s="2">
        <f>PurchasesSep20!$R$1</f>
        <v>0</v>
      </c>
      <c r="I21" s="2">
        <f>PurchasesOct20!$R$1</f>
        <v>0</v>
      </c>
      <c r="J21" s="2">
        <f>PurchasesNov20!$R$1</f>
        <v>0</v>
      </c>
      <c r="K21" s="2">
        <f>PurchasesDec20!$R$1</f>
        <v>0</v>
      </c>
      <c r="L21" s="2">
        <f>PurchasesJan21!$R$1</f>
        <v>0</v>
      </c>
      <c r="M21" s="2">
        <f>PurchasesFeb21!$R$1</f>
        <v>0</v>
      </c>
      <c r="N21" s="2">
        <f>PurchasesMar21!$R$1</f>
        <v>0</v>
      </c>
      <c r="O21" s="23"/>
    </row>
    <row r="22" spans="1:15" x14ac:dyDescent="0.2">
      <c r="A22" s="86" t="s">
        <v>7</v>
      </c>
      <c r="B22" s="115">
        <f>ROUNDUP(SUM(B14:B21),0)</f>
        <v>0</v>
      </c>
      <c r="C22" s="115">
        <f t="shared" ref="C22:N22" si="3">SUM(C14:C21)</f>
        <v>0</v>
      </c>
      <c r="D22" s="115">
        <f t="shared" si="3"/>
        <v>0</v>
      </c>
      <c r="E22" s="115">
        <f t="shared" si="3"/>
        <v>0</v>
      </c>
      <c r="F22" s="115">
        <f t="shared" si="3"/>
        <v>0</v>
      </c>
      <c r="G22" s="115">
        <f t="shared" si="3"/>
        <v>0</v>
      </c>
      <c r="H22" s="115">
        <f t="shared" si="3"/>
        <v>0</v>
      </c>
      <c r="I22" s="115">
        <f t="shared" si="3"/>
        <v>0</v>
      </c>
      <c r="J22" s="115">
        <f t="shared" si="3"/>
        <v>0</v>
      </c>
      <c r="K22" s="115">
        <f t="shared" si="3"/>
        <v>0</v>
      </c>
      <c r="L22" s="115">
        <f t="shared" si="3"/>
        <v>0</v>
      </c>
      <c r="M22" s="115">
        <f t="shared" si="3"/>
        <v>0</v>
      </c>
      <c r="N22" s="115">
        <f t="shared" si="3"/>
        <v>0</v>
      </c>
      <c r="O22" s="23"/>
    </row>
    <row r="23" spans="1:15" x14ac:dyDescent="0.2">
      <c r="A23" s="86" t="s">
        <v>8</v>
      </c>
      <c r="B23" s="115">
        <f>ROUNDDOWN((B13-B22),0)</f>
        <v>0</v>
      </c>
      <c r="C23" s="115">
        <f t="shared" ref="C23:N23" si="4">C13-C22</f>
        <v>0</v>
      </c>
      <c r="D23" s="115">
        <f t="shared" si="4"/>
        <v>0</v>
      </c>
      <c r="E23" s="115">
        <f t="shared" si="4"/>
        <v>0</v>
      </c>
      <c r="F23" s="115">
        <f t="shared" si="4"/>
        <v>0</v>
      </c>
      <c r="G23" s="115">
        <f t="shared" si="4"/>
        <v>0</v>
      </c>
      <c r="H23" s="115">
        <f t="shared" si="4"/>
        <v>0</v>
      </c>
      <c r="I23" s="115">
        <f t="shared" si="4"/>
        <v>0</v>
      </c>
      <c r="J23" s="115">
        <f t="shared" si="4"/>
        <v>0</v>
      </c>
      <c r="K23" s="115">
        <f t="shared" si="4"/>
        <v>0</v>
      </c>
      <c r="L23" s="115">
        <f t="shared" si="4"/>
        <v>0</v>
      </c>
      <c r="M23" s="115">
        <f t="shared" si="4"/>
        <v>0</v>
      </c>
      <c r="N23" s="115">
        <f t="shared" si="4"/>
        <v>0</v>
      </c>
      <c r="O23" s="23"/>
    </row>
    <row r="24" spans="1:15" x14ac:dyDescent="0.2">
      <c r="A24" s="50" t="s">
        <v>25</v>
      </c>
      <c r="B24" s="114">
        <f>ROUNDDOWN(SUM(C24:N24),0)</f>
        <v>0</v>
      </c>
      <c r="C24" s="114">
        <f>SalesApr20!$F$1</f>
        <v>0</v>
      </c>
      <c r="D24" s="114">
        <f>SalesMay20!$F$1</f>
        <v>0</v>
      </c>
      <c r="E24" s="114">
        <f>SalesJun20!$F$1</f>
        <v>0</v>
      </c>
      <c r="F24" s="114">
        <f>SalesJul20!$F$1</f>
        <v>0</v>
      </c>
      <c r="G24" s="114">
        <f>SalesAug20!$F$1</f>
        <v>0</v>
      </c>
      <c r="H24" s="114">
        <f>SalesSep20!$F$1</f>
        <v>0</v>
      </c>
      <c r="I24" s="114">
        <f>SalesOct20!$F$1</f>
        <v>0</v>
      </c>
      <c r="J24" s="114">
        <f>SalesNov20!$F$1</f>
        <v>0</v>
      </c>
      <c r="K24" s="114">
        <f>SalesDec20!$F$1</f>
        <v>0</v>
      </c>
      <c r="L24" s="114">
        <f>SalesJan21!$F$1</f>
        <v>0</v>
      </c>
      <c r="M24" s="114">
        <f>SalesFeb21!$F$1</f>
        <v>0</v>
      </c>
      <c r="N24" s="114">
        <f>SalesMar21!$F$1</f>
        <v>0</v>
      </c>
      <c r="O24" s="23"/>
    </row>
    <row r="25" spans="1:15" s="12" customFormat="1" ht="7.5" customHeight="1" thickBot="1" x14ac:dyDescent="0.25">
      <c r="A25" s="72"/>
      <c r="B25" s="73"/>
      <c r="C25" s="73"/>
      <c r="D25" s="73"/>
      <c r="E25" s="73"/>
      <c r="F25" s="73"/>
      <c r="G25" s="73"/>
      <c r="H25" s="73"/>
      <c r="I25" s="73"/>
      <c r="J25" s="73"/>
      <c r="K25" s="73"/>
      <c r="L25" s="73"/>
      <c r="M25" s="73"/>
      <c r="N25" s="73"/>
      <c r="O25" s="71"/>
    </row>
    <row r="26" spans="1:15" s="12" customFormat="1" thickBot="1" x14ac:dyDescent="0.25">
      <c r="A26" s="74" t="s">
        <v>62</v>
      </c>
      <c r="B26" s="75"/>
      <c r="C26" s="76"/>
      <c r="D26" s="76"/>
      <c r="E26" s="76"/>
      <c r="F26" s="76"/>
      <c r="G26" s="76"/>
      <c r="H26" s="76"/>
      <c r="I26" s="76"/>
      <c r="J26" s="76"/>
      <c r="K26" s="76"/>
      <c r="L26" s="76"/>
      <c r="M26" s="76"/>
      <c r="N26" s="76"/>
      <c r="O26" s="77"/>
    </row>
    <row r="27" spans="1:15" s="12" customFormat="1" thickBot="1" x14ac:dyDescent="0.25">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row>
    <row r="28" spans="1:15" s="12" customFormat="1" ht="12" x14ac:dyDescent="0.2">
      <c r="A28" s="68" t="s">
        <v>66</v>
      </c>
      <c r="B28" s="105">
        <f t="shared" si="5"/>
        <v>0</v>
      </c>
      <c r="C28" s="59"/>
      <c r="D28" s="59"/>
      <c r="E28" s="59"/>
      <c r="F28" s="59"/>
      <c r="G28" s="59"/>
      <c r="H28" s="59"/>
      <c r="I28" s="59"/>
      <c r="J28" s="59"/>
      <c r="K28" s="59"/>
      <c r="L28" s="59"/>
      <c r="M28" s="59"/>
      <c r="N28" s="59"/>
      <c r="O28" s="78"/>
    </row>
    <row r="29" spans="1:15" s="12" customFormat="1" ht="12" x14ac:dyDescent="0.2">
      <c r="A29" s="68" t="s">
        <v>67</v>
      </c>
      <c r="B29" s="105">
        <f t="shared" si="5"/>
        <v>0</v>
      </c>
      <c r="C29" s="59"/>
      <c r="D29" s="59"/>
      <c r="E29" s="59"/>
      <c r="F29" s="59"/>
      <c r="G29" s="59"/>
      <c r="H29" s="59"/>
      <c r="I29" s="59"/>
      <c r="J29" s="59"/>
      <c r="K29" s="59"/>
      <c r="L29" s="59"/>
      <c r="M29" s="59"/>
      <c r="N29" s="59"/>
      <c r="O29" s="78"/>
    </row>
    <row r="30" spans="1:15" s="12" customFormat="1" ht="12" x14ac:dyDescent="0.2">
      <c r="A30" s="68" t="s">
        <v>68</v>
      </c>
      <c r="B30" s="105">
        <f t="shared" si="5"/>
        <v>0</v>
      </c>
      <c r="C30" s="59"/>
      <c r="D30" s="59"/>
      <c r="E30" s="59"/>
      <c r="F30" s="59"/>
      <c r="G30" s="59"/>
      <c r="H30" s="59"/>
      <c r="I30" s="59"/>
      <c r="J30" s="59"/>
      <c r="K30" s="59"/>
      <c r="L30" s="59"/>
      <c r="M30" s="59"/>
      <c r="N30" s="59"/>
      <c r="O30" s="78"/>
    </row>
    <row r="31" spans="1:15" s="12" customFormat="1" ht="12" x14ac:dyDescent="0.2">
      <c r="A31" s="68" t="s">
        <v>69</v>
      </c>
      <c r="B31" s="105">
        <f t="shared" si="5"/>
        <v>0</v>
      </c>
      <c r="C31" s="59"/>
      <c r="D31" s="59"/>
      <c r="E31" s="59"/>
      <c r="F31" s="59"/>
      <c r="G31" s="59"/>
      <c r="H31" s="59"/>
      <c r="I31" s="59"/>
      <c r="J31" s="59"/>
      <c r="K31" s="59"/>
      <c r="L31" s="59"/>
      <c r="M31" s="59"/>
      <c r="N31" s="59"/>
      <c r="O31" s="78"/>
    </row>
    <row r="32" spans="1:15" s="12" customFormat="1" thickBot="1" x14ac:dyDescent="0.25">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row>
    <row r="33" spans="1:15" s="12" customFormat="1" thickBot="1" x14ac:dyDescent="0.25">
      <c r="A33" s="79" t="s">
        <v>64</v>
      </c>
      <c r="B33" s="80">
        <f t="shared" si="5"/>
        <v>0</v>
      </c>
      <c r="C33" s="81">
        <f>C27-SUM(C28:C31)-C32</f>
        <v>0</v>
      </c>
      <c r="D33" s="81">
        <f t="shared" ref="D33:N33" si="6">D27-SUM(D28:D31)-D32</f>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row>
    <row r="34" spans="1:15" s="12" customFormat="1" ht="6" customHeight="1" thickBot="1" x14ac:dyDescent="0.25">
      <c r="A34" s="72"/>
      <c r="B34" s="82"/>
      <c r="C34" s="83"/>
      <c r="D34" s="83"/>
      <c r="E34" s="83"/>
      <c r="F34" s="83"/>
      <c r="G34" s="83"/>
      <c r="H34" s="83"/>
      <c r="I34" s="83"/>
      <c r="J34" s="83"/>
      <c r="K34" s="83"/>
      <c r="L34" s="83"/>
      <c r="M34" s="83"/>
      <c r="N34" s="83"/>
      <c r="O34" s="71"/>
    </row>
    <row r="35" spans="1:15" s="6" customFormat="1" x14ac:dyDescent="0.2">
      <c r="B35" s="7"/>
      <c r="C35" s="7"/>
      <c r="D35" s="7"/>
      <c r="E35" s="7"/>
      <c r="F35" s="7"/>
      <c r="G35" s="7"/>
      <c r="H35" s="7"/>
      <c r="I35" s="7"/>
      <c r="J35" s="7"/>
      <c r="K35" s="7"/>
      <c r="L35" s="7"/>
      <c r="M35" s="7"/>
      <c r="N35" s="7"/>
      <c r="O35" s="7"/>
    </row>
  </sheetData>
  <mergeCells count="15">
    <mergeCell ref="A2:A3"/>
    <mergeCell ref="E2:E3"/>
    <mergeCell ref="D2:D3"/>
    <mergeCell ref="C2:C3"/>
    <mergeCell ref="H2:H3"/>
    <mergeCell ref="G2:G3"/>
    <mergeCell ref="D1:H1"/>
    <mergeCell ref="N2:N3"/>
    <mergeCell ref="M2:M3"/>
    <mergeCell ref="L2:L3"/>
    <mergeCell ref="K2:K3"/>
    <mergeCell ref="K1:N1"/>
    <mergeCell ref="F2:F3"/>
    <mergeCell ref="J2:J3"/>
    <mergeCell ref="I2:I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6" sqref="A6:C6"/>
    </sheetView>
  </sheetViews>
  <sheetFormatPr defaultRowHeight="12" x14ac:dyDescent="0.2"/>
  <cols>
    <col min="1" max="1" width="8.42578125" style="17" customWidth="1"/>
    <col min="2" max="2" width="26.85546875" style="12" customWidth="1"/>
    <col min="3" max="3" width="11.7109375" style="12" customWidth="1"/>
    <col min="4" max="4" width="10.85546875" style="15" customWidth="1"/>
    <col min="5" max="5" width="1.28515625" style="15" customWidth="1"/>
    <col min="6" max="6" width="7" style="14" customWidth="1"/>
    <col min="7" max="7" width="1.28515625" style="18" customWidth="1"/>
    <col min="8" max="8" width="8.5703125" style="15" customWidth="1"/>
    <col min="9" max="9" width="8.7109375" style="10" bestFit="1" customWidth="1"/>
    <col min="10" max="10" width="9.140625" style="10"/>
    <col min="11" max="11" width="8.5703125" style="10" customWidth="1"/>
    <col min="12" max="12" width="1.28515625" style="18" customWidth="1"/>
    <col min="13" max="13" width="8.7109375" style="17" customWidth="1"/>
    <col min="14" max="14" width="8.7109375" style="15" customWidth="1"/>
    <col min="15" max="15" width="1.28515625" style="18" customWidth="1"/>
    <col min="16" max="17" width="8.7109375" style="10" customWidth="1"/>
    <col min="18" max="16384" width="9.140625" style="12"/>
  </cols>
  <sheetData>
    <row r="1" spans="1:17" s="11" customFormat="1" ht="13.5" customHeight="1" thickBot="1" x14ac:dyDescent="0.25">
      <c r="A1" s="403" t="s">
        <v>44</v>
      </c>
      <c r="B1" s="164" t="s">
        <v>116</v>
      </c>
      <c r="C1" s="165">
        <f>Admin!B17</f>
        <v>44291</v>
      </c>
      <c r="D1" s="166">
        <f>D33+D62</f>
        <v>0</v>
      </c>
      <c r="E1" s="431"/>
      <c r="F1" s="429" t="s">
        <v>41</v>
      </c>
      <c r="G1" s="427"/>
      <c r="H1" s="89">
        <f>H33+H62</f>
        <v>0</v>
      </c>
      <c r="I1" s="89">
        <f>I33+I62</f>
        <v>0</v>
      </c>
      <c r="J1" s="89">
        <f>J33+J62</f>
        <v>0</v>
      </c>
      <c r="K1" s="89">
        <f>K33+K62</f>
        <v>0</v>
      </c>
      <c r="L1" s="427"/>
      <c r="M1" s="423" t="s">
        <v>131</v>
      </c>
      <c r="N1" s="89">
        <f>N33+N62</f>
        <v>0</v>
      </c>
      <c r="O1" s="427"/>
      <c r="P1" s="89">
        <f>P33+P62</f>
        <v>0</v>
      </c>
      <c r="Q1" s="89">
        <f>Q33+Q62</f>
        <v>0</v>
      </c>
    </row>
    <row r="2" spans="1:17" ht="12" customHeight="1" x14ac:dyDescent="0.2">
      <c r="A2" s="404"/>
      <c r="B2" s="424" t="s">
        <v>34</v>
      </c>
      <c r="C2" s="426" t="s">
        <v>35</v>
      </c>
      <c r="D2" s="421" t="s">
        <v>36</v>
      </c>
      <c r="E2" s="432"/>
      <c r="F2" s="430"/>
      <c r="G2" s="428"/>
      <c r="H2" s="433" t="s">
        <v>115</v>
      </c>
      <c r="I2" s="421" t="s">
        <v>132</v>
      </c>
      <c r="J2" s="421" t="s">
        <v>37</v>
      </c>
      <c r="K2" s="433" t="s">
        <v>115</v>
      </c>
      <c r="L2" s="428"/>
      <c r="M2" s="404"/>
      <c r="N2" s="421" t="s">
        <v>38</v>
      </c>
      <c r="O2" s="428"/>
      <c r="P2" s="421" t="s">
        <v>39</v>
      </c>
      <c r="Q2" s="421" t="s">
        <v>40</v>
      </c>
    </row>
    <row r="3" spans="1:17" ht="24.75" customHeight="1" x14ac:dyDescent="0.2">
      <c r="A3" s="404"/>
      <c r="B3" s="425"/>
      <c r="C3" s="425"/>
      <c r="D3" s="422"/>
      <c r="E3" s="432"/>
      <c r="F3" s="430"/>
      <c r="G3" s="428"/>
      <c r="H3" s="434"/>
      <c r="I3" s="422"/>
      <c r="J3" s="422"/>
      <c r="K3" s="434"/>
      <c r="L3" s="428"/>
      <c r="M3" s="404"/>
      <c r="N3" s="422"/>
      <c r="O3" s="428"/>
      <c r="P3" s="422"/>
      <c r="Q3" s="422"/>
    </row>
    <row r="4" spans="1:17" s="13" customFormat="1" ht="12" customHeight="1" x14ac:dyDescent="0.2">
      <c r="A4" s="404"/>
      <c r="B4" s="425"/>
      <c r="C4" s="425"/>
      <c r="D4" s="422"/>
      <c r="E4" s="432"/>
      <c r="F4" s="430"/>
      <c r="G4" s="428"/>
      <c r="H4" s="160">
        <f>Admin!B$4</f>
        <v>43927</v>
      </c>
      <c r="I4" s="90">
        <f>Admin!G$4</f>
        <v>1</v>
      </c>
      <c r="J4" s="90">
        <f>Admin!G$5</f>
        <v>0.18</v>
      </c>
      <c r="K4" s="160">
        <f>Admin!B$17</f>
        <v>44291</v>
      </c>
      <c r="L4" s="428"/>
      <c r="M4" s="404"/>
      <c r="N4" s="422"/>
      <c r="O4" s="428"/>
      <c r="P4" s="422"/>
      <c r="Q4" s="422"/>
    </row>
    <row r="5" spans="1:17" s="16" customFormat="1" ht="12.75" customHeight="1" thickBot="1" x14ac:dyDescent="0.25">
      <c r="A5" s="91"/>
      <c r="B5" s="92"/>
      <c r="C5" s="161"/>
      <c r="D5" s="162"/>
      <c r="E5" s="94"/>
      <c r="F5" s="93"/>
      <c r="G5" s="95"/>
      <c r="H5" s="96"/>
      <c r="I5" s="94"/>
      <c r="J5" s="94"/>
      <c r="K5" s="94"/>
      <c r="L5" s="95"/>
      <c r="M5" s="91"/>
      <c r="N5" s="96"/>
      <c r="O5" s="95"/>
      <c r="P5" s="94"/>
      <c r="Q5" s="94"/>
    </row>
    <row r="6" spans="1:17" ht="13.5" customHeight="1" thickBot="1" x14ac:dyDescent="0.25">
      <c r="A6" s="405" t="s">
        <v>127</v>
      </c>
      <c r="B6" s="406"/>
      <c r="C6" s="407"/>
      <c r="D6" s="254">
        <f>Admin!B$4</f>
        <v>43927</v>
      </c>
      <c r="E6" s="97"/>
      <c r="F6" s="98"/>
      <c r="G6" s="95"/>
      <c r="H6" s="96"/>
      <c r="I6" s="94"/>
      <c r="J6" s="94"/>
      <c r="K6" s="94"/>
      <c r="L6" s="95"/>
      <c r="M6" s="99"/>
      <c r="N6" s="96"/>
      <c r="O6" s="95"/>
      <c r="P6" s="94"/>
      <c r="Q6" s="94"/>
    </row>
    <row r="7" spans="1:17" ht="12.75" x14ac:dyDescent="0.2">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2.75" x14ac:dyDescent="0.2">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2.75" x14ac:dyDescent="0.2">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2.75" x14ac:dyDescent="0.2">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2.75" x14ac:dyDescent="0.2">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2.75" x14ac:dyDescent="0.2">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2.75" x14ac:dyDescent="0.2">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3.5" thickBot="1" x14ac:dyDescent="0.25">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3.5" thickBot="1" x14ac:dyDescent="0.25">
      <c r="A15" s="410" t="s">
        <v>129</v>
      </c>
      <c r="B15" s="411"/>
      <c r="C15" s="263">
        <f>Admin!B$4</f>
        <v>43927</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3.5" thickBot="1" x14ac:dyDescent="0.25">
      <c r="A16" s="99"/>
      <c r="B16" s="52"/>
      <c r="C16" s="52"/>
      <c r="D16" s="96"/>
      <c r="E16" s="96"/>
      <c r="F16" s="93"/>
      <c r="G16" s="95"/>
      <c r="H16" s="105"/>
      <c r="I16" s="94"/>
      <c r="J16" s="106"/>
      <c r="K16" s="94"/>
      <c r="L16" s="95"/>
      <c r="M16" s="99"/>
      <c r="N16" s="96"/>
      <c r="O16" s="95"/>
      <c r="P16" s="94"/>
      <c r="Q16" s="94"/>
    </row>
    <row r="17" spans="1:17" ht="13.5" thickBot="1" x14ac:dyDescent="0.25">
      <c r="A17" s="410" t="s">
        <v>117</v>
      </c>
      <c r="B17" s="411"/>
      <c r="C17" s="263">
        <f>Admin!B$4</f>
        <v>43927</v>
      </c>
      <c r="D17" s="264"/>
      <c r="E17" s="97"/>
      <c r="F17" s="98"/>
      <c r="G17" s="95"/>
      <c r="H17" s="105"/>
      <c r="I17" s="94"/>
      <c r="J17" s="106"/>
      <c r="K17" s="94"/>
      <c r="L17" s="95"/>
      <c r="M17" s="99"/>
      <c r="N17" s="96"/>
      <c r="O17" s="95"/>
      <c r="P17" s="94"/>
      <c r="Q17" s="94"/>
    </row>
    <row r="18" spans="1:17" ht="12.75" x14ac:dyDescent="0.2">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2.75" x14ac:dyDescent="0.2">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2.75" x14ac:dyDescent="0.2">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2.75" x14ac:dyDescent="0.2">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3.5" thickBot="1" x14ac:dyDescent="0.25">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3.5" thickBot="1" x14ac:dyDescent="0.25">
      <c r="A23" s="412" t="s">
        <v>118</v>
      </c>
      <c r="B23" s="413"/>
      <c r="C23" s="265">
        <f>Admin!B$4</f>
        <v>43927</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3.5" thickBot="1" x14ac:dyDescent="0.25">
      <c r="A24" s="99"/>
      <c r="B24" s="52"/>
      <c r="C24" s="52"/>
      <c r="D24" s="96"/>
      <c r="E24" s="96"/>
      <c r="F24" s="93"/>
      <c r="G24" s="95"/>
      <c r="H24" s="105"/>
      <c r="I24" s="105"/>
      <c r="J24" s="105"/>
      <c r="K24" s="94"/>
      <c r="L24" s="95"/>
      <c r="M24" s="99"/>
      <c r="N24" s="96"/>
      <c r="O24" s="95"/>
      <c r="P24" s="94"/>
      <c r="Q24" s="94"/>
    </row>
    <row r="25" spans="1:17" ht="13.5" thickBot="1" x14ac:dyDescent="0.25">
      <c r="A25" s="410" t="s">
        <v>119</v>
      </c>
      <c r="B25" s="411"/>
      <c r="C25" s="263">
        <f>Admin!B$4</f>
        <v>43927</v>
      </c>
      <c r="D25" s="264"/>
      <c r="E25" s="97"/>
      <c r="F25" s="98"/>
      <c r="G25" s="95"/>
      <c r="H25" s="105"/>
      <c r="I25" s="105"/>
      <c r="J25" s="105"/>
      <c r="K25" s="94"/>
      <c r="L25" s="95"/>
      <c r="M25" s="99"/>
      <c r="N25" s="96"/>
      <c r="O25" s="95"/>
      <c r="P25" s="94"/>
      <c r="Q25" s="94"/>
    </row>
    <row r="26" spans="1:17" ht="12.75" x14ac:dyDescent="0.2">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2.75" x14ac:dyDescent="0.2">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2.75" x14ac:dyDescent="0.2">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2.75" x14ac:dyDescent="0.2">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3.5" thickBot="1" x14ac:dyDescent="0.25">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3.5" thickBot="1" x14ac:dyDescent="0.25">
      <c r="A31" s="412" t="s">
        <v>120</v>
      </c>
      <c r="B31" s="413"/>
      <c r="C31" s="265">
        <f>Admin!B$4</f>
        <v>43927</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3.5" thickBot="1" x14ac:dyDescent="0.25">
      <c r="A32" s="99"/>
      <c r="B32" s="52"/>
      <c r="C32" s="52"/>
      <c r="D32" s="96"/>
      <c r="E32" s="96"/>
      <c r="F32" s="93"/>
      <c r="G32" s="95"/>
      <c r="H32" s="105"/>
      <c r="I32" s="105"/>
      <c r="J32" s="105"/>
      <c r="K32" s="94"/>
      <c r="L32" s="95"/>
      <c r="M32" s="99"/>
      <c r="N32" s="96"/>
      <c r="O32" s="95"/>
      <c r="P32" s="94"/>
      <c r="Q32" s="94"/>
    </row>
    <row r="33" spans="1:17" ht="13.5" thickBot="1" x14ac:dyDescent="0.25">
      <c r="A33" s="418" t="s">
        <v>121</v>
      </c>
      <c r="B33" s="406"/>
      <c r="C33" s="266">
        <f>Admin!B4</f>
        <v>43927</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3.5" thickBot="1" x14ac:dyDescent="0.25">
      <c r="A34" s="109"/>
      <c r="B34" s="110"/>
      <c r="C34" s="111"/>
      <c r="D34" s="96"/>
      <c r="E34" s="96"/>
      <c r="F34" s="93"/>
      <c r="G34" s="95"/>
      <c r="H34" s="96"/>
      <c r="I34" s="94"/>
      <c r="J34" s="94"/>
      <c r="K34" s="94"/>
      <c r="L34" s="95"/>
      <c r="M34" s="99"/>
      <c r="N34" s="96"/>
      <c r="O34" s="95"/>
      <c r="P34" s="94"/>
      <c r="Q34" s="94"/>
    </row>
    <row r="35" spans="1:17" ht="13.5" thickBot="1" x14ac:dyDescent="0.25">
      <c r="A35" s="419" t="s">
        <v>128</v>
      </c>
      <c r="B35" s="417"/>
      <c r="C35" s="420"/>
      <c r="D35" s="267">
        <f>Admin!B$4</f>
        <v>43927</v>
      </c>
      <c r="E35" s="97"/>
      <c r="F35" s="98"/>
      <c r="G35" s="95"/>
      <c r="H35" s="96"/>
      <c r="I35" s="94"/>
      <c r="J35" s="94"/>
      <c r="K35" s="94"/>
      <c r="L35" s="95"/>
      <c r="M35" s="99"/>
      <c r="N35" s="96"/>
      <c r="O35" s="95"/>
      <c r="P35" s="94"/>
      <c r="Q35" s="94"/>
    </row>
    <row r="36" spans="1:17" ht="12.75" x14ac:dyDescent="0.2">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2.75" x14ac:dyDescent="0.2">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2.75" x14ac:dyDescent="0.2">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2.75" x14ac:dyDescent="0.2">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2.75" x14ac:dyDescent="0.2">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2.75" x14ac:dyDescent="0.2">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2.75" x14ac:dyDescent="0.2">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3.5" thickBot="1" x14ac:dyDescent="0.25">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5">
      <c r="A44" s="414" t="s">
        <v>130</v>
      </c>
      <c r="B44" s="415"/>
      <c r="C44" s="268">
        <f>Admin!B$4</f>
        <v>43927</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3.5" thickBot="1" x14ac:dyDescent="0.25">
      <c r="A45" s="99"/>
      <c r="B45" s="52"/>
      <c r="C45" s="57"/>
      <c r="D45" s="96"/>
      <c r="E45" s="96"/>
      <c r="F45" s="93"/>
      <c r="G45" s="95"/>
      <c r="H45" s="105"/>
      <c r="I45" s="112"/>
      <c r="J45" s="105"/>
      <c r="K45" s="94"/>
      <c r="L45" s="95"/>
      <c r="M45" s="99"/>
      <c r="N45" s="96"/>
      <c r="O45" s="95"/>
      <c r="P45" s="94"/>
      <c r="Q45" s="94"/>
    </row>
    <row r="46" spans="1:17" ht="13.5" thickBot="1" x14ac:dyDescent="0.25">
      <c r="A46" s="414" t="s">
        <v>122</v>
      </c>
      <c r="B46" s="415"/>
      <c r="C46" s="268">
        <f>Admin!B$4</f>
        <v>43927</v>
      </c>
      <c r="D46" s="269"/>
      <c r="E46" s="97"/>
      <c r="F46" s="98"/>
      <c r="G46" s="95"/>
      <c r="H46" s="105"/>
      <c r="I46" s="112"/>
      <c r="J46" s="105"/>
      <c r="K46" s="94"/>
      <c r="L46" s="95"/>
      <c r="M46" s="99"/>
      <c r="N46" s="96"/>
      <c r="O46" s="95"/>
      <c r="P46" s="94"/>
      <c r="Q46" s="94"/>
    </row>
    <row r="47" spans="1:17" ht="12.75" x14ac:dyDescent="0.2">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2.75" x14ac:dyDescent="0.2">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2.75" x14ac:dyDescent="0.2">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2.75" x14ac:dyDescent="0.2">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3.5" thickBot="1" x14ac:dyDescent="0.25">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5">
      <c r="A52" s="408" t="s">
        <v>123</v>
      </c>
      <c r="B52" s="409"/>
      <c r="C52" s="270">
        <f>Admin!B$4</f>
        <v>43927</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3.5" thickBot="1" x14ac:dyDescent="0.25">
      <c r="A53" s="99"/>
      <c r="B53" s="52"/>
      <c r="C53" s="52"/>
      <c r="D53" s="96"/>
      <c r="E53" s="96"/>
      <c r="F53" s="93"/>
      <c r="G53" s="95"/>
      <c r="H53" s="96"/>
      <c r="I53" s="105"/>
      <c r="J53" s="94"/>
      <c r="K53" s="94"/>
      <c r="L53" s="95"/>
      <c r="M53" s="99"/>
      <c r="N53" s="96"/>
      <c r="O53" s="95"/>
      <c r="P53" s="94"/>
      <c r="Q53" s="94"/>
    </row>
    <row r="54" spans="1:17" ht="13.5" thickBot="1" x14ac:dyDescent="0.25">
      <c r="A54" s="414" t="s">
        <v>124</v>
      </c>
      <c r="B54" s="415"/>
      <c r="C54" s="268">
        <f>Admin!B$4</f>
        <v>43927</v>
      </c>
      <c r="D54" s="269"/>
      <c r="E54" s="97"/>
      <c r="F54" s="98"/>
      <c r="G54" s="95"/>
      <c r="H54" s="105"/>
      <c r="I54" s="94"/>
      <c r="J54" s="105"/>
      <c r="K54" s="94"/>
      <c r="L54" s="95"/>
      <c r="M54" s="99"/>
      <c r="N54" s="96"/>
      <c r="O54" s="95"/>
      <c r="P54" s="94"/>
      <c r="Q54" s="94"/>
    </row>
    <row r="55" spans="1:17" ht="12.75" x14ac:dyDescent="0.2">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2.75" x14ac:dyDescent="0.2">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2.75" x14ac:dyDescent="0.2">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2.75" x14ac:dyDescent="0.2">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3.5" thickBot="1" x14ac:dyDescent="0.25">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3.5" thickBot="1" x14ac:dyDescent="0.25">
      <c r="A60" s="408" t="s">
        <v>125</v>
      </c>
      <c r="B60" s="409"/>
      <c r="C60" s="270">
        <f>Admin!B$4</f>
        <v>43927</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3.5" thickBot="1" x14ac:dyDescent="0.25">
      <c r="A61" s="99"/>
      <c r="B61" s="52"/>
      <c r="C61" s="57"/>
      <c r="D61" s="96"/>
      <c r="E61" s="96"/>
      <c r="F61" s="93"/>
      <c r="G61" s="95"/>
      <c r="H61" s="105"/>
      <c r="I61" s="94"/>
      <c r="J61" s="105"/>
      <c r="K61" s="94"/>
      <c r="L61" s="95"/>
      <c r="M61" s="99"/>
      <c r="N61" s="96"/>
      <c r="O61" s="95"/>
      <c r="P61" s="94"/>
      <c r="Q61" s="94"/>
    </row>
    <row r="62" spans="1:17" ht="13.5" thickBot="1" x14ac:dyDescent="0.25">
      <c r="A62" s="416" t="s">
        <v>126</v>
      </c>
      <c r="B62" s="417"/>
      <c r="C62" s="271" t="str">
        <f>Admin!G$2</f>
        <v>2020-21</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2">
      <c r="A63" s="99"/>
      <c r="B63" s="52"/>
      <c r="C63" s="52"/>
      <c r="D63" s="96"/>
      <c r="E63" s="96"/>
      <c r="F63" s="93"/>
      <c r="G63" s="102"/>
      <c r="H63" s="96"/>
      <c r="I63" s="94"/>
      <c r="J63" s="94"/>
      <c r="K63" s="94"/>
      <c r="L63" s="102"/>
      <c r="M63" s="99"/>
      <c r="N63" s="96"/>
      <c r="O63" s="102"/>
      <c r="P63" s="94"/>
      <c r="Q63" s="94"/>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I1" sqref="I1"/>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50" customWidth="1"/>
    <col min="7" max="7" width="2.7109375" style="2" customWidth="1"/>
    <col min="8" max="16384" width="9.140625" style="1"/>
  </cols>
  <sheetData>
    <row r="1" spans="1:11" ht="13.5" thickBot="1" x14ac:dyDescent="0.25">
      <c r="A1" s="23"/>
      <c r="B1" s="23"/>
      <c r="C1" s="23"/>
      <c r="D1" s="24"/>
      <c r="E1" s="25"/>
      <c r="F1" s="26"/>
      <c r="G1" s="23"/>
    </row>
    <row r="2" spans="1:11" ht="18" customHeight="1" thickBot="1" x14ac:dyDescent="0.25">
      <c r="A2" s="23"/>
      <c r="B2" s="141" t="s">
        <v>102</v>
      </c>
      <c r="C2" s="142" t="str">
        <f>Admin!K$2</f>
        <v>2020-21</v>
      </c>
      <c r="D2" s="435" t="s">
        <v>24</v>
      </c>
      <c r="E2" s="436"/>
      <c r="F2" s="436"/>
      <c r="G2" s="27"/>
    </row>
    <row r="3" spans="1:11" ht="18.75" customHeight="1" x14ac:dyDescent="0.2">
      <c r="A3" s="23"/>
      <c r="B3" s="143"/>
      <c r="C3" s="143"/>
      <c r="D3" s="436"/>
      <c r="E3" s="436"/>
      <c r="F3" s="436"/>
      <c r="G3" s="27"/>
    </row>
    <row r="4" spans="1:11" x14ac:dyDescent="0.2">
      <c r="A4" s="23"/>
      <c r="B4" s="28"/>
      <c r="C4" s="28"/>
      <c r="D4" s="29"/>
      <c r="E4" s="25"/>
      <c r="F4" s="26"/>
      <c r="G4" s="27"/>
    </row>
    <row r="5" spans="1:11" x14ac:dyDescent="0.2">
      <c r="A5" s="23"/>
      <c r="B5" s="437" t="s">
        <v>45</v>
      </c>
      <c r="C5" s="438"/>
      <c r="D5" s="439"/>
      <c r="E5" s="275">
        <f>'SE Short'!D106</f>
        <v>0</v>
      </c>
      <c r="F5" s="26"/>
      <c r="G5" s="27"/>
      <c r="K5" s="324"/>
    </row>
    <row r="6" spans="1:11" x14ac:dyDescent="0.2">
      <c r="A6" s="23"/>
      <c r="B6" s="28" t="s">
        <v>103</v>
      </c>
      <c r="C6" s="28" t="str">
        <f>C2</f>
        <v>2020-21</v>
      </c>
      <c r="D6" s="31"/>
      <c r="E6" s="27">
        <f>IF((E5&gt;0),Admin!N$4,0)</f>
        <v>0</v>
      </c>
      <c r="F6" s="26"/>
      <c r="G6" s="27"/>
      <c r="K6" s="324"/>
    </row>
    <row r="7" spans="1:11" x14ac:dyDescent="0.2">
      <c r="A7" s="23"/>
      <c r="B7" s="440" t="s">
        <v>46</v>
      </c>
      <c r="C7" s="440"/>
      <c r="D7" s="441"/>
      <c r="E7" s="275">
        <f>IF((E5&gt;E6),(E5-E6),0)</f>
        <v>0</v>
      </c>
      <c r="F7" s="26"/>
      <c r="G7" s="27"/>
      <c r="K7" s="324"/>
    </row>
    <row r="8" spans="1:11" x14ac:dyDescent="0.2">
      <c r="A8" s="23"/>
      <c r="B8" s="28" t="s">
        <v>104</v>
      </c>
      <c r="C8" s="28">
        <f>Admin!N$11</f>
        <v>0</v>
      </c>
      <c r="D8" s="144">
        <f>Admin!N$6</f>
        <v>0.2</v>
      </c>
      <c r="E8" s="25">
        <f>IF((E7&gt;0),(IF((E7&lt;C9),E7*D8,C9*D8)),0)</f>
        <v>0</v>
      </c>
      <c r="F8" s="26"/>
      <c r="G8" s="27"/>
      <c r="H8" s="117"/>
      <c r="K8" s="324"/>
    </row>
    <row r="9" spans="1:11" ht="13.5" thickBot="1" x14ac:dyDescent="0.25">
      <c r="A9" s="23"/>
      <c r="B9" s="28" t="s">
        <v>105</v>
      </c>
      <c r="C9" s="28">
        <f>Admin!N$12</f>
        <v>37501</v>
      </c>
      <c r="D9" s="144">
        <f>Admin!N$7</f>
        <v>0.4</v>
      </c>
      <c r="E9" s="25">
        <f>IF((E7&gt;C9),((E7-C9)*D9),0)</f>
        <v>0</v>
      </c>
      <c r="F9" s="26"/>
      <c r="G9" s="27"/>
      <c r="K9" s="324"/>
    </row>
    <row r="10" spans="1:11" ht="13.5" thickBot="1" x14ac:dyDescent="0.25">
      <c r="A10" s="23"/>
      <c r="B10" s="32" t="s">
        <v>47</v>
      </c>
      <c r="C10" s="145"/>
      <c r="D10" s="33"/>
      <c r="E10" s="276">
        <f>SUM(E8:E9)</f>
        <v>0</v>
      </c>
      <c r="F10" s="26"/>
      <c r="G10" s="27"/>
      <c r="K10" s="324"/>
    </row>
    <row r="11" spans="1:11" x14ac:dyDescent="0.2">
      <c r="A11" s="23"/>
      <c r="B11" s="28"/>
      <c r="C11" s="28"/>
      <c r="D11" s="34"/>
      <c r="E11" s="25"/>
      <c r="F11" s="35"/>
      <c r="G11" s="36"/>
      <c r="K11" s="324"/>
    </row>
    <row r="12" spans="1:11" ht="13.5" x14ac:dyDescent="0.25">
      <c r="A12" s="23"/>
      <c r="B12" s="146" t="s">
        <v>106</v>
      </c>
      <c r="C12" s="448">
        <f>Admin!B$21</f>
        <v>44592</v>
      </c>
      <c r="D12" s="449"/>
      <c r="E12" s="25"/>
      <c r="F12" s="35"/>
      <c r="G12" s="36"/>
      <c r="K12" s="324"/>
    </row>
    <row r="13" spans="1:11" ht="9.9499999999999993" customHeight="1" thickBot="1" x14ac:dyDescent="0.25">
      <c r="A13" s="23"/>
      <c r="B13" s="28"/>
      <c r="C13" s="28"/>
      <c r="D13" s="37"/>
      <c r="E13" s="38"/>
      <c r="F13" s="26"/>
      <c r="G13" s="36"/>
      <c r="K13" s="324"/>
    </row>
    <row r="14" spans="1:11" ht="13.5" thickBot="1" x14ac:dyDescent="0.25">
      <c r="A14" s="23"/>
      <c r="B14" s="450" t="s">
        <v>107</v>
      </c>
      <c r="C14" s="451"/>
      <c r="D14" s="144">
        <f>Admin!L$20</f>
        <v>0.09</v>
      </c>
      <c r="E14" s="30">
        <f>IF(E5&gt;Admin!N20,IF(E5&lt;Admin!N$23,(E5-Admin!N20)*D14,(Admin!N$23-Admin!N20)*D14),0)</f>
        <v>0</v>
      </c>
      <c r="F14" s="26"/>
      <c r="G14" s="36"/>
      <c r="K14" s="324"/>
    </row>
    <row r="15" spans="1:11" ht="13.5" thickBot="1" x14ac:dyDescent="0.25">
      <c r="A15" s="23"/>
      <c r="B15" s="450" t="s">
        <v>108</v>
      </c>
      <c r="C15" s="451"/>
      <c r="D15" s="144">
        <f>Admin!L$23</f>
        <v>0.02</v>
      </c>
      <c r="E15" s="30">
        <f>IF((E5&gt;Admin!N$23),((E5-Admin!N$23)*D15),0)</f>
        <v>0</v>
      </c>
      <c r="F15" s="26"/>
      <c r="G15" s="36"/>
      <c r="K15" s="324"/>
    </row>
    <row r="16" spans="1:11" ht="13.5" thickBot="1" x14ac:dyDescent="0.25">
      <c r="A16" s="23"/>
      <c r="B16" s="28"/>
      <c r="C16" s="28"/>
      <c r="D16" s="37"/>
      <c r="E16" s="38"/>
      <c r="F16" s="26"/>
      <c r="G16" s="36"/>
      <c r="K16" s="324"/>
    </row>
    <row r="17" spans="1:11" ht="13.5" thickBot="1" x14ac:dyDescent="0.25">
      <c r="A17" s="23"/>
      <c r="B17" s="452" t="s">
        <v>48</v>
      </c>
      <c r="C17" s="451"/>
      <c r="D17" s="37"/>
      <c r="E17" s="276">
        <f>SUM(E10:E16)</f>
        <v>0</v>
      </c>
      <c r="F17" s="26"/>
      <c r="G17" s="27"/>
      <c r="K17" s="324"/>
    </row>
    <row r="18" spans="1:11" x14ac:dyDescent="0.2">
      <c r="A18" s="23"/>
      <c r="B18" s="39"/>
      <c r="C18" s="39"/>
      <c r="D18" s="37"/>
      <c r="E18" s="38"/>
      <c r="F18" s="26"/>
      <c r="G18" s="27"/>
    </row>
    <row r="19" spans="1:11" ht="13.5" thickBot="1" x14ac:dyDescent="0.25">
      <c r="A19" s="23"/>
      <c r="B19" s="39"/>
      <c r="C19" s="39"/>
      <c r="D19" s="37"/>
      <c r="E19" s="38"/>
      <c r="F19" s="26"/>
      <c r="G19" s="27"/>
    </row>
    <row r="20" spans="1:11" ht="18" customHeight="1" thickBot="1" x14ac:dyDescent="0.25">
      <c r="A20" s="23"/>
      <c r="B20" s="32" t="s">
        <v>23</v>
      </c>
      <c r="C20" s="147"/>
      <c r="D20" s="442" t="s">
        <v>14</v>
      </c>
      <c r="E20" s="443"/>
      <c r="F20" s="444"/>
      <c r="G20" s="23"/>
    </row>
    <row r="21" spans="1:11" ht="12.75" customHeight="1" x14ac:dyDescent="0.2">
      <c r="A21" s="23"/>
      <c r="B21" s="28"/>
      <c r="C21" s="28"/>
      <c r="D21" s="37"/>
      <c r="E21" s="38"/>
      <c r="F21" s="26"/>
      <c r="G21" s="36"/>
    </row>
    <row r="22" spans="1:11" s="3" customFormat="1" x14ac:dyDescent="0.2">
      <c r="A22" s="40"/>
      <c r="B22" s="28"/>
      <c r="C22" s="28"/>
      <c r="D22" s="445" t="s">
        <v>21</v>
      </c>
      <c r="E22" s="447" t="s">
        <v>22</v>
      </c>
      <c r="F22" s="41"/>
      <c r="G22" s="27"/>
    </row>
    <row r="23" spans="1:11" s="3" customFormat="1" x14ac:dyDescent="0.2">
      <c r="A23" s="40"/>
      <c r="B23" s="28"/>
      <c r="C23" s="28"/>
      <c r="D23" s="446"/>
      <c r="E23" s="446"/>
      <c r="F23" s="41"/>
      <c r="G23" s="27"/>
    </row>
    <row r="24" spans="1:11" x14ac:dyDescent="0.2">
      <c r="A24" s="23"/>
      <c r="B24" s="28" t="s">
        <v>109</v>
      </c>
      <c r="C24" s="148" t="str">
        <f>Admin!B$24</f>
        <v>2021-22</v>
      </c>
      <c r="D24" s="42" t="s">
        <v>12</v>
      </c>
      <c r="E24" s="30">
        <f>E17</f>
        <v>0</v>
      </c>
      <c r="F24" s="26"/>
      <c r="G24" s="27"/>
    </row>
    <row r="25" spans="1:11" x14ac:dyDescent="0.2">
      <c r="A25" s="23"/>
      <c r="B25" s="28" t="s">
        <v>20</v>
      </c>
      <c r="C25" s="28"/>
      <c r="D25" s="43">
        <f>Admin!B$21</f>
        <v>44592</v>
      </c>
      <c r="E25" s="275">
        <f>E24/2</f>
        <v>0</v>
      </c>
      <c r="F25" s="26"/>
      <c r="G25" s="27"/>
    </row>
    <row r="26" spans="1:11" x14ac:dyDescent="0.2">
      <c r="A26" s="23"/>
      <c r="B26" s="28" t="s">
        <v>20</v>
      </c>
      <c r="C26" s="28"/>
      <c r="D26" s="43">
        <f>Admin!B$22</f>
        <v>44773</v>
      </c>
      <c r="E26" s="275">
        <f>E24/2</f>
        <v>0</v>
      </c>
      <c r="F26" s="26"/>
      <c r="G26" s="27"/>
    </row>
    <row r="27" spans="1:11" x14ac:dyDescent="0.2">
      <c r="A27" s="23"/>
      <c r="B27" s="23"/>
      <c r="C27" s="23"/>
      <c r="D27" s="37"/>
      <c r="E27" s="25"/>
      <c r="F27" s="26"/>
      <c r="G27" s="27"/>
    </row>
    <row r="28" spans="1:11" x14ac:dyDescent="0.2">
      <c r="A28" s="23"/>
      <c r="B28" s="44" t="s">
        <v>26</v>
      </c>
      <c r="C28" s="50"/>
      <c r="D28" s="37"/>
      <c r="E28" s="25"/>
      <c r="F28" s="26"/>
      <c r="G28" s="27"/>
    </row>
    <row r="29" spans="1:11" x14ac:dyDescent="0.2">
      <c r="A29" s="23"/>
      <c r="B29" s="45" t="s">
        <v>15</v>
      </c>
      <c r="C29" s="45"/>
      <c r="D29" s="23"/>
      <c r="E29" s="46"/>
      <c r="F29" s="26"/>
      <c r="G29" s="47"/>
    </row>
    <row r="30" spans="1:11" x14ac:dyDescent="0.2">
      <c r="A30" s="23"/>
      <c r="B30" s="48" t="s">
        <v>16</v>
      </c>
      <c r="C30" s="48"/>
      <c r="D30" s="49"/>
      <c r="E30" s="46"/>
      <c r="F30" s="26"/>
      <c r="G30" s="47"/>
    </row>
    <row r="31" spans="1:11" x14ac:dyDescent="0.2">
      <c r="A31" s="23"/>
      <c r="B31" s="149" t="s">
        <v>110</v>
      </c>
      <c r="C31" s="48"/>
      <c r="D31" s="49"/>
      <c r="E31" s="46"/>
      <c r="F31" s="26"/>
      <c r="G31" s="47"/>
    </row>
    <row r="32" spans="1:11" x14ac:dyDescent="0.2">
      <c r="A32" s="23"/>
      <c r="B32" s="50" t="s">
        <v>49</v>
      </c>
      <c r="C32" s="50"/>
      <c r="D32" s="49"/>
      <c r="E32" s="51"/>
      <c r="F32" s="26"/>
      <c r="G32" s="47"/>
    </row>
    <row r="33" spans="1:7" x14ac:dyDescent="0.2">
      <c r="A33" s="23"/>
      <c r="B33" s="50" t="s">
        <v>17</v>
      </c>
      <c r="C33" s="50"/>
      <c r="D33" s="49"/>
      <c r="E33" s="51"/>
      <c r="F33" s="26"/>
      <c r="G33" s="47"/>
    </row>
    <row r="34" spans="1:7" x14ac:dyDescent="0.2">
      <c r="A34" s="23"/>
      <c r="B34" s="50" t="s">
        <v>18</v>
      </c>
      <c r="C34" s="50"/>
      <c r="D34" s="49"/>
      <c r="E34" s="51"/>
      <c r="F34" s="26"/>
      <c r="G34" s="47"/>
    </row>
    <row r="35" spans="1:7" x14ac:dyDescent="0.2">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defaultRowHeight="12" x14ac:dyDescent="0.2"/>
  <cols>
    <col min="1" max="1" width="1.7109375" style="12" customWidth="1"/>
    <col min="2" max="2" width="19.7109375" style="12" customWidth="1"/>
    <col min="3" max="15" width="8.7109375" style="12" customWidth="1"/>
    <col min="16" max="16" width="1.7109375" style="12" customWidth="1"/>
    <col min="17" max="16384" width="9.140625" style="12"/>
  </cols>
  <sheetData>
    <row r="1" spans="1:16" ht="6" customHeight="1" thickBot="1" x14ac:dyDescent="0.25">
      <c r="A1" s="52"/>
      <c r="B1" s="53"/>
      <c r="C1" s="82"/>
      <c r="D1" s="52"/>
      <c r="E1" s="52"/>
      <c r="F1" s="52"/>
      <c r="G1" s="52"/>
      <c r="H1" s="52"/>
      <c r="I1" s="52"/>
      <c r="J1" s="52"/>
      <c r="K1" s="52"/>
      <c r="L1" s="52"/>
      <c r="M1" s="52"/>
      <c r="N1" s="52"/>
      <c r="O1" s="52"/>
      <c r="P1" s="52"/>
    </row>
    <row r="2" spans="1:16" ht="12" customHeight="1" x14ac:dyDescent="0.2">
      <c r="A2" s="52"/>
      <c r="B2" s="455" t="s">
        <v>112</v>
      </c>
      <c r="C2" s="152" t="s">
        <v>111</v>
      </c>
      <c r="D2" s="458">
        <f>Admin!B$5</f>
        <v>43951</v>
      </c>
      <c r="E2" s="453">
        <f>Admin!B$6</f>
        <v>43982</v>
      </c>
      <c r="F2" s="453">
        <f>Admin!B$7</f>
        <v>44012</v>
      </c>
      <c r="G2" s="453">
        <f>Admin!B$8</f>
        <v>44043</v>
      </c>
      <c r="H2" s="453">
        <f>Admin!B$9</f>
        <v>44074</v>
      </c>
      <c r="I2" s="453">
        <f>Admin!B$10</f>
        <v>44104</v>
      </c>
      <c r="J2" s="453">
        <f>Admin!B$11</f>
        <v>44135</v>
      </c>
      <c r="K2" s="453">
        <f>Admin!B$12</f>
        <v>44165</v>
      </c>
      <c r="L2" s="453">
        <f>Admin!B$13</f>
        <v>44196</v>
      </c>
      <c r="M2" s="453">
        <f>Admin!B$14</f>
        <v>44227</v>
      </c>
      <c r="N2" s="453" t="str">
        <f>Admin!B$15</f>
        <v>29/02/2021</v>
      </c>
      <c r="O2" s="453">
        <f>Admin!B$16</f>
        <v>44286</v>
      </c>
      <c r="P2" s="52"/>
    </row>
    <row r="3" spans="1:16" ht="12" customHeight="1" thickBot="1" x14ac:dyDescent="0.25">
      <c r="A3" s="52"/>
      <c r="B3" s="456"/>
      <c r="C3" s="153">
        <f>Admin!B$17</f>
        <v>44291</v>
      </c>
      <c r="D3" s="459"/>
      <c r="E3" s="454"/>
      <c r="F3" s="454"/>
      <c r="G3" s="454"/>
      <c r="H3" s="454"/>
      <c r="I3" s="454"/>
      <c r="J3" s="454"/>
      <c r="K3" s="454"/>
      <c r="L3" s="454"/>
      <c r="M3" s="454"/>
      <c r="N3" s="454"/>
      <c r="O3" s="454"/>
      <c r="P3" s="52"/>
    </row>
    <row r="4" spans="1:16" ht="12.75" thickBot="1" x14ac:dyDescent="0.25">
      <c r="A4" s="52"/>
      <c r="B4" s="457"/>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2">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2">
      <c r="A6" s="57"/>
      <c r="B6" s="58"/>
      <c r="C6" s="60"/>
      <c r="D6" s="60"/>
      <c r="E6" s="60"/>
      <c r="F6" s="60"/>
      <c r="G6" s="60"/>
      <c r="H6" s="60"/>
      <c r="I6" s="60"/>
      <c r="J6" s="60"/>
      <c r="K6" s="60"/>
      <c r="L6" s="60"/>
      <c r="M6" s="60"/>
      <c r="N6" s="60"/>
      <c r="O6" s="60"/>
      <c r="P6" s="57"/>
    </row>
    <row r="7" spans="1:16" x14ac:dyDescent="0.2">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2">
      <c r="A8" s="52"/>
      <c r="B8" s="61"/>
      <c r="C8" s="60"/>
      <c r="D8" s="60"/>
      <c r="E8" s="60"/>
      <c r="F8" s="60"/>
      <c r="G8" s="60"/>
      <c r="H8" s="60"/>
      <c r="I8" s="60"/>
      <c r="J8" s="60"/>
      <c r="K8" s="60"/>
      <c r="L8" s="60"/>
      <c r="M8" s="60"/>
      <c r="N8" s="60"/>
      <c r="O8" s="60"/>
      <c r="P8" s="52"/>
    </row>
    <row r="9" spans="1:16" s="11" customFormat="1" x14ac:dyDescent="0.2">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2">
      <c r="A10" s="57"/>
      <c r="B10" s="58"/>
      <c r="C10" s="60"/>
      <c r="D10" s="60"/>
      <c r="E10" s="60"/>
      <c r="F10" s="60"/>
      <c r="G10" s="60"/>
      <c r="H10" s="60"/>
      <c r="I10" s="60"/>
      <c r="J10" s="60"/>
      <c r="K10" s="60"/>
      <c r="L10" s="60"/>
      <c r="M10" s="60"/>
      <c r="N10" s="60"/>
      <c r="O10" s="60"/>
      <c r="P10" s="57"/>
    </row>
    <row r="11" spans="1:16" s="11" customFormat="1" x14ac:dyDescent="0.2">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2">
      <c r="A12" s="57"/>
      <c r="B12" s="63"/>
      <c r="C12" s="60"/>
      <c r="D12" s="64"/>
      <c r="E12" s="64"/>
      <c r="F12" s="64"/>
      <c r="G12" s="64"/>
      <c r="H12" s="64"/>
      <c r="I12" s="64"/>
      <c r="J12" s="64"/>
      <c r="K12" s="64"/>
      <c r="L12" s="64"/>
      <c r="M12" s="64"/>
      <c r="N12" s="64"/>
      <c r="O12" s="64"/>
      <c r="P12" s="57"/>
    </row>
    <row r="13" spans="1:16" x14ac:dyDescent="0.2">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2">
      <c r="A14" s="52"/>
      <c r="B14" s="58"/>
      <c r="C14" s="60"/>
      <c r="D14" s="60"/>
      <c r="E14" s="60"/>
      <c r="F14" s="60"/>
      <c r="G14" s="60"/>
      <c r="H14" s="60"/>
      <c r="I14" s="60"/>
      <c r="J14" s="60"/>
      <c r="K14" s="60"/>
      <c r="L14" s="60"/>
      <c r="M14" s="60"/>
      <c r="N14" s="60"/>
      <c r="O14" s="60"/>
      <c r="P14" s="52"/>
    </row>
    <row r="15" spans="1:16" x14ac:dyDescent="0.2">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2.75" thickBot="1" x14ac:dyDescent="0.25">
      <c r="A16" s="52"/>
      <c r="B16" s="52"/>
      <c r="C16" s="52"/>
      <c r="D16" s="52"/>
      <c r="E16" s="52"/>
      <c r="F16" s="52"/>
      <c r="G16" s="52"/>
      <c r="H16" s="52"/>
      <c r="I16" s="52"/>
      <c r="J16" s="52"/>
      <c r="K16" s="52"/>
      <c r="L16" s="52"/>
      <c r="M16" s="52"/>
      <c r="N16" s="52"/>
      <c r="O16" s="52"/>
      <c r="P16" s="52"/>
    </row>
    <row r="17" spans="1:16" x14ac:dyDescent="0.2">
      <c r="A17" s="52"/>
      <c r="B17" s="460" t="s">
        <v>113</v>
      </c>
      <c r="C17" s="152" t="s">
        <v>111</v>
      </c>
      <c r="D17" s="462">
        <f>D2</f>
        <v>43951</v>
      </c>
      <c r="E17" s="462">
        <f t="shared" ref="E17:O17" si="2">E2</f>
        <v>43982</v>
      </c>
      <c r="F17" s="462">
        <f t="shared" si="2"/>
        <v>44012</v>
      </c>
      <c r="G17" s="462">
        <f t="shared" si="2"/>
        <v>44043</v>
      </c>
      <c r="H17" s="462">
        <f t="shared" si="2"/>
        <v>44074</v>
      </c>
      <c r="I17" s="462">
        <f t="shared" si="2"/>
        <v>44104</v>
      </c>
      <c r="J17" s="462">
        <f t="shared" si="2"/>
        <v>44135</v>
      </c>
      <c r="K17" s="462">
        <f t="shared" si="2"/>
        <v>44165</v>
      </c>
      <c r="L17" s="462">
        <f t="shared" si="2"/>
        <v>44196</v>
      </c>
      <c r="M17" s="462">
        <f t="shared" si="2"/>
        <v>44227</v>
      </c>
      <c r="N17" s="462" t="str">
        <f t="shared" si="2"/>
        <v>29/02/2021</v>
      </c>
      <c r="O17" s="462">
        <f t="shared" si="2"/>
        <v>44286</v>
      </c>
      <c r="P17" s="52"/>
    </row>
    <row r="18" spans="1:16" ht="12" customHeight="1" thickBot="1" x14ac:dyDescent="0.25">
      <c r="A18" s="52"/>
      <c r="B18" s="461"/>
      <c r="C18" s="153">
        <f>C3</f>
        <v>44291</v>
      </c>
      <c r="D18" s="463"/>
      <c r="E18" s="463"/>
      <c r="F18" s="463"/>
      <c r="G18" s="463"/>
      <c r="H18" s="463"/>
      <c r="I18" s="463"/>
      <c r="J18" s="463"/>
      <c r="K18" s="463"/>
      <c r="L18" s="463"/>
      <c r="M18" s="463"/>
      <c r="N18" s="463"/>
      <c r="O18" s="463"/>
      <c r="P18" s="52"/>
    </row>
    <row r="19" spans="1:16" ht="12.75" thickBot="1" x14ac:dyDescent="0.25">
      <c r="A19" s="52"/>
      <c r="B19" s="457"/>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2">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2">
      <c r="A21" s="57"/>
      <c r="B21" s="58"/>
      <c r="C21" s="60"/>
      <c r="D21" s="60"/>
      <c r="E21" s="60"/>
      <c r="F21" s="60"/>
      <c r="G21" s="60"/>
      <c r="H21" s="60"/>
      <c r="I21" s="60"/>
      <c r="J21" s="60"/>
      <c r="K21" s="60"/>
      <c r="L21" s="60"/>
      <c r="M21" s="60"/>
      <c r="N21" s="60"/>
      <c r="O21" s="60"/>
      <c r="P21" s="57"/>
    </row>
    <row r="22" spans="1:16" x14ac:dyDescent="0.2">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2">
      <c r="A23" s="52"/>
      <c r="B23" s="61"/>
      <c r="C23" s="60"/>
      <c r="D23" s="60"/>
      <c r="E23" s="60"/>
      <c r="F23" s="60"/>
      <c r="G23" s="60"/>
      <c r="H23" s="60"/>
      <c r="I23" s="60"/>
      <c r="J23" s="60"/>
      <c r="K23" s="60"/>
      <c r="L23" s="60"/>
      <c r="M23" s="60"/>
      <c r="N23" s="60"/>
      <c r="O23" s="60"/>
      <c r="P23" s="52"/>
    </row>
    <row r="24" spans="1:16" s="11" customFormat="1" x14ac:dyDescent="0.2">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2">
      <c r="A25" s="57"/>
      <c r="B25" s="58"/>
      <c r="C25" s="60"/>
      <c r="D25" s="60"/>
      <c r="E25" s="60"/>
      <c r="F25" s="60"/>
      <c r="G25" s="60"/>
      <c r="H25" s="60"/>
      <c r="I25" s="60"/>
      <c r="J25" s="60"/>
      <c r="K25" s="60"/>
      <c r="L25" s="60"/>
      <c r="M25" s="60"/>
      <c r="N25" s="60"/>
      <c r="O25" s="60"/>
      <c r="P25" s="57"/>
    </row>
    <row r="26" spans="1:16" s="11" customFormat="1" x14ac:dyDescent="0.2">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2">
      <c r="A27" s="57"/>
      <c r="B27" s="63"/>
      <c r="C27" s="60"/>
      <c r="D27" s="64"/>
      <c r="E27" s="64"/>
      <c r="F27" s="64"/>
      <c r="G27" s="64"/>
      <c r="H27" s="64"/>
      <c r="I27" s="64"/>
      <c r="J27" s="64"/>
      <c r="K27" s="64"/>
      <c r="L27" s="64"/>
      <c r="M27" s="64"/>
      <c r="N27" s="64"/>
      <c r="O27" s="64"/>
      <c r="P27" s="57"/>
    </row>
    <row r="28" spans="1:16" x14ac:dyDescent="0.2">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2">
      <c r="A29" s="52"/>
      <c r="B29" s="58"/>
      <c r="C29" s="60"/>
      <c r="D29" s="60"/>
      <c r="E29" s="60"/>
      <c r="F29" s="60"/>
      <c r="G29" s="60"/>
      <c r="H29" s="60"/>
      <c r="I29" s="60"/>
      <c r="J29" s="60"/>
      <c r="K29" s="60"/>
      <c r="L29" s="60"/>
      <c r="M29" s="60"/>
      <c r="N29" s="60"/>
      <c r="O29" s="60"/>
      <c r="P29" s="52"/>
    </row>
    <row r="30" spans="1:16" x14ac:dyDescent="0.2">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5">
      <c r="A31" s="52"/>
      <c r="B31" s="58"/>
      <c r="C31" s="60"/>
      <c r="D31" s="60"/>
      <c r="E31" s="60"/>
      <c r="F31" s="60"/>
      <c r="G31" s="60"/>
      <c r="H31" s="60"/>
      <c r="I31" s="60"/>
      <c r="J31" s="60"/>
      <c r="K31" s="60"/>
      <c r="L31" s="60"/>
      <c r="M31" s="60"/>
      <c r="N31" s="60"/>
      <c r="O31" s="60"/>
      <c r="P31" s="52"/>
    </row>
    <row r="32" spans="1:16" ht="13.5" thickBot="1" x14ac:dyDescent="0.25">
      <c r="A32" s="52"/>
      <c r="B32" s="464" t="s">
        <v>54</v>
      </c>
      <c r="C32" s="465"/>
      <c r="D32" s="52"/>
      <c r="E32" s="52"/>
      <c r="F32" s="52"/>
      <c r="G32" s="52"/>
      <c r="H32" s="52"/>
      <c r="I32" s="52"/>
      <c r="J32" s="52"/>
      <c r="K32" s="52"/>
      <c r="L32" s="52"/>
      <c r="M32" s="52"/>
      <c r="N32" s="52"/>
      <c r="O32" s="52"/>
      <c r="P32" s="52"/>
    </row>
    <row r="33" spans="1:16" x14ac:dyDescent="0.2">
      <c r="A33" s="52"/>
      <c r="B33" s="66"/>
      <c r="C33" s="67"/>
      <c r="D33" s="52"/>
      <c r="E33" s="52"/>
      <c r="F33" s="52"/>
      <c r="G33" s="52"/>
      <c r="H33" s="52"/>
      <c r="I33" s="52"/>
      <c r="J33" s="52"/>
      <c r="K33" s="52"/>
      <c r="L33" s="52"/>
      <c r="M33" s="52"/>
      <c r="N33" s="52"/>
      <c r="O33" s="52"/>
      <c r="P33" s="52"/>
    </row>
    <row r="34" spans="1:16" x14ac:dyDescent="0.2">
      <c r="A34" s="52"/>
      <c r="B34" s="66" t="s">
        <v>55</v>
      </c>
      <c r="C34" s="67">
        <f>C30-C33</f>
        <v>0</v>
      </c>
      <c r="D34" s="118"/>
      <c r="E34" s="52"/>
      <c r="F34" s="52"/>
      <c r="G34" s="52"/>
      <c r="H34" s="52"/>
      <c r="I34" s="52"/>
      <c r="J34" s="52"/>
      <c r="K34" s="52"/>
      <c r="L34" s="52"/>
      <c r="M34" s="52"/>
      <c r="N34" s="52"/>
      <c r="O34" s="52"/>
      <c r="P34" s="52"/>
    </row>
    <row r="35" spans="1:16" x14ac:dyDescent="0.2">
      <c r="A35" s="52"/>
      <c r="B35" s="68" t="s">
        <v>56</v>
      </c>
      <c r="C35" s="67">
        <f>IF(C34&gt;0,Admin!N$4,0)</f>
        <v>0</v>
      </c>
      <c r="D35" s="52"/>
      <c r="E35" s="52"/>
      <c r="F35" s="52"/>
      <c r="G35" s="52"/>
      <c r="H35" s="52"/>
      <c r="I35" s="52"/>
      <c r="J35" s="52"/>
      <c r="K35" s="52"/>
      <c r="L35" s="52"/>
      <c r="M35" s="52"/>
      <c r="N35" s="52"/>
      <c r="O35" s="52"/>
      <c r="P35" s="52"/>
    </row>
    <row r="36" spans="1:16" x14ac:dyDescent="0.2">
      <c r="A36" s="52"/>
      <c r="B36" s="68" t="s">
        <v>57</v>
      </c>
      <c r="C36" s="67">
        <f>IF((C34&gt;C35),(C34-C35),0)</f>
        <v>0</v>
      </c>
      <c r="D36" s="52"/>
      <c r="E36" s="52"/>
      <c r="F36" s="52"/>
      <c r="G36" s="52"/>
      <c r="H36" s="52"/>
      <c r="I36" s="52"/>
      <c r="J36" s="52"/>
      <c r="K36" s="52"/>
      <c r="L36" s="52"/>
      <c r="M36" s="52"/>
      <c r="N36" s="52"/>
      <c r="O36" s="52"/>
      <c r="P36" s="52"/>
    </row>
    <row r="37" spans="1:16" x14ac:dyDescent="0.2">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2">
      <c r="A38" s="52"/>
      <c r="B38" s="68" t="s">
        <v>59</v>
      </c>
      <c r="C38" s="67">
        <f>IF((C36&gt;Admin!N$12),((C36-Admin!N$12)*Admin!N$7),0)</f>
        <v>0</v>
      </c>
      <c r="D38" s="52"/>
      <c r="E38" s="52"/>
      <c r="F38" s="52"/>
      <c r="G38" s="52"/>
      <c r="H38" s="52"/>
      <c r="I38" s="52"/>
      <c r="J38" s="52"/>
      <c r="K38" s="52"/>
      <c r="L38" s="52"/>
      <c r="M38" s="52"/>
      <c r="N38" s="52"/>
      <c r="O38" s="52"/>
      <c r="P38" s="52"/>
    </row>
    <row r="39" spans="1:16" x14ac:dyDescent="0.2">
      <c r="A39" s="52"/>
      <c r="B39" s="68" t="s">
        <v>60</v>
      </c>
      <c r="C39" s="67">
        <f>IF((C36&gt;0),C36*Admin!L$20,0)</f>
        <v>0</v>
      </c>
      <c r="D39" s="52"/>
      <c r="E39" s="52"/>
      <c r="F39" s="52"/>
      <c r="G39" s="52"/>
      <c r="H39" s="52"/>
      <c r="I39" s="52"/>
      <c r="J39" s="52"/>
      <c r="K39" s="52"/>
      <c r="L39" s="52"/>
      <c r="M39" s="52"/>
      <c r="N39" s="52"/>
      <c r="O39" s="52"/>
      <c r="P39" s="52"/>
    </row>
    <row r="40" spans="1:16" ht="6" customHeight="1" x14ac:dyDescent="0.2">
      <c r="A40" s="52"/>
      <c r="B40" s="68"/>
      <c r="C40" s="67"/>
      <c r="D40" s="52"/>
      <c r="E40" s="52"/>
      <c r="F40" s="52"/>
      <c r="G40" s="52"/>
      <c r="H40" s="52"/>
      <c r="I40" s="52"/>
      <c r="J40" s="52"/>
      <c r="K40" s="52"/>
      <c r="L40" s="52"/>
      <c r="M40" s="52"/>
      <c r="N40" s="52"/>
      <c r="O40" s="52"/>
      <c r="P40" s="52"/>
    </row>
    <row r="41" spans="1:16" x14ac:dyDescent="0.2">
      <c r="A41" s="52"/>
      <c r="B41" s="68" t="s">
        <v>61</v>
      </c>
      <c r="C41" s="69">
        <f>C37+C38+C39</f>
        <v>0</v>
      </c>
      <c r="D41" s="52"/>
      <c r="E41" s="52"/>
      <c r="F41" s="52"/>
      <c r="G41" s="52"/>
      <c r="H41" s="52"/>
      <c r="I41" s="52"/>
      <c r="J41" s="52"/>
      <c r="K41" s="52"/>
      <c r="L41" s="52"/>
      <c r="M41" s="52"/>
      <c r="N41" s="52"/>
      <c r="O41" s="52"/>
      <c r="P41" s="52"/>
    </row>
    <row r="42" spans="1:16" ht="12.75" thickBot="1" x14ac:dyDescent="0.25">
      <c r="A42" s="52"/>
      <c r="B42" s="70"/>
      <c r="C42" s="71"/>
      <c r="D42" s="52"/>
      <c r="E42" s="52"/>
      <c r="F42" s="52"/>
      <c r="G42" s="52"/>
      <c r="H42" s="52"/>
      <c r="I42" s="52"/>
      <c r="J42" s="52"/>
      <c r="K42" s="52"/>
      <c r="L42" s="52"/>
      <c r="M42" s="52"/>
      <c r="N42" s="52"/>
      <c r="O42" s="52"/>
      <c r="P42" s="52"/>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7"/>
  <sheetViews>
    <sheetView workbookViewId="0">
      <pane ySplit="3" topLeftCell="A4" activePane="bottomLeft" state="frozen"/>
      <selection pane="bottomLeft" activeCell="E5" sqref="E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0" t="s">
        <v>241</v>
      </c>
      <c r="B1" s="468" t="s">
        <v>240</v>
      </c>
      <c r="C1" s="303" t="s">
        <v>239</v>
      </c>
      <c r="D1" s="304">
        <f>SUM(D4:D48)</f>
        <v>0</v>
      </c>
      <c r="E1" s="303">
        <f>SUM(E4:E48)/2</f>
        <v>0</v>
      </c>
      <c r="F1" s="303">
        <f>SUM(F4:F48)/2</f>
        <v>0</v>
      </c>
    </row>
    <row r="2" spans="1:6" s="302" customFormat="1" ht="12.75" customHeight="1" x14ac:dyDescent="0.2">
      <c r="A2" s="471"/>
      <c r="B2" s="469"/>
      <c r="C2" s="466" t="s">
        <v>238</v>
      </c>
      <c r="D2" s="472" t="s">
        <v>237</v>
      </c>
      <c r="E2" s="466" t="s">
        <v>236</v>
      </c>
      <c r="F2" s="466" t="s">
        <v>235</v>
      </c>
    </row>
    <row r="3" spans="1:6" s="301" customFormat="1" ht="24" customHeight="1" x14ac:dyDescent="0.2">
      <c r="A3" s="471"/>
      <c r="B3" s="469"/>
      <c r="C3" s="474"/>
      <c r="D3" s="473"/>
      <c r="E3" s="467"/>
      <c r="F3" s="467"/>
    </row>
    <row r="4" spans="1:6" ht="13.5" thickBot="1" x14ac:dyDescent="0.25"/>
    <row r="5" spans="1:6" x14ac:dyDescent="0.2">
      <c r="A5" s="298">
        <f>Admin!B4</f>
        <v>43927</v>
      </c>
      <c r="B5" s="297">
        <f>A5</f>
        <v>43927</v>
      </c>
      <c r="C5" s="296"/>
      <c r="D5" s="295"/>
      <c r="E5" s="294"/>
      <c r="F5" s="293"/>
    </row>
    <row r="6" spans="1:6" x14ac:dyDescent="0.2">
      <c r="A6" s="292">
        <f>A5+1</f>
        <v>43928</v>
      </c>
      <c r="B6" s="328">
        <f>A6</f>
        <v>43928</v>
      </c>
      <c r="C6" s="329"/>
      <c r="D6" s="330"/>
      <c r="E6" s="331"/>
      <c r="F6" s="291"/>
    </row>
    <row r="7" spans="1:6" x14ac:dyDescent="0.2">
      <c r="A7" s="292">
        <f>A6+1</f>
        <v>43929</v>
      </c>
      <c r="B7" s="328">
        <f t="shared" ref="B7:B11" si="0">A7</f>
        <v>43929</v>
      </c>
      <c r="C7" s="329"/>
      <c r="D7" s="330"/>
      <c r="E7" s="331"/>
      <c r="F7" s="291"/>
    </row>
    <row r="8" spans="1:6" x14ac:dyDescent="0.2">
      <c r="A8" s="292">
        <f t="shared" ref="A8:A10" si="1">A7+1</f>
        <v>43930</v>
      </c>
      <c r="B8" s="328">
        <f t="shared" si="0"/>
        <v>43930</v>
      </c>
      <c r="C8" s="329"/>
      <c r="D8" s="330"/>
      <c r="E8" s="331"/>
      <c r="F8" s="291"/>
    </row>
    <row r="9" spans="1:6" x14ac:dyDescent="0.2">
      <c r="A9" s="292">
        <f t="shared" si="1"/>
        <v>43931</v>
      </c>
      <c r="B9" s="328">
        <f t="shared" si="0"/>
        <v>43931</v>
      </c>
      <c r="C9" s="329"/>
      <c r="D9" s="330"/>
      <c r="E9" s="331"/>
      <c r="F9" s="291"/>
    </row>
    <row r="10" spans="1:6" x14ac:dyDescent="0.2">
      <c r="A10" s="292">
        <f t="shared" si="1"/>
        <v>43932</v>
      </c>
      <c r="B10" s="328">
        <f t="shared" si="0"/>
        <v>43932</v>
      </c>
      <c r="C10" s="329"/>
      <c r="D10" s="330"/>
      <c r="E10" s="331"/>
      <c r="F10" s="291"/>
    </row>
    <row r="11" spans="1:6" x14ac:dyDescent="0.2">
      <c r="A11" s="292">
        <f>A10+1</f>
        <v>43933</v>
      </c>
      <c r="B11" s="328">
        <f t="shared" si="0"/>
        <v>43933</v>
      </c>
      <c r="C11" s="329"/>
      <c r="D11" s="330"/>
      <c r="E11" s="331"/>
      <c r="F11" s="291"/>
    </row>
    <row r="12" spans="1:6" x14ac:dyDescent="0.2">
      <c r="A12" s="292">
        <f>A11</f>
        <v>43933</v>
      </c>
      <c r="B12" s="328" t="s">
        <v>234</v>
      </c>
      <c r="C12" s="329"/>
      <c r="D12" s="330"/>
      <c r="E12" s="331"/>
      <c r="F12" s="291"/>
    </row>
    <row r="13" spans="1:6" x14ac:dyDescent="0.2">
      <c r="A13" s="292">
        <f>A12</f>
        <v>43933</v>
      </c>
      <c r="B13" s="328" t="s">
        <v>233</v>
      </c>
      <c r="C13" s="329"/>
      <c r="D13" s="330"/>
      <c r="E13" s="331"/>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43934</v>
      </c>
      <c r="B16" s="297">
        <f t="shared" ref="B16:B22" si="2">A16</f>
        <v>43934</v>
      </c>
      <c r="C16" s="296"/>
      <c r="D16" s="295"/>
      <c r="E16" s="294"/>
      <c r="F16" s="293"/>
    </row>
    <row r="17" spans="1:6" x14ac:dyDescent="0.2">
      <c r="A17" s="292">
        <f>A16+1</f>
        <v>43935</v>
      </c>
      <c r="B17" s="328">
        <f t="shared" ref="B17" si="3">A17</f>
        <v>43935</v>
      </c>
      <c r="C17" s="329"/>
      <c r="D17" s="330"/>
      <c r="E17" s="331"/>
      <c r="F17" s="291"/>
    </row>
    <row r="18" spans="1:6" x14ac:dyDescent="0.2">
      <c r="A18" s="292">
        <f>A17+1</f>
        <v>43936</v>
      </c>
      <c r="B18" s="328">
        <f t="shared" si="2"/>
        <v>43936</v>
      </c>
      <c r="C18" s="329"/>
      <c r="D18" s="330"/>
      <c r="E18" s="331"/>
      <c r="F18" s="291"/>
    </row>
    <row r="19" spans="1:6" x14ac:dyDescent="0.2">
      <c r="A19" s="292">
        <f t="shared" ref="A19:A22" si="4">A18+1</f>
        <v>43937</v>
      </c>
      <c r="B19" s="328">
        <f t="shared" si="2"/>
        <v>43937</v>
      </c>
      <c r="C19" s="329"/>
      <c r="D19" s="330"/>
      <c r="E19" s="331"/>
      <c r="F19" s="291"/>
    </row>
    <row r="20" spans="1:6" x14ac:dyDescent="0.2">
      <c r="A20" s="292">
        <f t="shared" si="4"/>
        <v>43938</v>
      </c>
      <c r="B20" s="328">
        <f t="shared" si="2"/>
        <v>43938</v>
      </c>
      <c r="C20" s="329"/>
      <c r="D20" s="330"/>
      <c r="E20" s="331"/>
      <c r="F20" s="291"/>
    </row>
    <row r="21" spans="1:6" x14ac:dyDescent="0.2">
      <c r="A21" s="292">
        <f t="shared" si="4"/>
        <v>43939</v>
      </c>
      <c r="B21" s="328">
        <f t="shared" si="2"/>
        <v>43939</v>
      </c>
      <c r="C21" s="329"/>
      <c r="D21" s="330"/>
      <c r="E21" s="331"/>
      <c r="F21" s="291"/>
    </row>
    <row r="22" spans="1:6" x14ac:dyDescent="0.2">
      <c r="A22" s="292">
        <f t="shared" si="4"/>
        <v>43940</v>
      </c>
      <c r="B22" s="328">
        <f t="shared" si="2"/>
        <v>43940</v>
      </c>
      <c r="C22" s="329"/>
      <c r="D22" s="330"/>
      <c r="E22" s="331"/>
      <c r="F22" s="291"/>
    </row>
    <row r="23" spans="1:6" x14ac:dyDescent="0.2">
      <c r="A23" s="292">
        <f>A22</f>
        <v>43940</v>
      </c>
      <c r="B23" s="328" t="s">
        <v>234</v>
      </c>
      <c r="C23" s="329"/>
      <c r="D23" s="330"/>
      <c r="E23" s="331"/>
      <c r="F23" s="291"/>
    </row>
    <row r="24" spans="1:6" x14ac:dyDescent="0.2">
      <c r="A24" s="292">
        <f>A23</f>
        <v>43940</v>
      </c>
      <c r="B24" s="328" t="s">
        <v>233</v>
      </c>
      <c r="C24" s="329"/>
      <c r="D24" s="330"/>
      <c r="E24" s="331"/>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43941</v>
      </c>
      <c r="B27" s="297">
        <f t="shared" ref="B27:B33" si="5">A27</f>
        <v>43941</v>
      </c>
      <c r="C27" s="296"/>
      <c r="D27" s="295"/>
      <c r="E27" s="294"/>
      <c r="F27" s="293"/>
    </row>
    <row r="28" spans="1:6" x14ac:dyDescent="0.2">
      <c r="A28" s="292">
        <f t="shared" ref="A28:A33" si="6">A27+1</f>
        <v>43942</v>
      </c>
      <c r="B28" s="285">
        <f t="shared" si="5"/>
        <v>43942</v>
      </c>
      <c r="F28" s="291"/>
    </row>
    <row r="29" spans="1:6" x14ac:dyDescent="0.2">
      <c r="A29" s="292">
        <f t="shared" si="6"/>
        <v>43943</v>
      </c>
      <c r="B29" s="285">
        <f t="shared" si="5"/>
        <v>43943</v>
      </c>
      <c r="F29" s="291"/>
    </row>
    <row r="30" spans="1:6" x14ac:dyDescent="0.2">
      <c r="A30" s="292">
        <f t="shared" si="6"/>
        <v>43944</v>
      </c>
      <c r="B30" s="285">
        <f t="shared" si="5"/>
        <v>43944</v>
      </c>
      <c r="F30" s="291"/>
    </row>
    <row r="31" spans="1:6" x14ac:dyDescent="0.2">
      <c r="A31" s="292">
        <f t="shared" si="6"/>
        <v>43945</v>
      </c>
      <c r="B31" s="285">
        <f t="shared" si="5"/>
        <v>43945</v>
      </c>
      <c r="F31" s="291"/>
    </row>
    <row r="32" spans="1:6" x14ac:dyDescent="0.2">
      <c r="A32" s="292">
        <f t="shared" si="6"/>
        <v>43946</v>
      </c>
      <c r="B32" s="285">
        <f t="shared" si="5"/>
        <v>43946</v>
      </c>
      <c r="F32" s="291"/>
    </row>
    <row r="33" spans="1:6" x14ac:dyDescent="0.2">
      <c r="A33" s="292">
        <f t="shared" si="6"/>
        <v>43947</v>
      </c>
      <c r="B33" s="285">
        <f t="shared" si="5"/>
        <v>43947</v>
      </c>
      <c r="F33" s="291"/>
    </row>
    <row r="34" spans="1:6" x14ac:dyDescent="0.2">
      <c r="A34" s="292">
        <f>A33</f>
        <v>43947</v>
      </c>
      <c r="B34" s="285" t="s">
        <v>234</v>
      </c>
      <c r="F34" s="291"/>
    </row>
    <row r="35" spans="1:6" x14ac:dyDescent="0.2">
      <c r="A35" s="292">
        <f>A33</f>
        <v>43947</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43948</v>
      </c>
      <c r="B38" s="297">
        <f t="shared" ref="B38:B44" si="7">A38</f>
        <v>43948</v>
      </c>
      <c r="C38" s="296"/>
      <c r="D38" s="295"/>
      <c r="E38" s="294"/>
      <c r="F38" s="293"/>
    </row>
    <row r="39" spans="1:6" x14ac:dyDescent="0.2">
      <c r="A39" s="292">
        <f t="shared" ref="A39:A44" si="8">A38+1</f>
        <v>43949</v>
      </c>
      <c r="B39" s="285">
        <f t="shared" si="7"/>
        <v>43949</v>
      </c>
      <c r="F39" s="291"/>
    </row>
    <row r="40" spans="1:6" x14ac:dyDescent="0.2">
      <c r="A40" s="292">
        <f t="shared" si="8"/>
        <v>43950</v>
      </c>
      <c r="B40" s="285">
        <f t="shared" si="7"/>
        <v>43950</v>
      </c>
      <c r="F40" s="291"/>
    </row>
    <row r="41" spans="1:6" x14ac:dyDescent="0.2">
      <c r="A41" s="292">
        <f t="shared" si="8"/>
        <v>43951</v>
      </c>
      <c r="B41" s="285">
        <f t="shared" si="7"/>
        <v>43951</v>
      </c>
      <c r="F41" s="291"/>
    </row>
    <row r="42" spans="1:6" x14ac:dyDescent="0.2">
      <c r="A42" s="292">
        <f t="shared" si="8"/>
        <v>43952</v>
      </c>
      <c r="B42" s="285">
        <f t="shared" si="7"/>
        <v>43952</v>
      </c>
      <c r="F42" s="291"/>
    </row>
    <row r="43" spans="1:6" x14ac:dyDescent="0.2">
      <c r="A43" s="292">
        <f t="shared" si="8"/>
        <v>43953</v>
      </c>
      <c r="B43" s="285">
        <f t="shared" si="7"/>
        <v>43953</v>
      </c>
      <c r="F43" s="291"/>
    </row>
    <row r="44" spans="1:6" x14ac:dyDescent="0.2">
      <c r="A44" s="292">
        <f t="shared" si="8"/>
        <v>43954</v>
      </c>
      <c r="B44" s="285">
        <f t="shared" si="7"/>
        <v>43954</v>
      </c>
      <c r="F44" s="291"/>
    </row>
    <row r="45" spans="1:6" x14ac:dyDescent="0.2">
      <c r="A45" s="292">
        <f>A44</f>
        <v>43954</v>
      </c>
      <c r="B45" s="285" t="s">
        <v>234</v>
      </c>
      <c r="F45" s="291"/>
    </row>
    <row r="46" spans="1:6" x14ac:dyDescent="0.2">
      <c r="A46" s="292">
        <f>A44</f>
        <v>43954</v>
      </c>
      <c r="B46" s="285" t="s">
        <v>233</v>
      </c>
      <c r="F46" s="291"/>
    </row>
    <row r="47" spans="1:6" ht="13.5" thickBot="1" x14ac:dyDescent="0.25">
      <c r="A47" s="290"/>
      <c r="B47" s="289"/>
      <c r="C47" s="287"/>
      <c r="D47" s="288"/>
      <c r="E47" s="300">
        <f>SUM(E38:E46)</f>
        <v>0</v>
      </c>
      <c r="F47" s="299">
        <f>SUM(F38:F46)</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defaultRowHeight="12.75" x14ac:dyDescent="0.2"/>
  <cols>
    <col min="1" max="1" width="9.28515625" style="307" customWidth="1"/>
    <col min="2" max="2" width="22" style="6" customWidth="1"/>
    <col min="3" max="3" width="15.42578125" style="6" customWidth="1"/>
    <col min="4" max="4" width="9.140625" style="306"/>
    <col min="5" max="5" width="8.5703125" style="306" customWidth="1"/>
    <col min="6" max="6" width="12.7109375" style="305" customWidth="1"/>
    <col min="7" max="7" width="9.5703125" style="7" customWidth="1"/>
    <col min="8" max="8" width="10.140625" style="7" customWidth="1"/>
    <col min="9" max="10" width="8.7109375" style="7" customWidth="1"/>
    <col min="11" max="12" width="7.7109375" style="7" customWidth="1"/>
    <col min="13" max="13" width="11.7109375" style="7" customWidth="1"/>
    <col min="14" max="14" width="8.7109375" style="7" customWidth="1"/>
    <col min="15" max="15" width="12" style="7" customWidth="1"/>
    <col min="16" max="18" width="7.7109375" style="7" customWidth="1"/>
    <col min="19" max="19" width="8.5703125" style="7" customWidth="1"/>
    <col min="20" max="20" width="13.85546875" style="6" customWidth="1"/>
    <col min="21" max="21" width="8.7109375" style="7" customWidth="1"/>
    <col min="22" max="16384" width="9.140625" style="6"/>
  </cols>
  <sheetData>
    <row r="1" spans="1:21" s="15" customFormat="1" ht="13.5" customHeight="1" x14ac:dyDescent="0.2">
      <c r="A1" s="103">
        <f>E1+SalesApr20!$D$1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2">
      <c r="A2" s="104">
        <f>U1</f>
        <v>0</v>
      </c>
      <c r="B2" s="104" t="s">
        <v>272</v>
      </c>
      <c r="C2" s="476" t="s">
        <v>271</v>
      </c>
      <c r="D2" s="478" t="s">
        <v>270</v>
      </c>
      <c r="E2" s="476" t="s">
        <v>269</v>
      </c>
      <c r="F2" s="433" t="s">
        <v>268</v>
      </c>
      <c r="G2" s="480" t="s">
        <v>267</v>
      </c>
      <c r="H2" s="481"/>
      <c r="I2" s="482">
        <f>G1+H1+I1+J1</f>
        <v>0</v>
      </c>
      <c r="J2" s="483"/>
      <c r="K2" s="433" t="s">
        <v>266</v>
      </c>
      <c r="L2" s="433" t="s">
        <v>265</v>
      </c>
      <c r="M2" s="433" t="s">
        <v>264</v>
      </c>
      <c r="N2" s="433" t="s">
        <v>263</v>
      </c>
      <c r="O2" s="433" t="s">
        <v>262</v>
      </c>
      <c r="P2" s="433" t="s">
        <v>261</v>
      </c>
      <c r="Q2" s="433" t="s">
        <v>260</v>
      </c>
      <c r="R2" s="433" t="s">
        <v>259</v>
      </c>
      <c r="S2" s="484" t="s">
        <v>258</v>
      </c>
      <c r="T2" s="487" t="str">
        <f>IF(T1&gt;'Fixed Assets'!$D$74,"ENTER VEHICLE CHANGES        on Fixed Asset schedule","Motor Vehicles: make, model, date reg. and reg. Mark")</f>
        <v>Motor Vehicles: make, model, date reg. and reg. Mark</v>
      </c>
      <c r="U2" s="484" t="s">
        <v>27</v>
      </c>
    </row>
    <row r="3" spans="1:21" s="313" customFormat="1" ht="45" customHeight="1" x14ac:dyDescent="0.2">
      <c r="A3" s="314" t="s">
        <v>257</v>
      </c>
      <c r="B3" s="433" t="s">
        <v>256</v>
      </c>
      <c r="C3" s="477"/>
      <c r="D3" s="477"/>
      <c r="E3" s="477"/>
      <c r="F3" s="477"/>
      <c r="G3" s="278" t="s">
        <v>28</v>
      </c>
      <c r="H3" s="278" t="s">
        <v>255</v>
      </c>
      <c r="I3" s="278" t="s">
        <v>30</v>
      </c>
      <c r="J3" s="278" t="s">
        <v>31</v>
      </c>
      <c r="K3" s="486"/>
      <c r="L3" s="486"/>
      <c r="M3" s="479"/>
      <c r="N3" s="479"/>
      <c r="O3" s="479"/>
      <c r="P3" s="479"/>
      <c r="Q3" s="479"/>
      <c r="R3" s="479"/>
      <c r="S3" s="485"/>
      <c r="T3" s="488"/>
      <c r="U3" s="485"/>
    </row>
    <row r="4" spans="1:21" s="308" customFormat="1" ht="12" x14ac:dyDescent="0.2">
      <c r="A4" s="312" t="str">
        <f>IF((E1&lt;&gt;0),Admin!$B$5," ")</f>
        <v xml:space="preserve"> </v>
      </c>
      <c r="B4" s="475"/>
      <c r="C4" s="475"/>
      <c r="D4" s="475"/>
      <c r="E4" s="475"/>
      <c r="F4" s="475"/>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4"/>
      <c r="U4" s="309">
        <f>IF((A1&lt;Admin!$F$22),((A1)*Admin!$G$21),(A1*Admin!$G$21-(A1-Admin!$F$21)*(Admin!$G$21-Admin!$G$22)))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SalesApr20</vt:lpstr>
      <vt:lpstr>PurchasesApr20</vt:lpstr>
      <vt:lpstr>SalesMay20</vt:lpstr>
      <vt:lpstr>PurchasesMay20</vt:lpstr>
      <vt:lpstr>SalesJun20</vt:lpstr>
      <vt:lpstr>PurchasesJun20</vt:lpstr>
      <vt:lpstr>SalesJul20</vt:lpstr>
      <vt:lpstr>PurchasesJul20</vt:lpstr>
      <vt:lpstr>SalesAug20</vt:lpstr>
      <vt:lpstr>PurchasesAug20</vt:lpstr>
      <vt:lpstr>SalesSep20</vt:lpstr>
      <vt:lpstr>PurchasesSep20</vt:lpstr>
      <vt:lpstr>SalesOct20</vt:lpstr>
      <vt:lpstr>PurchasesOct20</vt:lpstr>
      <vt:lpstr>SalesNov20</vt:lpstr>
      <vt:lpstr>PurchasesNov20</vt:lpstr>
      <vt:lpstr>SalesDec20</vt:lpstr>
      <vt:lpstr>PurchasesDec20</vt:lpstr>
      <vt:lpstr>SalesJan21</vt:lpstr>
      <vt:lpstr>PurchasesJan21</vt:lpstr>
      <vt:lpstr>SalesFeb21</vt:lpstr>
      <vt:lpstr>PurchasesFeb21</vt:lpstr>
      <vt:lpstr>SalesMar21</vt:lpstr>
      <vt:lpstr>PurchasesMar21</vt:lpstr>
      <vt:lpstr>Admin</vt:lpstr>
      <vt:lpstr>PurchasesApr20!Print_Area</vt:lpstr>
      <vt:lpstr>PurchasesAug20!Print_Area</vt:lpstr>
      <vt:lpstr>PurchasesDec20!Print_Area</vt:lpstr>
      <vt:lpstr>PurchasesFeb21!Print_Area</vt:lpstr>
      <vt:lpstr>PurchasesJan21!Print_Area</vt:lpstr>
      <vt:lpstr>PurchasesJul20!Print_Area</vt:lpstr>
      <vt:lpstr>PurchasesJun20!Print_Area</vt:lpstr>
      <vt:lpstr>PurchasesMar21!Print_Area</vt:lpstr>
      <vt:lpstr>PurchasesMay20!Print_Area</vt:lpstr>
      <vt:lpstr>PurchasesNov20!Print_Area</vt:lpstr>
      <vt:lpstr>PurchasesOct20!Print_Area</vt:lpstr>
      <vt:lpstr>PurchasesSep20!Print_Area</vt:lpstr>
      <vt:lpstr>'Fixed Assets'!Print_Titles</vt:lpstr>
      <vt:lpstr>'Profit &amp; Loss Acc'!Print_Titles</vt:lpstr>
      <vt:lpstr>PurchasesApr20!Print_Titles</vt:lpstr>
      <vt:lpstr>PurchasesAug20!Print_Titles</vt:lpstr>
      <vt:lpstr>PurchasesDec20!Print_Titles</vt:lpstr>
      <vt:lpstr>PurchasesFeb21!Print_Titles</vt:lpstr>
      <vt:lpstr>PurchasesJan21!Print_Titles</vt:lpstr>
      <vt:lpstr>PurchasesJul20!Print_Titles</vt:lpstr>
      <vt:lpstr>PurchasesJun20!Print_Titles</vt:lpstr>
      <vt:lpstr>PurchasesMar21!Print_Titles</vt:lpstr>
      <vt:lpstr>PurchasesMay20!Print_Titles</vt:lpstr>
      <vt:lpstr>PurchasesNov20!Print_Titles</vt:lpstr>
      <vt:lpstr>PurchasesOct20!Print_Titles</vt:lpstr>
      <vt:lpstr>PurchasesSep20!Print_Titles</vt:lpstr>
      <vt:lpstr>SalesApr20!Print_Titles</vt:lpstr>
      <vt:lpstr>SalesAug20!Print_Titles</vt:lpstr>
      <vt:lpstr>SalesDec20!Print_Titles</vt:lpstr>
      <vt:lpstr>SalesFeb21!Print_Titles</vt:lpstr>
      <vt:lpstr>SalesJan21!Print_Titles</vt:lpstr>
      <vt:lpstr>SalesJul20!Print_Titles</vt:lpstr>
      <vt:lpstr>SalesJun20!Print_Titles</vt:lpstr>
      <vt:lpstr>SalesMar21!Print_Titles</vt:lpstr>
      <vt:lpstr>SalesMay20!Print_Titles</vt:lpstr>
      <vt:lpstr>SalesNov20!Print_Titles</vt:lpstr>
      <vt:lpstr>SalesOct20!Print_Titles</vt:lpstr>
      <vt:lpstr>SalesSep20!Print_Titles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Louise Powell</cp:lastModifiedBy>
  <cp:lastPrinted>2008-06-02T20:50:10Z</cp:lastPrinted>
  <dcterms:created xsi:type="dcterms:W3CDTF">2002-12-30T15:31:19Z</dcterms:created>
  <dcterms:modified xsi:type="dcterms:W3CDTF">2020-04-15T09:20:22Z</dcterms:modified>
</cp:coreProperties>
</file>